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E:\01 DOCUEMENTOS\CENTRAL ARCHIVO  2 0 2 0\CENTRAL  # 11  NOVIEMBRE  2020\"/>
    </mc:Choice>
  </mc:AlternateContent>
  <xr:revisionPtr revIDLastSave="0" documentId="13_ncr:1_{A83637C3-B25D-4A67-A946-CAB96F4266B8}" xr6:coauthVersionLast="46" xr6:coauthVersionMax="46" xr10:uidLastSave="{00000000-0000-0000-0000-000000000000}"/>
  <bookViews>
    <workbookView xWindow="7272" yWindow="468" windowWidth="14220" windowHeight="11808" tabRatio="597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r:id="rId6"/>
    <sheet name="PULPAS DE PIERNA  " sheetId="159" r:id="rId7"/>
    <sheet name="BUCHE  EN  CAJA       " sheetId="157" r:id="rId8"/>
    <sheet name="COSTILLA Especial Cerdo   " sheetId="154" r:id="rId9"/>
    <sheet name="ESPALDILLA    SH      " sheetId="164" r:id="rId10"/>
    <sheet name="P E C H O   Pco    " sheetId="130" r:id="rId11"/>
    <sheet name="CHULETA  NATURAL    " sheetId="8" r:id="rId12"/>
    <sheet name="CUERO PANCETA " sheetId="128" r:id="rId13"/>
    <sheet name="T R I P A S  " sheetId="135" r:id="rId14"/>
    <sheet name="MENUDO EXCELL   I B P" sheetId="40" r:id="rId15"/>
    <sheet name="ESPALDILLA CARNERO Y CORDERO   " sheetId="54" r:id="rId16"/>
    <sheet name="SESOS MARQUETA        " sheetId="14" state="hidden" r:id="rId17"/>
    <sheet name="PIERNA Carnero Nal CAJA" sheetId="178" r:id="rId18"/>
    <sheet name="SESOS DE COPA     " sheetId="176" r:id="rId19"/>
    <sheet name="FILETE  TILAPIA   " sheetId="65" r:id="rId20"/>
    <sheet name="FILETE  B A S A     " sheetId="139" state="hidden" r:id="rId21"/>
    <sheet name="PUNTAS DE CAÑA DE LOMO " sheetId="117" r:id="rId22"/>
    <sheet name="CAÑA DE LOMO      " sheetId="163" state="hidden" r:id="rId23"/>
    <sheet name="TOCINO   NACIOANL    " sheetId="133" r:id="rId24"/>
    <sheet name="CABEZA DE CERDO      " sheetId="150" state="hidden" r:id="rId25"/>
    <sheet name="CABEZA DE   LOMO    " sheetId="161" r:id="rId26"/>
    <sheet name="LENGUA  DE CERDO " sheetId="175" r:id="rId27"/>
    <sheet name="PIERNA   s-h" sheetId="162" r:id="rId28"/>
    <sheet name="P A V O S           " sheetId="156" r:id="rId29"/>
    <sheet name="MANITAS DE CERDO " sheetId="177" r:id="rId30"/>
    <sheet name="RECORTE ESPECIAL    " sheetId="181" r:id="rId31"/>
    <sheet name="RIBLETTS  DE CERDO     " sheetId="180" r:id="rId32"/>
    <sheet name="CORBATAS   " sheetId="134" r:id="rId33"/>
    <sheet name="NU3 CAN ADULTO NAT" sheetId="148" r:id="rId34"/>
    <sheet name="NU3CAN CACHORRO NAT" sheetId="167" r:id="rId35"/>
    <sheet name="NU3CAN ADULTO ORIGINAL" sheetId="168" r:id="rId36"/>
    <sheet name="SUPERCAN CACHO MAX" sheetId="169" r:id="rId37"/>
    <sheet name="NUE    FEROZ      " sheetId="170" r:id="rId38"/>
    <sheet name="Hoja10" sheetId="174" r:id="rId39"/>
  </sheets>
  <calcPr calcId="191029"/>
  <fileRecoveryPr autoRecover="0"/>
</workbook>
</file>

<file path=xl/calcChain.xml><?xml version="1.0" encoding="utf-8"?>
<calcChain xmlns="http://schemas.openxmlformats.org/spreadsheetml/2006/main">
  <c r="Q35" i="38" l="1"/>
  <c r="Q34" i="38"/>
  <c r="Q31" i="38"/>
  <c r="Q28" i="38"/>
  <c r="Q33" i="38"/>
  <c r="Q29" i="38" l="1"/>
  <c r="Q23" i="38" l="1"/>
  <c r="Q30" i="38" l="1"/>
  <c r="P28" i="129" l="1"/>
  <c r="P27" i="129"/>
  <c r="L9" i="129"/>
  <c r="V9" i="129"/>
  <c r="Z9" i="129" l="1"/>
  <c r="KS29" i="1" l="1"/>
  <c r="KS9" i="1"/>
  <c r="KS10" i="1"/>
  <c r="KS11" i="1"/>
  <c r="KS12" i="1"/>
  <c r="KS13" i="1"/>
  <c r="KS14" i="1"/>
  <c r="KS15" i="1"/>
  <c r="KS16" i="1"/>
  <c r="KS17" i="1"/>
  <c r="KS18" i="1"/>
  <c r="KS19" i="1"/>
  <c r="KS20" i="1"/>
  <c r="KS21" i="1"/>
  <c r="KS22" i="1"/>
  <c r="KS23" i="1"/>
  <c r="KS24" i="1"/>
  <c r="KS25" i="1"/>
  <c r="KS26" i="1"/>
  <c r="KS27" i="1"/>
  <c r="KS28" i="1"/>
  <c r="KS8" i="1"/>
  <c r="LM9" i="1"/>
  <c r="LM30" i="1" s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8" i="1"/>
  <c r="LC29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8" i="1"/>
  <c r="LC8" i="1"/>
  <c r="LC30" i="1" l="1"/>
  <c r="KS30" i="1"/>
  <c r="D29" i="164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F9" i="164"/>
  <c r="F8" i="164"/>
  <c r="I8" i="164" s="1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9" i="164" l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G5" i="164" l="1"/>
  <c r="H5" i="164" s="1"/>
  <c r="F31" i="164"/>
  <c r="KI9" i="1" l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2" i="1"/>
  <c r="KI23" i="1"/>
  <c r="KI24" i="1"/>
  <c r="KI25" i="1"/>
  <c r="KI26" i="1"/>
  <c r="KI27" i="1"/>
  <c r="KI28" i="1"/>
  <c r="KI29" i="1"/>
  <c r="KI8" i="1"/>
  <c r="JY9" i="1"/>
  <c r="JY10" i="1"/>
  <c r="JY11" i="1"/>
  <c r="JY12" i="1"/>
  <c r="JY13" i="1"/>
  <c r="JY14" i="1"/>
  <c r="JY15" i="1"/>
  <c r="JY16" i="1"/>
  <c r="JY17" i="1"/>
  <c r="JY18" i="1"/>
  <c r="JY19" i="1"/>
  <c r="JY20" i="1"/>
  <c r="JY21" i="1"/>
  <c r="JY22" i="1"/>
  <c r="JY23" i="1"/>
  <c r="JY24" i="1"/>
  <c r="JY25" i="1"/>
  <c r="JY26" i="1"/>
  <c r="JY27" i="1"/>
  <c r="JY28" i="1"/>
  <c r="JY29" i="1"/>
  <c r="JY8" i="1"/>
  <c r="JO9" i="1"/>
  <c r="JO10" i="1"/>
  <c r="JO11" i="1"/>
  <c r="JO12" i="1"/>
  <c r="JO13" i="1"/>
  <c r="JO14" i="1"/>
  <c r="JO15" i="1"/>
  <c r="JO16" i="1"/>
  <c r="JO17" i="1"/>
  <c r="JO18" i="1"/>
  <c r="JO19" i="1"/>
  <c r="JO20" i="1"/>
  <c r="JO21" i="1"/>
  <c r="JO22" i="1"/>
  <c r="JO23" i="1"/>
  <c r="JO24" i="1"/>
  <c r="JO25" i="1"/>
  <c r="JO26" i="1"/>
  <c r="JO27" i="1"/>
  <c r="JO28" i="1"/>
  <c r="JO8" i="1"/>
  <c r="JO29" i="1" s="1"/>
  <c r="JE2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8" i="1"/>
  <c r="JE29" i="1" s="1"/>
  <c r="Q11" i="117"/>
  <c r="KI30" i="1" l="1"/>
  <c r="JY30" i="1"/>
  <c r="AQ50" i="157" l="1"/>
  <c r="AT53" i="157" s="1"/>
  <c r="AO50" i="157"/>
  <c r="AR49" i="157"/>
  <c r="AT49" i="157" s="1"/>
  <c r="AR48" i="157"/>
  <c r="AT48" i="157" s="1"/>
  <c r="AR47" i="157"/>
  <c r="AT47" i="157" s="1"/>
  <c r="AR46" i="157"/>
  <c r="AT46" i="157" s="1"/>
  <c r="AR45" i="157"/>
  <c r="AT45" i="157" s="1"/>
  <c r="AR44" i="157"/>
  <c r="AT44" i="157" s="1"/>
  <c r="AR43" i="157"/>
  <c r="AT43" i="157" s="1"/>
  <c r="AR42" i="157"/>
  <c r="AT42" i="157" s="1"/>
  <c r="AR41" i="157"/>
  <c r="AT41" i="157" s="1"/>
  <c r="AR40" i="157"/>
  <c r="AT40" i="157" s="1"/>
  <c r="AR39" i="157"/>
  <c r="AT39" i="157" s="1"/>
  <c r="AT38" i="157"/>
  <c r="AR38" i="157"/>
  <c r="AR37" i="157"/>
  <c r="AT37" i="157" s="1"/>
  <c r="AR36" i="157"/>
  <c r="AT36" i="157" s="1"/>
  <c r="AR35" i="157"/>
  <c r="AT35" i="157" s="1"/>
  <c r="AR34" i="157"/>
  <c r="AT34" i="157" s="1"/>
  <c r="AR33" i="157"/>
  <c r="AT33" i="157" s="1"/>
  <c r="AR32" i="157"/>
  <c r="AT32" i="157" s="1"/>
  <c r="AR31" i="157"/>
  <c r="AT31" i="157" s="1"/>
  <c r="AR30" i="157"/>
  <c r="AT30" i="157" s="1"/>
  <c r="AR29" i="157"/>
  <c r="AT29" i="157" s="1"/>
  <c r="AR28" i="157"/>
  <c r="AT28" i="157" s="1"/>
  <c r="AR27" i="157"/>
  <c r="AT27" i="157" s="1"/>
  <c r="AR26" i="157"/>
  <c r="AT26" i="157" s="1"/>
  <c r="AR25" i="157"/>
  <c r="AT25" i="157" s="1"/>
  <c r="AR24" i="157"/>
  <c r="AT24" i="157" s="1"/>
  <c r="AR23" i="157"/>
  <c r="AT23" i="157" s="1"/>
  <c r="AT22" i="157"/>
  <c r="AR22" i="157"/>
  <c r="AR21" i="157"/>
  <c r="AT21" i="157" s="1"/>
  <c r="AR20" i="157"/>
  <c r="AT20" i="157" s="1"/>
  <c r="AR19" i="157"/>
  <c r="AT19" i="157" s="1"/>
  <c r="AR18" i="157"/>
  <c r="AT18" i="157" s="1"/>
  <c r="AR17" i="157"/>
  <c r="AT17" i="157" s="1"/>
  <c r="AR16" i="157"/>
  <c r="AT16" i="157" s="1"/>
  <c r="AR15" i="157"/>
  <c r="AT15" i="157" s="1"/>
  <c r="AR14" i="157"/>
  <c r="AT14" i="157" s="1"/>
  <c r="AR13" i="157"/>
  <c r="AT13" i="157" s="1"/>
  <c r="AR12" i="157"/>
  <c r="AT12" i="157" s="1"/>
  <c r="AR11" i="157"/>
  <c r="AT11" i="157" s="1"/>
  <c r="AR10" i="157"/>
  <c r="AT10" i="157" s="1"/>
  <c r="AT9" i="157"/>
  <c r="AT8" i="157"/>
  <c r="AW8" i="157" s="1"/>
  <c r="AW9" i="157" s="1"/>
  <c r="AG50" i="157"/>
  <c r="AJ53" i="157" s="1"/>
  <c r="AE50" i="157"/>
  <c r="AH49" i="157"/>
  <c r="AJ49" i="157" s="1"/>
  <c r="AH48" i="157"/>
  <c r="AJ48" i="157" s="1"/>
  <c r="AH47" i="157"/>
  <c r="AJ47" i="157" s="1"/>
  <c r="AH46" i="157"/>
  <c r="AJ46" i="157" s="1"/>
  <c r="AH45" i="157"/>
  <c r="AJ45" i="157" s="1"/>
  <c r="AH44" i="157"/>
  <c r="AJ44" i="157" s="1"/>
  <c r="AH43" i="157"/>
  <c r="AJ43" i="157" s="1"/>
  <c r="AH42" i="157"/>
  <c r="AJ42" i="157" s="1"/>
  <c r="AH41" i="157"/>
  <c r="AJ41" i="157" s="1"/>
  <c r="AH40" i="157"/>
  <c r="AJ40" i="157" s="1"/>
  <c r="AH39" i="157"/>
  <c r="AJ39" i="157" s="1"/>
  <c r="AH38" i="157"/>
  <c r="AJ38" i="157" s="1"/>
  <c r="AH37" i="157"/>
  <c r="AJ37" i="157" s="1"/>
  <c r="AH36" i="157"/>
  <c r="AJ36" i="157" s="1"/>
  <c r="AH35" i="157"/>
  <c r="AJ35" i="157" s="1"/>
  <c r="AJ34" i="157"/>
  <c r="AH34" i="157"/>
  <c r="AH33" i="157"/>
  <c r="AJ33" i="157" s="1"/>
  <c r="AH32" i="157"/>
  <c r="AJ32" i="157" s="1"/>
  <c r="AH31" i="157"/>
  <c r="AJ31" i="157" s="1"/>
  <c r="AH30" i="157"/>
  <c r="AJ30" i="157" s="1"/>
  <c r="AH29" i="157"/>
  <c r="AJ29" i="157" s="1"/>
  <c r="AH28" i="157"/>
  <c r="AJ28" i="157" s="1"/>
  <c r="AH27" i="157"/>
  <c r="AJ27" i="157" s="1"/>
  <c r="AH26" i="157"/>
  <c r="AJ26" i="157" s="1"/>
  <c r="AH25" i="157"/>
  <c r="AJ25" i="157" s="1"/>
  <c r="AH24" i="157"/>
  <c r="AJ24" i="157" s="1"/>
  <c r="AH23" i="157"/>
  <c r="AJ23" i="157" s="1"/>
  <c r="AH22" i="157"/>
  <c r="AJ22" i="157" s="1"/>
  <c r="AH21" i="157"/>
  <c r="AJ21" i="157" s="1"/>
  <c r="AH20" i="157"/>
  <c r="AJ20" i="157" s="1"/>
  <c r="AH19" i="157"/>
  <c r="AJ19" i="157" s="1"/>
  <c r="AJ18" i="157"/>
  <c r="AH18" i="157"/>
  <c r="AH17" i="157"/>
  <c r="AJ17" i="157" s="1"/>
  <c r="AH16" i="157"/>
  <c r="AJ16" i="157" s="1"/>
  <c r="AH15" i="157"/>
  <c r="AJ15" i="157" s="1"/>
  <c r="AH14" i="157"/>
  <c r="AJ14" i="157" s="1"/>
  <c r="AH13" i="157"/>
  <c r="AJ13" i="157" s="1"/>
  <c r="AH12" i="157"/>
  <c r="AJ12" i="157" s="1"/>
  <c r="AH11" i="157"/>
  <c r="AJ11" i="157" s="1"/>
  <c r="AH10" i="157"/>
  <c r="AJ10" i="157" s="1"/>
  <c r="AJ9" i="157"/>
  <c r="AJ8" i="157"/>
  <c r="AM8" i="157" s="1"/>
  <c r="AW10" i="157" l="1"/>
  <c r="AW11" i="157" s="1"/>
  <c r="AW12" i="157" s="1"/>
  <c r="AM9" i="157"/>
  <c r="AM10" i="157" s="1"/>
  <c r="AM11" i="157" s="1"/>
  <c r="AT50" i="157"/>
  <c r="AW13" i="157"/>
  <c r="AW14" i="157" s="1"/>
  <c r="AW15" i="157" s="1"/>
  <c r="AW16" i="157" s="1"/>
  <c r="AW17" i="157" s="1"/>
  <c r="AW18" i="157" s="1"/>
  <c r="AW19" i="157" s="1"/>
  <c r="AW20" i="157" s="1"/>
  <c r="AW21" i="157" s="1"/>
  <c r="AW22" i="157" s="1"/>
  <c r="AW23" i="157" s="1"/>
  <c r="AW24" i="157" s="1"/>
  <c r="AW25" i="157" s="1"/>
  <c r="AW26" i="157" s="1"/>
  <c r="AW27" i="157" s="1"/>
  <c r="AW28" i="157" s="1"/>
  <c r="AW29" i="157" s="1"/>
  <c r="AW30" i="157" s="1"/>
  <c r="AW31" i="157" s="1"/>
  <c r="AW32" i="157" s="1"/>
  <c r="AW33" i="157" s="1"/>
  <c r="AW34" i="157" s="1"/>
  <c r="AW35" i="157" s="1"/>
  <c r="AW36" i="157" s="1"/>
  <c r="AW37" i="157" s="1"/>
  <c r="AW38" i="157" s="1"/>
  <c r="AW39" i="157" s="1"/>
  <c r="AW40" i="157" s="1"/>
  <c r="AW41" i="157" s="1"/>
  <c r="AW42" i="157" s="1"/>
  <c r="AW43" i="157" s="1"/>
  <c r="AW44" i="157" s="1"/>
  <c r="AW45" i="157" s="1"/>
  <c r="AW46" i="157" s="1"/>
  <c r="AW47" i="157" s="1"/>
  <c r="AW48" i="157" s="1"/>
  <c r="AR50" i="157"/>
  <c r="AJ50" i="157"/>
  <c r="AK5" i="157" s="1"/>
  <c r="AL5" i="157" s="1"/>
  <c r="AM12" i="157"/>
  <c r="AM13" i="157" s="1"/>
  <c r="AM14" i="157" s="1"/>
  <c r="AM15" i="157" s="1"/>
  <c r="AM16" i="157" s="1"/>
  <c r="AM17" i="157" s="1"/>
  <c r="AM18" i="157" s="1"/>
  <c r="AM19" i="157" s="1"/>
  <c r="AM20" i="157" s="1"/>
  <c r="AM21" i="157" s="1"/>
  <c r="AM22" i="157" s="1"/>
  <c r="AM23" i="157" s="1"/>
  <c r="AM24" i="157" s="1"/>
  <c r="AM25" i="157" s="1"/>
  <c r="AM26" i="157" s="1"/>
  <c r="AM27" i="157" s="1"/>
  <c r="AM28" i="157" s="1"/>
  <c r="AM29" i="157" s="1"/>
  <c r="AM30" i="157" s="1"/>
  <c r="AM31" i="157" s="1"/>
  <c r="AM32" i="157" s="1"/>
  <c r="AM33" i="157" s="1"/>
  <c r="AM34" i="157" s="1"/>
  <c r="AM35" i="157" s="1"/>
  <c r="AM36" i="157" s="1"/>
  <c r="AM37" i="157" s="1"/>
  <c r="AM38" i="157" s="1"/>
  <c r="AM39" i="157" s="1"/>
  <c r="AM40" i="157" s="1"/>
  <c r="AM41" i="157" s="1"/>
  <c r="AM42" i="157" s="1"/>
  <c r="AM43" i="157" s="1"/>
  <c r="AM44" i="157" s="1"/>
  <c r="AM45" i="157" s="1"/>
  <c r="AM46" i="157" s="1"/>
  <c r="AM47" i="157" s="1"/>
  <c r="AM48" i="157" s="1"/>
  <c r="AH50" i="157"/>
  <c r="B9" i="57"/>
  <c r="AT52" i="157" l="1"/>
  <c r="AU5" i="157"/>
  <c r="AV5" i="157" s="1"/>
  <c r="AJ52" i="157"/>
  <c r="IU17" i="1"/>
  <c r="IU18" i="1"/>
  <c r="IU9" i="1"/>
  <c r="IU10" i="1"/>
  <c r="IU30" i="1" s="1"/>
  <c r="IU11" i="1"/>
  <c r="IU12" i="1"/>
  <c r="IU13" i="1"/>
  <c r="IU14" i="1"/>
  <c r="IU15" i="1"/>
  <c r="IU16" i="1"/>
  <c r="IU19" i="1"/>
  <c r="IU20" i="1"/>
  <c r="IU21" i="1"/>
  <c r="IU22" i="1"/>
  <c r="IU23" i="1"/>
  <c r="IU24" i="1"/>
  <c r="IU25" i="1"/>
  <c r="IU26" i="1"/>
  <c r="IU27" i="1"/>
  <c r="IU28" i="1"/>
  <c r="IU29" i="1"/>
  <c r="IU8" i="1"/>
  <c r="I13" i="128" l="1"/>
  <c r="IK9" i="1"/>
  <c r="IK10" i="1"/>
  <c r="IK11" i="1"/>
  <c r="IK12" i="1"/>
  <c r="IK13" i="1"/>
  <c r="IK14" i="1"/>
  <c r="IK15" i="1"/>
  <c r="IK16" i="1"/>
  <c r="IK17" i="1"/>
  <c r="IK18" i="1"/>
  <c r="IK19" i="1"/>
  <c r="IK20" i="1"/>
  <c r="IK21" i="1"/>
  <c r="IK22" i="1"/>
  <c r="IK23" i="1"/>
  <c r="IK24" i="1"/>
  <c r="IK25" i="1"/>
  <c r="IK26" i="1"/>
  <c r="IK27" i="1"/>
  <c r="IK28" i="1"/>
  <c r="IK29" i="1"/>
  <c r="IK8" i="1"/>
  <c r="IK30" i="1" s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8" i="1"/>
  <c r="HQ9" i="1"/>
  <c r="HQ30" i="1" s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8" i="1"/>
  <c r="HG19" i="1"/>
  <c r="HG18" i="1"/>
  <c r="HG17" i="1"/>
  <c r="HG9" i="1"/>
  <c r="HG10" i="1"/>
  <c r="HG11" i="1"/>
  <c r="HG12" i="1"/>
  <c r="HG13" i="1"/>
  <c r="HG14" i="1"/>
  <c r="HG15" i="1"/>
  <c r="HG16" i="1"/>
  <c r="HG20" i="1"/>
  <c r="HG21" i="1"/>
  <c r="HG22" i="1"/>
  <c r="HG23" i="1"/>
  <c r="HG24" i="1"/>
  <c r="HG25" i="1"/>
  <c r="HG26" i="1"/>
  <c r="HG27" i="1"/>
  <c r="HG28" i="1"/>
  <c r="HG8" i="1"/>
  <c r="IA30" i="1" l="1"/>
  <c r="HG29" i="1"/>
  <c r="GW9" i="1" l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8" i="1"/>
  <c r="GW8" i="1"/>
  <c r="GW29" i="1" s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8" i="1"/>
  <c r="FS9" i="1"/>
  <c r="FS10" i="1"/>
  <c r="FS11" i="1"/>
  <c r="FS12" i="1"/>
  <c r="FS13" i="1"/>
  <c r="FS14" i="1"/>
  <c r="FS15" i="1"/>
  <c r="FS16" i="1"/>
  <c r="FS17" i="1"/>
  <c r="FS18" i="1"/>
  <c r="FS19" i="1"/>
  <c r="FS20" i="1"/>
  <c r="FS21" i="1"/>
  <c r="FS22" i="1"/>
  <c r="FS23" i="1"/>
  <c r="FS24" i="1"/>
  <c r="FS25" i="1"/>
  <c r="FS26" i="1"/>
  <c r="FS27" i="1"/>
  <c r="FS28" i="1"/>
  <c r="FS29" i="1"/>
  <c r="FS8" i="1"/>
  <c r="FS30" i="1" s="1"/>
  <c r="GC9" i="1"/>
  <c r="GC10" i="1"/>
  <c r="GC11" i="1"/>
  <c r="GC12" i="1"/>
  <c r="GC30" i="1" s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8" i="1"/>
  <c r="FI9" i="1"/>
  <c r="FI30" i="1" s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8" i="1"/>
  <c r="EO29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8" i="1"/>
  <c r="EO30" i="1" s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8" i="1"/>
  <c r="EE29" i="1" s="1"/>
  <c r="GM30" i="1" l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8" i="1"/>
  <c r="DK9" i="1"/>
  <c r="DK10" i="1"/>
  <c r="DK11" i="1"/>
  <c r="DK12" i="1"/>
  <c r="DK30" i="1" s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8" i="1"/>
  <c r="DA30" i="1" s="1"/>
  <c r="DU30" i="1" l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8" i="1"/>
  <c r="CG9" i="1"/>
  <c r="CG30" i="1" s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8" i="1"/>
  <c r="CQ29" i="1" l="1"/>
  <c r="N9" i="129" l="1"/>
  <c r="O11" i="65"/>
  <c r="BX9" i="1" l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8" i="1"/>
  <c r="BX29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s="1"/>
  <c r="AM9" i="1" l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AM30" i="1" s="1"/>
  <c r="S18" i="1"/>
  <c r="S9" i="1"/>
  <c r="S10" i="1"/>
  <c r="S11" i="1"/>
  <c r="S12" i="1"/>
  <c r="S13" i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8" i="1"/>
  <c r="S30" i="1" l="1"/>
  <c r="Q27" i="38" l="1"/>
  <c r="Q25" i="38"/>
  <c r="Q22" i="38"/>
  <c r="Q24" i="38"/>
  <c r="Q21" i="38" l="1"/>
  <c r="Q10" i="38" l="1"/>
  <c r="Q26" i="38" l="1"/>
  <c r="Q8" i="38" l="1"/>
  <c r="Q5" i="38"/>
  <c r="Q6" i="38"/>
  <c r="Q9" i="38"/>
  <c r="Q16" i="38" l="1"/>
  <c r="X78" i="129" l="1"/>
  <c r="W78" i="129"/>
  <c r="Y81" i="129" s="1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l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AC9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Z78" i="129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O62" i="40" l="1"/>
  <c r="Y83" i="129"/>
  <c r="AA6" i="129"/>
  <c r="AB6" i="129" s="1"/>
  <c r="Q8" i="40"/>
  <c r="Q12" i="38"/>
  <c r="Q11" i="38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P67" i="40" l="1"/>
  <c r="R5" i="40"/>
  <c r="S5" i="40" s="1"/>
  <c r="Q19" i="38"/>
  <c r="Q17" i="38"/>
  <c r="Q110" i="38"/>
  <c r="Q109" i="38"/>
  <c r="Q13" i="38"/>
  <c r="Q15" i="38"/>
  <c r="Q18" i="38" l="1"/>
  <c r="Q14" i="38"/>
  <c r="N64" i="117" l="1"/>
  <c r="P65" i="117" s="1"/>
  <c r="O63" i="117"/>
  <c r="Q63" i="117" s="1"/>
  <c r="O62" i="117"/>
  <c r="Q62" i="117" s="1"/>
  <c r="O61" i="117"/>
  <c r="Q61" i="117" s="1"/>
  <c r="O60" i="117"/>
  <c r="Q60" i="117" s="1"/>
  <c r="O59" i="117"/>
  <c r="Q59" i="117" s="1"/>
  <c r="Q58" i="117"/>
  <c r="O58" i="117"/>
  <c r="O57" i="117"/>
  <c r="Q57" i="117" s="1"/>
  <c r="O56" i="117"/>
  <c r="Q56" i="117" s="1"/>
  <c r="O55" i="117"/>
  <c r="Q55" i="117" s="1"/>
  <c r="O54" i="117"/>
  <c r="Q54" i="117" s="1"/>
  <c r="Q53" i="117"/>
  <c r="O53" i="117"/>
  <c r="O52" i="117"/>
  <c r="Q52" i="117" s="1"/>
  <c r="Q51" i="117"/>
  <c r="O51" i="117"/>
  <c r="O50" i="117"/>
  <c r="Q50" i="117" s="1"/>
  <c r="Q49" i="117"/>
  <c r="O49" i="117"/>
  <c r="O48" i="117"/>
  <c r="Q48" i="117" s="1"/>
  <c r="Q47" i="117"/>
  <c r="O47" i="117"/>
  <c r="O46" i="117"/>
  <c r="Q46" i="117" s="1"/>
  <c r="Q45" i="117"/>
  <c r="O45" i="117"/>
  <c r="O44" i="117"/>
  <c r="Q44" i="117" s="1"/>
  <c r="Q43" i="117"/>
  <c r="O43" i="117"/>
  <c r="O42" i="117"/>
  <c r="Q42" i="117" s="1"/>
  <c r="Q41" i="117"/>
  <c r="O41" i="117"/>
  <c r="O40" i="117"/>
  <c r="Q40" i="117" s="1"/>
  <c r="Q39" i="117"/>
  <c r="O39" i="117"/>
  <c r="O38" i="117"/>
  <c r="Q38" i="117" s="1"/>
  <c r="Q37" i="117"/>
  <c r="O37" i="117"/>
  <c r="O36" i="117"/>
  <c r="Q36" i="117" s="1"/>
  <c r="Q35" i="117"/>
  <c r="O35" i="117"/>
  <c r="O34" i="117"/>
  <c r="Q34" i="117" s="1"/>
  <c r="Q33" i="117"/>
  <c r="O33" i="117"/>
  <c r="O32" i="117"/>
  <c r="Q32" i="117" s="1"/>
  <c r="Q31" i="117"/>
  <c r="O31" i="117"/>
  <c r="O30" i="117"/>
  <c r="Q30" i="117" s="1"/>
  <c r="Q29" i="117"/>
  <c r="O29" i="117"/>
  <c r="O28" i="117"/>
  <c r="Q28" i="117" s="1"/>
  <c r="Q27" i="117"/>
  <c r="O27" i="117"/>
  <c r="O26" i="117"/>
  <c r="O64" i="117" s="1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Q26" i="117" l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W50" i="157"/>
  <c r="Z53" i="157" s="1"/>
  <c r="U50" i="157"/>
  <c r="X49" i="157"/>
  <c r="Z49" i="157" s="1"/>
  <c r="X48" i="157"/>
  <c r="Z48" i="157" s="1"/>
  <c r="X47" i="157"/>
  <c r="Z47" i="157" s="1"/>
  <c r="X46" i="157"/>
  <c r="Z46" i="157" s="1"/>
  <c r="X45" i="157"/>
  <c r="Z45" i="157" s="1"/>
  <c r="X44" i="157"/>
  <c r="Z44" i="157" s="1"/>
  <c r="X43" i="157"/>
  <c r="Z43" i="157" s="1"/>
  <c r="Z42" i="157"/>
  <c r="X42" i="157"/>
  <c r="X41" i="157"/>
  <c r="Z41" i="157" s="1"/>
  <c r="X40" i="157"/>
  <c r="Z40" i="157" s="1"/>
  <c r="X39" i="157"/>
  <c r="Z39" i="157" s="1"/>
  <c r="X38" i="157"/>
  <c r="Z38" i="157" s="1"/>
  <c r="X37" i="157"/>
  <c r="Z37" i="157" s="1"/>
  <c r="X36" i="157"/>
  <c r="Z36" i="157" s="1"/>
  <c r="X35" i="157"/>
  <c r="Z35" i="157" s="1"/>
  <c r="X34" i="157"/>
  <c r="Z34" i="157" s="1"/>
  <c r="X33" i="157"/>
  <c r="Z33" i="157" s="1"/>
  <c r="X32" i="157"/>
  <c r="Z32" i="157" s="1"/>
  <c r="X31" i="157"/>
  <c r="Z31" i="157" s="1"/>
  <c r="X30" i="157"/>
  <c r="Z30" i="157" s="1"/>
  <c r="X29" i="157"/>
  <c r="Z29" i="157" s="1"/>
  <c r="X28" i="157"/>
  <c r="Z28" i="157" s="1"/>
  <c r="X27" i="157"/>
  <c r="Z27" i="157" s="1"/>
  <c r="X26" i="157"/>
  <c r="Z26" i="157" s="1"/>
  <c r="X25" i="157"/>
  <c r="Z25" i="157" s="1"/>
  <c r="X24" i="157"/>
  <c r="Z24" i="157" s="1"/>
  <c r="X23" i="157"/>
  <c r="Z23" i="157" s="1"/>
  <c r="X22" i="157"/>
  <c r="Z22" i="157" s="1"/>
  <c r="X21" i="157"/>
  <c r="Z21" i="157" s="1"/>
  <c r="X20" i="157"/>
  <c r="Z20" i="157" s="1"/>
  <c r="X19" i="157"/>
  <c r="Z19" i="157" s="1"/>
  <c r="X18" i="157"/>
  <c r="Z18" i="157" s="1"/>
  <c r="X17" i="157"/>
  <c r="Z17" i="157" s="1"/>
  <c r="X16" i="157"/>
  <c r="Z16" i="157" s="1"/>
  <c r="X15" i="157"/>
  <c r="Z15" i="157" s="1"/>
  <c r="X14" i="157"/>
  <c r="Z14" i="157" s="1"/>
  <c r="X13" i="157"/>
  <c r="Z13" i="157" s="1"/>
  <c r="X12" i="157"/>
  <c r="Z12" i="157" s="1"/>
  <c r="X11" i="157"/>
  <c r="Z11" i="157" s="1"/>
  <c r="X10" i="157"/>
  <c r="Z10" i="157" s="1"/>
  <c r="Z9" i="157"/>
  <c r="Z8" i="157"/>
  <c r="N78" i="129"/>
  <c r="M78" i="129"/>
  <c r="O81" i="129" s="1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Y52" i="65"/>
  <c r="Z54" i="65" s="1"/>
  <c r="Z51" i="65"/>
  <c r="AB51" i="65" s="1"/>
  <c r="Z50" i="65"/>
  <c r="AB50" i="65" s="1"/>
  <c r="Z49" i="65"/>
  <c r="AB49" i="65" s="1"/>
  <c r="Z48" i="65"/>
  <c r="AB48" i="65" s="1"/>
  <c r="Z47" i="65"/>
  <c r="AB47" i="65" s="1"/>
  <c r="Z46" i="65"/>
  <c r="AB46" i="65" s="1"/>
  <c r="Z45" i="65"/>
  <c r="AB45" i="65" s="1"/>
  <c r="Z44" i="65"/>
  <c r="AB44" i="65" s="1"/>
  <c r="Z43" i="65"/>
  <c r="AB43" i="65" s="1"/>
  <c r="Z42" i="65"/>
  <c r="AB42" i="65" s="1"/>
  <c r="Z41" i="65"/>
  <c r="AB41" i="65" s="1"/>
  <c r="Z40" i="65"/>
  <c r="AB40" i="65" s="1"/>
  <c r="Z39" i="65"/>
  <c r="AB39" i="65" s="1"/>
  <c r="Z38" i="65"/>
  <c r="AB38" i="65" s="1"/>
  <c r="Z37" i="65"/>
  <c r="AB37" i="65" s="1"/>
  <c r="Z36" i="65"/>
  <c r="AB36" i="65" s="1"/>
  <c r="Z35" i="65"/>
  <c r="AB35" i="65" s="1"/>
  <c r="Z34" i="65"/>
  <c r="AB34" i="65" s="1"/>
  <c r="Z33" i="65"/>
  <c r="AB33" i="65" s="1"/>
  <c r="Z32" i="65"/>
  <c r="AB32" i="65" s="1"/>
  <c r="Z31" i="65"/>
  <c r="AB31" i="65" s="1"/>
  <c r="Z30" i="65"/>
  <c r="AB30" i="65" s="1"/>
  <c r="Z29" i="65"/>
  <c r="AB29" i="65" s="1"/>
  <c r="Z28" i="65"/>
  <c r="AB28" i="65" s="1"/>
  <c r="Z27" i="65"/>
  <c r="AB27" i="65" s="1"/>
  <c r="Z26" i="65"/>
  <c r="AB26" i="65" s="1"/>
  <c r="Z25" i="65"/>
  <c r="AB25" i="65" s="1"/>
  <c r="Z24" i="65"/>
  <c r="AB24" i="65" s="1"/>
  <c r="Z23" i="65"/>
  <c r="AB23" i="65" s="1"/>
  <c r="Z22" i="65"/>
  <c r="AB22" i="65" s="1"/>
  <c r="Z21" i="65"/>
  <c r="AB21" i="65" s="1"/>
  <c r="Z20" i="65"/>
  <c r="AB20" i="65" s="1"/>
  <c r="Z19" i="65"/>
  <c r="AB19" i="65" s="1"/>
  <c r="Z18" i="65"/>
  <c r="AB18" i="65" s="1"/>
  <c r="Z17" i="65"/>
  <c r="AB17" i="65" s="1"/>
  <c r="Z16" i="65"/>
  <c r="AB16" i="65" s="1"/>
  <c r="Z15" i="65"/>
  <c r="AB15" i="65" s="1"/>
  <c r="Z14" i="65"/>
  <c r="AB14" i="65" s="1"/>
  <c r="Z13" i="65"/>
  <c r="AB13" i="65" s="1"/>
  <c r="Z12" i="65"/>
  <c r="AB12" i="65" s="1"/>
  <c r="Z11" i="65"/>
  <c r="AB11" i="65" s="1"/>
  <c r="Z10" i="65"/>
  <c r="AB10" i="65" s="1"/>
  <c r="AF9" i="65"/>
  <c r="AF10" i="65" s="1"/>
  <c r="AF11" i="65" s="1"/>
  <c r="AF12" i="65" s="1"/>
  <c r="AF13" i="65" s="1"/>
  <c r="AF14" i="65" s="1"/>
  <c r="AF15" i="65" s="1"/>
  <c r="AF16" i="65" s="1"/>
  <c r="AF17" i="65" s="1"/>
  <c r="AF18" i="65" s="1"/>
  <c r="AF19" i="65" s="1"/>
  <c r="AF20" i="65" s="1"/>
  <c r="AF21" i="65" s="1"/>
  <c r="AF22" i="65" s="1"/>
  <c r="AF23" i="65" s="1"/>
  <c r="AF24" i="65" s="1"/>
  <c r="AF25" i="65" s="1"/>
  <c r="AF26" i="65" s="1"/>
  <c r="AF27" i="65" s="1"/>
  <c r="AF28" i="65" s="1"/>
  <c r="AF29" i="65" s="1"/>
  <c r="AF30" i="65" s="1"/>
  <c r="AF31" i="65" s="1"/>
  <c r="AF32" i="65" s="1"/>
  <c r="AF33" i="65" s="1"/>
  <c r="AF34" i="65" s="1"/>
  <c r="AF35" i="65" s="1"/>
  <c r="AF36" i="65" s="1"/>
  <c r="AF37" i="65" s="1"/>
  <c r="AF38" i="65" s="1"/>
  <c r="AF39" i="65" s="1"/>
  <c r="AF40" i="65" s="1"/>
  <c r="AF41" i="65" s="1"/>
  <c r="AF42" i="65" s="1"/>
  <c r="AF43" i="65" s="1"/>
  <c r="AF44" i="65" s="1"/>
  <c r="AF45" i="65" s="1"/>
  <c r="AF46" i="65" s="1"/>
  <c r="AF47" i="65" s="1"/>
  <c r="AF48" i="65" s="1"/>
  <c r="AF49" i="65" s="1"/>
  <c r="AF50" i="65" s="1"/>
  <c r="Z9" i="65"/>
  <c r="AB9" i="65" s="1"/>
  <c r="Q64" i="117" l="1"/>
  <c r="P67" i="117" s="1"/>
  <c r="P55" i="54"/>
  <c r="O60" i="54" s="1"/>
  <c r="R5" i="117"/>
  <c r="S5" i="11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AC35" i="157" s="1"/>
  <c r="AC36" i="157" s="1"/>
  <c r="AC37" i="157" s="1"/>
  <c r="AC38" i="157" s="1"/>
  <c r="AC39" i="157" s="1"/>
  <c r="AC40" i="157" s="1"/>
  <c r="AC41" i="157" s="1"/>
  <c r="AC42" i="157" s="1"/>
  <c r="AC43" i="157" s="1"/>
  <c r="AC44" i="157" s="1"/>
  <c r="AC45" i="157" s="1"/>
  <c r="AC46" i="157" s="1"/>
  <c r="AC47" i="157" s="1"/>
  <c r="AC48" i="157" s="1"/>
  <c r="Z50" i="157"/>
  <c r="X50" i="157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P78" i="129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E9" i="65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AE44" i="65" s="1"/>
  <c r="AE45" i="65" s="1"/>
  <c r="AE46" i="65" s="1"/>
  <c r="AE47" i="65" s="1"/>
  <c r="AE48" i="65" s="1"/>
  <c r="AE49" i="65" s="1"/>
  <c r="AE50" i="65" s="1"/>
  <c r="AB52" i="65"/>
  <c r="Z52" i="65"/>
  <c r="Q4" i="38"/>
  <c r="Q5" i="54" l="1"/>
  <c r="R5" i="54" s="1"/>
  <c r="AA5" i="157"/>
  <c r="AB5" i="157" s="1"/>
  <c r="Z52" i="157"/>
  <c r="O83" i="129"/>
  <c r="Q6" i="129"/>
  <c r="R6" i="129" s="1"/>
  <c r="AA55" i="65"/>
  <c r="AC5" i="65"/>
  <c r="AD5" i="65" s="1"/>
  <c r="M50" i="157"/>
  <c r="P53" i="157" s="1"/>
  <c r="K50" i="157"/>
  <c r="N49" i="157"/>
  <c r="P49" i="157" s="1"/>
  <c r="N48" i="157"/>
  <c r="P48" i="157" s="1"/>
  <c r="N47" i="157"/>
  <c r="P47" i="157" s="1"/>
  <c r="P46" i="157"/>
  <c r="N46" i="157"/>
  <c r="N45" i="157"/>
  <c r="P45" i="157" s="1"/>
  <c r="N44" i="157"/>
  <c r="P44" i="157" s="1"/>
  <c r="N43" i="157"/>
  <c r="P43" i="157" s="1"/>
  <c r="N42" i="157"/>
  <c r="P42" i="157" s="1"/>
  <c r="N41" i="157"/>
  <c r="P41" i="157" s="1"/>
  <c r="N40" i="157"/>
  <c r="P40" i="157" s="1"/>
  <c r="N39" i="157"/>
  <c r="P39" i="157" s="1"/>
  <c r="N38" i="157"/>
  <c r="P38" i="157" s="1"/>
  <c r="N37" i="157"/>
  <c r="P37" i="157" s="1"/>
  <c r="N36" i="157"/>
  <c r="P36" i="157" s="1"/>
  <c r="N35" i="157"/>
  <c r="P35" i="157" s="1"/>
  <c r="P34" i="157"/>
  <c r="N34" i="157"/>
  <c r="N33" i="157"/>
  <c r="P33" i="157" s="1"/>
  <c r="N32" i="157"/>
  <c r="P32" i="157" s="1"/>
  <c r="N31" i="157"/>
  <c r="P31" i="157" s="1"/>
  <c r="P30" i="157"/>
  <c r="N30" i="157"/>
  <c r="N29" i="157"/>
  <c r="P29" i="157" s="1"/>
  <c r="N28" i="157"/>
  <c r="P28" i="157" s="1"/>
  <c r="N27" i="157"/>
  <c r="P27" i="157" s="1"/>
  <c r="N26" i="157"/>
  <c r="P26" i="157" s="1"/>
  <c r="N25" i="157"/>
  <c r="P25" i="157" s="1"/>
  <c r="N24" i="157"/>
  <c r="P24" i="157" s="1"/>
  <c r="N23" i="157"/>
  <c r="P23" i="157" s="1"/>
  <c r="N22" i="157"/>
  <c r="P22" i="157" s="1"/>
  <c r="N21" i="157"/>
  <c r="P21" i="157" s="1"/>
  <c r="N20" i="157"/>
  <c r="P20" i="157" s="1"/>
  <c r="N19" i="157"/>
  <c r="P19" i="157" s="1"/>
  <c r="P18" i="157"/>
  <c r="N18" i="157"/>
  <c r="N17" i="157"/>
  <c r="P17" i="157" s="1"/>
  <c r="N16" i="157"/>
  <c r="P16" i="157" s="1"/>
  <c r="N15" i="157"/>
  <c r="P15" i="157" s="1"/>
  <c r="P14" i="157"/>
  <c r="N14" i="157"/>
  <c r="N13" i="157"/>
  <c r="P13" i="157" s="1"/>
  <c r="N12" i="157"/>
  <c r="P12" i="157" s="1"/>
  <c r="N11" i="157"/>
  <c r="P11" i="157" s="1"/>
  <c r="N10" i="157"/>
  <c r="P10" i="157" s="1"/>
  <c r="N9" i="157"/>
  <c r="P9" i="157" s="1"/>
  <c r="N8" i="157"/>
  <c r="P8" i="157" s="1"/>
  <c r="N52" i="65"/>
  <c r="O54" i="65" s="1"/>
  <c r="O51" i="65"/>
  <c r="Q51" i="65" s="1"/>
  <c r="O50" i="65"/>
  <c r="Q50" i="65" s="1"/>
  <c r="O49" i="65"/>
  <c r="Q49" i="65" s="1"/>
  <c r="O48" i="65"/>
  <c r="Q48" i="65" s="1"/>
  <c r="O47" i="65"/>
  <c r="Q47" i="65" s="1"/>
  <c r="O46" i="65"/>
  <c r="Q46" i="65" s="1"/>
  <c r="O45" i="65"/>
  <c r="Q45" i="65" s="1"/>
  <c r="O44" i="65"/>
  <c r="Q44" i="65" s="1"/>
  <c r="O43" i="65"/>
  <c r="Q43" i="65" s="1"/>
  <c r="O42" i="65"/>
  <c r="Q42" i="65" s="1"/>
  <c r="O41" i="65"/>
  <c r="Q41" i="65" s="1"/>
  <c r="O40" i="65"/>
  <c r="Q40" i="65" s="1"/>
  <c r="O39" i="65"/>
  <c r="Q39" i="65" s="1"/>
  <c r="O38" i="65"/>
  <c r="Q38" i="65" s="1"/>
  <c r="O37" i="65"/>
  <c r="Q37" i="65" s="1"/>
  <c r="O36" i="65"/>
  <c r="Q36" i="65" s="1"/>
  <c r="O35" i="65"/>
  <c r="Q35" i="65" s="1"/>
  <c r="O34" i="65"/>
  <c r="Q34" i="65" s="1"/>
  <c r="O33" i="65"/>
  <c r="Q33" i="65" s="1"/>
  <c r="O32" i="65"/>
  <c r="Q32" i="65" s="1"/>
  <c r="O31" i="65"/>
  <c r="Q31" i="65" s="1"/>
  <c r="O30" i="65"/>
  <c r="Q30" i="65" s="1"/>
  <c r="O29" i="65"/>
  <c r="Q29" i="65" s="1"/>
  <c r="O28" i="65"/>
  <c r="Q28" i="65" s="1"/>
  <c r="O27" i="65"/>
  <c r="Q27" i="65" s="1"/>
  <c r="O26" i="65"/>
  <c r="Q26" i="65" s="1"/>
  <c r="O25" i="65"/>
  <c r="Q25" i="65" s="1"/>
  <c r="O24" i="65"/>
  <c r="Q24" i="65" s="1"/>
  <c r="O23" i="65"/>
  <c r="Q23" i="65" s="1"/>
  <c r="O22" i="65"/>
  <c r="Q22" i="65" s="1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Q11" i="65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S8" i="157" l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P50" i="157"/>
  <c r="N50" i="157"/>
  <c r="O52" i="65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Q52" i="65"/>
  <c r="K1" i="57"/>
  <c r="BN5" i="1"/>
  <c r="Q5" i="157" l="1"/>
  <c r="R5" i="157" s="1"/>
  <c r="P52" i="157"/>
  <c r="P55" i="65"/>
  <c r="R5" i="65"/>
  <c r="S5" i="65" s="1"/>
  <c r="D32" i="180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F8" i="181"/>
  <c r="F32" i="181" l="1"/>
  <c r="F33" i="180"/>
  <c r="H5" i="180"/>
  <c r="G5" i="181" l="1"/>
  <c r="H5" i="181" s="1"/>
  <c r="F33" i="181"/>
  <c r="D25" i="134" l="1"/>
  <c r="D26" i="134"/>
  <c r="D27" i="134"/>
  <c r="D28" i="134"/>
  <c r="D29" i="134"/>
  <c r="D30" i="134"/>
  <c r="D31" i="134"/>
  <c r="D32" i="134"/>
  <c r="D33" i="134"/>
  <c r="D34" i="134"/>
  <c r="D35" i="134"/>
  <c r="D36" i="134"/>
  <c r="D37" i="134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B10" i="135"/>
  <c r="B9" i="129" l="1"/>
  <c r="F9" i="129"/>
  <c r="D8" i="157" l="1"/>
  <c r="F20" i="177" l="1"/>
  <c r="F21" i="177"/>
  <c r="F22" i="177"/>
  <c r="I10" i="177" l="1"/>
  <c r="J10" i="177"/>
  <c r="S19" i="38" l="1"/>
  <c r="S14" i="38" l="1"/>
  <c r="S9" i="38" l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D78" i="129"/>
  <c r="C78" i="129"/>
  <c r="E81" i="129" s="1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9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78" i="129" l="1"/>
  <c r="E83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G6" i="129" l="1"/>
  <c r="H6" i="129" s="1"/>
  <c r="E67" i="40"/>
  <c r="G5" i="40"/>
  <c r="H5" i="40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D52" i="65"/>
  <c r="E55" i="65" l="1"/>
  <c r="G5" i="65"/>
  <c r="H5" i="65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D78" i="179" l="1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I11" i="179" l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F78" i="179"/>
  <c r="E83" i="179" l="1"/>
  <c r="G6" i="179"/>
  <c r="H6" i="179" s="1"/>
  <c r="J11" i="177" l="1"/>
  <c r="I11" i="177"/>
  <c r="I14" i="128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2" i="150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J47" i="150" s="1"/>
  <c r="F17" i="150"/>
  <c r="F35" i="175" l="1"/>
  <c r="J10" i="117" l="1"/>
  <c r="S15" i="38" l="1"/>
  <c r="S4" i="38"/>
  <c r="S5" i="38"/>
  <c r="B12" i="161" l="1"/>
  <c r="D53" i="178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D15" i="178"/>
  <c r="F15" i="178" s="1"/>
  <c r="D14" i="178"/>
  <c r="F14" i="178" s="1"/>
  <c r="D13" i="178"/>
  <c r="F13" i="178" s="1"/>
  <c r="D12" i="178"/>
  <c r="F12" i="178" s="1"/>
  <c r="D11" i="178"/>
  <c r="F11" i="178" s="1"/>
  <c r="D10" i="178"/>
  <c r="F10" i="178" s="1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G5" i="178" l="1"/>
  <c r="H5" i="178" s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D17" i="157"/>
  <c r="F17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F8" i="157"/>
  <c r="I8" i="157" l="1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G5" i="157" l="1"/>
  <c r="H5" i="157" s="1"/>
  <c r="F52" i="157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1" i="135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28" i="135"/>
  <c r="F30" i="135" s="1"/>
  <c r="P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135"/>
  <c r="H6" i="135" s="1"/>
  <c r="Q6" i="57"/>
  <c r="R6" i="57" s="1"/>
  <c r="O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G5" i="177"/>
  <c r="H5" i="177" s="1"/>
  <c r="R5" i="1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6" i="161" l="1"/>
  <c r="F38" i="161" s="1"/>
  <c r="D9" i="176" l="1"/>
  <c r="I93" i="38" l="1"/>
  <c r="I94" i="38"/>
  <c r="I95" i="38"/>
  <c r="C44" i="133" l="1"/>
  <c r="E45" i="133" s="1"/>
  <c r="D43" i="133"/>
  <c r="F43" i="133" s="1"/>
  <c r="F42" i="133"/>
  <c r="D42" i="133"/>
  <c r="D41" i="133"/>
  <c r="F41" i="133" s="1"/>
  <c r="D40" i="133"/>
  <c r="F40" i="133" s="1"/>
  <c r="D39" i="133"/>
  <c r="F39" i="133" s="1"/>
  <c r="F38" i="133"/>
  <c r="D38" i="133"/>
  <c r="D37" i="133"/>
  <c r="F37" i="133" s="1"/>
  <c r="D36" i="133"/>
  <c r="F36" i="133" s="1"/>
  <c r="D35" i="133"/>
  <c r="F35" i="133" s="1"/>
  <c r="F34" i="133"/>
  <c r="D34" i="133"/>
  <c r="D33" i="133"/>
  <c r="F33" i="133" s="1"/>
  <c r="D32" i="133"/>
  <c r="F32" i="133" s="1"/>
  <c r="D31" i="133"/>
  <c r="F31" i="133" s="1"/>
  <c r="F30" i="133"/>
  <c r="D30" i="133"/>
  <c r="D29" i="133"/>
  <c r="F29" i="133" s="1"/>
  <c r="D28" i="133"/>
  <c r="D44" i="133" s="1"/>
  <c r="F27" i="133"/>
  <c r="F26" i="133"/>
  <c r="F25" i="133"/>
  <c r="F24" i="133"/>
  <c r="F23" i="133"/>
  <c r="F22" i="133"/>
  <c r="F21" i="133"/>
  <c r="F20" i="133"/>
  <c r="F19" i="133"/>
  <c r="F18" i="133"/>
  <c r="F17" i="133"/>
  <c r="F16" i="133"/>
  <c r="F15" i="133"/>
  <c r="F14" i="133"/>
  <c r="F13" i="133"/>
  <c r="F12" i="133"/>
  <c r="F11" i="133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H5" i="133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28" i="133" l="1"/>
  <c r="F44" i="133" s="1"/>
  <c r="E47" i="133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8" i="133"/>
  <c r="I9" i="133" s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F78" i="57"/>
  <c r="I28" i="133" l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E83" i="57"/>
  <c r="G6" i="57"/>
  <c r="H6" i="57" s="1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19" i="38" l="1"/>
  <c r="I120" i="38"/>
  <c r="I121" i="38"/>
  <c r="I122" i="38"/>
  <c r="I123" i="38"/>
  <c r="I124" i="38"/>
  <c r="I125" i="38"/>
  <c r="I126" i="38"/>
  <c r="I127" i="38"/>
  <c r="I128" i="38"/>
  <c r="I129" i="38"/>
  <c r="I130" i="38"/>
  <c r="I131" i="38"/>
  <c r="I132" i="38"/>
  <c r="I133" i="38"/>
  <c r="I167" i="38"/>
  <c r="I168" i="38"/>
  <c r="I169" i="38"/>
  <c r="I170" i="38"/>
  <c r="I171" i="38"/>
  <c r="I172" i="38"/>
  <c r="I173" i="38"/>
  <c r="I174" i="38"/>
  <c r="I175" i="38"/>
  <c r="I176" i="38"/>
  <c r="I177" i="38"/>
  <c r="I178" i="38"/>
  <c r="S103" i="38" l="1"/>
  <c r="T103" i="38" s="1"/>
  <c r="I103" i="38" l="1"/>
  <c r="DJ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P32" i="1"/>
  <c r="N32" i="1"/>
  <c r="P33" i="1" l="1"/>
  <c r="Z33" i="1"/>
  <c r="B13" i="16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D11" i="8" l="1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F8" i="163" l="1"/>
  <c r="F9" i="163"/>
  <c r="S98" i="38" l="1"/>
  <c r="S99" i="38"/>
  <c r="T99" i="38" s="1"/>
  <c r="S100" i="38"/>
  <c r="S101" i="38"/>
  <c r="S102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D21" i="168"/>
  <c r="F21" i="168" s="1"/>
  <c r="D20" i="168"/>
  <c r="F20" i="168" s="1"/>
  <c r="D19" i="168"/>
  <c r="F19" i="168" s="1"/>
  <c r="D18" i="168"/>
  <c r="F18" i="168" s="1"/>
  <c r="D17" i="168"/>
  <c r="F17" i="168" s="1"/>
  <c r="D16" i="168"/>
  <c r="F16" i="168" s="1"/>
  <c r="D15" i="168"/>
  <c r="F15" i="168" s="1"/>
  <c r="F14" i="168"/>
  <c r="D14" i="168"/>
  <c r="D13" i="168"/>
  <c r="F13" i="168" s="1"/>
  <c r="D12" i="168"/>
  <c r="F12" i="168" s="1"/>
  <c r="D11" i="168"/>
  <c r="F11" i="168" s="1"/>
  <c r="D10" i="168"/>
  <c r="F10" i="168" s="1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D44" i="167" l="1"/>
  <c r="D44" i="170"/>
  <c r="I9" i="167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39" i="168"/>
  <c r="F44" i="168" s="1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I39" i="168" l="1"/>
  <c r="I40" i="168" s="1"/>
  <c r="I41" i="168" s="1"/>
  <c r="I42" i="168" s="1"/>
  <c r="E47" i="170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I102" i="38" l="1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F30" i="128" l="1"/>
  <c r="I30" i="128"/>
  <c r="I31" i="128" s="1"/>
  <c r="I32" i="128" s="1"/>
  <c r="I33" i="128" s="1"/>
  <c r="I34" i="128" s="1"/>
  <c r="I35" i="128" s="1"/>
  <c r="I36" i="128" s="1"/>
  <c r="I37" i="128" s="1"/>
  <c r="I38" i="128" s="1"/>
  <c r="I39" i="128" s="1"/>
  <c r="I40" i="128" s="1"/>
  <c r="I41" i="128" s="1"/>
  <c r="I42" i="128" s="1"/>
  <c r="I43" i="128" s="1"/>
  <c r="D45" i="128"/>
  <c r="F45" i="128"/>
  <c r="G5" i="128" s="1"/>
  <c r="H5" i="128" s="1"/>
  <c r="D26" i="8"/>
  <c r="F16" i="8"/>
  <c r="F26" i="8"/>
  <c r="F28" i="8" s="1"/>
  <c r="F8" i="162"/>
  <c r="F47" i="128" l="1"/>
  <c r="G5" i="8"/>
  <c r="H5" i="8" s="1"/>
  <c r="C48" i="150"/>
  <c r="J48" i="150" s="1"/>
  <c r="J49" i="150" s="1"/>
  <c r="D47" i="150"/>
  <c r="F47" i="150" s="1"/>
  <c r="D46" i="150"/>
  <c r="F46" i="150" s="1"/>
  <c r="D45" i="150"/>
  <c r="F45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F27" i="150"/>
  <c r="F26" i="150"/>
  <c r="F25" i="150"/>
  <c r="F24" i="150"/>
  <c r="F23" i="150"/>
  <c r="F22" i="150"/>
  <c r="F21" i="150"/>
  <c r="F20" i="150"/>
  <c r="F19" i="150"/>
  <c r="F18" i="150"/>
  <c r="F16" i="150"/>
  <c r="F15" i="150"/>
  <c r="F14" i="150"/>
  <c r="F13" i="150"/>
  <c r="F12" i="150"/>
  <c r="I12" i="150" s="1"/>
  <c r="I13" i="150" s="1"/>
  <c r="I14" i="150" s="1"/>
  <c r="I15" i="150" l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44" i="150" s="1"/>
  <c r="I45" i="150" s="1"/>
  <c r="I46" i="150" s="1"/>
  <c r="E49" i="150"/>
  <c r="D48" i="150"/>
  <c r="F48" i="150"/>
  <c r="H6" i="150" s="1"/>
  <c r="E51" i="150" l="1"/>
  <c r="T101" i="38" l="1"/>
  <c r="I98" i="38"/>
  <c r="H51" i="134"/>
  <c r="C44" i="134"/>
  <c r="D43" i="134"/>
  <c r="F43" i="134" s="1"/>
  <c r="D42" i="134"/>
  <c r="F42" i="134" s="1"/>
  <c r="D41" i="134"/>
  <c r="F41" i="134" s="1"/>
  <c r="F40" i="134"/>
  <c r="D40" i="134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D44" i="134" l="1"/>
  <c r="F39" i="134"/>
  <c r="F44" i="134"/>
  <c r="G5" i="134" s="1"/>
  <c r="I9" i="134"/>
  <c r="I10" i="134" s="1"/>
  <c r="I11" i="134" s="1"/>
  <c r="I12" i="134" s="1"/>
  <c r="I13" i="134" s="1"/>
  <c r="I14" i="134" s="1"/>
  <c r="I15" i="134" s="1"/>
  <c r="I16" i="134" s="1"/>
  <c r="I17" i="134" l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/>
  <c r="HF5" i="1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6" i="161" l="1"/>
  <c r="F32" i="161"/>
  <c r="F31" i="16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I12" i="161" s="1"/>
  <c r="I13" i="161" l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F36" i="161"/>
  <c r="G5" i="161" l="1"/>
  <c r="H5" i="161" s="1"/>
  <c r="F37" i="16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44" i="163" l="1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l="1"/>
  <c r="I10" i="154" s="1"/>
  <c r="I11" i="154" s="1"/>
  <c r="I12" i="154" s="1"/>
  <c r="I13" i="154" s="1"/>
  <c r="I14" i="154" s="1"/>
  <c r="I15" i="154" s="1"/>
  <c r="I16" i="154" s="1"/>
  <c r="I17" i="154" s="1"/>
  <c r="I18" i="154" s="1"/>
  <c r="D40" i="15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I19" i="154" l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47" i="163"/>
  <c r="H5" i="163"/>
  <c r="F40" i="154"/>
  <c r="F42" i="154" l="1"/>
  <c r="G5" i="154"/>
  <c r="H5" i="154" s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D19" i="139" l="1"/>
  <c r="F19" i="139" s="1"/>
  <c r="I19" i="139" s="1"/>
  <c r="B20" i="139"/>
  <c r="D20" i="139" l="1"/>
  <c r="F20" i="139" s="1"/>
  <c r="I20" i="139" s="1"/>
  <c r="B21" i="139"/>
  <c r="CP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H32" i="1"/>
  <c r="RH33" i="1" s="1"/>
  <c r="RF32" i="1"/>
  <c r="QY32" i="1"/>
  <c r="QY33" i="1" s="1"/>
  <c r="QW32" i="1"/>
  <c r="RJ5" i="1"/>
  <c r="RA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5" i="38"/>
  <c r="B33" i="139" l="1"/>
  <c r="D32" i="139"/>
  <c r="F32" i="139" s="1"/>
  <c r="I32" i="139" s="1"/>
  <c r="B34" i="139" l="1"/>
  <c r="D33" i="139"/>
  <c r="F33" i="139" s="1"/>
  <c r="I33" i="139" s="1"/>
  <c r="I105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U1" i="1"/>
  <c r="AE1" i="1" s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8" i="38"/>
  <c r="I108" i="38"/>
  <c r="D55" i="139" l="1"/>
  <c r="F55" i="139" s="1"/>
  <c r="I55" i="139" s="1"/>
  <c r="B56" i="139"/>
  <c r="GV5" i="1"/>
  <c r="GL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4" i="38"/>
  <c r="E64" i="139" l="1"/>
  <c r="G5" i="139"/>
  <c r="H5" i="139" s="1"/>
  <c r="T114" i="38" l="1"/>
  <c r="T115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F17" i="130"/>
  <c r="F16" i="130"/>
  <c r="F15" i="130"/>
  <c r="F14" i="130"/>
  <c r="F13" i="130"/>
  <c r="F12" i="130"/>
  <c r="F11" i="130"/>
  <c r="F10" i="130"/>
  <c r="F9" i="130"/>
  <c r="F8" i="130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1" i="38"/>
  <c r="I106" i="38"/>
  <c r="F31" i="130" l="1"/>
  <c r="G5" i="130"/>
  <c r="H5" i="130" s="1"/>
  <c r="I114" i="38" l="1"/>
  <c r="BW5" i="1" l="1"/>
  <c r="CF5" i="1"/>
  <c r="CZ5" i="1"/>
  <c r="BJ32" i="1"/>
  <c r="BL32" i="1"/>
  <c r="BS32" i="1"/>
  <c r="BU32" i="1"/>
  <c r="CB32" i="1"/>
  <c r="CD32" i="1"/>
  <c r="CL32" i="1"/>
  <c r="CN32" i="1"/>
  <c r="CV32" i="1"/>
  <c r="CX32" i="1"/>
  <c r="CX33" i="1" l="1"/>
  <c r="CD33" i="1"/>
  <c r="BL33" i="1"/>
  <c r="BU33" i="1"/>
  <c r="CN33" i="1"/>
  <c r="F10" i="117" l="1"/>
  <c r="I10" i="117" s="1"/>
  <c r="C64" i="117"/>
  <c r="E65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F64" i="117"/>
  <c r="G5" i="117" s="1"/>
  <c r="D64" i="117"/>
  <c r="E67" i="117" l="1"/>
  <c r="H5" i="117"/>
  <c r="T117" i="38" l="1"/>
  <c r="I117" i="38"/>
  <c r="S25" i="38" l="1"/>
  <c r="S26" i="38"/>
  <c r="S96" i="38" l="1"/>
  <c r="T96" i="38" s="1"/>
  <c r="S97" i="38"/>
  <c r="T97" i="38" s="1"/>
  <c r="T104" i="38"/>
  <c r="T106" i="38"/>
  <c r="T113" i="38"/>
  <c r="S119" i="38"/>
  <c r="T119" i="38" s="1"/>
  <c r="S120" i="38"/>
  <c r="T120" i="38" s="1"/>
  <c r="S121" i="38"/>
  <c r="T121" i="38" s="1"/>
  <c r="S122" i="38"/>
  <c r="T122" i="38" s="1"/>
  <c r="S123" i="38"/>
  <c r="T123" i="38" s="1"/>
  <c r="I112" i="38" l="1"/>
  <c r="KR5" i="1" l="1"/>
  <c r="KH5" i="1"/>
  <c r="JX5" i="1"/>
  <c r="JN5" i="1"/>
  <c r="IT5" i="1" l="1"/>
  <c r="IJ5" i="1"/>
  <c r="HZ5" i="1"/>
  <c r="HP5" i="1"/>
  <c r="GB5" i="1"/>
  <c r="FR5" i="1"/>
  <c r="FH5" i="1"/>
  <c r="EX5" i="1"/>
  <c r="EN5" i="1"/>
  <c r="ED5" i="1"/>
  <c r="DT5" i="1"/>
  <c r="BE5" i="1"/>
  <c r="AV5" i="1"/>
  <c r="AL5" i="1"/>
  <c r="I107" i="38" l="1"/>
  <c r="I109" i="38"/>
  <c r="I110" i="38"/>
  <c r="I111" i="38"/>
  <c r="I113" i="38"/>
  <c r="I115" i="38"/>
  <c r="I116" i="38"/>
  <c r="I118" i="38"/>
  <c r="AT32" i="1" l="1"/>
  <c r="AT33" i="1" s="1"/>
  <c r="AR32" i="1"/>
  <c r="AJ32" i="1"/>
  <c r="AJ33" i="1" s="1"/>
  <c r="AH32" i="1"/>
  <c r="DZ32" i="1" l="1"/>
  <c r="EB32" i="1"/>
  <c r="EB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TU5" i="1"/>
  <c r="UD5" i="1"/>
  <c r="UM5" i="1"/>
  <c r="UV5" i="1"/>
  <c r="TQ32" i="1"/>
  <c r="TS32" i="1"/>
  <c r="TS33" i="1" s="1"/>
  <c r="TZ32" i="1"/>
  <c r="UB32" i="1"/>
  <c r="UB33" i="1" s="1"/>
  <c r="UI32" i="1"/>
  <c r="UK32" i="1"/>
  <c r="UK33" i="1" s="1"/>
  <c r="UR32" i="1"/>
  <c r="UT32" i="1"/>
  <c r="U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I5" i="1"/>
  <c r="QR5" i="1"/>
  <c r="QE32" i="1"/>
  <c r="QG32" i="1"/>
  <c r="QG33" i="1" s="1"/>
  <c r="QN32" i="1"/>
  <c r="QP32" i="1"/>
  <c r="QP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16" i="38" l="1"/>
  <c r="S17" i="38" l="1"/>
  <c r="S13" i="38"/>
  <c r="B4" i="1" l="1"/>
  <c r="AO1" i="1"/>
  <c r="AX1" i="1" s="1"/>
  <c r="D23" i="1" l="1"/>
  <c r="T110" i="38" l="1"/>
  <c r="T107" i="38"/>
  <c r="S124" i="38" l="1"/>
  <c r="T124" i="38" s="1"/>
  <c r="S125" i="38"/>
  <c r="T125" i="38" s="1"/>
  <c r="S126" i="38"/>
  <c r="T126" i="38" s="1"/>
  <c r="S127" i="38"/>
  <c r="T127" i="38" s="1"/>
  <c r="S128" i="38"/>
  <c r="T128" i="38" s="1"/>
  <c r="S129" i="38" l="1"/>
  <c r="T129" i="38" s="1"/>
  <c r="S130" i="38"/>
  <c r="T130" i="38" s="1"/>
  <c r="S6" i="38" l="1"/>
  <c r="S8" i="38"/>
  <c r="S12" i="38"/>
  <c r="S16" i="38"/>
  <c r="S20" i="38"/>
  <c r="S7" i="38"/>
  <c r="S10" i="38"/>
  <c r="S11" i="38"/>
  <c r="S18" i="38"/>
  <c r="T111" i="38" l="1"/>
  <c r="S131" i="38" l="1"/>
  <c r="T131" i="38" s="1"/>
  <c r="S132" i="38"/>
  <c r="T132" i="38" s="1"/>
  <c r="T53" i="38" l="1"/>
  <c r="HX32" i="1" l="1"/>
  <c r="HV32" i="1"/>
  <c r="HN32" i="1"/>
  <c r="HL32" i="1"/>
  <c r="HN33" i="1" l="1"/>
  <c r="HX33" i="1"/>
  <c r="JB32" i="1"/>
  <c r="JD5" i="1" s="1"/>
  <c r="IZ32" i="1"/>
  <c r="IR32" i="1"/>
  <c r="IP32" i="1"/>
  <c r="IR33" i="1" l="1"/>
  <c r="JB33" i="1"/>
  <c r="IF32" i="1" l="1"/>
  <c r="IH32" i="1"/>
  <c r="IH33" i="1" l="1"/>
  <c r="HD32" i="1" l="1"/>
  <c r="HB32" i="1"/>
  <c r="GT32" i="1"/>
  <c r="GR32" i="1"/>
  <c r="GJ32" i="1"/>
  <c r="GH32" i="1"/>
  <c r="FZ32" i="1"/>
  <c r="FZ33" i="1" s="1"/>
  <c r="FX32" i="1"/>
  <c r="FP32" i="1"/>
  <c r="FN32" i="1"/>
  <c r="FF32" i="1"/>
  <c r="FD32" i="1"/>
  <c r="EV32" i="1"/>
  <c r="ET32" i="1"/>
  <c r="EL32" i="1"/>
  <c r="EJ32" i="1"/>
  <c r="DR32" i="1"/>
  <c r="DP32" i="1"/>
  <c r="DH32" i="1"/>
  <c r="DF32" i="1"/>
  <c r="GT33" i="1" l="1"/>
  <c r="FF33" i="1"/>
  <c r="DR33" i="1"/>
  <c r="HD33" i="1"/>
  <c r="GJ33" i="1"/>
  <c r="FP33" i="1"/>
  <c r="EV33" i="1"/>
  <c r="EL33" i="1"/>
  <c r="DH33" i="1"/>
  <c r="JV32" i="1" l="1"/>
  <c r="JV33" i="1" s="1"/>
  <c r="JT32" i="1"/>
  <c r="KF32" i="1"/>
  <c r="KD32" i="1"/>
  <c r="KP32" i="1"/>
  <c r="KP33" i="1" s="1"/>
  <c r="KN32" i="1"/>
  <c r="KF33" i="1" l="1"/>
  <c r="JL32" i="1" l="1"/>
  <c r="JL33" i="1" s="1"/>
  <c r="JJ32" i="1"/>
  <c r="S34" i="38" l="1"/>
  <c r="T112" i="38" l="1"/>
  <c r="T11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C32" i="1"/>
  <c r="AEC33" i="1" s="1"/>
  <c r="AEA32" i="1"/>
  <c r="ADT32" i="1"/>
  <c r="ADT33" i="1" s="1"/>
  <c r="ADR32" i="1"/>
  <c r="ADK32" i="1"/>
  <c r="ADK33" i="1" s="1"/>
  <c r="ADI32" i="1"/>
  <c r="ADB32" i="1"/>
  <c r="ADB33" i="1" s="1"/>
  <c r="ACZ32" i="1"/>
  <c r="ACS32" i="1"/>
  <c r="ACS33" i="1" s="1"/>
  <c r="ACQ32" i="1"/>
  <c r="ACJ32" i="1"/>
  <c r="ACJ33" i="1" s="1"/>
  <c r="ACH32" i="1"/>
  <c r="ACA32" i="1"/>
  <c r="ACA33" i="1" s="1"/>
  <c r="ABY32" i="1"/>
  <c r="ABR32" i="1"/>
  <c r="ABR33" i="1" s="1"/>
  <c r="ABP32" i="1"/>
  <c r="ABI32" i="1"/>
  <c r="ABI33" i="1" s="1"/>
  <c r="ABG32" i="1"/>
  <c r="AAZ32" i="1"/>
  <c r="AAZ33" i="1" s="1"/>
  <c r="AAX32" i="1"/>
  <c r="AAQ32" i="1"/>
  <c r="AAQ33" i="1" s="1"/>
  <c r="AAO32" i="1"/>
  <c r="AAH32" i="1"/>
  <c r="AAF32" i="1"/>
  <c r="ZY32" i="1"/>
  <c r="ZY33" i="1" s="1"/>
  <c r="ZW32" i="1"/>
  <c r="ZP32" i="1"/>
  <c r="ZP33" i="1" s="1"/>
  <c r="ZN32" i="1"/>
  <c r="ZG32" i="1"/>
  <c r="ZG33" i="1" s="1"/>
  <c r="ZE32" i="1"/>
  <c r="YX32" i="1"/>
  <c r="YX33" i="1" s="1"/>
  <c r="YV32" i="1"/>
  <c r="YO32" i="1"/>
  <c r="YO33" i="1" s="1"/>
  <c r="YM32" i="1"/>
  <c r="YF32" i="1"/>
  <c r="YF33" i="1" s="1"/>
  <c r="YD32" i="1"/>
  <c r="XW32" i="1"/>
  <c r="XW33" i="1" s="1"/>
  <c r="XU32" i="1"/>
  <c r="XN32" i="1"/>
  <c r="XN33" i="1" s="1"/>
  <c r="XL32" i="1"/>
  <c r="XE32" i="1"/>
  <c r="XE33" i="1" s="1"/>
  <c r="XC32" i="1"/>
  <c r="WV32" i="1"/>
  <c r="WV33" i="1" s="1"/>
  <c r="WT32" i="1"/>
  <c r="WM32" i="1"/>
  <c r="WM33" i="1" s="1"/>
  <c r="WK32" i="1"/>
  <c r="WD32" i="1"/>
  <c r="WD33" i="1" s="1"/>
  <c r="WB32" i="1"/>
  <c r="VU32" i="1"/>
  <c r="VU33" i="1" s="1"/>
  <c r="VS32" i="1"/>
  <c r="VL32" i="1"/>
  <c r="VL33" i="1" s="1"/>
  <c r="VJ32" i="1"/>
  <c r="VC32" i="1"/>
  <c r="VC33" i="1" s="1"/>
  <c r="VA32" i="1"/>
  <c r="TJ32" i="1"/>
  <c r="TJ33" i="1" s="1"/>
  <c r="TH32" i="1"/>
  <c r="TA32" i="1"/>
  <c r="TA33" i="1" s="1"/>
  <c r="SY32" i="1"/>
  <c r="SR32" i="1"/>
  <c r="SR33" i="1" s="1"/>
  <c r="SP32" i="1"/>
  <c r="SI32" i="1"/>
  <c r="SI33" i="1" s="1"/>
  <c r="SG32" i="1"/>
  <c r="RZ32" i="1"/>
  <c r="RZ33" i="1" s="1"/>
  <c r="RX32" i="1"/>
  <c r="RQ32" i="1"/>
  <c r="RQ33" i="1" s="1"/>
  <c r="RO32" i="1"/>
  <c r="PX32" i="1"/>
  <c r="PX33" i="1" s="1"/>
  <c r="PV32" i="1"/>
  <c r="PO32" i="1"/>
  <c r="PO33" i="1" s="1"/>
  <c r="PM32" i="1"/>
  <c r="PF32" i="1"/>
  <c r="PF33" i="1" s="1"/>
  <c r="PD32" i="1"/>
  <c r="OW32" i="1"/>
  <c r="OU32" i="1"/>
  <c r="ON32" i="1"/>
  <c r="ON33" i="1" s="1"/>
  <c r="OL32" i="1"/>
  <c r="OE32" i="1"/>
  <c r="OE33" i="1" s="1"/>
  <c r="OC32" i="1"/>
  <c r="NV32" i="1"/>
  <c r="NV33" i="1" s="1"/>
  <c r="NT32" i="1"/>
  <c r="NM32" i="1"/>
  <c r="NM33" i="1" s="1"/>
  <c r="NK32" i="1"/>
  <c r="ND32" i="1"/>
  <c r="ND33" i="1" s="1"/>
  <c r="NB32" i="1"/>
  <c r="MU32" i="1"/>
  <c r="MU33" i="1" s="1"/>
  <c r="MS32" i="1"/>
  <c r="ML32" i="1"/>
  <c r="ML33" i="1" s="1"/>
  <c r="MJ32" i="1"/>
  <c r="MC32" i="1"/>
  <c r="MC33" i="1" s="1"/>
  <c r="MA32" i="1"/>
  <c r="LT32" i="1"/>
  <c r="LT33" i="1" s="1"/>
  <c r="LR32" i="1"/>
  <c r="LJ32" i="1"/>
  <c r="LJ34" i="1" s="1"/>
  <c r="LH32" i="1"/>
  <c r="KZ32" i="1"/>
  <c r="KZ33" i="1" s="1"/>
  <c r="KX32" i="1"/>
  <c r="BC32" i="1"/>
  <c r="BA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E5" i="1"/>
  <c r="ADV5" i="1"/>
  <c r="ADM5" i="1"/>
  <c r="ADD5" i="1"/>
  <c r="ACU5" i="1"/>
  <c r="ACL5" i="1"/>
  <c r="ACC5" i="1"/>
  <c r="ABT5" i="1"/>
  <c r="ABK5" i="1"/>
  <c r="ABB5" i="1"/>
  <c r="AAS5" i="1"/>
  <c r="AAJ5" i="1"/>
  <c r="AAA5" i="1"/>
  <c r="ZR5" i="1"/>
  <c r="ZI5" i="1"/>
  <c r="YZ5" i="1"/>
  <c r="YQ5" i="1"/>
  <c r="YH5" i="1"/>
  <c r="XY5" i="1"/>
  <c r="XP5" i="1"/>
  <c r="XG5" i="1"/>
  <c r="WX5" i="1"/>
  <c r="WO5" i="1"/>
  <c r="WF5" i="1"/>
  <c r="VW5" i="1"/>
  <c r="VN5" i="1"/>
  <c r="VE5" i="1"/>
  <c r="TL5" i="1"/>
  <c r="TC5" i="1"/>
  <c r="ST5" i="1"/>
  <c r="SK5" i="1"/>
  <c r="SB5" i="1"/>
  <c r="RS5" i="1"/>
  <c r="PZ5" i="1"/>
  <c r="PQ5" i="1"/>
  <c r="PH5" i="1"/>
  <c r="OY5" i="1"/>
  <c r="OP5" i="1"/>
  <c r="OG5" i="1"/>
  <c r="NX5" i="1"/>
  <c r="NO5" i="1"/>
  <c r="NF5" i="1"/>
  <c r="MW5" i="1"/>
  <c r="MN5" i="1"/>
  <c r="ME5" i="1"/>
  <c r="LV5" i="1"/>
  <c r="LL5" i="1"/>
  <c r="L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E1" i="1" s="1"/>
  <c r="BN1" i="1" s="1"/>
  <c r="BW1" i="1" s="1"/>
  <c r="CF1" i="1" s="1"/>
  <c r="CP1" i="1" s="1"/>
  <c r="CZ1" i="1" s="1"/>
  <c r="DJ1" i="1" s="1"/>
  <c r="DT1" i="1" s="1"/>
  <c r="ED1" i="1" s="1"/>
  <c r="EN1" i="1" s="1"/>
  <c r="EX1" i="1" s="1"/>
  <c r="FH1" i="1" s="1"/>
  <c r="FR1" i="1" s="1"/>
  <c r="GB1" i="1" s="1"/>
  <c r="GL1" i="1" s="1"/>
  <c r="GV1" i="1" s="1"/>
  <c r="HF1" i="1" s="1"/>
  <c r="HP1" i="1" s="1"/>
  <c r="HZ1" i="1" s="1"/>
  <c r="IJ1" i="1" s="1"/>
  <c r="IT1" i="1" s="1"/>
  <c r="JD1" i="1" s="1"/>
  <c r="JN1" i="1" s="1"/>
  <c r="JX1" i="1" s="1"/>
  <c r="Q179" i="38"/>
  <c r="M179" i="38"/>
  <c r="K179" i="38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33" i="38"/>
  <c r="T133" i="38" s="1"/>
  <c r="T109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C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66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H1" i="1"/>
  <c r="KR1" i="1" s="1"/>
  <c r="LB1" i="1" s="1"/>
  <c r="LL1" i="1" s="1"/>
  <c r="LV1" i="1" s="1"/>
  <c r="ME1" i="1" s="1"/>
  <c r="MN1" i="1" s="1"/>
  <c r="MW1" i="1" s="1"/>
  <c r="NF1" i="1" s="1"/>
  <c r="NO1" i="1" s="1"/>
  <c r="NX1" i="1" s="1"/>
  <c r="OG1" i="1" s="1"/>
  <c r="OP1" i="1" s="1"/>
  <c r="OY1" i="1" s="1"/>
  <c r="PH1" i="1" s="1"/>
  <c r="PQ1" i="1" s="1"/>
  <c r="PZ1" i="1" s="1"/>
  <c r="QI1" i="1" s="1"/>
  <c r="QR1" i="1" s="1"/>
  <c r="RA1" i="1" s="1"/>
  <c r="RJ1" i="1" s="1"/>
  <c r="RS1" i="1" s="1"/>
  <c r="SB1" i="1" s="1"/>
  <c r="SK1" i="1" s="1"/>
  <c r="ST1" i="1" s="1"/>
  <c r="TC1" i="1" s="1"/>
  <c r="TL1" i="1" s="1"/>
  <c r="TU1" i="1" s="1"/>
  <c r="UD1" i="1" s="1"/>
  <c r="UM1" i="1" s="1"/>
  <c r="UV1" i="1" s="1"/>
  <c r="VE1" i="1" s="1"/>
  <c r="VN1" i="1" s="1"/>
  <c r="VW1" i="1" s="1"/>
  <c r="WF1" i="1" s="1"/>
  <c r="WO1" i="1" s="1"/>
  <c r="WX1" i="1" s="1"/>
  <c r="XG1" i="1" s="1"/>
  <c r="XP1" i="1" s="1"/>
  <c r="XY1" i="1" s="1"/>
  <c r="YH1" i="1" s="1"/>
  <c r="YQ1" i="1" s="1"/>
  <c r="YZ1" i="1" s="1"/>
  <c r="ZI1" i="1" s="1"/>
  <c r="ZR1" i="1" s="1"/>
  <c r="AAA1" i="1" s="1"/>
  <c r="AAJ1" i="1" s="1"/>
  <c r="AAS1" i="1" s="1"/>
  <c r="ABB1" i="1" s="1"/>
  <c r="ABK1" i="1" s="1"/>
  <c r="ABT1" i="1" s="1"/>
  <c r="ACC1" i="1" s="1"/>
  <c r="ACL1" i="1" s="1"/>
  <c r="ACU1" i="1" s="1"/>
  <c r="ADD1" i="1" s="1"/>
  <c r="ADM1" i="1" s="1"/>
  <c r="ADV1" i="1" s="1"/>
  <c r="AEE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G1" i="1"/>
  <c r="BP1" i="1" s="1"/>
  <c r="BY1" i="1" s="1"/>
  <c r="CI1" i="1" s="1"/>
  <c r="CS1" i="1" s="1"/>
  <c r="DC1" i="1" s="1"/>
  <c r="DM1" i="1" s="1"/>
  <c r="DW1" i="1" s="1"/>
  <c r="OW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H33" i="1"/>
  <c r="T46" i="38"/>
  <c r="T45" i="38"/>
  <c r="T44" i="38"/>
  <c r="T43" i="38"/>
  <c r="T42" i="38"/>
  <c r="S179" i="38"/>
  <c r="T68" i="38" l="1"/>
  <c r="T69" i="38"/>
  <c r="G179" i="38"/>
  <c r="I179" i="38"/>
  <c r="H179" i="38"/>
  <c r="EG1" i="1"/>
  <c r="EQ1" i="1" s="1"/>
  <c r="FA1" i="1" s="1"/>
  <c r="FK1" i="1" s="1"/>
  <c r="FU1" i="1" s="1"/>
  <c r="AC29" i="38"/>
  <c r="GE1" i="1" l="1"/>
  <c r="GO1" i="1" s="1"/>
  <c r="GY1" i="1" l="1"/>
  <c r="HI1" i="1" s="1"/>
  <c r="HS1" i="1" s="1"/>
  <c r="IC1" i="1" s="1"/>
  <c r="IM1" i="1" s="1"/>
  <c r="IW1" i="1" s="1"/>
  <c r="JG1" i="1" s="1"/>
  <c r="JQ1" i="1" s="1"/>
  <c r="KA1" i="1" s="1"/>
  <c r="KK1" i="1" l="1"/>
  <c r="KU1" i="1" s="1"/>
  <c r="LE1" i="1" s="1"/>
  <c r="LO1" i="1" s="1"/>
  <c r="LX1" i="1" s="1"/>
  <c r="MG1" i="1" s="1"/>
  <c r="MP1" i="1" s="1"/>
  <c r="MY1" i="1" s="1"/>
  <c r="NH1" i="1" s="1"/>
  <c r="NQ1" i="1" s="1"/>
  <c r="NZ1" i="1" s="1"/>
  <c r="OI1" i="1" s="1"/>
  <c r="OR1" i="1" s="1"/>
  <c r="PA1" i="1" s="1"/>
  <c r="PJ1" i="1" l="1"/>
  <c r="PS1" i="1" s="1"/>
  <c r="QB1" i="1" s="1"/>
  <c r="QK1" i="1" s="1"/>
  <c r="QT1" i="1" s="1"/>
  <c r="RC1" i="1" s="1"/>
  <c r="RL1" i="1" s="1"/>
  <c r="RU1" i="1" s="1"/>
  <c r="SD1" i="1" s="1"/>
  <c r="SM1" i="1" s="1"/>
  <c r="SV1" i="1" s="1"/>
  <c r="TE1" i="1" s="1"/>
  <c r="TN1" i="1" s="1"/>
  <c r="TW1" i="1" s="1"/>
  <c r="UF1" i="1" s="1"/>
  <c r="UO1" i="1" s="1"/>
  <c r="UX1" i="1" s="1"/>
  <c r="VG1" i="1" s="1"/>
  <c r="VP1" i="1" s="1"/>
  <c r="VY1" i="1" s="1"/>
  <c r="WH1" i="1" s="1"/>
  <c r="WQ1" i="1" s="1"/>
  <c r="WZ1" i="1" s="1"/>
  <c r="XI1" i="1" s="1"/>
  <c r="XR1" i="1" s="1"/>
  <c r="YA1" i="1" s="1"/>
  <c r="YJ1" i="1" s="1"/>
  <c r="YS1" i="1" s="1"/>
  <c r="ZB1" i="1" s="1"/>
  <c r="ZK1" i="1" s="1"/>
  <c r="ZT1" i="1" s="1"/>
  <c r="AAC1" i="1" s="1"/>
  <c r="AAL1" i="1" s="1"/>
  <c r="AAU1" i="1" s="1"/>
  <c r="ABD1" i="1" s="1"/>
  <c r="ABM1" i="1" s="1"/>
  <c r="ABV1" i="1" s="1"/>
  <c r="ACE1" i="1" s="1"/>
  <c r="ACN1" i="1" s="1"/>
  <c r="ACW1" i="1" s="1"/>
  <c r="ADF1" i="1" s="1"/>
  <c r="ADO1" i="1" s="1"/>
  <c r="ADX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123" authorId="0" shapeId="0" xr:uid="{1D228002-B3F8-4F5A-B1C5-5E7CBF36FB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511493AE-003F-4E84-9CC1-8074227248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F5D8C596-CDF8-4168-B296-A23C7D17F6A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8" authorId="0" shapeId="0" xr:uid="{A8943003-6060-46B9-9053-6AAA4072BB0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8" authorId="0" shapeId="0" xr:uid="{F156ED4B-EF15-4407-9128-26796B6477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8" authorId="0" shapeId="0" xr:uid="{2A949449-4397-45A8-85CB-772336722AC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<sst xmlns="http://schemas.openxmlformats.org/spreadsheetml/2006/main" count="3690" uniqueCount="531">
  <si>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</si>
  <si>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</si>
  <si>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</si>
  <si>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</si>
  <si>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</si>
  <si>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</si>
  <si>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</si>
  <si>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</si>
  <si>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</si>
  <si>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</si>
  <si>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</si>
  <si>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</si>
  <si>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</si>
  <si>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</si>
  <si>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</si>
  <si>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</si>
  <si>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</si>
  <si>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</si>
  <si>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</si>
  <si>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</si>
  <si>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</si>
  <si>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</si>
  <si>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</si>
  <si>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</si>
  <si>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</si>
  <si>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</si>
  <si>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</si>
  <si>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</si>
  <si>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</si>
  <si>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</si>
  <si>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</si>
  <si>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</si>
  <si>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</si>
  <si>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</si>
  <si>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</si>
  <si>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</si>
  <si>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</si>
  <si>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</si>
  <si>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</si>
  <si>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</si>
  <si>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</si>
  <si>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</si>
  <si>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</si>
  <si>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</si>
  <si>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</si>
  <si>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</si>
  <si>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</si>
  <si>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</si>
  <si>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</si>
  <si>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</si>
  <si>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</si>
  <si>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</si>
  <si>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</si>
  <si>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</si>
  <si>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</si>
  <si>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</si>
  <si>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</si>
  <si>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</si>
  <si>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</si>
  <si>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</si>
  <si>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</si>
  <si>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</si>
  <si>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</si>
  <si>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</si>
  <si>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</si>
  <si>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</si>
  <si>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</si>
  <si>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</si>
  <si>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BUCHE</t>
  </si>
  <si>
    <t>saldo kilos</t>
  </si>
  <si>
    <t xml:space="preserve">I N N O V A </t>
  </si>
  <si>
    <t>ABASTECEDORA DE CARNES FRESCAS ROEL</t>
  </si>
  <si>
    <t>SESOS Marqueta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</si>
  <si>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</si>
  <si>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</si>
  <si>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</si>
  <si>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</si>
  <si>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</si>
  <si>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</si>
  <si>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</si>
  <si>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</si>
  <si>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</si>
  <si>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</si>
  <si>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</si>
  <si>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TOCINO NACIONAL</t>
  </si>
  <si>
    <t>PUNTA CAÑA DE LOMO</t>
  </si>
  <si>
    <t>SALDO KG</t>
  </si>
  <si>
    <t>ESP. CARNERO</t>
  </si>
  <si>
    <t xml:space="preserve">CAJA </t>
  </si>
  <si>
    <t>PERNIL</t>
  </si>
  <si>
    <t>INVENTARIO     DEL MES DE MARZO 2020</t>
  </si>
  <si>
    <t>INVENTARIO  DEL MES DE MARZO 2020</t>
  </si>
  <si>
    <t>SAGA INC SA DE CV</t>
  </si>
  <si>
    <t>LENGUA DE CERDO</t>
  </si>
  <si>
    <t>SWIF</t>
  </si>
  <si>
    <t>CORBATA SWIFT</t>
  </si>
  <si>
    <t>462 V</t>
  </si>
  <si>
    <t>469 V</t>
  </si>
  <si>
    <t>474 V</t>
  </si>
  <si>
    <t>481 V</t>
  </si>
  <si>
    <t>Abastecedora ROEL</t>
  </si>
  <si>
    <t>MARIMEX BCS DE RL</t>
  </si>
  <si>
    <t>SESOS DE COPA</t>
  </si>
  <si>
    <t>Pulpas de Pierna</t>
  </si>
  <si>
    <t>CABEZA DE LOMO.</t>
  </si>
  <si>
    <t>Esp  S/h</t>
  </si>
  <si>
    <t>PUNTAS DE CAÑA DE LOMO</t>
  </si>
  <si>
    <t>ARRACHERA TEXANA</t>
  </si>
  <si>
    <t>ARRACHERA  TAQUERA</t>
  </si>
  <si>
    <t>TRIPAS  90-95M</t>
  </si>
  <si>
    <t>ARCADIO LEDO</t>
  </si>
  <si>
    <t>CONTRA EXCEL</t>
  </si>
  <si>
    <t>779 V</t>
  </si>
  <si>
    <t>PIERNA DE CARNERO Nacional CAJA</t>
  </si>
  <si>
    <t>814 V</t>
  </si>
  <si>
    <t>831 V</t>
  </si>
  <si>
    <t>881 V</t>
  </si>
  <si>
    <t>893 V</t>
  </si>
  <si>
    <t>CABEZA SIN PAPADA Y DE CERDO</t>
  </si>
  <si>
    <t>CONTRA SWIF</t>
  </si>
  <si>
    <t>GRANJERO FELIZ</t>
  </si>
  <si>
    <t>ADAMS INT MORELIA</t>
  </si>
  <si>
    <t>PIERNA S/H</t>
  </si>
  <si>
    <t xml:space="preserve">ALIMENTOS CERTIFICADOS DE PUEBLA   I N N O V A </t>
  </si>
  <si>
    <t xml:space="preserve">PECHO Pco </t>
  </si>
  <si>
    <t>913 V</t>
  </si>
  <si>
    <t>940 V</t>
  </si>
  <si>
    <t>941 V</t>
  </si>
  <si>
    <t>960 V</t>
  </si>
  <si>
    <t>974 V</t>
  </si>
  <si>
    <t>976 V</t>
  </si>
  <si>
    <t>977 V</t>
  </si>
  <si>
    <t>987 V</t>
  </si>
  <si>
    <t>992 V</t>
  </si>
  <si>
    <t>0004 W</t>
  </si>
  <si>
    <t>0007 W</t>
  </si>
  <si>
    <t>0009 W</t>
  </si>
  <si>
    <t>0010 W</t>
  </si>
  <si>
    <t>0011 W</t>
  </si>
  <si>
    <t>0013 W</t>
  </si>
  <si>
    <t>0015 W</t>
  </si>
  <si>
    <t>0017 W</t>
  </si>
  <si>
    <t>0018 W</t>
  </si>
  <si>
    <t>0019 W</t>
  </si>
  <si>
    <t>0025 W</t>
  </si>
  <si>
    <t>0026 W</t>
  </si>
  <si>
    <t>0039 W</t>
  </si>
  <si>
    <t>0035 W</t>
  </si>
  <si>
    <t>0036 W</t>
  </si>
  <si>
    <t>0037 W</t>
  </si>
  <si>
    <t>0043 W</t>
  </si>
  <si>
    <t>0053 W</t>
  </si>
  <si>
    <t>0054 W</t>
  </si>
  <si>
    <t>0058 W</t>
  </si>
  <si>
    <t>0060 W</t>
  </si>
  <si>
    <t>0063 W</t>
  </si>
  <si>
    <t>0065 W</t>
  </si>
  <si>
    <t>0069 W</t>
  </si>
  <si>
    <t>0070 W</t>
  </si>
  <si>
    <t>0077 W</t>
  </si>
  <si>
    <t>0082 W</t>
  </si>
  <si>
    <t>ENTRADA DEL MES DE   NOVIEMBRE    2020</t>
  </si>
  <si>
    <t>ENTRADA DEL MES DE NOVIEMBRE 2020</t>
  </si>
  <si>
    <t>COSTILLA Esp  CERDO</t>
  </si>
  <si>
    <t xml:space="preserve">RECORTE Esp </t>
  </si>
  <si>
    <t>ENTRADA DEL MES DE    NOVIEMBRE     2020</t>
  </si>
  <si>
    <t>RIBLETTS DE CERDO</t>
  </si>
  <si>
    <t>ENTRADA DEL MES DE   NOVIEMBRE       2020</t>
  </si>
  <si>
    <t>ENTRADA DEL MES DE  NOVIEMBRE   2020</t>
  </si>
  <si>
    <t>INVENTARIO   DEL MES DE OCTUBRE 2020</t>
  </si>
  <si>
    <t>INVENTARIO    DEL MES DE OCTUBRE 2020</t>
  </si>
  <si>
    <t>INVENTARIO     DEL MES DE OCTUBRE 2020</t>
  </si>
  <si>
    <t>INVENTARIO    DEL MES DE   OCTUB RE     2020</t>
  </si>
  <si>
    <t>INVENTARIO      DEL MES DE OCTUBRE 2020</t>
  </si>
  <si>
    <t>INVENTARIO   DEL MES DE     OCTUBRE      2020</t>
  </si>
  <si>
    <t>ENTRADA DEL MES DE  NOVIEMBRE  2020</t>
  </si>
  <si>
    <t>INVENTARIO      DEL MES DE    OCTUBRE     2020</t>
  </si>
  <si>
    <t>TOTAL DE ENTRADAS DEL MES   NOVIEMBRE         2020</t>
  </si>
  <si>
    <t>SMITHFIELD FRESH MEAT</t>
  </si>
  <si>
    <t>Smithfield</t>
  </si>
  <si>
    <t>PED. 57218609</t>
  </si>
  <si>
    <t>MANITAS Y PATITAS</t>
  </si>
  <si>
    <t>LOURDES HERNANDEZ CABRERA</t>
  </si>
  <si>
    <t>SEABOARD FOODS</t>
  </si>
  <si>
    <t>Seaboard</t>
  </si>
  <si>
    <t>PED. 57258910</t>
  </si>
  <si>
    <t>PED. 57224209</t>
  </si>
  <si>
    <t>PED.  57274861</t>
  </si>
  <si>
    <t>PED. 57258430</t>
  </si>
  <si>
    <t>PED. 57312961</t>
  </si>
  <si>
    <t xml:space="preserve">ADAMS INTERNATIONAL MORELIA </t>
  </si>
  <si>
    <t>ENTRADA DEL MES DE NOVIEMBRE  2020</t>
  </si>
  <si>
    <t xml:space="preserve">GRANJERO FELIZ </t>
  </si>
  <si>
    <t>F&amp;J TRADING MEAT</t>
  </si>
  <si>
    <t>NL20-32</t>
  </si>
  <si>
    <t>LOURDES HDZ CABRERA</t>
  </si>
  <si>
    <t>NLSE20-109</t>
  </si>
  <si>
    <t>NLSE20-103</t>
  </si>
  <si>
    <t>F-1079</t>
  </si>
  <si>
    <t>NLSE20-104</t>
  </si>
  <si>
    <t>NLSE20-105</t>
  </si>
  <si>
    <t>MARIMEX BC S DE RL DE CV</t>
  </si>
  <si>
    <t>PUE-4731</t>
  </si>
  <si>
    <t xml:space="preserve">ADAMS INT MORELIA </t>
  </si>
  <si>
    <t>CUERO PANCETA</t>
  </si>
  <si>
    <t>PU-84909</t>
  </si>
  <si>
    <t>BUCHE DE CERDO</t>
  </si>
  <si>
    <t xml:space="preserve">GRANJERO FELIZ DEL R L </t>
  </si>
  <si>
    <t>TRIPA ENTERA</t>
  </si>
  <si>
    <t>SMITHFIEL FRESH MEAT</t>
  </si>
  <si>
    <t>PED. 57440855</t>
  </si>
  <si>
    <t>NL20-33</t>
  </si>
  <si>
    <t>Transfer 6-Nov-20</t>
  </si>
  <si>
    <t>Transfer B 9-Nov-20</t>
  </si>
  <si>
    <t>PED. 57442217</t>
  </si>
  <si>
    <t>TYSON FRESH MEAT</t>
  </si>
  <si>
    <t xml:space="preserve">I B P </t>
  </si>
  <si>
    <t>PED. 57499386</t>
  </si>
  <si>
    <t xml:space="preserve">GRANJERO FELIZ S DE RL </t>
  </si>
  <si>
    <t>Seaborad</t>
  </si>
  <si>
    <t>PED. 57601854</t>
  </si>
  <si>
    <t>PED. 57566631</t>
  </si>
  <si>
    <t>PED. 57567088</t>
  </si>
  <si>
    <t>PED. 57660569</t>
  </si>
  <si>
    <t>Chuleta Natural</t>
  </si>
  <si>
    <t>PED. 57756642</t>
  </si>
  <si>
    <t>PED. 57811962</t>
  </si>
  <si>
    <t>PED. 57812556</t>
  </si>
  <si>
    <t>A14-16180</t>
  </si>
  <si>
    <t>ARRACHERA Taquera</t>
  </si>
  <si>
    <t>ARRACHERA Texana</t>
  </si>
  <si>
    <t>NLSE20-110</t>
  </si>
  <si>
    <t>ESP. DE CARNERO</t>
  </si>
  <si>
    <t>R-8503</t>
  </si>
  <si>
    <t xml:space="preserve">BUCHE   </t>
  </si>
  <si>
    <t>A14-16225</t>
  </si>
  <si>
    <t>NLSE20-113</t>
  </si>
  <si>
    <t>NLSE20-112</t>
  </si>
  <si>
    <t>NLSE20-111</t>
  </si>
  <si>
    <t>NL20-34</t>
  </si>
  <si>
    <t>CAÑA DE LOMO</t>
  </si>
  <si>
    <t>CHULETA NATURAL</t>
  </si>
  <si>
    <t>NLSE20-114</t>
  </si>
  <si>
    <t>NLSE20-116</t>
  </si>
  <si>
    <t>NLSE20-115</t>
  </si>
  <si>
    <t>Transfer 18-Nov-20</t>
  </si>
  <si>
    <t>ODELPA</t>
  </si>
  <si>
    <t>Transfer S 20-Nov-20</t>
  </si>
  <si>
    <t>Transfer S 5-Nov-20</t>
  </si>
  <si>
    <t>Transfer S 12-Nov-20</t>
  </si>
  <si>
    <t>Transfer S 13-Nov-20</t>
  </si>
  <si>
    <t>A14-16167</t>
  </si>
  <si>
    <t>Transfer Bnte 3-Nov-20</t>
  </si>
  <si>
    <t>Transfer Bnte 4-Nov-20</t>
  </si>
  <si>
    <t>Tranfer Bnte 4-Nov-20</t>
  </si>
  <si>
    <t>Transfer Bnte 5-Nov-20</t>
  </si>
  <si>
    <t>Transfer Bnte 7-Nov-20</t>
  </si>
  <si>
    <t>Transfer Bnte 9-Nov-20</t>
  </si>
  <si>
    <t>Transfer Bnte 10-Nov-20</t>
  </si>
  <si>
    <t>Transfer Bnte 11-Nov-20</t>
  </si>
  <si>
    <t>Transfer Bnte 13-Nov-20</t>
  </si>
  <si>
    <t>Transfer Bnte 17-Nov-20</t>
  </si>
  <si>
    <t>NLSECONG-01</t>
  </si>
  <si>
    <t>Transfer Bnte 18-Nov-20</t>
  </si>
  <si>
    <t>Transfer Bnte 19-Nov-20</t>
  </si>
  <si>
    <t>Transfer B 5-Nov-20</t>
  </si>
  <si>
    <t>Transfer S 6-Nov-20</t>
  </si>
  <si>
    <t>Transfer B 10-Nov-20</t>
  </si>
  <si>
    <t>Transfer B 12-Nov-20</t>
  </si>
  <si>
    <t>Transfer B 18-Nov-20</t>
  </si>
  <si>
    <t>Transfer S 3-Nov-20</t>
  </si>
  <si>
    <t>PUE-4787</t>
  </si>
  <si>
    <t>Transfer S 11-Nov-20</t>
  </si>
  <si>
    <t>Transfer B 3-Nov-20</t>
  </si>
  <si>
    <t>COMERCIALIZADORA INTERNACIONAL MANSIVA</t>
  </si>
  <si>
    <t xml:space="preserve">F&amp;J TRADING MEAT S DE RL DE CV </t>
  </si>
  <si>
    <t>PED. 57927996</t>
  </si>
  <si>
    <t>PED. 57911234</t>
  </si>
  <si>
    <t>PED. 58003092</t>
  </si>
  <si>
    <t>PED. 58002667</t>
  </si>
  <si>
    <t>PED. 58048878</t>
  </si>
  <si>
    <t>PED. 58101963</t>
  </si>
  <si>
    <t>PED. 58101213</t>
  </si>
  <si>
    <t>PED. 58152295</t>
  </si>
  <si>
    <t>COMERCIALIZADORA INT MANSIVA</t>
  </si>
  <si>
    <t>PIERNA DE CARNERO Nal Caja</t>
  </si>
  <si>
    <t>PU-85307</t>
  </si>
  <si>
    <t>NLSE20-117</t>
  </si>
  <si>
    <t>NLSE20-118</t>
  </si>
  <si>
    <t>NL20-35</t>
  </si>
  <si>
    <t>R-8504</t>
  </si>
  <si>
    <t>PU-85398</t>
  </si>
  <si>
    <t>A14--16477</t>
  </si>
  <si>
    <t>NLSE20-119</t>
  </si>
  <si>
    <t>NLSE20-120</t>
  </si>
  <si>
    <t>NLSE20-121</t>
  </si>
  <si>
    <t>PUE-5021</t>
  </si>
  <si>
    <t>HC-05809</t>
  </si>
  <si>
    <t>Transfer S 23-Nov-20</t>
  </si>
  <si>
    <t>HC-05869</t>
  </si>
  <si>
    <t>Transfer S 30-Nov-20</t>
  </si>
  <si>
    <t xml:space="preserve">C A R B E N Z E S </t>
  </si>
  <si>
    <t>PU-85570</t>
  </si>
  <si>
    <t>Transfer S 25-Nov-20</t>
  </si>
  <si>
    <t>MENUDO EXCEL</t>
  </si>
  <si>
    <t>Transfer Bnte 23-Nov-20</t>
  </si>
  <si>
    <t>Tramsfer Bmte 23-Nov-20</t>
  </si>
  <si>
    <t>Transfer Bnte 24-Nov-20</t>
  </si>
  <si>
    <t>Transfer Bnte 25-Nov-20</t>
  </si>
  <si>
    <t>Transfer Bnte 26-Nov-20</t>
  </si>
  <si>
    <t>Transfer Bnte 27-Nov-20</t>
  </si>
  <si>
    <t>Transfer B 20-Oct-20</t>
  </si>
  <si>
    <t>Transfer B 27-Oct-20</t>
  </si>
  <si>
    <t>Tramsfer B 29-Oct-20</t>
  </si>
  <si>
    <t>Transfer S 29-Oct-20</t>
  </si>
  <si>
    <t>Transfer S 19-Nov-20</t>
  </si>
  <si>
    <t>Tramsfer B 13-Nov-20</t>
  </si>
  <si>
    <t>Transfer B 17-Nov-20</t>
  </si>
  <si>
    <t>Transfer B 19-Nov-20</t>
  </si>
  <si>
    <t>Transfer B 20-Nov-20</t>
  </si>
  <si>
    <t>Transfer Bnte 20-Nov-20</t>
  </si>
  <si>
    <t>0087 W</t>
  </si>
  <si>
    <t>0088 W</t>
  </si>
  <si>
    <t>0089 W</t>
  </si>
  <si>
    <t>0091 W</t>
  </si>
  <si>
    <t>0092 W</t>
  </si>
  <si>
    <t>0093 W</t>
  </si>
  <si>
    <t>0094 W</t>
  </si>
  <si>
    <t>0095 W</t>
  </si>
  <si>
    <t>0096 W</t>
  </si>
  <si>
    <t>0097 W</t>
  </si>
  <si>
    <t>Valor Traspaso</t>
  </si>
  <si>
    <t>0098 W</t>
  </si>
  <si>
    <t>0100 W</t>
  </si>
  <si>
    <t>0101 W</t>
  </si>
  <si>
    <t>0103 w</t>
  </si>
  <si>
    <t>0104 W</t>
  </si>
  <si>
    <t>0105 W</t>
  </si>
  <si>
    <t>0106 W</t>
  </si>
  <si>
    <t>0107 W</t>
  </si>
  <si>
    <t>0108 W</t>
  </si>
  <si>
    <t>0109 W</t>
  </si>
  <si>
    <t>0110 W</t>
  </si>
  <si>
    <t>0110W</t>
  </si>
  <si>
    <t>0111 W</t>
  </si>
  <si>
    <t>0112 W</t>
  </si>
  <si>
    <t>0113 W</t>
  </si>
  <si>
    <t>0114 W</t>
  </si>
  <si>
    <t>0116 W</t>
  </si>
  <si>
    <t>0117 W</t>
  </si>
  <si>
    <t>0118 W</t>
  </si>
  <si>
    <t>0119 W</t>
  </si>
  <si>
    <t>0120 W</t>
  </si>
  <si>
    <t>0122 W</t>
  </si>
  <si>
    <t>0124 W</t>
  </si>
  <si>
    <t>0124W</t>
  </si>
  <si>
    <t>0125 W</t>
  </si>
  <si>
    <t>0126 W</t>
  </si>
  <si>
    <t>0127 W</t>
  </si>
  <si>
    <t>0128 W</t>
  </si>
  <si>
    <t>0129 W</t>
  </si>
  <si>
    <t>0131 W</t>
  </si>
  <si>
    <t>0132 W</t>
  </si>
  <si>
    <t>0133 W</t>
  </si>
  <si>
    <t>0134 W</t>
  </si>
  <si>
    <t>0136 W</t>
  </si>
  <si>
    <t>0137 W</t>
  </si>
  <si>
    <t>0347 W</t>
  </si>
  <si>
    <t>0138 W</t>
  </si>
  <si>
    <t>0139 W</t>
  </si>
  <si>
    <t>0140 W</t>
  </si>
  <si>
    <t>0141 W</t>
  </si>
  <si>
    <t>0142 W</t>
  </si>
  <si>
    <t>0143 W</t>
  </si>
  <si>
    <t>0144 W</t>
  </si>
  <si>
    <t>0146 W</t>
  </si>
  <si>
    <t>0147 W</t>
  </si>
  <si>
    <t>0148 W</t>
  </si>
  <si>
    <t>0149 W</t>
  </si>
  <si>
    <t>0151 W</t>
  </si>
  <si>
    <t>0145 W</t>
  </si>
  <si>
    <t>0152 W</t>
  </si>
  <si>
    <t>0153 W</t>
  </si>
  <si>
    <t>0154 W</t>
  </si>
  <si>
    <t>0155 W</t>
  </si>
  <si>
    <t>0156 W</t>
  </si>
  <si>
    <t>0157 W</t>
  </si>
  <si>
    <t>0158 W</t>
  </si>
  <si>
    <t>0160 W</t>
  </si>
  <si>
    <t>0163 W</t>
  </si>
  <si>
    <t>0164 W</t>
  </si>
  <si>
    <t>0165 W</t>
  </si>
  <si>
    <t>0166 W</t>
  </si>
  <si>
    <t>0167 W</t>
  </si>
  <si>
    <t>0169 W</t>
  </si>
  <si>
    <t>0170 W</t>
  </si>
  <si>
    <t>0172 W</t>
  </si>
  <si>
    <t>0173 W</t>
  </si>
  <si>
    <t>0174 W</t>
  </si>
  <si>
    <t>0175 W</t>
  </si>
  <si>
    <t>0176 W</t>
  </si>
  <si>
    <t>0177 W</t>
  </si>
  <si>
    <t>0178 W</t>
  </si>
  <si>
    <t>0180 W</t>
  </si>
  <si>
    <t>0181 W</t>
  </si>
  <si>
    <t>0182 w</t>
  </si>
  <si>
    <t>0185 W</t>
  </si>
  <si>
    <t>0186 W</t>
  </si>
  <si>
    <t>0187 W</t>
  </si>
  <si>
    <t>0188 W</t>
  </si>
  <si>
    <t>0189 W</t>
  </si>
  <si>
    <t>0190 W|</t>
  </si>
  <si>
    <t>0191 W</t>
  </si>
  <si>
    <t>0193 W</t>
  </si>
  <si>
    <t>0194 W</t>
  </si>
  <si>
    <t>0195 W</t>
  </si>
  <si>
    <t>0196 W</t>
  </si>
  <si>
    <t>0197 W</t>
  </si>
  <si>
    <t>0198 W</t>
  </si>
  <si>
    <t>0199 W</t>
  </si>
  <si>
    <t>0201 W</t>
  </si>
  <si>
    <t>0202 W</t>
  </si>
  <si>
    <t>0203 W</t>
  </si>
  <si>
    <t>0205 W</t>
  </si>
  <si>
    <t>0206 W</t>
  </si>
  <si>
    <t>0207 W</t>
  </si>
  <si>
    <t>0208 W</t>
  </si>
  <si>
    <t>0183 W</t>
  </si>
  <si>
    <t>0209 W</t>
  </si>
  <si>
    <t>0210 W</t>
  </si>
  <si>
    <t>0211 W</t>
  </si>
  <si>
    <t>0213 W</t>
  </si>
  <si>
    <t>0215 W</t>
  </si>
  <si>
    <t>0225 W</t>
  </si>
  <si>
    <t>0216 W</t>
  </si>
  <si>
    <t>0218 W</t>
  </si>
  <si>
    <t>0219 W</t>
  </si>
  <si>
    <t>0220 W</t>
  </si>
  <si>
    <t>0221 W</t>
  </si>
  <si>
    <t>0222 W</t>
  </si>
  <si>
    <t>0223 W</t>
  </si>
  <si>
    <t>0226 W</t>
  </si>
  <si>
    <t>0227 W</t>
  </si>
  <si>
    <t>0228 W</t>
  </si>
  <si>
    <t>0229 W</t>
  </si>
  <si>
    <t>0230 W</t>
  </si>
  <si>
    <t>0231 W</t>
  </si>
  <si>
    <t>0233 W</t>
  </si>
  <si>
    <t>PED. 58257149</t>
  </si>
  <si>
    <t>NLSE20-122</t>
  </si>
  <si>
    <t>TRIPAS</t>
  </si>
  <si>
    <t>A14-16659</t>
  </si>
  <si>
    <t>0234 W</t>
  </si>
  <si>
    <t>0235 W</t>
  </si>
  <si>
    <t>0217 W</t>
  </si>
  <si>
    <t>0237 W</t>
  </si>
  <si>
    <t>0238 W</t>
  </si>
  <si>
    <t>0239 W</t>
  </si>
  <si>
    <t>PED. 58324422</t>
  </si>
  <si>
    <t>PED. 58324426</t>
  </si>
  <si>
    <t>PED. 58400253</t>
  </si>
  <si>
    <t>F&amp;J TRADING MEAT S DE RL</t>
  </si>
  <si>
    <t>PED. 58272798</t>
  </si>
  <si>
    <t>TYSON FRESH MEATS</t>
  </si>
  <si>
    <t>PED. 58432475</t>
  </si>
  <si>
    <t>PED. 58432472</t>
  </si>
  <si>
    <t>PED. 58432474</t>
  </si>
  <si>
    <t>NL20-36</t>
  </si>
  <si>
    <t>NL20-37</t>
  </si>
  <si>
    <t>NLSE20-123</t>
  </si>
  <si>
    <t>F-1163</t>
  </si>
  <si>
    <t>NLSE20-124</t>
  </si>
  <si>
    <t>NLSE20-125</t>
  </si>
  <si>
    <t>A14-16730</t>
  </si>
  <si>
    <t>BUCHE.</t>
  </si>
  <si>
    <t>PU-85703</t>
  </si>
  <si>
    <t>0241 W</t>
  </si>
  <si>
    <t>0242 W</t>
  </si>
  <si>
    <t>0243 W</t>
  </si>
  <si>
    <t>0244 W</t>
  </si>
  <si>
    <t>0245 W</t>
  </si>
  <si>
    <t>0246 W</t>
  </si>
  <si>
    <t>0247 W</t>
  </si>
  <si>
    <t>0248 W</t>
  </si>
  <si>
    <t>0249 W</t>
  </si>
  <si>
    <t>0251 W</t>
  </si>
  <si>
    <t>0254 W</t>
  </si>
  <si>
    <t>0255 W</t>
  </si>
  <si>
    <t>0256 W</t>
  </si>
  <si>
    <t>0257 W</t>
  </si>
  <si>
    <t>0258 W</t>
  </si>
  <si>
    <t>0259 W</t>
  </si>
  <si>
    <t>0260 W</t>
  </si>
  <si>
    <t>0261 W</t>
  </si>
  <si>
    <t>0262 W</t>
  </si>
  <si>
    <t>0263 W</t>
  </si>
  <si>
    <t>0264 W</t>
  </si>
  <si>
    <t>0265 W</t>
  </si>
  <si>
    <t>0266 W</t>
  </si>
  <si>
    <t>0267 W</t>
  </si>
  <si>
    <t>0268 W</t>
  </si>
  <si>
    <t>0269 W</t>
  </si>
  <si>
    <t>0270 W</t>
  </si>
  <si>
    <t>0271 W</t>
  </si>
  <si>
    <t>0273 W</t>
  </si>
  <si>
    <t>0274 W</t>
  </si>
  <si>
    <t>ENTRADA DEL MES DE DICIEMBRE 2020</t>
  </si>
  <si>
    <t>RYC ALIMENTOS</t>
  </si>
  <si>
    <t>CONTRA SWIFT</t>
  </si>
  <si>
    <t>S-6327</t>
  </si>
  <si>
    <t>HC-05937</t>
  </si>
  <si>
    <t>Transfer S  11-Dic-20</t>
  </si>
  <si>
    <t>F-1135</t>
  </si>
  <si>
    <t>Transfer S 4-Dic-20</t>
  </si>
  <si>
    <t>Transfer S 9-Dic-20</t>
  </si>
  <si>
    <t xml:space="preserve">DIST. DE PROD. CARNICOS Y DERIV. C A R B E N Z E S  BEEF SA DE CV </t>
  </si>
  <si>
    <t>Transfer S 10-Dic-20</t>
  </si>
  <si>
    <t>Transfer Bnte 1-Dic-20</t>
  </si>
  <si>
    <t>Transfer Bnte 2-Dic-20</t>
  </si>
  <si>
    <t>Transfer Bnte 3-Dic-20</t>
  </si>
  <si>
    <t>Transfer Bnte 4-Dic-20</t>
  </si>
  <si>
    <t>Transfer B 4-Dic-20</t>
  </si>
  <si>
    <t>Transfer B 8-Dic-20</t>
  </si>
  <si>
    <t>Transfer B 14-Dic-20</t>
  </si>
  <si>
    <t>Transfer S 18-Dic-20</t>
  </si>
  <si>
    <t>Transfer B 18-Dic-20</t>
  </si>
  <si>
    <t>Transfer S 24-Nov-20</t>
  </si>
  <si>
    <t>Transfer B 27-Nov-20</t>
  </si>
  <si>
    <t>Transfer Bnte 30-Nov-20</t>
  </si>
  <si>
    <t>6E05--nc-772D</t>
  </si>
  <si>
    <t>Transfer S 31-Dic-20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</si>
</sst>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</numFmts>
  <fonts count="8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2"/>
      <color rgb="FFFF0000"/>
      <name val="Times New Roman"/>
      <family val="2"/>
      <scheme val="minor"/>
    </font>
    <font>
      <b/>
      <i/>
      <sz val="11"/>
      <color rgb="FF0000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CC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4" fillId="0" borderId="0"/>
  </cellStyleXfs>
  <cellXfs count="11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39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2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45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8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7" fillId="0" borderId="64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167" fontId="43" fillId="0" borderId="5" xfId="0" applyNumberFormat="1" applyFont="1" applyFill="1" applyBorder="1"/>
    <xf numFmtId="0" fontId="46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17" fillId="0" borderId="0" xfId="0" applyNumberFormat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1" fillId="0" borderId="0" xfId="0" applyFont="1" applyFill="1" applyAlignment="1">
      <alignment horizontal="center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5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3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0" fontId="7" fillId="13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2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49" fillId="0" borderId="0" xfId="0" applyNumberFormat="1" applyFont="1"/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6" xfId="0" applyNumberFormat="1" applyFont="1" applyFill="1" applyBorder="1" applyAlignment="1">
      <alignment horizontal="right"/>
    </xf>
    <xf numFmtId="0" fontId="55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7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6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5" fontId="58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5" fontId="58" fillId="0" borderId="15" xfId="0" applyNumberFormat="1" applyFont="1" applyBorder="1"/>
    <xf numFmtId="15" fontId="58" fillId="0" borderId="4" xfId="0" applyNumberFormat="1" applyFont="1" applyBorder="1"/>
    <xf numFmtId="4" fontId="58" fillId="0" borderId="5" xfId="0" applyNumberFormat="1" applyFont="1" applyBorder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0" fontId="11" fillId="0" borderId="68" xfId="0" applyFont="1" applyBorder="1"/>
    <xf numFmtId="0" fontId="0" fillId="0" borderId="69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50" xfId="0" applyFont="1" applyFill="1" applyBorder="1" applyAlignment="1">
      <alignment vertical="center" wrapText="1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0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60" fillId="0" borderId="72" xfId="0" applyFont="1" applyBorder="1" applyAlignment="1">
      <alignment horizontal="left"/>
    </xf>
    <xf numFmtId="16" fontId="61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60" fillId="0" borderId="33" xfId="0" applyNumberFormat="1" applyFont="1" applyBorder="1" applyAlignment="1">
      <alignment horizontal="center" vertical="center" wrapText="1"/>
    </xf>
    <xf numFmtId="4" fontId="7" fillId="6" borderId="71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167" fontId="15" fillId="0" borderId="0" xfId="0" applyNumberFormat="1" applyFont="1"/>
    <xf numFmtId="4" fontId="62" fillId="0" borderId="0" xfId="0" applyNumberFormat="1" applyFont="1" applyAlignment="1">
      <alignment horizontal="right"/>
    </xf>
    <xf numFmtId="0" fontId="62" fillId="0" borderId="0" xfId="0" applyFont="1" applyAlignment="1">
      <alignment horizontal="center"/>
    </xf>
    <xf numFmtId="4" fontId="65" fillId="0" borderId="0" xfId="3" applyNumberFormat="1" applyFont="1" applyFill="1" applyBorder="1" applyAlignment="1"/>
    <xf numFmtId="4" fontId="64" fillId="0" borderId="0" xfId="3" applyNumberFormat="1" applyFill="1" applyBorder="1"/>
    <xf numFmtId="0" fontId="64" fillId="0" borderId="0" xfId="3" applyFill="1" applyBorder="1"/>
    <xf numFmtId="0" fontId="64" fillId="0" borderId="77" xfId="3" applyFill="1" applyBorder="1"/>
    <xf numFmtId="0" fontId="42" fillId="11" borderId="4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7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66" fillId="0" borderId="37" xfId="0" applyNumberFormat="1" applyFont="1" applyBorder="1" applyAlignment="1">
      <alignment horizontal="right"/>
    </xf>
    <xf numFmtId="2" fontId="66" fillId="0" borderId="0" xfId="0" applyNumberFormat="1" applyFont="1" applyAlignment="1">
      <alignment horizontal="right"/>
    </xf>
    <xf numFmtId="0" fontId="66" fillId="0" borderId="10" xfId="0" applyFont="1" applyFill="1" applyBorder="1" applyAlignment="1">
      <alignment horizontal="right"/>
    </xf>
    <xf numFmtId="15" fontId="66" fillId="0" borderId="4" xfId="0" applyNumberFormat="1" applyFont="1" applyBorder="1"/>
    <xf numFmtId="15" fontId="66" fillId="0" borderId="0" xfId="0" applyNumberFormat="1" applyFont="1"/>
    <xf numFmtId="168" fontId="7" fillId="0" borderId="4" xfId="0" applyNumberFormat="1" applyFont="1" applyFill="1" applyBorder="1"/>
    <xf numFmtId="15" fontId="66" fillId="0" borderId="15" xfId="0" applyNumberFormat="1" applyFont="1" applyBorder="1"/>
    <xf numFmtId="164" fontId="66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6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66" fillId="0" borderId="10" xfId="0" applyNumberFormat="1" applyFont="1" applyFill="1" applyBorder="1" applyAlignment="1">
      <alignment horizontal="right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5" xfId="0" applyNumberFormat="1" applyFont="1" applyFill="1" applyBorder="1"/>
    <xf numFmtId="166" fontId="7" fillId="0" borderId="45" xfId="0" applyNumberFormat="1" applyFont="1" applyFill="1" applyBorder="1" applyAlignment="1">
      <alignment wrapText="1"/>
    </xf>
    <xf numFmtId="166" fontId="7" fillId="0" borderId="45" xfId="0" applyNumberFormat="1" applyFont="1" applyFill="1" applyBorder="1"/>
    <xf numFmtId="0" fontId="7" fillId="0" borderId="78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166" fontId="33" fillId="0" borderId="37" xfId="0" applyNumberFormat="1" applyFont="1" applyFill="1" applyBorder="1" applyAlignment="1">
      <alignment horizontal="left"/>
    </xf>
    <xf numFmtId="2" fontId="33" fillId="0" borderId="37" xfId="0" applyNumberFormat="1" applyFont="1" applyFill="1" applyBorder="1" applyAlignment="1">
      <alignment horizontal="left"/>
    </xf>
    <xf numFmtId="2" fontId="18" fillId="0" borderId="37" xfId="0" applyNumberFormat="1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3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0" fontId="33" fillId="0" borderId="0" xfId="0" applyFont="1" applyFill="1" applyBorder="1" applyAlignment="1">
      <alignment horizontal="left"/>
    </xf>
    <xf numFmtId="2" fontId="47" fillId="0" borderId="0" xfId="0" applyNumberFormat="1" applyFont="1" applyAlignment="1">
      <alignment horizontal="right"/>
    </xf>
    <xf numFmtId="0" fontId="47" fillId="0" borderId="10" xfId="0" applyFont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4" fontId="47" fillId="0" borderId="37" xfId="0" applyNumberFormat="1" applyFont="1" applyBorder="1" applyAlignment="1">
      <alignment horizontal="right"/>
    </xf>
    <xf numFmtId="16" fontId="47" fillId="0" borderId="0" xfId="0" applyNumberFormat="1" applyFont="1"/>
    <xf numFmtId="16" fontId="47" fillId="0" borderId="4" xfId="0" applyNumberFormat="1" applyFont="1" applyBorder="1"/>
    <xf numFmtId="15" fontId="47" fillId="0" borderId="10" xfId="0" applyNumberFormat="1" applyFont="1" applyBorder="1" applyAlignment="1">
      <alignment horizontal="right"/>
    </xf>
    <xf numFmtId="0" fontId="15" fillId="0" borderId="0" xfId="0" applyFont="1" applyFill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164" fontId="7" fillId="0" borderId="0" xfId="0" applyNumberFormat="1" applyFont="1" applyFill="1" applyBorder="1" applyAlignment="1"/>
    <xf numFmtId="2" fontId="12" fillId="0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7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63" fillId="0" borderId="0" xfId="0" applyNumberFormat="1" applyFont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8" fontId="27" fillId="0" borderId="15" xfId="0" applyNumberFormat="1" applyFont="1" applyFill="1" applyBorder="1"/>
    <xf numFmtId="167" fontId="7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79" xfId="0" applyNumberFormat="1" applyFont="1" applyBorder="1" applyAlignment="1">
      <alignment vertical="center"/>
    </xf>
    <xf numFmtId="0" fontId="7" fillId="0" borderId="61" xfId="0" applyFont="1" applyBorder="1" applyAlignment="1">
      <alignment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5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/>
    <xf numFmtId="0" fontId="69" fillId="0" borderId="0" xfId="0" applyFont="1"/>
    <xf numFmtId="0" fontId="7" fillId="0" borderId="65" xfId="0" applyFont="1" applyBorder="1"/>
    <xf numFmtId="0" fontId="7" fillId="0" borderId="42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167" fontId="27" fillId="0" borderId="0" xfId="0" applyNumberFormat="1" applyFont="1"/>
    <xf numFmtId="167" fontId="27" fillId="0" borderId="4" xfId="0" applyNumberFormat="1" applyFont="1" applyBorder="1"/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" fontId="27" fillId="0" borderId="4" xfId="0" applyNumberFormat="1" applyFont="1" applyBorder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2" fontId="7" fillId="0" borderId="33" xfId="0" applyNumberFormat="1" applyFont="1" applyFill="1" applyBorder="1" applyAlignment="1">
      <alignment vertical="center"/>
    </xf>
    <xf numFmtId="2" fontId="12" fillId="0" borderId="72" xfId="0" applyNumberFormat="1" applyFont="1" applyBorder="1"/>
    <xf numFmtId="167" fontId="7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4" fontId="0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68" fontId="7" fillId="0" borderId="0" xfId="0" applyNumberFormat="1" applyFont="1" applyBorder="1"/>
    <xf numFmtId="0" fontId="7" fillId="0" borderId="72" xfId="0" applyFont="1" applyFill="1" applyBorder="1" applyAlignment="1">
      <alignment vertical="center"/>
    </xf>
    <xf numFmtId="0" fontId="7" fillId="0" borderId="86" xfId="0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43" fontId="7" fillId="0" borderId="0" xfId="2" applyFont="1" applyFill="1"/>
    <xf numFmtId="0" fontId="28" fillId="0" borderId="0" xfId="0" applyFont="1" applyFill="1" applyAlignment="1">
      <alignment horizontal="center" wrapText="1"/>
    </xf>
    <xf numFmtId="2" fontId="39" fillId="0" borderId="0" xfId="0" applyNumberFormat="1" applyFont="1"/>
    <xf numFmtId="15" fontId="2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 wrapText="1"/>
    </xf>
    <xf numFmtId="168" fontId="66" fillId="0" borderId="15" xfId="0" applyNumberFormat="1" applyFont="1" applyBorder="1"/>
    <xf numFmtId="2" fontId="66" fillId="0" borderId="0" xfId="0" applyNumberFormat="1" applyFont="1" applyFill="1" applyAlignment="1">
      <alignment horizontal="right"/>
    </xf>
    <xf numFmtId="164" fontId="66" fillId="0" borderId="0" xfId="0" applyNumberFormat="1" applyFont="1" applyFill="1"/>
    <xf numFmtId="168" fontId="66" fillId="0" borderId="15" xfId="0" applyNumberFormat="1" applyFont="1" applyFill="1" applyBorder="1"/>
    <xf numFmtId="2" fontId="75" fillId="0" borderId="52" xfId="0" applyNumberFormat="1" applyFont="1" applyBorder="1" applyAlignment="1">
      <alignment horizontal="right"/>
    </xf>
    <xf numFmtId="15" fontId="66" fillId="0" borderId="52" xfId="0" applyNumberFormat="1" applyFont="1" applyBorder="1"/>
    <xf numFmtId="2" fontId="66" fillId="0" borderId="52" xfId="0" applyNumberFormat="1" applyFont="1" applyFill="1" applyBorder="1" applyAlignment="1">
      <alignment horizontal="right"/>
    </xf>
    <xf numFmtId="0" fontId="66" fillId="0" borderId="52" xfId="0" applyFont="1" applyFill="1" applyBorder="1" applyAlignment="1">
      <alignment horizontal="right"/>
    </xf>
    <xf numFmtId="164" fontId="66" fillId="0" borderId="52" xfId="0" applyNumberFormat="1" applyFont="1" applyFill="1" applyBorder="1"/>
    <xf numFmtId="164" fontId="75" fillId="0" borderId="52" xfId="0" applyNumberFormat="1" applyFont="1" applyFill="1" applyBorder="1"/>
    <xf numFmtId="0" fontId="66" fillId="0" borderId="0" xfId="0" applyFont="1" applyAlignment="1">
      <alignment horizontal="center"/>
    </xf>
    <xf numFmtId="16" fontId="66" fillId="0" borderId="4" xfId="0" applyNumberFormat="1" applyFont="1" applyBorder="1"/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16" fontId="66" fillId="0" borderId="0" xfId="0" applyNumberFormat="1" applyFont="1"/>
    <xf numFmtId="0" fontId="66" fillId="0" borderId="0" xfId="0" applyFont="1" applyFill="1" applyAlignment="1">
      <alignment horizontal="center"/>
    </xf>
    <xf numFmtId="16" fontId="66" fillId="0" borderId="0" xfId="0" applyNumberFormat="1" applyFont="1" applyFill="1"/>
    <xf numFmtId="16" fontId="66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7" fillId="0" borderId="86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10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67" fontId="17" fillId="0" borderId="33" xfId="0" applyNumberFormat="1" applyFont="1" applyFill="1" applyBorder="1"/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166" fontId="47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/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167" fontId="17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7" fillId="0" borderId="87" xfId="0" applyFont="1" applyFill="1" applyBorder="1" applyAlignment="1">
      <alignment vertical="center"/>
    </xf>
    <xf numFmtId="2" fontId="7" fillId="0" borderId="86" xfId="0" applyNumberFormat="1" applyFont="1" applyFill="1" applyBorder="1" applyAlignment="1">
      <alignment vertical="center"/>
    </xf>
    <xf numFmtId="0" fontId="7" fillId="14" borderId="0" xfId="0" applyFont="1" applyFill="1" applyAlignment="1">
      <alignment horizontal="center"/>
    </xf>
    <xf numFmtId="0" fontId="7" fillId="20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2" fontId="66" fillId="0" borderId="5" xfId="0" applyNumberFormat="1" applyFont="1" applyBorder="1" applyAlignment="1">
      <alignment horizontal="right"/>
    </xf>
    <xf numFmtId="168" fontId="66" fillId="0" borderId="4" xfId="0" applyNumberFormat="1" applyFont="1" applyBorder="1"/>
    <xf numFmtId="168" fontId="66" fillId="0" borderId="0" xfId="0" applyNumberFormat="1" applyFont="1" applyBorder="1"/>
    <xf numFmtId="168" fontId="66" fillId="0" borderId="0" xfId="0" applyNumberFormat="1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5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56" fillId="0" borderId="33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26" fillId="17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28" fillId="0" borderId="0" xfId="0" applyFont="1" applyFill="1" applyBorder="1" applyAlignment="1">
      <alignment wrapText="1"/>
    </xf>
    <xf numFmtId="0" fontId="7" fillId="15" borderId="49" xfId="0" applyFont="1" applyFill="1" applyBorder="1" applyAlignment="1">
      <alignment vertical="center" wrapText="1"/>
    </xf>
    <xf numFmtId="0" fontId="7" fillId="15" borderId="50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8" fillId="0" borderId="33" xfId="0" applyNumberFormat="1" applyFont="1" applyFill="1" applyBorder="1" applyAlignment="1">
      <alignment vertical="center"/>
    </xf>
    <xf numFmtId="44" fontId="7" fillId="0" borderId="0" xfId="1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7" fillId="20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/>
    <xf numFmtId="0" fontId="71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7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horizontal="center"/>
    </xf>
    <xf numFmtId="0" fontId="10" fillId="0" borderId="33" xfId="0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horizontal="center" wrapText="1"/>
    </xf>
    <xf numFmtId="1" fontId="4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horizontal="left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0" fontId="66" fillId="7" borderId="10" xfId="0" applyFont="1" applyFill="1" applyBorder="1" applyAlignment="1">
      <alignment horizontal="right"/>
    </xf>
    <xf numFmtId="164" fontId="66" fillId="7" borderId="0" xfId="0" applyNumberFormat="1" applyFont="1" applyFill="1"/>
    <xf numFmtId="2" fontId="10" fillId="7" borderId="0" xfId="0" applyNumberFormat="1" applyFont="1" applyFill="1"/>
    <xf numFmtId="1" fontId="7" fillId="7" borderId="63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26" fillId="0" borderId="0" xfId="0" applyNumberFormat="1" applyFont="1" applyBorder="1"/>
    <xf numFmtId="44" fontId="7" fillId="0" borderId="0" xfId="1" applyFont="1"/>
    <xf numFmtId="164" fontId="17" fillId="0" borderId="0" xfId="0" applyNumberFormat="1" applyFont="1"/>
    <xf numFmtId="2" fontId="78" fillId="0" borderId="0" xfId="0" applyNumberFormat="1" applyFont="1" applyAlignment="1">
      <alignment horizontal="right"/>
    </xf>
    <xf numFmtId="15" fontId="78" fillId="0" borderId="0" xfId="0" applyNumberFormat="1" applyFont="1"/>
    <xf numFmtId="2" fontId="78" fillId="0" borderId="0" xfId="0" applyNumberFormat="1" applyFont="1"/>
    <xf numFmtId="15" fontId="78" fillId="0" borderId="52" xfId="0" applyNumberFormat="1" applyFont="1" applyBorder="1"/>
    <xf numFmtId="2" fontId="78" fillId="0" borderId="52" xfId="0" applyNumberFormat="1" applyFont="1" applyFill="1" applyBorder="1" applyAlignment="1">
      <alignment horizontal="right"/>
    </xf>
    <xf numFmtId="0" fontId="78" fillId="0" borderId="52" xfId="0" applyFont="1" applyFill="1" applyBorder="1" applyAlignment="1">
      <alignment horizontal="right"/>
    </xf>
    <xf numFmtId="15" fontId="79" fillId="0" borderId="52" xfId="0" applyNumberFormat="1" applyFont="1" applyBorder="1"/>
    <xf numFmtId="0" fontId="78" fillId="0" borderId="52" xfId="0" applyFont="1" applyBorder="1" applyAlignment="1">
      <alignment horizontal="right"/>
    </xf>
    <xf numFmtId="164" fontId="78" fillId="0" borderId="52" xfId="0" applyNumberFormat="1" applyFont="1" applyFill="1" applyBorder="1"/>
    <xf numFmtId="164" fontId="78" fillId="0" borderId="52" xfId="0" applyNumberFormat="1" applyFont="1" applyBorder="1"/>
    <xf numFmtId="164" fontId="7" fillId="0" borderId="52" xfId="0" applyNumberFormat="1" applyFont="1" applyBorder="1"/>
    <xf numFmtId="2" fontId="78" fillId="0" borderId="52" xfId="0" applyNumberFormat="1" applyFont="1" applyBorder="1" applyAlignment="1">
      <alignment horizontal="right"/>
    </xf>
    <xf numFmtId="2" fontId="7" fillId="0" borderId="52" xfId="0" applyNumberFormat="1" applyFont="1" applyBorder="1" applyAlignment="1">
      <alignment horizontal="right"/>
    </xf>
    <xf numFmtId="2" fontId="78" fillId="0" borderId="37" xfId="0" applyNumberFormat="1" applyFont="1" applyBorder="1" applyAlignment="1">
      <alignment horizontal="right"/>
    </xf>
    <xf numFmtId="15" fontId="78" fillId="0" borderId="0" xfId="0" applyNumberFormat="1" applyFont="1" applyBorder="1"/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15" fontId="78" fillId="0" borderId="15" xfId="0" applyNumberFormat="1" applyFont="1" applyBorder="1"/>
    <xf numFmtId="0" fontId="78" fillId="7" borderId="52" xfId="0" applyFont="1" applyFill="1" applyBorder="1" applyAlignment="1">
      <alignment horizontal="right"/>
    </xf>
    <xf numFmtId="164" fontId="78" fillId="7" borderId="52" xfId="0" applyNumberFormat="1" applyFont="1" applyFill="1" applyBorder="1"/>
    <xf numFmtId="4" fontId="0" fillId="7" borderId="0" xfId="0" applyNumberFormat="1" applyFill="1"/>
    <xf numFmtId="4" fontId="8" fillId="7" borderId="0" xfId="0" applyNumberFormat="1" applyFont="1" applyFill="1"/>
    <xf numFmtId="44" fontId="17" fillId="0" borderId="0" xfId="1" applyFont="1"/>
    <xf numFmtId="44" fontId="57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2" fontId="80" fillId="0" borderId="0" xfId="0" applyNumberFormat="1" applyFont="1" applyFill="1"/>
    <xf numFmtId="2" fontId="78" fillId="7" borderId="0" xfId="0" applyNumberFormat="1" applyFont="1" applyFill="1" applyAlignment="1">
      <alignment horizontal="right"/>
    </xf>
    <xf numFmtId="0" fontId="78" fillId="7" borderId="10" xfId="0" applyFont="1" applyFill="1" applyBorder="1" applyAlignment="1">
      <alignment horizontal="right"/>
    </xf>
    <xf numFmtId="164" fontId="78" fillId="7" borderId="0" xfId="0" applyNumberFormat="1" applyFont="1" applyFill="1"/>
    <xf numFmtId="2" fontId="80" fillId="7" borderId="0" xfId="0" applyNumberFormat="1" applyFont="1" applyFill="1"/>
    <xf numFmtId="0" fontId="81" fillId="0" borderId="0" xfId="0" applyFont="1" applyAlignment="1">
      <alignment horizontal="right"/>
    </xf>
    <xf numFmtId="2" fontId="29" fillId="0" borderId="0" xfId="0" applyNumberFormat="1" applyFont="1" applyAlignment="1">
      <alignment horizontal="right"/>
    </xf>
    <xf numFmtId="15" fontId="29" fillId="0" borderId="15" xfId="0" applyNumberFormat="1" applyFont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0" fontId="29" fillId="0" borderId="10" xfId="0" applyFont="1" applyBorder="1" applyAlignment="1">
      <alignment horizontal="right"/>
    </xf>
    <xf numFmtId="2" fontId="78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164" fontId="7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26" fillId="14" borderId="0" xfId="0" applyFont="1" applyFill="1" applyAlignment="1">
      <alignment horizontal="center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0" fontId="10" fillId="7" borderId="0" xfId="0" applyFont="1" applyFill="1" applyAlignment="1">
      <alignment horizontal="center"/>
    </xf>
    <xf numFmtId="0" fontId="0" fillId="7" borderId="0" xfId="0" applyFill="1"/>
    <xf numFmtId="44" fontId="26" fillId="0" borderId="0" xfId="1" applyFont="1"/>
    <xf numFmtId="164" fontId="0" fillId="7" borderId="0" xfId="0" applyNumberFormat="1" applyFill="1"/>
    <xf numFmtId="0" fontId="7" fillId="7" borderId="0" xfId="0" applyFont="1" applyFill="1" applyAlignment="1">
      <alignment horizontal="right"/>
    </xf>
    <xf numFmtId="164" fontId="28" fillId="0" borderId="0" xfId="0" applyNumberFormat="1" applyFont="1" applyAlignment="1">
      <alignment horizontal="center"/>
    </xf>
    <xf numFmtId="4" fontId="7" fillId="7" borderId="0" xfId="0" applyNumberFormat="1" applyFont="1" applyFill="1"/>
    <xf numFmtId="4" fontId="10" fillId="7" borderId="0" xfId="0" applyNumberFormat="1" applyFont="1" applyFill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7" fillId="2" borderId="0" xfId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1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5" fillId="22" borderId="0" xfId="0" applyNumberFormat="1" applyFont="1" applyFill="1"/>
    <xf numFmtId="4" fontId="15" fillId="22" borderId="0" xfId="0" applyNumberFormat="1" applyFont="1" applyFill="1" applyAlignment="1">
      <alignment horizontal="right"/>
    </xf>
    <xf numFmtId="1" fontId="15" fillId="22" borderId="0" xfId="0" applyNumberFormat="1" applyFont="1" applyFill="1" applyAlignment="1">
      <alignment horizontal="center"/>
    </xf>
    <xf numFmtId="2" fontId="63" fillId="22" borderId="0" xfId="0" applyNumberFormat="1" applyFont="1" applyFill="1"/>
    <xf numFmtId="4" fontId="62" fillId="22" borderId="0" xfId="0" applyNumberFormat="1" applyFont="1" applyFill="1" applyAlignment="1">
      <alignment horizontal="right"/>
    </xf>
    <xf numFmtId="1" fontId="62" fillId="22" borderId="0" xfId="0" applyNumberFormat="1" applyFont="1" applyFill="1" applyAlignment="1">
      <alignment horizontal="center"/>
    </xf>
    <xf numFmtId="0" fontId="62" fillId="22" borderId="0" xfId="0" applyFont="1" applyFill="1" applyAlignment="1">
      <alignment horizontal="center"/>
    </xf>
    <xf numFmtId="167" fontId="10" fillId="22" borderId="0" xfId="0" applyNumberFormat="1" applyFont="1" applyFill="1"/>
    <xf numFmtId="4" fontId="67" fillId="22" borderId="0" xfId="0" applyNumberFormat="1" applyFont="1" applyFill="1" applyAlignment="1">
      <alignment horizontal="right"/>
    </xf>
    <xf numFmtId="1" fontId="67" fillId="22" borderId="0" xfId="0" applyNumberFormat="1" applyFont="1" applyFill="1" applyAlignment="1">
      <alignment horizontal="center"/>
    </xf>
    <xf numFmtId="2" fontId="82" fillId="22" borderId="0" xfId="0" applyNumberFormat="1" applyFont="1" applyFill="1"/>
    <xf numFmtId="164" fontId="7" fillId="0" borderId="72" xfId="0" applyNumberFormat="1" applyFont="1" applyFill="1" applyBorder="1"/>
    <xf numFmtId="44" fontId="7" fillId="0" borderId="72" xfId="1" applyFont="1" applyFill="1" applyBorder="1"/>
    <xf numFmtId="0" fontId="10" fillId="22" borderId="33" xfId="0" applyFont="1" applyFill="1" applyBorder="1" applyAlignment="1">
      <alignment horizontal="center"/>
    </xf>
    <xf numFmtId="0" fontId="15" fillId="22" borderId="33" xfId="0" applyFont="1" applyFill="1" applyBorder="1" applyAlignment="1">
      <alignment horizontal="center"/>
    </xf>
    <xf numFmtId="167" fontId="10" fillId="22" borderId="33" xfId="0" applyNumberFormat="1" applyFont="1" applyFill="1" applyBorder="1" applyAlignment="1">
      <alignment vertical="center"/>
    </xf>
    <xf numFmtId="2" fontId="10" fillId="22" borderId="33" xfId="0" applyNumberFormat="1" applyFont="1" applyFill="1" applyBorder="1" applyAlignment="1">
      <alignment vertical="center"/>
    </xf>
    <xf numFmtId="0" fontId="10" fillId="22" borderId="33" xfId="0" applyFont="1" applyFill="1" applyBorder="1" applyAlignment="1">
      <alignment vertical="center"/>
    </xf>
    <xf numFmtId="0" fontId="10" fillId="22" borderId="33" xfId="0" applyFont="1" applyFill="1" applyBorder="1" applyAlignment="1">
      <alignment horizontal="center" vertical="center" wrapText="1"/>
    </xf>
    <xf numFmtId="0" fontId="22" fillId="0" borderId="89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1" fontId="10" fillId="22" borderId="33" xfId="0" applyNumberFormat="1" applyFont="1" applyFill="1" applyBorder="1" applyAlignment="1">
      <alignment horizontal="center"/>
    </xf>
    <xf numFmtId="1" fontId="83" fillId="22" borderId="33" xfId="0" applyNumberFormat="1" applyFont="1" applyFill="1" applyBorder="1" applyAlignment="1">
      <alignment horizontal="center"/>
    </xf>
    <xf numFmtId="1" fontId="10" fillId="22" borderId="33" xfId="0" applyNumberFormat="1" applyFont="1" applyFill="1" applyBorder="1" applyAlignment="1">
      <alignment horizontal="center" vertical="center"/>
    </xf>
    <xf numFmtId="1" fontId="83" fillId="22" borderId="33" xfId="0" applyNumberFormat="1" applyFont="1" applyFill="1" applyBorder="1" applyAlignment="1">
      <alignment horizontal="center" vertical="center"/>
    </xf>
    <xf numFmtId="164" fontId="47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0" fontId="15" fillId="7" borderId="0" xfId="0" applyFont="1" applyFill="1" applyAlignment="1">
      <alignment horizontal="right"/>
    </xf>
    <xf numFmtId="164" fontId="15" fillId="7" borderId="0" xfId="0" applyNumberFormat="1" applyFont="1" applyFill="1"/>
    <xf numFmtId="44" fontId="22" fillId="0" borderId="0" xfId="1" applyFont="1"/>
    <xf numFmtId="0" fontId="66" fillId="5" borderId="52" xfId="0" applyFont="1" applyFill="1" applyBorder="1" applyAlignment="1">
      <alignment horizontal="right"/>
    </xf>
    <xf numFmtId="164" fontId="75" fillId="5" borderId="52" xfId="0" applyNumberFormat="1" applyFont="1" applyFill="1" applyBorder="1"/>
    <xf numFmtId="4" fontId="0" fillId="5" borderId="0" xfId="0" applyNumberFormat="1" applyFill="1"/>
    <xf numFmtId="166" fontId="10" fillId="2" borderId="33" xfId="0" applyNumberFormat="1" applyFont="1" applyFill="1" applyBorder="1" applyAlignment="1">
      <alignment horizontal="right"/>
    </xf>
    <xf numFmtId="0" fontId="74" fillId="2" borderId="33" xfId="0" applyFont="1" applyFill="1" applyBorder="1" applyAlignment="1">
      <alignment horizontal="left"/>
    </xf>
    <xf numFmtId="0" fontId="10" fillId="14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left"/>
    </xf>
    <xf numFmtId="164" fontId="47" fillId="0" borderId="0" xfId="0" applyNumberFormat="1" applyFont="1" applyFill="1" applyBorder="1"/>
    <xf numFmtId="0" fontId="84" fillId="0" borderId="37" xfId="0" applyFont="1" applyFill="1" applyBorder="1" applyAlignment="1">
      <alignment horizontal="left"/>
    </xf>
    <xf numFmtId="0" fontId="47" fillId="0" borderId="37" xfId="0" applyFont="1" applyFill="1" applyBorder="1" applyAlignment="1">
      <alignment horizontal="left"/>
    </xf>
    <xf numFmtId="0" fontId="84" fillId="0" borderId="37" xfId="0" applyFont="1" applyFill="1" applyBorder="1"/>
    <xf numFmtId="164" fontId="47" fillId="0" borderId="33" xfId="0" applyNumberFormat="1" applyFont="1" applyFill="1" applyBorder="1"/>
    <xf numFmtId="0" fontId="70" fillId="0" borderId="89" xfId="0" applyFont="1" applyFill="1" applyBorder="1" applyAlignment="1">
      <alignment horizontal="left"/>
    </xf>
    <xf numFmtId="44" fontId="47" fillId="0" borderId="33" xfId="1" applyFont="1" applyFill="1" applyBorder="1"/>
    <xf numFmtId="167" fontId="84" fillId="0" borderId="33" xfId="0" applyNumberFormat="1" applyFont="1" applyFill="1" applyBorder="1"/>
    <xf numFmtId="166" fontId="10" fillId="13" borderId="33" xfId="0" applyNumberFormat="1" applyFont="1" applyFill="1" applyBorder="1" applyAlignment="1">
      <alignment horizontal="right"/>
    </xf>
    <xf numFmtId="166" fontId="10" fillId="13" borderId="33" xfId="0" applyNumberFormat="1" applyFont="1" applyFill="1" applyBorder="1"/>
    <xf numFmtId="166" fontId="10" fillId="13" borderId="33" xfId="1" applyNumberFormat="1" applyFont="1" applyFill="1" applyBorder="1"/>
    <xf numFmtId="166" fontId="10" fillId="13" borderId="33" xfId="0" applyNumberFormat="1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right"/>
    </xf>
    <xf numFmtId="166" fontId="7" fillId="4" borderId="33" xfId="0" applyNumberFormat="1" applyFont="1" applyFill="1" applyBorder="1"/>
    <xf numFmtId="166" fontId="7" fillId="4" borderId="72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wrapText="1"/>
    </xf>
    <xf numFmtId="0" fontId="10" fillId="22" borderId="86" xfId="0" applyFont="1" applyFill="1" applyBorder="1" applyAlignment="1">
      <alignment horizontal="center" vertical="center"/>
    </xf>
    <xf numFmtId="0" fontId="10" fillId="22" borderId="71" xfId="0" applyFont="1" applyFill="1" applyBorder="1" applyAlignment="1">
      <alignment horizontal="center" vertical="center"/>
    </xf>
    <xf numFmtId="1" fontId="10" fillId="22" borderId="86" xfId="0" applyNumberFormat="1" applyFont="1" applyFill="1" applyBorder="1" applyAlignment="1">
      <alignment horizontal="center" vertical="center"/>
    </xf>
    <xf numFmtId="1" fontId="10" fillId="22" borderId="71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7" fillId="0" borderId="86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" fontId="7" fillId="0" borderId="86" xfId="0" applyNumberFormat="1" applyFont="1" applyFill="1" applyBorder="1" applyAlignment="1">
      <alignment horizontal="center" vertical="center"/>
    </xf>
    <xf numFmtId="1" fontId="7" fillId="0" borderId="71" xfId="0" applyNumberFormat="1" applyFont="1" applyFill="1" applyBorder="1" applyAlignment="1">
      <alignment horizontal="center" vertical="center"/>
    </xf>
    <xf numFmtId="164" fontId="7" fillId="0" borderId="86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/>
    </xf>
    <xf numFmtId="167" fontId="7" fillId="0" borderId="71" xfId="0" applyNumberFormat="1" applyFont="1" applyFill="1" applyBorder="1" applyAlignment="1">
      <alignment horizontal="center" vertical="center"/>
    </xf>
    <xf numFmtId="0" fontId="23" fillId="22" borderId="88" xfId="0" applyFont="1" applyFill="1" applyBorder="1" applyAlignment="1">
      <alignment horizontal="center"/>
    </xf>
    <xf numFmtId="164" fontId="7" fillId="13" borderId="86" xfId="0" applyNumberFormat="1" applyFont="1" applyFill="1" applyBorder="1" applyAlignment="1">
      <alignment horizontal="center"/>
    </xf>
    <xf numFmtId="164" fontId="7" fillId="13" borderId="71" xfId="0" applyNumberFormat="1" applyFont="1" applyFill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6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59" fillId="13" borderId="0" xfId="0" applyFont="1" applyFill="1" applyAlignment="1">
      <alignment horizontal="center" wrapText="1"/>
    </xf>
    <xf numFmtId="0" fontId="59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8" borderId="0" xfId="0" applyFont="1" applyFill="1" applyAlignment="1">
      <alignment horizontal="center" wrapText="1"/>
    </xf>
    <xf numFmtId="0" fontId="28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6" fillId="0" borderId="67" xfId="0" applyFont="1" applyBorder="1" applyAlignment="1">
      <alignment horizontal="center" wrapText="1"/>
    </xf>
    <xf numFmtId="0" fontId="7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8" borderId="5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2" fillId="0" borderId="49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7" fillId="15" borderId="49" xfId="0" applyFont="1" applyFill="1" applyBorder="1" applyAlignment="1">
      <alignment horizontal="center" vertical="center" wrapText="1"/>
    </xf>
    <xf numFmtId="0" fontId="7" fillId="15" borderId="5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2" fillId="0" borderId="80" xfId="0" applyFont="1" applyBorder="1" applyAlignment="1">
      <alignment horizontal="center" wrapText="1"/>
    </xf>
    <xf numFmtId="0" fontId="42" fillId="0" borderId="81" xfId="0" applyFont="1" applyBorder="1" applyAlignment="1">
      <alignment horizontal="center" wrapText="1"/>
    </xf>
    <xf numFmtId="0" fontId="42" fillId="0" borderId="58" xfId="0" applyFont="1" applyBorder="1" applyAlignment="1">
      <alignment horizontal="center" wrapText="1"/>
    </xf>
    <xf numFmtId="0" fontId="42" fillId="0" borderId="84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0" borderId="58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57" xfId="0" applyNumberFormat="1" applyFont="1" applyBorder="1" applyAlignment="1">
      <alignment horizontal="center" vertical="center"/>
    </xf>
    <xf numFmtId="4" fontId="7" fillId="0" borderId="59" xfId="0" applyNumberFormat="1" applyFont="1" applyBorder="1" applyAlignment="1">
      <alignment horizontal="center" vertical="center"/>
    </xf>
    <xf numFmtId="4" fontId="7" fillId="0" borderId="82" xfId="0" applyNumberFormat="1" applyFont="1" applyBorder="1" applyAlignment="1">
      <alignment horizontal="center" vertical="center"/>
    </xf>
    <xf numFmtId="4" fontId="7" fillId="0" borderId="83" xfId="0" applyNumberFormat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12" borderId="67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7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7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1" xfId="0" applyFont="1" applyBorder="1" applyAlignment="1">
      <alignment horizontal="center" vertical="center" wrapText="1"/>
    </xf>
    <xf numFmtId="0" fontId="46" fillId="0" borderId="73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9" xfId="0" applyNumberFormat="1" applyFont="1" applyBorder="1" applyAlignment="1">
      <alignment horizontal="center" vertical="center"/>
    </xf>
    <xf numFmtId="0" fontId="46" fillId="0" borderId="74" xfId="0" applyFont="1" applyBorder="1" applyAlignment="1">
      <alignment horizontal="center" vertical="center" wrapText="1"/>
    </xf>
    <xf numFmtId="0" fontId="46" fillId="0" borderId="69" xfId="0" applyFont="1" applyBorder="1" applyAlignment="1">
      <alignment horizontal="center" vertical="center" wrapText="1"/>
    </xf>
    <xf numFmtId="0" fontId="7" fillId="8" borderId="75" xfId="0" applyFont="1" applyFill="1" applyBorder="1" applyAlignment="1">
      <alignment horizontal="center" vertical="center" wrapText="1"/>
    </xf>
    <xf numFmtId="0" fontId="7" fillId="8" borderId="76" xfId="0" applyFont="1" applyFill="1" applyBorder="1" applyAlignment="1">
      <alignment horizontal="center" vertical="center" wrapText="1"/>
    </xf>
    <xf numFmtId="0" fontId="7" fillId="12" borderId="75" xfId="0" applyFont="1" applyFill="1" applyBorder="1" applyAlignment="1">
      <alignment horizontal="center" vertical="center" wrapText="1"/>
    </xf>
    <xf numFmtId="0" fontId="7" fillId="12" borderId="76" xfId="0" applyFont="1" applyFill="1" applyBorder="1" applyAlignment="1">
      <alignment horizontal="center" vertical="center" wrapText="1"/>
    </xf>
    <xf numFmtId="44" fontId="7" fillId="17" borderId="72" xfId="1" applyFont="1" applyFill="1" applyBorder="1" applyAlignment="1">
      <alignment horizontal="right"/>
    </xf>
    <xf numFmtId="44" fontId="7" fillId="17" borderId="0" xfId="1" applyFont="1" applyFill="1" applyBorder="1" applyAlignment="1">
      <alignment horizontal="right"/>
    </xf>
    <xf numFmtId="44" fontId="7" fillId="0" borderId="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33CCFF"/>
      <color rgb="FF0000FF"/>
      <color rgb="FF00FFCC"/>
      <color rgb="FFFFCCFF"/>
      <color rgb="FF66CCFF"/>
      <color rgb="FF9933FF"/>
      <color rgb="FF6600FF"/>
      <color rgb="FF00FF00"/>
      <color rgb="FFFF33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NOVIEMBRE  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NOVIEMBRE  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NOVIEMBRE  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NOVIEMBRE  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44139</c:v>
                </c:pt>
                <c:pt idx="1">
                  <c:v>44140</c:v>
                </c:pt>
                <c:pt idx="2">
                  <c:v>44140</c:v>
                </c:pt>
                <c:pt idx="3">
                  <c:v>44141</c:v>
                </c:pt>
                <c:pt idx="4">
                  <c:v>44141</c:v>
                </c:pt>
                <c:pt idx="5">
                  <c:v>44141</c:v>
                </c:pt>
                <c:pt idx="6">
                  <c:v>44145</c:v>
                </c:pt>
                <c:pt idx="7">
                  <c:v>44145</c:v>
                </c:pt>
                <c:pt idx="8">
                  <c:v>44146</c:v>
                </c:pt>
                <c:pt idx="9">
                  <c:v>44148</c:v>
                </c:pt>
                <c:pt idx="10">
                  <c:v>44148</c:v>
                </c:pt>
                <c:pt idx="11">
                  <c:v>44148</c:v>
                </c:pt>
                <c:pt idx="12">
                  <c:v>44150</c:v>
                </c:pt>
                <c:pt idx="13">
                  <c:v>44154</c:v>
                </c:pt>
                <c:pt idx="14">
                  <c:v>44154</c:v>
                </c:pt>
                <c:pt idx="15">
                  <c:v>44154</c:v>
                </c:pt>
                <c:pt idx="16">
                  <c:v>44156</c:v>
                </c:pt>
                <c:pt idx="17">
                  <c:v>44156</c:v>
                </c:pt>
                <c:pt idx="18">
                  <c:v>44159</c:v>
                </c:pt>
                <c:pt idx="19">
                  <c:v>44159</c:v>
                </c:pt>
                <c:pt idx="20">
                  <c:v>44160</c:v>
                </c:pt>
                <c:pt idx="21">
                  <c:v>44161</c:v>
                </c:pt>
                <c:pt idx="22">
                  <c:v>44162</c:v>
                </c:pt>
                <c:pt idx="23">
                  <c:v>44162</c:v>
                </c:pt>
                <c:pt idx="24">
                  <c:v>44166</c:v>
                </c:pt>
                <c:pt idx="25">
                  <c:v>44167</c:v>
                </c:pt>
                <c:pt idx="26">
                  <c:v>44167</c:v>
                </c:pt>
                <c:pt idx="27">
                  <c:v>44168</c:v>
                </c:pt>
                <c:pt idx="28">
                  <c:v>44168</c:v>
                </c:pt>
                <c:pt idx="29">
                  <c:v>44169</c:v>
                </c:pt>
                <c:pt idx="30">
                  <c:v>44169</c:v>
                </c:pt>
                <c:pt idx="31">
                  <c:v>44169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NOVIEMBRE  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17221.62</c:v>
                </c:pt>
                <c:pt idx="1">
                  <c:v>18069.73</c:v>
                </c:pt>
                <c:pt idx="2">
                  <c:v>18897.84</c:v>
                </c:pt>
                <c:pt idx="3">
                  <c:v>18980.03</c:v>
                </c:pt>
                <c:pt idx="4">
                  <c:v>18848.72</c:v>
                </c:pt>
                <c:pt idx="5">
                  <c:v>18552.259999999998</c:v>
                </c:pt>
                <c:pt idx="6">
                  <c:v>17400.62</c:v>
                </c:pt>
                <c:pt idx="7">
                  <c:v>18910.12</c:v>
                </c:pt>
                <c:pt idx="8">
                  <c:v>18738.080000000002</c:v>
                </c:pt>
                <c:pt idx="9">
                  <c:v>18912.96</c:v>
                </c:pt>
                <c:pt idx="10">
                  <c:v>18824.259999999998</c:v>
                </c:pt>
                <c:pt idx="11">
                  <c:v>18731.509999999998</c:v>
                </c:pt>
                <c:pt idx="12">
                  <c:v>16469.419999999998</c:v>
                </c:pt>
                <c:pt idx="13">
                  <c:v>18548.990000000002</c:v>
                </c:pt>
                <c:pt idx="14">
                  <c:v>18634.07</c:v>
                </c:pt>
                <c:pt idx="15">
                  <c:v>18555.38</c:v>
                </c:pt>
                <c:pt idx="16">
                  <c:v>18623.54</c:v>
                </c:pt>
                <c:pt idx="17">
                  <c:v>18302.099999999999</c:v>
                </c:pt>
                <c:pt idx="18">
                  <c:v>18720.79</c:v>
                </c:pt>
                <c:pt idx="19">
                  <c:v>17166.22</c:v>
                </c:pt>
                <c:pt idx="20">
                  <c:v>18825.080000000002</c:v>
                </c:pt>
                <c:pt idx="21">
                  <c:v>18593.84</c:v>
                </c:pt>
                <c:pt idx="22">
                  <c:v>18858.560000000001</c:v>
                </c:pt>
                <c:pt idx="23">
                  <c:v>18899.03</c:v>
                </c:pt>
                <c:pt idx="24">
                  <c:v>18834.400000000001</c:v>
                </c:pt>
                <c:pt idx="25">
                  <c:v>16846.62</c:v>
                </c:pt>
                <c:pt idx="26">
                  <c:v>17407.419999999998</c:v>
                </c:pt>
                <c:pt idx="27">
                  <c:v>18625.52</c:v>
                </c:pt>
                <c:pt idx="28">
                  <c:v>18882.39</c:v>
                </c:pt>
                <c:pt idx="29">
                  <c:v>18448.28</c:v>
                </c:pt>
                <c:pt idx="30">
                  <c:v>18589.689999999999</c:v>
                </c:pt>
                <c:pt idx="31">
                  <c:v>18427.349999999999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NOVIEMBRE  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NOVIEMBRE  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17253.97</c:v>
                </c:pt>
                <c:pt idx="1">
                  <c:v>18146.2</c:v>
                </c:pt>
                <c:pt idx="2">
                  <c:v>19053</c:v>
                </c:pt>
                <c:pt idx="3">
                  <c:v>19099.8</c:v>
                </c:pt>
                <c:pt idx="4">
                  <c:v>18900.5</c:v>
                </c:pt>
                <c:pt idx="5">
                  <c:v>18658.3</c:v>
                </c:pt>
                <c:pt idx="6">
                  <c:v>17522.900000000001</c:v>
                </c:pt>
                <c:pt idx="7">
                  <c:v>18922.400000000001</c:v>
                </c:pt>
                <c:pt idx="8">
                  <c:v>18804.48</c:v>
                </c:pt>
                <c:pt idx="9">
                  <c:v>18949.5</c:v>
                </c:pt>
                <c:pt idx="10">
                  <c:v>18896.900000000001</c:v>
                </c:pt>
                <c:pt idx="11">
                  <c:v>18850.599999999999</c:v>
                </c:pt>
                <c:pt idx="12">
                  <c:v>16741.060000000001</c:v>
                </c:pt>
                <c:pt idx="13">
                  <c:v>18612.8</c:v>
                </c:pt>
                <c:pt idx="14">
                  <c:v>18807.3</c:v>
                </c:pt>
                <c:pt idx="15">
                  <c:v>18673.8</c:v>
                </c:pt>
                <c:pt idx="16">
                  <c:v>18644</c:v>
                </c:pt>
                <c:pt idx="17">
                  <c:v>18408.2</c:v>
                </c:pt>
                <c:pt idx="18">
                  <c:v>18793.599999999999</c:v>
                </c:pt>
                <c:pt idx="19">
                  <c:v>17405.45</c:v>
                </c:pt>
                <c:pt idx="20">
                  <c:v>18916.53</c:v>
                </c:pt>
                <c:pt idx="21">
                  <c:v>18619.400000000001</c:v>
                </c:pt>
                <c:pt idx="22">
                  <c:v>18979.599999999999</c:v>
                </c:pt>
                <c:pt idx="23">
                  <c:v>18933.2</c:v>
                </c:pt>
                <c:pt idx="24">
                  <c:v>18847.8</c:v>
                </c:pt>
                <c:pt idx="25">
                  <c:v>17121.53</c:v>
                </c:pt>
                <c:pt idx="26">
                  <c:v>17520.18</c:v>
                </c:pt>
                <c:pt idx="27">
                  <c:v>18697.099999999999</c:v>
                </c:pt>
                <c:pt idx="28">
                  <c:v>18975.099999999999</c:v>
                </c:pt>
                <c:pt idx="29">
                  <c:v>18657.64</c:v>
                </c:pt>
                <c:pt idx="30">
                  <c:v>18621.099999999999</c:v>
                </c:pt>
                <c:pt idx="31">
                  <c:v>18481.5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NOVIEMBRE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-32.350000000002183</c:v>
                </c:pt>
                <c:pt idx="1">
                  <c:v>-76.470000000001164</c:v>
                </c:pt>
                <c:pt idx="2">
                  <c:v>-155.15999999999985</c:v>
                </c:pt>
                <c:pt idx="3">
                  <c:v>-119.77000000000044</c:v>
                </c:pt>
                <c:pt idx="4">
                  <c:v>-51.779999999998836</c:v>
                </c:pt>
                <c:pt idx="5">
                  <c:v>-106.04000000000087</c:v>
                </c:pt>
                <c:pt idx="6">
                  <c:v>-122.28000000000247</c:v>
                </c:pt>
                <c:pt idx="7">
                  <c:v>-12.280000000002474</c:v>
                </c:pt>
                <c:pt idx="8">
                  <c:v>-66.399999999997817</c:v>
                </c:pt>
                <c:pt idx="9">
                  <c:v>-36.540000000000873</c:v>
                </c:pt>
                <c:pt idx="10">
                  <c:v>-72.640000000003056</c:v>
                </c:pt>
                <c:pt idx="11">
                  <c:v>-119.09000000000015</c:v>
                </c:pt>
                <c:pt idx="12">
                  <c:v>-271.64000000000306</c:v>
                </c:pt>
                <c:pt idx="13">
                  <c:v>-63.809999999997672</c:v>
                </c:pt>
                <c:pt idx="14">
                  <c:v>-173.22999999999956</c:v>
                </c:pt>
                <c:pt idx="15">
                  <c:v>-118.41999999999825</c:v>
                </c:pt>
                <c:pt idx="16">
                  <c:v>-20.459999999999127</c:v>
                </c:pt>
                <c:pt idx="17">
                  <c:v>-106.10000000000218</c:v>
                </c:pt>
                <c:pt idx="18">
                  <c:v>-72.809999999997672</c:v>
                </c:pt>
                <c:pt idx="19">
                  <c:v>-239.22999999999956</c:v>
                </c:pt>
                <c:pt idx="20">
                  <c:v>-91.44999999999709</c:v>
                </c:pt>
                <c:pt idx="21">
                  <c:v>-25.56000000000131</c:v>
                </c:pt>
                <c:pt idx="22">
                  <c:v>-121.03999999999724</c:v>
                </c:pt>
                <c:pt idx="23">
                  <c:v>-34.170000000001892</c:v>
                </c:pt>
                <c:pt idx="24">
                  <c:v>-13.399999999997817</c:v>
                </c:pt>
                <c:pt idx="25">
                  <c:v>-274.90999999999985</c:v>
                </c:pt>
                <c:pt idx="26">
                  <c:v>-112.76000000000204</c:v>
                </c:pt>
                <c:pt idx="27">
                  <c:v>-71.579999999998108</c:v>
                </c:pt>
                <c:pt idx="28">
                  <c:v>-92.709999999999127</c:v>
                </c:pt>
                <c:pt idx="29">
                  <c:v>-209.36000000000058</c:v>
                </c:pt>
                <c:pt idx="30">
                  <c:v>-31.409999999999854</c:v>
                </c:pt>
                <c:pt idx="31">
                  <c:v>-54.150000000001455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NOVIEMBRE  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11880</c:v>
                </c:pt>
                <c:pt idx="2">
                  <c:v>9580</c:v>
                </c:pt>
                <c:pt idx="4">
                  <c:v>11730</c:v>
                </c:pt>
                <c:pt idx="5">
                  <c:v>11730</c:v>
                </c:pt>
                <c:pt idx="6">
                  <c:v>9580</c:v>
                </c:pt>
                <c:pt idx="7">
                  <c:v>11730</c:v>
                </c:pt>
                <c:pt idx="8">
                  <c:v>10880</c:v>
                </c:pt>
                <c:pt idx="9">
                  <c:v>10880</c:v>
                </c:pt>
                <c:pt idx="10">
                  <c:v>11730</c:v>
                </c:pt>
                <c:pt idx="11">
                  <c:v>10880</c:v>
                </c:pt>
                <c:pt idx="12">
                  <c:v>10880</c:v>
                </c:pt>
                <c:pt idx="13">
                  <c:v>9580</c:v>
                </c:pt>
                <c:pt idx="14" formatCode="_(&quot;$&quot;* #,##0.00_);_(&quot;$&quot;* \(#,##0.00\);_(&quot;$&quot;* &quot;-&quot;??_);_(@_)">
                  <c:v>10880</c:v>
                </c:pt>
                <c:pt idx="15">
                  <c:v>11880</c:v>
                </c:pt>
                <c:pt idx="17">
                  <c:v>11880</c:v>
                </c:pt>
                <c:pt idx="18">
                  <c:v>10880</c:v>
                </c:pt>
                <c:pt idx="19">
                  <c:v>9830</c:v>
                </c:pt>
                <c:pt idx="20">
                  <c:v>11890</c:v>
                </c:pt>
                <c:pt idx="21">
                  <c:v>11880</c:v>
                </c:pt>
                <c:pt idx="22">
                  <c:v>10880</c:v>
                </c:pt>
                <c:pt idx="23">
                  <c:v>10880</c:v>
                </c:pt>
                <c:pt idx="24" formatCode="_(&quot;$&quot;* #,##0.00_);_(&quot;$&quot;* \(#,##0.00\);_(&quot;$&quot;* &quot;-&quot;??_);_(@_)">
                  <c:v>9580</c:v>
                </c:pt>
                <c:pt idx="25">
                  <c:v>11730</c:v>
                </c:pt>
                <c:pt idx="26" formatCode="_(&quot;$&quot;* #,##0.00_);_(&quot;$&quot;* \(#,##0.00\);_(&quot;$&quot;* &quot;-&quot;??_);_(@_)">
                  <c:v>9580</c:v>
                </c:pt>
                <c:pt idx="27">
                  <c:v>11880</c:v>
                </c:pt>
                <c:pt idx="29" formatCode="_(&quot;$&quot;* #,##0.00_);_(&quot;$&quot;* \(#,##0.00\);_(&quot;$&quot;* &quot;-&quot;??_);_(@_)">
                  <c:v>10880</c:v>
                </c:pt>
                <c:pt idx="30">
                  <c:v>11880</c:v>
                </c:pt>
                <c:pt idx="31">
                  <c:v>10880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9002076614</c:v>
                </c:pt>
                <c:pt idx="1">
                  <c:v>1823234</c:v>
                </c:pt>
                <c:pt idx="2">
                  <c:v>1823232</c:v>
                </c:pt>
                <c:pt idx="3">
                  <c:v>1079</c:v>
                </c:pt>
                <c:pt idx="4">
                  <c:v>1823233</c:v>
                </c:pt>
                <c:pt idx="5">
                  <c:v>1823900</c:v>
                </c:pt>
                <c:pt idx="6">
                  <c:v>9002086391</c:v>
                </c:pt>
                <c:pt idx="7">
                  <c:v>1825283</c:v>
                </c:pt>
                <c:pt idx="8">
                  <c:v>8325</c:v>
                </c:pt>
                <c:pt idx="9">
                  <c:v>1826582</c:v>
                </c:pt>
                <c:pt idx="10">
                  <c:v>1826112</c:v>
                </c:pt>
                <c:pt idx="11">
                  <c:v>1826111</c:v>
                </c:pt>
                <c:pt idx="12">
                  <c:v>9002094830</c:v>
                </c:pt>
                <c:pt idx="13">
                  <c:v>1829063</c:v>
                </c:pt>
                <c:pt idx="14">
                  <c:v>1829474</c:v>
                </c:pt>
                <c:pt idx="15">
                  <c:v>1829473</c:v>
                </c:pt>
                <c:pt idx="16">
                  <c:v>1135</c:v>
                </c:pt>
                <c:pt idx="17">
                  <c:v>1829895</c:v>
                </c:pt>
                <c:pt idx="18">
                  <c:v>1831639</c:v>
                </c:pt>
                <c:pt idx="19">
                  <c:v>9002118874</c:v>
                </c:pt>
                <c:pt idx="20">
                  <c:v>40780</c:v>
                </c:pt>
                <c:pt idx="21">
                  <c:v>1832075</c:v>
                </c:pt>
                <c:pt idx="22">
                  <c:v>1832352</c:v>
                </c:pt>
                <c:pt idx="23">
                  <c:v>1832912</c:v>
                </c:pt>
                <c:pt idx="24">
                  <c:v>1833500</c:v>
                </c:pt>
                <c:pt idx="25">
                  <c:v>9002132070</c:v>
                </c:pt>
                <c:pt idx="26">
                  <c:v>9002132071</c:v>
                </c:pt>
                <c:pt idx="27">
                  <c:v>1834538</c:v>
                </c:pt>
                <c:pt idx="28">
                  <c:v>1163</c:v>
                </c:pt>
                <c:pt idx="29">
                  <c:v>54320</c:v>
                </c:pt>
                <c:pt idx="30">
                  <c:v>1834921</c:v>
                </c:pt>
                <c:pt idx="31">
                  <c:v>1834922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4292</c:v>
                </c:pt>
                <c:pt idx="1">
                  <c:v>4640</c:v>
                </c:pt>
                <c:pt idx="2">
                  <c:v>4640</c:v>
                </c:pt>
                <c:pt idx="3">
                  <c:v>0</c:v>
                </c:pt>
                <c:pt idx="4">
                  <c:v>4785</c:v>
                </c:pt>
                <c:pt idx="5">
                  <c:v>4709.6000000000004</c:v>
                </c:pt>
                <c:pt idx="6">
                  <c:v>4785</c:v>
                </c:pt>
                <c:pt idx="7">
                  <c:v>4408</c:v>
                </c:pt>
                <c:pt idx="8">
                  <c:v>4756</c:v>
                </c:pt>
                <c:pt idx="9">
                  <c:v>4727</c:v>
                </c:pt>
                <c:pt idx="10">
                  <c:v>4727</c:v>
                </c:pt>
                <c:pt idx="11">
                  <c:v>4727</c:v>
                </c:pt>
                <c:pt idx="13">
                  <c:v>4466</c:v>
                </c:pt>
                <c:pt idx="14">
                  <c:v>4466</c:v>
                </c:pt>
                <c:pt idx="15">
                  <c:v>4466</c:v>
                </c:pt>
                <c:pt idx="16">
                  <c:v>0</c:v>
                </c:pt>
                <c:pt idx="17">
                  <c:v>4350</c:v>
                </c:pt>
                <c:pt idx="18">
                  <c:v>3973</c:v>
                </c:pt>
                <c:pt idx="19">
                  <c:v>3886</c:v>
                </c:pt>
                <c:pt idx="20">
                  <c:v>4060</c:v>
                </c:pt>
                <c:pt idx="21">
                  <c:v>3944</c:v>
                </c:pt>
                <c:pt idx="22">
                  <c:v>4060</c:v>
                </c:pt>
                <c:pt idx="23">
                  <c:v>4002</c:v>
                </c:pt>
                <c:pt idx="24">
                  <c:v>3973</c:v>
                </c:pt>
                <c:pt idx="25" formatCode="_(&quot;$&quot;* #,##0.00_);_(&quot;$&quot;* \(#,##0.00\);_(&quot;$&quot;* &quot;-&quot;??_);_(@_)">
                  <c:v>3712</c:v>
                </c:pt>
                <c:pt idx="26" formatCode="_(&quot;$&quot;* #,##0.00_);_(&quot;$&quot;* \(#,##0.00\);_(&quot;$&quot;* &quot;-&quot;??_);_(@_)">
                  <c:v>3770</c:v>
                </c:pt>
                <c:pt idx="27" formatCode="_(&quot;$&quot;* #,##0.00_);_(&quot;$&quot;* \(#,##0.00\);_(&quot;$&quot;* &quot;-&quot;??_);_(@_)">
                  <c:v>3961.4</c:v>
                </c:pt>
                <c:pt idx="28" formatCode="_(&quot;$&quot;* #,##0.00_);_(&quot;$&quot;* \(#,##0.00\);_(&quot;$&quot;* &quot;-&quot;??_);_(@_)">
                  <c:v>0</c:v>
                </c:pt>
                <c:pt idx="29" formatCode="_(&quot;$&quot;* #,##0.00_);_(&quot;$&quot;* \(#,##0.00\);_(&quot;$&quot;* &quot;-&quot;??_);_(@_)">
                  <c:v>4031</c:v>
                </c:pt>
                <c:pt idx="30" formatCode="_(&quot;$&quot;* #,##0.00_);_(&quot;$&quot;* \(#,##0.00\);_(&quot;$&quot;* &quot;-&quot;??_);_(@_)">
                  <c:v>4002</c:v>
                </c:pt>
                <c:pt idx="31" formatCode="_(&quot;$&quot;* #,##0.00_);_(&quot;$&quot;* \(#,##0.00\);_(&quot;$&quot;* &quot;-&quot;??_);_(@_)">
                  <c:v>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646104.40405000001</c:v>
                </c:pt>
                <c:pt idx="1">
                  <c:v>742517.15520000004</c:v>
                </c:pt>
                <c:pt idx="2">
                  <c:v>744777.47805999988</c:v>
                </c:pt>
                <c:pt idx="3">
                  <c:v>820347.58</c:v>
                </c:pt>
                <c:pt idx="4">
                  <c:v>773401.90399999998</c:v>
                </c:pt>
                <c:pt idx="5">
                  <c:v>759991.50535000011</c:v>
                </c:pt>
                <c:pt idx="6">
                  <c:v>714302.26379999996</c:v>
                </c:pt>
                <c:pt idx="7">
                  <c:v>772346.946</c:v>
                </c:pt>
                <c:pt idx="8">
                  <c:v>769773.70799999987</c:v>
                </c:pt>
                <c:pt idx="9" formatCode="_(&quot;$&quot;* #,##0.00_);_(&quot;$&quot;* \(#,##0.00\);_(&quot;$&quot;* &quot;-&quot;??_);_(@_)">
                  <c:v>757450.43159999989</c:v>
                </c:pt>
                <c:pt idx="10" formatCode="_(&quot;$&quot;* #,##0.00_);_(&quot;$&quot;* \(#,##0.00\);_(&quot;$&quot;* &quot;-&quot;??_);_(@_)">
                  <c:v>762233.82209999999</c:v>
                </c:pt>
                <c:pt idx="11" formatCode="_(&quot;$&quot;* #,##0.00_);_(&quot;$&quot;* \(#,##0.00\);_(&quot;$&quot;* &quot;-&quot;??_);_(@_)">
                  <c:v>760367.61990000005</c:v>
                </c:pt>
                <c:pt idx="12">
                  <c:v>638095.4040000001</c:v>
                </c:pt>
                <c:pt idx="13">
                  <c:v>721405.32694000006</c:v>
                </c:pt>
                <c:pt idx="14">
                  <c:v>721354.11400000006</c:v>
                </c:pt>
                <c:pt idx="15">
                  <c:v>716204.73200000008</c:v>
                </c:pt>
                <c:pt idx="16">
                  <c:v>763293.49</c:v>
                </c:pt>
                <c:pt idx="17">
                  <c:v>697285.34719999996</c:v>
                </c:pt>
                <c:pt idx="18">
                  <c:v>635877.06409999996</c:v>
                </c:pt>
                <c:pt idx="19">
                  <c:v>594035.13685999997</c:v>
                </c:pt>
                <c:pt idx="20">
                  <c:v>645226.11319999991</c:v>
                </c:pt>
                <c:pt idx="21">
                  <c:v>631058.07480000006</c:v>
                </c:pt>
                <c:pt idx="22">
                  <c:v>643264.52220000012</c:v>
                </c:pt>
                <c:pt idx="23">
                  <c:v>631651.92350000003</c:v>
                </c:pt>
                <c:pt idx="24">
                  <c:v>634307.76749999996</c:v>
                </c:pt>
                <c:pt idx="25">
                  <c:v>559797.83600000001</c:v>
                </c:pt>
                <c:pt idx="26">
                  <c:v>579209.21100000001</c:v>
                </c:pt>
                <c:pt idx="27">
                  <c:v>622480.48470000003</c:v>
                </c:pt>
                <c:pt idx="28">
                  <c:v>705692.15</c:v>
                </c:pt>
                <c:pt idx="29">
                  <c:v>645335.3665</c:v>
                </c:pt>
                <c:pt idx="30" formatCode="&quot;$&quot;#,##0.00">
                  <c:v>639880.06845000002</c:v>
                </c:pt>
                <c:pt idx="31" formatCode="&quot;$&quot;#,##0.00">
                  <c:v>635079.40977000003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646104.40405000001</c:v>
                </c:pt>
                <c:pt idx="1">
                  <c:v>789197.15520000004</c:v>
                </c:pt>
                <c:pt idx="2">
                  <c:v>789157.47805999988</c:v>
                </c:pt>
                <c:pt idx="3">
                  <c:v>820347.58</c:v>
                </c:pt>
                <c:pt idx="4">
                  <c:v>820076.90399999998</c:v>
                </c:pt>
                <c:pt idx="5">
                  <c:v>801881.50535000011</c:v>
                </c:pt>
                <c:pt idx="6">
                  <c:v>758827.26379999996</c:v>
                </c:pt>
                <c:pt idx="7">
                  <c:v>818644.946</c:v>
                </c:pt>
                <c:pt idx="8">
                  <c:v>815569.70799999987</c:v>
                </c:pt>
                <c:pt idx="9">
                  <c:v>803217.43159999989</c:v>
                </c:pt>
                <c:pt idx="10">
                  <c:v>804123.82209999999</c:v>
                </c:pt>
                <c:pt idx="11">
                  <c:v>760367.61990000005</c:v>
                </c:pt>
                <c:pt idx="12">
                  <c:v>679135.4040000001</c:v>
                </c:pt>
                <c:pt idx="13">
                  <c:v>765611.32694000006</c:v>
                </c:pt>
                <c:pt idx="14">
                  <c:v>766860.11400000006</c:v>
                </c:pt>
                <c:pt idx="15">
                  <c:v>758244.73200000008</c:v>
                </c:pt>
                <c:pt idx="16">
                  <c:v>763293.49</c:v>
                </c:pt>
                <c:pt idx="17">
                  <c:v>743675.34719999996</c:v>
                </c:pt>
                <c:pt idx="18">
                  <c:v>680890.06409999996</c:v>
                </c:pt>
                <c:pt idx="19">
                  <c:v>637911.13685999997</c:v>
                </c:pt>
                <c:pt idx="20">
                  <c:v>691336.11319999991</c:v>
                </c:pt>
                <c:pt idx="21">
                  <c:v>677042.07480000006</c:v>
                </c:pt>
                <c:pt idx="22">
                  <c:v>688364.52220000012</c:v>
                </c:pt>
                <c:pt idx="23">
                  <c:v>676693.92350000003</c:v>
                </c:pt>
                <c:pt idx="24">
                  <c:v>678020.76749999996</c:v>
                </c:pt>
                <c:pt idx="25">
                  <c:v>605399.83600000001</c:v>
                </c:pt>
                <c:pt idx="26">
                  <c:v>622719.21100000001</c:v>
                </c:pt>
                <c:pt idx="27">
                  <c:v>668481.88470000005</c:v>
                </c:pt>
                <c:pt idx="28">
                  <c:v>705692.15</c:v>
                </c:pt>
                <c:pt idx="29">
                  <c:v>690406.3665</c:v>
                </c:pt>
                <c:pt idx="30">
                  <c:v>685922.06845000002</c:v>
                </c:pt>
                <c:pt idx="31">
                  <c:v>676119.40977000003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37.446709600746956</c:v>
                </c:pt>
                <c:pt idx="1">
                  <c:v>43.59104248823445</c:v>
                </c:pt>
                <c:pt idx="2">
                  <c:v>41.519066711803909</c:v>
                </c:pt>
                <c:pt idx="3">
                  <c:v>42.950584822877723</c:v>
                </c:pt>
                <c:pt idx="4">
                  <c:v>43.489164519457155</c:v>
                </c:pt>
                <c:pt idx="5">
                  <c:v>43.077200781957636</c:v>
                </c:pt>
                <c:pt idx="6">
                  <c:v>43.404890389147909</c:v>
                </c:pt>
                <c:pt idx="7">
                  <c:v>43.363272417875109</c:v>
                </c:pt>
                <c:pt idx="8">
                  <c:v>43.371032222108767</c:v>
                </c:pt>
                <c:pt idx="9">
                  <c:v>42.387262545185884</c:v>
                </c:pt>
                <c:pt idx="10">
                  <c:v>42.553213601172672</c:v>
                </c:pt>
                <c:pt idx="11">
                  <c:v>40.43652084814277</c:v>
                </c:pt>
                <c:pt idx="12">
                  <c:v>40.567049159372232</c:v>
                </c:pt>
                <c:pt idx="13">
                  <c:v>41.233592309593405</c:v>
                </c:pt>
                <c:pt idx="14">
                  <c:v>40.874598905744051</c:v>
                </c:pt>
                <c:pt idx="15">
                  <c:v>40.70473668990779</c:v>
                </c:pt>
                <c:pt idx="16">
                  <c:v>40.940436065222052</c:v>
                </c:pt>
                <c:pt idx="17">
                  <c:v>40.39913447268065</c:v>
                </c:pt>
                <c:pt idx="18">
                  <c:v>36.329890180699813</c:v>
                </c:pt>
                <c:pt idx="19">
                  <c:v>36.75008011054009</c:v>
                </c:pt>
                <c:pt idx="20">
                  <c:v>36.646666497502444</c:v>
                </c:pt>
                <c:pt idx="21">
                  <c:v>36.462185398025717</c:v>
                </c:pt>
                <c:pt idx="22">
                  <c:v>36.268652774557957</c:v>
                </c:pt>
                <c:pt idx="23">
                  <c:v>35.841127939281265</c:v>
                </c:pt>
                <c:pt idx="24">
                  <c:v>35.973469980581285</c:v>
                </c:pt>
                <c:pt idx="25">
                  <c:v>35.35897995097401</c:v>
                </c:pt>
                <c:pt idx="26">
                  <c:v>35.642968793699609</c:v>
                </c:pt>
                <c:pt idx="27">
                  <c:v>35.853238988934123</c:v>
                </c:pt>
                <c:pt idx="28">
                  <c:v>37.290431143972896</c:v>
                </c:pt>
                <c:pt idx="29">
                  <c:v>37.103949400888858</c:v>
                </c:pt>
                <c:pt idx="30">
                  <c:v>36.935743777220473</c:v>
                </c:pt>
                <c:pt idx="31">
                  <c:v>36.683578701404109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0"/>
  <sheetViews>
    <sheetView tabSelected="1" topLeftCell="J16" zoomScaleNormal="100" workbookViewId="0">
      <selection activeCell="P37" sqref="P37"/>
    </sheetView>
  </sheetViews>
  <sheetFormatPr baseColWidth="10" defaultRowHeight="13.8" x14ac:dyDescent="0.25"/>
  <cols>
    <col min="1" max="1" width="4.6640625" customWidth="1"/>
    <col min="2" max="2" width="31.88671875" style="82" customWidth="1"/>
    <col min="3" max="3" width="19" bestFit="1" customWidth="1"/>
    <col min="4" max="4" width="15.44140625" style="12" bestFit="1" customWidth="1"/>
    <col min="5" max="5" width="11.88671875" style="148" customWidth="1"/>
    <col min="6" max="6" width="10.88671875" customWidth="1"/>
    <col min="7" max="7" width="7.33203125" customWidth="1"/>
    <col min="8" max="8" width="11.88671875" style="5" bestFit="1" customWidth="1"/>
    <col min="9" max="9" width="10" customWidth="1"/>
    <col min="10" max="10" width="13" style="139" bestFit="1" customWidth="1"/>
    <col min="11" max="11" width="14.109375" bestFit="1" customWidth="1"/>
    <col min="12" max="12" width="16.33203125" style="143" customWidth="1"/>
    <col min="13" max="13" width="14.109375" bestFit="1" customWidth="1"/>
    <col min="14" max="14" width="16" style="211" customWidth="1"/>
    <col min="15" max="15" width="14.109375" style="818" bestFit="1" customWidth="1"/>
    <col min="16" max="16" width="12.109375" style="102" customWidth="1"/>
    <col min="17" max="17" width="18.33203125" style="82" bestFit="1" customWidth="1"/>
    <col min="18" max="18" width="13.44140625" style="167" customWidth="1"/>
    <col min="19" max="19" width="14.109375" bestFit="1" customWidth="1"/>
    <col min="20" max="20" width="11" bestFit="1" customWidth="1"/>
    <col min="25" max="25" width="12.44140625" bestFit="1" customWidth="1"/>
    <col min="27" max="27" width="12.44140625" bestFit="1" customWidth="1"/>
    <col min="29" max="29" width="12.44140625" bestFit="1" customWidth="1"/>
  </cols>
  <sheetData>
    <row r="1" spans="1:29" ht="31.8" thickTop="1" thickBot="1" x14ac:dyDescent="0.6">
      <c r="A1" s="18"/>
      <c r="B1" s="715" t="s">
        <v>177</v>
      </c>
      <c r="C1" s="51"/>
      <c r="D1" s="108"/>
      <c r="E1" s="422"/>
      <c r="F1" s="57"/>
      <c r="G1" s="56"/>
      <c r="H1" s="57"/>
      <c r="I1" s="56"/>
      <c r="K1" s="1008" t="s">
        <v>26</v>
      </c>
      <c r="L1" s="531"/>
      <c r="M1" s="1010" t="s">
        <v>27</v>
      </c>
      <c r="N1" s="558"/>
      <c r="P1" s="104" t="s">
        <v>38</v>
      </c>
      <c r="Q1" s="1006" t="s">
        <v>28</v>
      </c>
      <c r="R1" s="163"/>
    </row>
    <row r="2" spans="1:29" ht="16.8" thickTop="1" thickBot="1" x14ac:dyDescent="0.35">
      <c r="A2" s="34"/>
      <c r="B2" s="716" t="s">
        <v>0</v>
      </c>
      <c r="C2" s="35" t="s">
        <v>10</v>
      </c>
      <c r="D2" s="25"/>
      <c r="E2" s="423" t="s">
        <v>25</v>
      </c>
      <c r="F2" s="58" t="s">
        <v>3</v>
      </c>
      <c r="G2" s="72" t="s">
        <v>8</v>
      </c>
      <c r="H2" s="693" t="s">
        <v>5</v>
      </c>
      <c r="I2" s="59" t="s">
        <v>6</v>
      </c>
      <c r="K2" s="1009"/>
      <c r="L2" s="532" t="s">
        <v>29</v>
      </c>
      <c r="M2" s="1011"/>
      <c r="N2" s="559" t="s">
        <v>29</v>
      </c>
      <c r="O2" s="819" t="s">
        <v>30</v>
      </c>
      <c r="P2" s="105" t="s">
        <v>39</v>
      </c>
      <c r="Q2" s="1007"/>
      <c r="R2" s="164" t="s">
        <v>29</v>
      </c>
    </row>
    <row r="3" spans="1:29" s="171" customFormat="1" ht="15.75" thickTop="1" x14ac:dyDescent="0.25">
      <c r="A3" s="107"/>
      <c r="B3" s="82">
        <f>PIERNA!B3</f>
        <v>0</v>
      </c>
      <c r="C3" s="171">
        <f>PIERNA!C3</f>
        <v>0</v>
      </c>
      <c r="D3" s="138">
        <f>PIERNA!D3</f>
        <v>0</v>
      </c>
      <c r="E3" s="424">
        <f>PIERNA!E3</f>
        <v>0</v>
      </c>
      <c r="F3" s="162">
        <f>PIERNA!F3</f>
        <v>0</v>
      </c>
      <c r="G3" s="107">
        <f>PIERNA!G3</f>
        <v>0</v>
      </c>
      <c r="H3" s="694">
        <f>PIERNA!H3</f>
        <v>0</v>
      </c>
      <c r="I3" s="181">
        <f>PIERNA!I3</f>
        <v>0</v>
      </c>
      <c r="J3" s="609"/>
      <c r="K3" s="350"/>
      <c r="L3" s="345"/>
      <c r="M3" s="634"/>
      <c r="N3" s="635"/>
      <c r="O3" s="318"/>
      <c r="P3" s="347"/>
      <c r="Q3" s="316"/>
      <c r="R3" s="639"/>
      <c r="S3" s="70">
        <f t="shared" ref="S3:S31" si="0">Q3+M3+K3+P3</f>
        <v>0</v>
      </c>
      <c r="T3" s="70" t="e">
        <f>S3/H3</f>
        <v>#DIV/0!</v>
      </c>
    </row>
    <row r="4" spans="1:29" s="171" customFormat="1" ht="15.75" x14ac:dyDescent="0.25">
      <c r="A4" s="107">
        <v>1</v>
      </c>
      <c r="B4" s="817" t="str">
        <f>PIERNA!B4</f>
        <v>SMITHFIELD FRESH MEAT</v>
      </c>
      <c r="C4" s="307" t="str">
        <f>PIERNA!C4</f>
        <v>Smithfield</v>
      </c>
      <c r="D4" s="290" t="str">
        <f>PIERNA!D4</f>
        <v>PED. 57218609</v>
      </c>
      <c r="E4" s="148">
        <f>PIERNA!E4</f>
        <v>44139</v>
      </c>
      <c r="F4" s="162">
        <f>PIERNA!F4</f>
        <v>17221.62</v>
      </c>
      <c r="G4" s="107">
        <f>PIERNA!G4</f>
        <v>20</v>
      </c>
      <c r="H4" s="694">
        <f>PIERNA!H4</f>
        <v>17253.97</v>
      </c>
      <c r="I4" s="181">
        <f>PIERNA!I4</f>
        <v>-32.350000000002183</v>
      </c>
      <c r="J4" s="676" t="s">
        <v>194</v>
      </c>
      <c r="K4" s="791">
        <v>11880</v>
      </c>
      <c r="L4" s="792" t="s">
        <v>252</v>
      </c>
      <c r="M4" s="791">
        <v>30160</v>
      </c>
      <c r="N4" s="793" t="s">
        <v>253</v>
      </c>
      <c r="O4" s="820">
        <v>9002076614</v>
      </c>
      <c r="P4" s="994">
        <v>4292</v>
      </c>
      <c r="Q4" s="800">
        <f>31341.47*20.615</f>
        <v>646104.40405000001</v>
      </c>
      <c r="R4" s="836" t="s">
        <v>213</v>
      </c>
      <c r="S4" s="70">
        <f>Q4</f>
        <v>646104.40405000001</v>
      </c>
      <c r="T4" s="70">
        <f>S4/H4</f>
        <v>37.446709600746956</v>
      </c>
      <c r="U4" s="266"/>
    </row>
    <row r="5" spans="1:29" s="171" customFormat="1" ht="15" x14ac:dyDescent="0.25">
      <c r="A5" s="107">
        <v>2</v>
      </c>
      <c r="B5" s="288" t="str">
        <f>PIERNA!B5</f>
        <v>SEABOARD FOODS</v>
      </c>
      <c r="C5" s="307" t="str">
        <f>PIERNA!C5</f>
        <v>Seaboard</v>
      </c>
      <c r="D5" s="290" t="str">
        <f>PIERNA!D5</f>
        <v>PED. 57258910</v>
      </c>
      <c r="E5" s="148">
        <f>PIERNA!E5</f>
        <v>44140</v>
      </c>
      <c r="F5" s="162">
        <f>PIERNA!F5</f>
        <v>18069.73</v>
      </c>
      <c r="G5" s="107">
        <f>PIERNA!G5</f>
        <v>21</v>
      </c>
      <c r="H5" s="694">
        <f>PIERNA!H5</f>
        <v>18146.2</v>
      </c>
      <c r="I5" s="181">
        <f>PIERNA!I5</f>
        <v>-76.470000000001164</v>
      </c>
      <c r="J5" s="676" t="s">
        <v>196</v>
      </c>
      <c r="K5" s="791">
        <v>11880</v>
      </c>
      <c r="L5" s="795" t="s">
        <v>254</v>
      </c>
      <c r="M5" s="791">
        <v>30160</v>
      </c>
      <c r="N5" s="793" t="s">
        <v>255</v>
      </c>
      <c r="O5" s="858">
        <v>1823234</v>
      </c>
      <c r="P5" s="994">
        <v>4640</v>
      </c>
      <c r="Q5" s="798">
        <f>34632.33*21.44</f>
        <v>742517.15520000004</v>
      </c>
      <c r="R5" s="799" t="s">
        <v>313</v>
      </c>
      <c r="S5" s="70">
        <f>Q5+M5+K5+P5</f>
        <v>789197.15520000004</v>
      </c>
      <c r="T5" s="70">
        <f>S5/H5+0.1</f>
        <v>43.59104248823445</v>
      </c>
      <c r="U5" s="232"/>
    </row>
    <row r="6" spans="1:29" s="171" customFormat="1" ht="15.75" x14ac:dyDescent="0.25">
      <c r="A6" s="107">
        <v>3</v>
      </c>
      <c r="B6" s="390" t="str">
        <f>PIERNA!B6</f>
        <v>SEABOARD FOODS</v>
      </c>
      <c r="C6" s="307" t="str">
        <f>PIERNA!C6</f>
        <v>Seaboard</v>
      </c>
      <c r="D6" s="110" t="str">
        <f>PIERNA!D6</f>
        <v>PED. 57224209</v>
      </c>
      <c r="E6" s="148">
        <f>PIERNA!E6</f>
        <v>44140</v>
      </c>
      <c r="F6" s="162">
        <f>PIERNA!F6</f>
        <v>18897.84</v>
      </c>
      <c r="G6" s="107">
        <f>PIERNA!G6</f>
        <v>21</v>
      </c>
      <c r="H6" s="694">
        <f>PIERNA!H6</f>
        <v>19053</v>
      </c>
      <c r="I6" s="181">
        <f>PIERNA!I6</f>
        <v>-155.15999999999985</v>
      </c>
      <c r="J6" s="676" t="s">
        <v>197</v>
      </c>
      <c r="K6" s="791">
        <v>9580</v>
      </c>
      <c r="L6" s="795" t="s">
        <v>253</v>
      </c>
      <c r="M6" s="791">
        <v>30160</v>
      </c>
      <c r="N6" s="793" t="s">
        <v>255</v>
      </c>
      <c r="O6" s="858">
        <v>1823232</v>
      </c>
      <c r="P6" s="994">
        <v>4640</v>
      </c>
      <c r="Q6" s="798">
        <f>35477.42*20.993</f>
        <v>744777.47805999988</v>
      </c>
      <c r="R6" s="799" t="s">
        <v>312</v>
      </c>
      <c r="S6" s="70">
        <f t="shared" si="0"/>
        <v>789157.47805999988</v>
      </c>
      <c r="T6" s="70">
        <f>S6/H6+0.1</f>
        <v>41.519066711803909</v>
      </c>
      <c r="U6" s="266"/>
    </row>
    <row r="7" spans="1:29" s="171" customFormat="1" ht="15.75" customHeight="1" x14ac:dyDescent="0.25">
      <c r="A7" s="107">
        <v>4</v>
      </c>
      <c r="B7" s="666" t="str">
        <f>PIERNA!B7</f>
        <v>F&amp;J TRADING MEAT</v>
      </c>
      <c r="C7" s="307" t="str">
        <f>PIERNA!C7</f>
        <v>Seaboard</v>
      </c>
      <c r="D7" s="110" t="str">
        <f>PIERNA!D7</f>
        <v>PED.  57274861</v>
      </c>
      <c r="E7" s="148">
        <f>PIERNA!E7</f>
        <v>44141</v>
      </c>
      <c r="F7" s="162">
        <f>PIERNA!F7</f>
        <v>18980.03</v>
      </c>
      <c r="G7" s="107">
        <f>PIERNA!G7</f>
        <v>21</v>
      </c>
      <c r="H7" s="694">
        <f>PIERNA!H7</f>
        <v>19099.8</v>
      </c>
      <c r="I7" s="181">
        <f>PIERNA!I7</f>
        <v>-119.77000000000044</v>
      </c>
      <c r="J7" s="676" t="s">
        <v>198</v>
      </c>
      <c r="K7" s="800"/>
      <c r="L7" s="795"/>
      <c r="M7" s="791"/>
      <c r="N7" s="793"/>
      <c r="O7" s="797">
        <v>1079</v>
      </c>
      <c r="P7" s="995">
        <v>0</v>
      </c>
      <c r="Q7" s="794">
        <v>820347.58</v>
      </c>
      <c r="R7" s="796" t="s">
        <v>247</v>
      </c>
      <c r="S7" s="70">
        <f t="shared" si="0"/>
        <v>820347.58</v>
      </c>
      <c r="T7" s="70">
        <f>S7/H7</f>
        <v>42.950584822877723</v>
      </c>
      <c r="U7" s="232"/>
      <c r="W7" s="79"/>
      <c r="X7" s="79"/>
      <c r="Y7" s="209"/>
      <c r="Z7" s="210">
        <v>5.0000000000000001E-3</v>
      </c>
      <c r="AA7" s="209">
        <f t="shared" ref="AA7:AA22" si="1">Y7*Z7</f>
        <v>0</v>
      </c>
      <c r="AB7" s="209">
        <f t="shared" ref="AB7:AB22" si="2">AA7*16%</f>
        <v>0</v>
      </c>
      <c r="AC7" s="209">
        <f t="shared" ref="AC7:AC22" si="3">AA7+AB7</f>
        <v>0</v>
      </c>
    </row>
    <row r="8" spans="1:29" s="171" customFormat="1" ht="15.75" x14ac:dyDescent="0.25">
      <c r="A8" s="107">
        <v>5</v>
      </c>
      <c r="B8" s="288" t="str">
        <f>PIERNA!B8</f>
        <v>SEABOARD FOODS</v>
      </c>
      <c r="C8" s="307" t="str">
        <f>PIERNA!C8</f>
        <v>Seaboard</v>
      </c>
      <c r="D8" s="110" t="str">
        <f>PIERNA!D8</f>
        <v>PED. 57258430</v>
      </c>
      <c r="E8" s="148">
        <f>PIERNA!E8</f>
        <v>44141</v>
      </c>
      <c r="F8" s="162">
        <f>PIERNA!F8</f>
        <v>18848.72</v>
      </c>
      <c r="G8" s="107">
        <f>PIERNA!G8</f>
        <v>21</v>
      </c>
      <c r="H8" s="694">
        <f>PIERNA!H8</f>
        <v>18900.5</v>
      </c>
      <c r="I8" s="181">
        <f>PIERNA!I8</f>
        <v>-51.779999999998836</v>
      </c>
      <c r="J8" s="676" t="s">
        <v>199</v>
      </c>
      <c r="K8" s="791">
        <v>11730</v>
      </c>
      <c r="L8" s="795" t="s">
        <v>253</v>
      </c>
      <c r="M8" s="791">
        <v>30160</v>
      </c>
      <c r="N8" s="793" t="s">
        <v>256</v>
      </c>
      <c r="O8" s="857">
        <v>1823233</v>
      </c>
      <c r="P8" s="995">
        <v>4785</v>
      </c>
      <c r="Q8" s="798">
        <f>36072.85*21.44</f>
        <v>773401.90399999998</v>
      </c>
      <c r="R8" s="799" t="s">
        <v>314</v>
      </c>
      <c r="S8" s="70">
        <f t="shared" si="0"/>
        <v>820076.90399999998</v>
      </c>
      <c r="T8" s="70">
        <f t="shared" ref="T8:T41" si="4">S8/H8+0.1</f>
        <v>43.489164519457155</v>
      </c>
      <c r="U8" s="266"/>
      <c r="W8" s="79"/>
      <c r="X8" s="79"/>
      <c r="Y8" s="209"/>
      <c r="Z8" s="210">
        <v>5.0000000000000001E-3</v>
      </c>
      <c r="AA8" s="209">
        <f t="shared" si="1"/>
        <v>0</v>
      </c>
      <c r="AB8" s="209">
        <f t="shared" si="2"/>
        <v>0</v>
      </c>
      <c r="AC8" s="209">
        <f t="shared" si="3"/>
        <v>0</v>
      </c>
    </row>
    <row r="9" spans="1:29" s="171" customFormat="1" ht="15.75" x14ac:dyDescent="0.25">
      <c r="A9" s="107">
        <v>6</v>
      </c>
      <c r="B9" s="816" t="str">
        <f>PIERNA!B9</f>
        <v>SEABOARD FOODS</v>
      </c>
      <c r="C9" s="307" t="str">
        <f>PIERNA!C9</f>
        <v>Seaboard</v>
      </c>
      <c r="D9" s="110" t="str">
        <f>PIERNA!D9</f>
        <v>PED. 57312961</v>
      </c>
      <c r="E9" s="148">
        <f>PIERNA!E9</f>
        <v>44141</v>
      </c>
      <c r="F9" s="162">
        <f>PIERNA!F9</f>
        <v>18552.259999999998</v>
      </c>
      <c r="G9" s="107">
        <f>PIERNA!G9</f>
        <v>21</v>
      </c>
      <c r="H9" s="694">
        <f>PIERNA!H9</f>
        <v>18658.3</v>
      </c>
      <c r="I9" s="181">
        <f>PIERNA!I9</f>
        <v>-106.04000000000087</v>
      </c>
      <c r="J9" s="676" t="s">
        <v>200</v>
      </c>
      <c r="K9" s="791">
        <v>11730</v>
      </c>
      <c r="L9" s="795" t="s">
        <v>255</v>
      </c>
      <c r="M9" s="791">
        <v>30160</v>
      </c>
      <c r="N9" s="793" t="s">
        <v>256</v>
      </c>
      <c r="O9" s="858">
        <v>1823900</v>
      </c>
      <c r="P9" s="995">
        <v>4709.6000000000004</v>
      </c>
      <c r="Q9" s="798">
        <f>35688.73*21.295</f>
        <v>759991.50535000011</v>
      </c>
      <c r="R9" s="799" t="s">
        <v>311</v>
      </c>
      <c r="S9" s="70">
        <f>Q9+M9+K9</f>
        <v>801881.50535000011</v>
      </c>
      <c r="T9" s="70">
        <f t="shared" si="4"/>
        <v>43.077200781957636</v>
      </c>
      <c r="U9" s="266"/>
      <c r="W9" s="79"/>
      <c r="X9" s="79"/>
      <c r="Y9" s="209"/>
      <c r="Z9" s="210">
        <v>5.0000000000000001E-3</v>
      </c>
      <c r="AA9" s="209">
        <f t="shared" si="1"/>
        <v>0</v>
      </c>
      <c r="AB9" s="209">
        <f t="shared" si="2"/>
        <v>0</v>
      </c>
      <c r="AC9" s="209">
        <f t="shared" si="3"/>
        <v>0</v>
      </c>
    </row>
    <row r="10" spans="1:29" s="171" customFormat="1" ht="15" x14ac:dyDescent="0.25">
      <c r="A10" s="107">
        <v>7</v>
      </c>
      <c r="B10" s="288" t="str">
        <f>PIERNA!B10</f>
        <v>SMITHFIEL FRESH MEAT</v>
      </c>
      <c r="C10" s="307" t="str">
        <f>PIERNA!C10</f>
        <v>Smithfield</v>
      </c>
      <c r="D10" s="110" t="str">
        <f>PIERNA!D10</f>
        <v>PED. 57440855</v>
      </c>
      <c r="E10" s="148">
        <f>PIERNA!E10</f>
        <v>44145</v>
      </c>
      <c r="F10" s="162">
        <f>PIERNA!F10</f>
        <v>17400.62</v>
      </c>
      <c r="G10" s="107">
        <f>PIERNA!G10</f>
        <v>20</v>
      </c>
      <c r="H10" s="694">
        <f>PIERNA!H10</f>
        <v>17522.900000000001</v>
      </c>
      <c r="I10" s="181">
        <f>PIERNA!I10</f>
        <v>-122.28000000000247</v>
      </c>
      <c r="J10" s="676" t="s">
        <v>211</v>
      </c>
      <c r="K10" s="791">
        <v>9580</v>
      </c>
      <c r="L10" s="795" t="s">
        <v>257</v>
      </c>
      <c r="M10" s="791">
        <v>30160</v>
      </c>
      <c r="N10" s="793" t="s">
        <v>258</v>
      </c>
      <c r="O10" s="797">
        <v>9002086391</v>
      </c>
      <c r="P10" s="994">
        <v>4785</v>
      </c>
      <c r="Q10" s="794">
        <f>33166.86*20.33+2000*20.01</f>
        <v>714302.26379999996</v>
      </c>
      <c r="R10" s="796" t="s">
        <v>269</v>
      </c>
      <c r="S10" s="70">
        <f>Q10+M10+K10+P10</f>
        <v>758827.26379999996</v>
      </c>
      <c r="T10" s="70">
        <f>S10/H10+0.1</f>
        <v>43.404890389147909</v>
      </c>
      <c r="U10" s="266"/>
      <c r="W10" s="79"/>
      <c r="X10" s="79"/>
      <c r="Y10" s="209"/>
      <c r="Z10" s="210">
        <v>5.0000000000000001E-3</v>
      </c>
      <c r="AA10" s="209">
        <f t="shared" si="1"/>
        <v>0</v>
      </c>
      <c r="AB10" s="209">
        <f t="shared" si="2"/>
        <v>0</v>
      </c>
      <c r="AC10" s="209">
        <f t="shared" si="3"/>
        <v>0</v>
      </c>
    </row>
    <row r="11" spans="1:29" s="171" customFormat="1" ht="15" x14ac:dyDescent="0.25">
      <c r="A11" s="107">
        <v>8</v>
      </c>
      <c r="B11" s="296" t="str">
        <f>PIERNA!B11</f>
        <v>SEABOARD FOODS</v>
      </c>
      <c r="C11" s="307" t="str">
        <f>PIERNA!C11</f>
        <v>Seaboard</v>
      </c>
      <c r="D11" s="110" t="str">
        <f>PIERNA!D11</f>
        <v>PED. 57442217</v>
      </c>
      <c r="E11" s="148">
        <f>PIERNA!E11</f>
        <v>44145</v>
      </c>
      <c r="F11" s="162">
        <f>PIERNA!F11</f>
        <v>18910.12</v>
      </c>
      <c r="G11" s="107">
        <f>PIERNA!G11</f>
        <v>21</v>
      </c>
      <c r="H11" s="694">
        <f>PIERNA!H11</f>
        <v>18922.400000000001</v>
      </c>
      <c r="I11" s="181">
        <f>PIERNA!I11</f>
        <v>-12.280000000002474</v>
      </c>
      <c r="J11" s="676" t="s">
        <v>231</v>
      </c>
      <c r="K11" s="791">
        <v>11730</v>
      </c>
      <c r="L11" s="795" t="s">
        <v>257</v>
      </c>
      <c r="M11" s="791">
        <v>30160</v>
      </c>
      <c r="N11" s="793" t="s">
        <v>258</v>
      </c>
      <c r="O11" s="821">
        <v>1825283</v>
      </c>
      <c r="P11" s="996">
        <v>4408</v>
      </c>
      <c r="Q11" s="794">
        <f>36260.42*21.3</f>
        <v>772346.946</v>
      </c>
      <c r="R11" s="796" t="s">
        <v>270</v>
      </c>
      <c r="S11" s="70">
        <f t="shared" si="0"/>
        <v>818644.946</v>
      </c>
      <c r="T11" s="70">
        <f>S11/H11+0.1</f>
        <v>43.363272417875109</v>
      </c>
      <c r="U11" s="266"/>
      <c r="W11" s="79"/>
      <c r="X11" s="79"/>
      <c r="Y11" s="209"/>
      <c r="Z11" s="210">
        <v>5.0000000000000001E-3</v>
      </c>
      <c r="AA11" s="209">
        <f t="shared" si="1"/>
        <v>0</v>
      </c>
      <c r="AB11" s="209">
        <f t="shared" si="2"/>
        <v>0</v>
      </c>
      <c r="AC11" s="209">
        <f t="shared" si="3"/>
        <v>0</v>
      </c>
    </row>
    <row r="12" spans="1:29" s="171" customFormat="1" ht="15" x14ac:dyDescent="0.25">
      <c r="A12" s="107">
        <v>9</v>
      </c>
      <c r="B12" s="288" t="str">
        <f>PIERNA!B12</f>
        <v>TYSON FRESH MEAT</v>
      </c>
      <c r="C12" s="307" t="str">
        <f>PIERNA!C12</f>
        <v xml:space="preserve">I B P </v>
      </c>
      <c r="D12" s="110" t="str">
        <f>PIERNA!D12</f>
        <v>PED. 57499386</v>
      </c>
      <c r="E12" s="148">
        <f>PIERNA!E12</f>
        <v>44146</v>
      </c>
      <c r="F12" s="162">
        <f>PIERNA!F12</f>
        <v>18738.080000000002</v>
      </c>
      <c r="G12" s="107">
        <f>PIERNA!G12</f>
        <v>20</v>
      </c>
      <c r="H12" s="694">
        <f>PIERNA!H12</f>
        <v>18804.48</v>
      </c>
      <c r="I12" s="113">
        <f>PIERNA!I12</f>
        <v>-66.399999999997817</v>
      </c>
      <c r="J12" s="676" t="s">
        <v>233</v>
      </c>
      <c r="K12" s="791">
        <v>10880</v>
      </c>
      <c r="L12" s="795" t="s">
        <v>258</v>
      </c>
      <c r="M12" s="791">
        <v>30160</v>
      </c>
      <c r="N12" s="793" t="s">
        <v>259</v>
      </c>
      <c r="O12" s="821">
        <v>8325</v>
      </c>
      <c r="P12" s="995">
        <v>4756</v>
      </c>
      <c r="Q12" s="794">
        <f>36241.7*21.24</f>
        <v>769773.70799999987</v>
      </c>
      <c r="R12" s="796" t="s">
        <v>273</v>
      </c>
      <c r="S12" s="70">
        <f t="shared" si="0"/>
        <v>815569.70799999987</v>
      </c>
      <c r="T12" s="70">
        <f>S12/H12</f>
        <v>43.371032222108767</v>
      </c>
      <c r="U12" s="267"/>
      <c r="W12" s="79"/>
      <c r="X12" s="79"/>
      <c r="Y12" s="209"/>
      <c r="Z12" s="210">
        <v>5.0000000000000001E-3</v>
      </c>
      <c r="AA12" s="209">
        <f t="shared" si="1"/>
        <v>0</v>
      </c>
      <c r="AB12" s="209">
        <f t="shared" si="2"/>
        <v>0</v>
      </c>
      <c r="AC12" s="209">
        <f t="shared" si="3"/>
        <v>0</v>
      </c>
    </row>
    <row r="13" spans="1:29" s="171" customFormat="1" ht="15.75" x14ac:dyDescent="0.25">
      <c r="A13" s="107">
        <v>10</v>
      </c>
      <c r="B13" s="390" t="str">
        <f>PIERNA!B13</f>
        <v>SEABOARD FOODS</v>
      </c>
      <c r="C13" s="307" t="str">
        <f>PIERNA!C13</f>
        <v>Seaborad</v>
      </c>
      <c r="D13" s="110" t="str">
        <f>PIERNA!D13</f>
        <v>PED. 57601854</v>
      </c>
      <c r="E13" s="148">
        <f>PIERNA!E13</f>
        <v>44148</v>
      </c>
      <c r="F13" s="162">
        <f>PIERNA!F13</f>
        <v>18912.96</v>
      </c>
      <c r="G13" s="107">
        <f>PIERNA!G13</f>
        <v>21</v>
      </c>
      <c r="H13" s="694">
        <f>PIERNA!H13</f>
        <v>18949.5</v>
      </c>
      <c r="I13" s="181">
        <f>PIERNA!I13</f>
        <v>-36.540000000000873</v>
      </c>
      <c r="J13" s="676" t="s">
        <v>236</v>
      </c>
      <c r="K13" s="791">
        <v>10880</v>
      </c>
      <c r="L13" s="795" t="s">
        <v>260</v>
      </c>
      <c r="M13" s="791">
        <v>30160</v>
      </c>
      <c r="N13" s="793" t="s">
        <v>260</v>
      </c>
      <c r="O13" s="820">
        <v>1826582</v>
      </c>
      <c r="P13" s="995">
        <v>4727</v>
      </c>
      <c r="Q13" s="800">
        <f>36345.99*20.84</f>
        <v>757450.43159999989</v>
      </c>
      <c r="R13" s="796" t="s">
        <v>266</v>
      </c>
      <c r="S13" s="70">
        <f t="shared" si="0"/>
        <v>803217.43159999989</v>
      </c>
      <c r="T13" s="70">
        <f>S13/H13</f>
        <v>42.387262545185884</v>
      </c>
      <c r="U13" s="232"/>
      <c r="W13" s="79"/>
      <c r="X13" s="79"/>
      <c r="Y13" s="209"/>
      <c r="Z13" s="210">
        <v>5.0000000000000001E-3</v>
      </c>
      <c r="AA13" s="209">
        <f t="shared" si="1"/>
        <v>0</v>
      </c>
      <c r="AB13" s="209">
        <f t="shared" si="2"/>
        <v>0</v>
      </c>
      <c r="AC13" s="209">
        <f t="shared" si="3"/>
        <v>0</v>
      </c>
    </row>
    <row r="14" spans="1:29" s="171" customFormat="1" ht="15" x14ac:dyDescent="0.25">
      <c r="A14" s="107">
        <v>11</v>
      </c>
      <c r="B14" s="333" t="str">
        <f>PIERNA!B14</f>
        <v>SEABOARD FOODS</v>
      </c>
      <c r="C14" s="307" t="str">
        <f>PIERNA!C14</f>
        <v>Seaboard</v>
      </c>
      <c r="D14" s="110" t="str">
        <f>PIERNA!D14</f>
        <v>PED. 57566631</v>
      </c>
      <c r="E14" s="148">
        <f>PIERNA!E14</f>
        <v>44148</v>
      </c>
      <c r="F14" s="162">
        <f>PIERNA!F14</f>
        <v>18824.259999999998</v>
      </c>
      <c r="G14" s="107">
        <f>PIERNA!G14</f>
        <v>21</v>
      </c>
      <c r="H14" s="694">
        <f>PIERNA!H14</f>
        <v>18896.900000000001</v>
      </c>
      <c r="I14" s="181">
        <f>PIERNA!I14</f>
        <v>-72.640000000003056</v>
      </c>
      <c r="J14" s="676" t="s">
        <v>237</v>
      </c>
      <c r="K14" s="791">
        <v>11730</v>
      </c>
      <c r="L14" s="795" t="s">
        <v>259</v>
      </c>
      <c r="M14" s="791">
        <v>30160</v>
      </c>
      <c r="N14" s="793" t="s">
        <v>260</v>
      </c>
      <c r="O14" s="797">
        <v>1826112</v>
      </c>
      <c r="P14" s="997">
        <v>4727</v>
      </c>
      <c r="Q14" s="800">
        <f>36245.07*21.03</f>
        <v>762233.82209999999</v>
      </c>
      <c r="R14" s="802" t="s">
        <v>248</v>
      </c>
      <c r="S14" s="70">
        <f>Q14+M14+K14</f>
        <v>804123.82209999999</v>
      </c>
      <c r="T14" s="70">
        <f>S14/H14</f>
        <v>42.553213601172672</v>
      </c>
      <c r="U14" s="232"/>
      <c r="W14" s="79"/>
      <c r="X14" s="79"/>
      <c r="Y14" s="209"/>
      <c r="Z14" s="210">
        <v>5.0000000000000001E-3</v>
      </c>
      <c r="AA14" s="209">
        <f t="shared" si="1"/>
        <v>0</v>
      </c>
      <c r="AB14" s="209">
        <f t="shared" si="2"/>
        <v>0</v>
      </c>
      <c r="AC14" s="209">
        <f t="shared" si="3"/>
        <v>0</v>
      </c>
    </row>
    <row r="15" spans="1:29" s="171" customFormat="1" ht="15.75" x14ac:dyDescent="0.25">
      <c r="A15" s="107">
        <v>12</v>
      </c>
      <c r="B15" s="390" t="str">
        <f>PIERNA!B15</f>
        <v>SEABOARD FOODS</v>
      </c>
      <c r="C15" s="307" t="str">
        <f>PIERNA!C15</f>
        <v>Seaboard</v>
      </c>
      <c r="D15" s="110" t="str">
        <f>PIERNA!D15</f>
        <v>PED. 57567088</v>
      </c>
      <c r="E15" s="148">
        <f>PIERNA!E15</f>
        <v>44148</v>
      </c>
      <c r="F15" s="162">
        <f>PIERNA!F15</f>
        <v>18731.509999999998</v>
      </c>
      <c r="G15" s="107">
        <f>PIERNA!G15</f>
        <v>21</v>
      </c>
      <c r="H15" s="694">
        <f>PIERNA!H15</f>
        <v>18850.599999999999</v>
      </c>
      <c r="I15" s="181">
        <f>PIERNA!I15</f>
        <v>-119.09000000000015</v>
      </c>
      <c r="J15" s="801" t="s">
        <v>238</v>
      </c>
      <c r="K15" s="791">
        <v>10880</v>
      </c>
      <c r="L15" s="795" t="s">
        <v>259</v>
      </c>
      <c r="M15" s="791">
        <v>30160</v>
      </c>
      <c r="N15" s="803" t="s">
        <v>260</v>
      </c>
      <c r="O15" s="820">
        <v>1826111</v>
      </c>
      <c r="P15" s="997">
        <v>4727</v>
      </c>
      <c r="Q15" s="800">
        <f>36156.33*21.03</f>
        <v>760367.61990000005</v>
      </c>
      <c r="R15" s="804" t="s">
        <v>265</v>
      </c>
      <c r="S15" s="70">
        <f>Q15</f>
        <v>760367.61990000005</v>
      </c>
      <c r="T15" s="70">
        <f>S15/H15+0.1</f>
        <v>40.43652084814277</v>
      </c>
      <c r="U15" s="232"/>
      <c r="W15" s="79"/>
      <c r="X15" s="79"/>
      <c r="Y15" s="209"/>
      <c r="Z15" s="210">
        <v>5.0000000000000001E-3</v>
      </c>
      <c r="AA15" s="209">
        <f t="shared" si="1"/>
        <v>0</v>
      </c>
      <c r="AB15" s="209">
        <f t="shared" si="2"/>
        <v>0</v>
      </c>
      <c r="AC15" s="209">
        <f t="shared" si="3"/>
        <v>0</v>
      </c>
    </row>
    <row r="16" spans="1:29" s="171" customFormat="1" ht="15.75" x14ac:dyDescent="0.25">
      <c r="A16" s="107">
        <v>13</v>
      </c>
      <c r="B16" s="225" t="str">
        <f>PIERNA!B16</f>
        <v>SMITHFIELD FRESH MEAT</v>
      </c>
      <c r="C16" s="171" t="str">
        <f>PIERNA!C16</f>
        <v>Smithfield</v>
      </c>
      <c r="D16" s="110" t="str">
        <f>PIERNA!D16</f>
        <v>PED. 57660569</v>
      </c>
      <c r="E16" s="148">
        <f>PIERNA!E16</f>
        <v>44150</v>
      </c>
      <c r="F16" s="162">
        <f>PIERNA!F16</f>
        <v>16469.419999999998</v>
      </c>
      <c r="G16" s="107">
        <f>PIERNA!G16</f>
        <v>20</v>
      </c>
      <c r="H16" s="694">
        <f>PIERNA!H16</f>
        <v>16741.060000000001</v>
      </c>
      <c r="I16" s="181">
        <f>PIERNA!I16</f>
        <v>-271.64000000000306</v>
      </c>
      <c r="J16" s="855" t="s">
        <v>239</v>
      </c>
      <c r="K16" s="791">
        <v>10880</v>
      </c>
      <c r="L16" s="795" t="s">
        <v>260</v>
      </c>
      <c r="M16" s="791">
        <v>30160</v>
      </c>
      <c r="N16" s="803" t="s">
        <v>261</v>
      </c>
      <c r="O16" s="797">
        <v>9002094830</v>
      </c>
      <c r="P16" s="995"/>
      <c r="Q16" s="794">
        <f>31746.04*20.1</f>
        <v>638095.4040000001</v>
      </c>
      <c r="R16" s="796" t="s">
        <v>298</v>
      </c>
      <c r="S16" s="70">
        <f t="shared" si="0"/>
        <v>679135.4040000001</v>
      </c>
      <c r="T16" s="70">
        <f>S16/H16</f>
        <v>40.567049159372232</v>
      </c>
      <c r="U16" s="232"/>
      <c r="W16" s="79"/>
      <c r="X16" s="79"/>
      <c r="Y16" s="209"/>
      <c r="Z16" s="210">
        <v>5.0000000000000001E-3</v>
      </c>
      <c r="AA16" s="209">
        <f t="shared" si="1"/>
        <v>0</v>
      </c>
      <c r="AB16" s="209">
        <f t="shared" si="2"/>
        <v>0</v>
      </c>
      <c r="AC16" s="209">
        <f t="shared" si="3"/>
        <v>0</v>
      </c>
    </row>
    <row r="17" spans="1:29" s="171" customFormat="1" ht="15.75" x14ac:dyDescent="0.25">
      <c r="A17" s="107">
        <v>14</v>
      </c>
      <c r="B17" s="225" t="str">
        <f>PIERNA!B17</f>
        <v>SEABOARD FOODS</v>
      </c>
      <c r="C17" s="171" t="str">
        <f>PIERNA!C17</f>
        <v>Seaboard</v>
      </c>
      <c r="D17" s="110" t="str">
        <f>PIERNA!D17</f>
        <v>PED. 57756642</v>
      </c>
      <c r="E17" s="148">
        <f>PIERNA!E17</f>
        <v>44154</v>
      </c>
      <c r="F17" s="162">
        <f>PIERNA!F17</f>
        <v>18548.990000000002</v>
      </c>
      <c r="G17" s="107">
        <f>PIERNA!G17</f>
        <v>21</v>
      </c>
      <c r="H17" s="694">
        <f>PIERNA!H17</f>
        <v>18612.8</v>
      </c>
      <c r="I17" s="181">
        <f>PIERNA!I17</f>
        <v>-63.809999999997672</v>
      </c>
      <c r="J17" s="676" t="s">
        <v>242</v>
      </c>
      <c r="K17" s="791">
        <v>9580</v>
      </c>
      <c r="L17" s="795" t="s">
        <v>261</v>
      </c>
      <c r="M17" s="791">
        <v>30160</v>
      </c>
      <c r="N17" s="803" t="s">
        <v>264</v>
      </c>
      <c r="O17" s="797">
        <v>1829063</v>
      </c>
      <c r="P17" s="999">
        <v>4466</v>
      </c>
      <c r="Q17" s="794">
        <f>35031.58*20.593</f>
        <v>721405.32694000006</v>
      </c>
      <c r="R17" s="802" t="s">
        <v>267</v>
      </c>
      <c r="S17" s="70">
        <f t="shared" si="0"/>
        <v>765611.32694000006</v>
      </c>
      <c r="T17" s="70">
        <f t="shared" si="4"/>
        <v>41.233592309593405</v>
      </c>
      <c r="U17" s="265"/>
      <c r="W17" s="79"/>
      <c r="X17" s="79"/>
      <c r="Y17" s="209"/>
      <c r="Z17" s="210">
        <v>5.0000000000000001E-3</v>
      </c>
      <c r="AA17" s="209">
        <f t="shared" si="1"/>
        <v>0</v>
      </c>
      <c r="AB17" s="209">
        <f t="shared" si="2"/>
        <v>0</v>
      </c>
      <c r="AC17" s="209">
        <f t="shared" si="3"/>
        <v>0</v>
      </c>
    </row>
    <row r="18" spans="1:29" s="171" customFormat="1" ht="15.75" x14ac:dyDescent="0.25">
      <c r="A18" s="107">
        <v>15</v>
      </c>
      <c r="B18" s="225" t="str">
        <f>PIERNA!B18</f>
        <v>SEABOARD FOODS</v>
      </c>
      <c r="C18" s="171" t="str">
        <f>PIERNA!C18</f>
        <v>Seaboard</v>
      </c>
      <c r="D18" s="110" t="str">
        <f>PIERNA!D18</f>
        <v>PED. 57811962</v>
      </c>
      <c r="E18" s="148">
        <f>PIERNA!E18</f>
        <v>44154</v>
      </c>
      <c r="F18" s="162">
        <f>PIERNA!F18</f>
        <v>18634.07</v>
      </c>
      <c r="G18" s="107">
        <f>PIERNA!G18</f>
        <v>21</v>
      </c>
      <c r="H18" s="694">
        <f>PIERNA!H18</f>
        <v>18807.3</v>
      </c>
      <c r="I18" s="181">
        <f>PIERNA!I18</f>
        <v>-173.22999999999956</v>
      </c>
      <c r="J18" s="676" t="s">
        <v>243</v>
      </c>
      <c r="K18" s="800">
        <v>10880</v>
      </c>
      <c r="L18" s="805" t="s">
        <v>263</v>
      </c>
      <c r="M18" s="791">
        <v>30160</v>
      </c>
      <c r="N18" s="793" t="s">
        <v>264</v>
      </c>
      <c r="O18" s="822">
        <v>1829474</v>
      </c>
      <c r="P18" s="998">
        <v>4466</v>
      </c>
      <c r="Q18" s="794">
        <f>35017.19*20.6</f>
        <v>721354.11400000006</v>
      </c>
      <c r="R18" s="796" t="s">
        <v>249</v>
      </c>
      <c r="S18" s="70">
        <f t="shared" si="0"/>
        <v>766860.11400000006</v>
      </c>
      <c r="T18" s="70">
        <f t="shared" si="4"/>
        <v>40.874598905744051</v>
      </c>
      <c r="U18" s="231"/>
      <c r="W18" s="79"/>
      <c r="X18" s="79"/>
      <c r="Y18" s="209"/>
      <c r="Z18" s="210">
        <v>5.0000000000000001E-3</v>
      </c>
      <c r="AA18" s="209">
        <f t="shared" si="1"/>
        <v>0</v>
      </c>
      <c r="AB18" s="209">
        <f t="shared" si="2"/>
        <v>0</v>
      </c>
      <c r="AC18" s="209">
        <f t="shared" si="3"/>
        <v>0</v>
      </c>
    </row>
    <row r="19" spans="1:29" s="171" customFormat="1" ht="15.75" x14ac:dyDescent="0.25">
      <c r="A19" s="107">
        <v>16</v>
      </c>
      <c r="B19" s="853" t="str">
        <f>PIERNA!B19</f>
        <v>SEABOARD FOODS</v>
      </c>
      <c r="C19" s="171" t="str">
        <f>PIERNA!C19</f>
        <v>Seaboard</v>
      </c>
      <c r="D19" s="110" t="str">
        <f>PIERNA!D19</f>
        <v>PED. 57812556</v>
      </c>
      <c r="E19" s="148">
        <f>PIERNA!E19</f>
        <v>44154</v>
      </c>
      <c r="F19" s="162">
        <f>PIERNA!F19</f>
        <v>18555.38</v>
      </c>
      <c r="G19" s="107">
        <f>PIERNA!G19</f>
        <v>21</v>
      </c>
      <c r="H19" s="694">
        <f>PIERNA!H19</f>
        <v>18673.8</v>
      </c>
      <c r="I19" s="181">
        <f>PIERNA!I19</f>
        <v>-118.41999999999825</v>
      </c>
      <c r="J19" s="676" t="s">
        <v>244</v>
      </c>
      <c r="K19" s="791">
        <v>11880</v>
      </c>
      <c r="L19" s="795" t="s">
        <v>263</v>
      </c>
      <c r="M19" s="791">
        <v>30160</v>
      </c>
      <c r="N19" s="793" t="s">
        <v>264</v>
      </c>
      <c r="O19" s="797">
        <v>1829473</v>
      </c>
      <c r="P19" s="998">
        <v>4466</v>
      </c>
      <c r="Q19" s="794">
        <f>34767.22*20.6</f>
        <v>716204.73200000008</v>
      </c>
      <c r="R19" s="806" t="s">
        <v>268</v>
      </c>
      <c r="S19" s="70">
        <f>Q19+M19+K19</f>
        <v>758244.73200000008</v>
      </c>
      <c r="T19" s="70">
        <f>S19/H19+0.1</f>
        <v>40.70473668990779</v>
      </c>
      <c r="W19" s="79"/>
      <c r="X19" s="79"/>
      <c r="Y19" s="209"/>
      <c r="Z19" s="210">
        <v>5.0000000000000001E-3</v>
      </c>
      <c r="AA19" s="209">
        <f t="shared" si="1"/>
        <v>0</v>
      </c>
      <c r="AB19" s="209">
        <f t="shared" si="2"/>
        <v>0</v>
      </c>
      <c r="AC19" s="209">
        <f t="shared" si="3"/>
        <v>0</v>
      </c>
    </row>
    <row r="20" spans="1:29" s="171" customFormat="1" ht="15" x14ac:dyDescent="0.25">
      <c r="A20" s="107">
        <v>17</v>
      </c>
      <c r="B20" s="66" t="str">
        <f>PIERNA!B20</f>
        <v xml:space="preserve">F&amp;J TRADING MEAT S DE RL DE CV </v>
      </c>
      <c r="C20" s="82" t="str">
        <f>PIERNA!C20</f>
        <v>Seaboard</v>
      </c>
      <c r="D20" s="110" t="str">
        <f>PIERNA!D20</f>
        <v>PED. 57927996</v>
      </c>
      <c r="E20" s="148">
        <f>PIERNA!E20</f>
        <v>44156</v>
      </c>
      <c r="F20" s="162">
        <f>PIERNA!F20</f>
        <v>18623.54</v>
      </c>
      <c r="G20" s="107">
        <f>PIERNA!G20</f>
        <v>21</v>
      </c>
      <c r="H20" s="694">
        <f>PIERNA!H20</f>
        <v>18644</v>
      </c>
      <c r="I20" s="181">
        <f>PIERNA!I20</f>
        <v>-20.459999999999127</v>
      </c>
      <c r="J20" s="676" t="s">
        <v>512</v>
      </c>
      <c r="K20" s="791"/>
      <c r="L20" s="795"/>
      <c r="M20" s="791"/>
      <c r="N20" s="793"/>
      <c r="O20" s="797">
        <v>1135</v>
      </c>
      <c r="P20" s="998">
        <v>0</v>
      </c>
      <c r="Q20" s="980">
        <v>763293.49</v>
      </c>
      <c r="R20" s="981" t="s">
        <v>513</v>
      </c>
      <c r="S20" s="70">
        <f t="shared" si="0"/>
        <v>763293.49</v>
      </c>
      <c r="T20" s="70">
        <f>S20/H20</f>
        <v>40.940436065222052</v>
      </c>
      <c r="W20" s="79"/>
      <c r="X20" s="79"/>
      <c r="Y20" s="209"/>
      <c r="Z20" s="210">
        <v>5.0000000000000001E-3</v>
      </c>
      <c r="AA20" s="209">
        <f t="shared" si="1"/>
        <v>0</v>
      </c>
      <c r="AB20" s="209">
        <f t="shared" si="2"/>
        <v>0</v>
      </c>
      <c r="AC20" s="209">
        <f t="shared" si="3"/>
        <v>0</v>
      </c>
    </row>
    <row r="21" spans="1:29" s="171" customFormat="1" ht="15" x14ac:dyDescent="0.25">
      <c r="A21" s="107">
        <v>18</v>
      </c>
      <c r="B21" s="263" t="str">
        <f>PIERNA!B21</f>
        <v>SEABOARD FOODS</v>
      </c>
      <c r="C21" s="333" t="str">
        <f>PIERNA!C21</f>
        <v>Seaboard</v>
      </c>
      <c r="D21" s="110" t="str">
        <f>PIERNA!D21</f>
        <v>PED. 57911234</v>
      </c>
      <c r="E21" s="148">
        <f>PIERNA!E21</f>
        <v>44156</v>
      </c>
      <c r="F21" s="162">
        <f>PIERNA!F21</f>
        <v>18302.099999999999</v>
      </c>
      <c r="G21" s="107">
        <f>PIERNA!G21</f>
        <v>21</v>
      </c>
      <c r="H21" s="694">
        <f>PIERNA!H21</f>
        <v>18408.2</v>
      </c>
      <c r="I21" s="181">
        <f>PIERNA!I21</f>
        <v>-106.10000000000218</v>
      </c>
      <c r="J21" s="676" t="s">
        <v>287</v>
      </c>
      <c r="K21" s="791">
        <v>11880</v>
      </c>
      <c r="L21" s="795" t="s">
        <v>320</v>
      </c>
      <c r="M21" s="791">
        <v>30160</v>
      </c>
      <c r="N21" s="793" t="s">
        <v>305</v>
      </c>
      <c r="O21" s="797">
        <v>1829895</v>
      </c>
      <c r="P21" s="998">
        <v>4350</v>
      </c>
      <c r="Q21" s="794">
        <f>33947.68*20.54</f>
        <v>697285.34719999996</v>
      </c>
      <c r="R21" s="806" t="s">
        <v>316</v>
      </c>
      <c r="S21" s="70">
        <f t="shared" si="0"/>
        <v>743675.34719999996</v>
      </c>
      <c r="T21" s="70">
        <f>S21/H21</f>
        <v>40.39913447268065</v>
      </c>
      <c r="W21" s="79"/>
      <c r="X21" s="79"/>
      <c r="Y21" s="209"/>
      <c r="Z21" s="210">
        <v>5.0000000000000001E-3</v>
      </c>
      <c r="AA21" s="209">
        <f t="shared" si="1"/>
        <v>0</v>
      </c>
      <c r="AB21" s="209">
        <f t="shared" si="2"/>
        <v>0</v>
      </c>
      <c r="AC21" s="209">
        <f t="shared" si="3"/>
        <v>0</v>
      </c>
    </row>
    <row r="22" spans="1:29" s="171" customFormat="1" ht="15" x14ac:dyDescent="0.25">
      <c r="A22" s="107">
        <v>19</v>
      </c>
      <c r="B22" s="288" t="str">
        <f>PIERNA!B22</f>
        <v>SEABOARD FOODS</v>
      </c>
      <c r="C22" s="171" t="str">
        <f>PIERNA!C22</f>
        <v>Seaboard</v>
      </c>
      <c r="D22" s="290" t="str">
        <f>PIERNA!D22</f>
        <v>PED. 58003092</v>
      </c>
      <c r="E22" s="291">
        <f>PIERNA!E22</f>
        <v>44159</v>
      </c>
      <c r="F22" s="302">
        <f>PIERNA!F22</f>
        <v>18720.79</v>
      </c>
      <c r="G22" s="308">
        <f>PIERNA!G22</f>
        <v>21</v>
      </c>
      <c r="H22" s="695">
        <f>PIERNA!H22</f>
        <v>18793.599999999999</v>
      </c>
      <c r="I22" s="678">
        <f>PIERNA!I22</f>
        <v>-72.809999999997672</v>
      </c>
      <c r="J22" s="676" t="s">
        <v>288</v>
      </c>
      <c r="K22" s="791">
        <v>10880</v>
      </c>
      <c r="L22" s="795" t="s">
        <v>305</v>
      </c>
      <c r="M22" s="791">
        <v>30160</v>
      </c>
      <c r="N22" s="793" t="s">
        <v>307</v>
      </c>
      <c r="O22" s="821">
        <v>1831639</v>
      </c>
      <c r="P22" s="998">
        <v>3973</v>
      </c>
      <c r="Q22" s="794">
        <f>31277.77*20.33</f>
        <v>635877.06409999996</v>
      </c>
      <c r="R22" s="806" t="s">
        <v>317</v>
      </c>
      <c r="S22" s="70">
        <f t="shared" si="0"/>
        <v>680890.06409999996</v>
      </c>
      <c r="T22" s="70">
        <f t="shared" si="4"/>
        <v>36.329890180699813</v>
      </c>
      <c r="W22" s="79"/>
      <c r="X22" s="79"/>
      <c r="Y22" s="209"/>
      <c r="Z22" s="210">
        <v>5.0000000000000001E-3</v>
      </c>
      <c r="AA22" s="209">
        <f t="shared" si="1"/>
        <v>0</v>
      </c>
      <c r="AB22" s="209">
        <f t="shared" si="2"/>
        <v>0</v>
      </c>
      <c r="AC22" s="209">
        <f t="shared" si="3"/>
        <v>0</v>
      </c>
    </row>
    <row r="23" spans="1:29" s="171" customFormat="1" ht="15.75" x14ac:dyDescent="0.25">
      <c r="A23" s="107">
        <v>20</v>
      </c>
      <c r="B23" s="82" t="str">
        <f>PIERNA!B23</f>
        <v>SMITHFIELD FRESH MEAT</v>
      </c>
      <c r="C23" s="171" t="str">
        <f>PIERNA!C23</f>
        <v>PED. 58002667</v>
      </c>
      <c r="D23" s="290" t="str">
        <f>PIERNA!D23</f>
        <v>PED. 58002667</v>
      </c>
      <c r="E23" s="291">
        <f>PIERNA!E23</f>
        <v>44159</v>
      </c>
      <c r="F23" s="302">
        <f>PIERNA!F23</f>
        <v>17166.22</v>
      </c>
      <c r="G23" s="308">
        <f>PIERNA!G23</f>
        <v>20</v>
      </c>
      <c r="H23" s="695">
        <f>PIERNA!H23</f>
        <v>17405.45</v>
      </c>
      <c r="I23" s="678">
        <f>PIERNA!I23</f>
        <v>-239.22999999999956</v>
      </c>
      <c r="J23" s="676" t="s">
        <v>289</v>
      </c>
      <c r="K23" s="791">
        <v>9830</v>
      </c>
      <c r="L23" s="795" t="s">
        <v>306</v>
      </c>
      <c r="M23" s="791">
        <v>30160</v>
      </c>
      <c r="N23" s="793" t="s">
        <v>307</v>
      </c>
      <c r="O23" s="822">
        <v>9002118874</v>
      </c>
      <c r="P23" s="998">
        <v>3886</v>
      </c>
      <c r="Q23" s="980">
        <f>29586.37*20.078</f>
        <v>594035.13685999997</v>
      </c>
      <c r="R23" s="981" t="s">
        <v>521</v>
      </c>
      <c r="S23" s="70">
        <f t="shared" si="0"/>
        <v>637911.13685999997</v>
      </c>
      <c r="T23" s="70">
        <f t="shared" si="4"/>
        <v>36.75008011054009</v>
      </c>
      <c r="W23" s="79"/>
      <c r="X23" s="79"/>
      <c r="Y23" s="209"/>
      <c r="Z23" s="210">
        <v>5.0000000000000001E-3</v>
      </c>
      <c r="AA23" s="209">
        <f t="shared" ref="AA23:AA28" si="5">Y23*Z23</f>
        <v>0</v>
      </c>
      <c r="AB23" s="209">
        <f t="shared" ref="AB23:AB28" si="6">AA23*16%</f>
        <v>0</v>
      </c>
      <c r="AC23" s="209">
        <f t="shared" ref="AC23:AC28" si="7">AA23+AB23</f>
        <v>0</v>
      </c>
    </row>
    <row r="24" spans="1:29" s="171" customFormat="1" ht="15.75" x14ac:dyDescent="0.25">
      <c r="A24" s="107">
        <v>21</v>
      </c>
      <c r="B24" s="852" t="str">
        <f>PIERNA!B24</f>
        <v>TYSON FRESH MEAT</v>
      </c>
      <c r="C24" s="171" t="str">
        <f>PIERNA!C24</f>
        <v xml:space="preserve">I B P </v>
      </c>
      <c r="D24" s="733" t="str">
        <f>PIERNA!D24</f>
        <v>PED. 58048878</v>
      </c>
      <c r="E24" s="291">
        <f>PIERNA!E24</f>
        <v>44160</v>
      </c>
      <c r="F24" s="302">
        <f>PIERNA!F24</f>
        <v>18825.080000000002</v>
      </c>
      <c r="G24" s="308">
        <f>PIERNA!G24</f>
        <v>20</v>
      </c>
      <c r="H24" s="695">
        <f>PIERNA!H24</f>
        <v>18916.53</v>
      </c>
      <c r="I24" s="678">
        <f>PIERNA!I24</f>
        <v>-91.44999999999709</v>
      </c>
      <c r="J24" s="676" t="s">
        <v>290</v>
      </c>
      <c r="K24" s="791">
        <v>11890</v>
      </c>
      <c r="L24" s="795" t="s">
        <v>307</v>
      </c>
      <c r="M24" s="791">
        <v>30160</v>
      </c>
      <c r="N24" s="793" t="s">
        <v>308</v>
      </c>
      <c r="O24" s="797">
        <v>40780</v>
      </c>
      <c r="P24" s="998">
        <v>4060</v>
      </c>
      <c r="Q24" s="794">
        <f>31690.87*20.36</f>
        <v>645226.11319999991</v>
      </c>
      <c r="R24" s="806" t="s">
        <v>317</v>
      </c>
      <c r="S24" s="70">
        <f t="shared" si="0"/>
        <v>691336.11319999991</v>
      </c>
      <c r="T24" s="70">
        <f t="shared" si="4"/>
        <v>36.646666497502444</v>
      </c>
      <c r="W24" s="79"/>
      <c r="X24" s="79"/>
      <c r="Y24" s="209"/>
      <c r="Z24" s="210">
        <v>5.0000000000000001E-3</v>
      </c>
      <c r="AA24" s="209">
        <f t="shared" si="5"/>
        <v>0</v>
      </c>
      <c r="AB24" s="209">
        <f t="shared" si="6"/>
        <v>0</v>
      </c>
      <c r="AC24" s="209">
        <f t="shared" si="7"/>
        <v>0</v>
      </c>
    </row>
    <row r="25" spans="1:29" s="171" customFormat="1" ht="15" x14ac:dyDescent="0.25">
      <c r="A25" s="107">
        <v>22</v>
      </c>
      <c r="B25" s="82" t="str">
        <f>PIERNA!HI5</f>
        <v>SEABOARD FOODS</v>
      </c>
      <c r="C25" s="70" t="str">
        <f>PIERNA!HJ5</f>
        <v>Seaboard</v>
      </c>
      <c r="D25" s="733" t="str">
        <f>PIERNA!HK5</f>
        <v>PED. 58101963</v>
      </c>
      <c r="E25" s="291">
        <f>PIERNA!E25</f>
        <v>44161</v>
      </c>
      <c r="F25" s="302">
        <f>PIERNA!HM5</f>
        <v>18593.84</v>
      </c>
      <c r="G25" s="308">
        <f>PIERNA!HN5</f>
        <v>21</v>
      </c>
      <c r="H25" s="695">
        <f>PIERNA!HO5</f>
        <v>18619.400000000001</v>
      </c>
      <c r="I25" s="678">
        <f>PIERNA!I25</f>
        <v>-25.56000000000131</v>
      </c>
      <c r="J25" s="676" t="s">
        <v>293</v>
      </c>
      <c r="K25" s="791">
        <v>11880</v>
      </c>
      <c r="L25" s="795" t="s">
        <v>308</v>
      </c>
      <c r="M25" s="791">
        <v>30160</v>
      </c>
      <c r="N25" s="806" t="s">
        <v>309</v>
      </c>
      <c r="O25" s="797">
        <v>1832075</v>
      </c>
      <c r="P25" s="998">
        <v>3944</v>
      </c>
      <c r="Q25" s="794">
        <f>31147.98*20.26</f>
        <v>631058.07480000006</v>
      </c>
      <c r="R25" s="744" t="s">
        <v>318</v>
      </c>
      <c r="S25" s="70">
        <f t="shared" si="0"/>
        <v>677042.07480000006</v>
      </c>
      <c r="T25" s="70">
        <f t="shared" si="4"/>
        <v>36.462185398025717</v>
      </c>
      <c r="W25" s="79"/>
      <c r="X25" s="79"/>
      <c r="Y25" s="209"/>
      <c r="Z25" s="210">
        <v>5.0000000000000001E-3</v>
      </c>
      <c r="AA25" s="209">
        <f t="shared" si="5"/>
        <v>0</v>
      </c>
      <c r="AB25" s="209">
        <f t="shared" si="6"/>
        <v>0</v>
      </c>
      <c r="AC25" s="209">
        <f t="shared" si="7"/>
        <v>0</v>
      </c>
    </row>
    <row r="26" spans="1:29" s="171" customFormat="1" ht="24.75" x14ac:dyDescent="0.25">
      <c r="A26" s="107">
        <v>23</v>
      </c>
      <c r="B26" s="82" t="str">
        <f>PIERNA!HS5</f>
        <v>SEABOARD FOODS</v>
      </c>
      <c r="C26" s="171" t="str">
        <f>PIERNA!HT5</f>
        <v>Seaboard</v>
      </c>
      <c r="D26" s="733" t="str">
        <f>PIERNA!HU5</f>
        <v>PED. 58101213</v>
      </c>
      <c r="E26" s="291">
        <f>PIERNA!HV5</f>
        <v>44162</v>
      </c>
      <c r="F26" s="302">
        <f>PIERNA!HW5</f>
        <v>18858.560000000001</v>
      </c>
      <c r="G26" s="303">
        <f>PIERNA!HX5</f>
        <v>21</v>
      </c>
      <c r="H26" s="695">
        <f>PIERNA!HY5</f>
        <v>18979.599999999999</v>
      </c>
      <c r="I26" s="678">
        <f>PIERNA!I26</f>
        <v>-121.03999999999724</v>
      </c>
      <c r="J26" s="676" t="s">
        <v>294</v>
      </c>
      <c r="K26" s="791">
        <v>10880</v>
      </c>
      <c r="L26" s="795" t="s">
        <v>308</v>
      </c>
      <c r="M26" s="791">
        <v>30160</v>
      </c>
      <c r="N26" s="806" t="s">
        <v>310</v>
      </c>
      <c r="O26" s="797">
        <v>1832352</v>
      </c>
      <c r="P26" s="998">
        <v>4060</v>
      </c>
      <c r="Q26" s="794">
        <f>31750.47*20.26</f>
        <v>643264.52220000012</v>
      </c>
      <c r="R26" s="859" t="s">
        <v>315</v>
      </c>
      <c r="S26" s="70">
        <f t="shared" si="0"/>
        <v>688364.52220000012</v>
      </c>
      <c r="T26" s="70">
        <f>S26/H26</f>
        <v>36.268652774557957</v>
      </c>
      <c r="W26" s="79"/>
      <c r="X26" s="79"/>
      <c r="Y26" s="209"/>
      <c r="Z26" s="210">
        <v>5.0000000000000001E-3</v>
      </c>
      <c r="AA26" s="209">
        <f t="shared" si="5"/>
        <v>0</v>
      </c>
      <c r="AB26" s="209">
        <f t="shared" si="6"/>
        <v>0</v>
      </c>
      <c r="AC26" s="209">
        <f t="shared" si="7"/>
        <v>0</v>
      </c>
    </row>
    <row r="27" spans="1:29" s="171" customFormat="1" ht="15" x14ac:dyDescent="0.25">
      <c r="A27" s="107">
        <v>24</v>
      </c>
      <c r="B27" s="263" t="str">
        <f>PIERNA!IC5</f>
        <v>SEABOARD FOODS</v>
      </c>
      <c r="C27" s="307" t="str">
        <f>PIERNA!ID5</f>
        <v>Seaboard</v>
      </c>
      <c r="D27" s="733" t="str">
        <f>PIERNA!IE5</f>
        <v>PED. 58152295</v>
      </c>
      <c r="E27" s="291">
        <f>PIERNA!IF5</f>
        <v>44162</v>
      </c>
      <c r="F27" s="302">
        <f>PIERNA!IG5</f>
        <v>18899.03</v>
      </c>
      <c r="G27" s="303">
        <f>PIERNA!IH5</f>
        <v>21</v>
      </c>
      <c r="H27" s="695">
        <f>PIERNA!II5</f>
        <v>18933.2</v>
      </c>
      <c r="I27" s="678">
        <f>PIERNA!I27</f>
        <v>-34.170000000001892</v>
      </c>
      <c r="J27" s="676" t="s">
        <v>295</v>
      </c>
      <c r="K27" s="791">
        <v>10880</v>
      </c>
      <c r="L27" s="795" t="s">
        <v>309</v>
      </c>
      <c r="M27" s="791">
        <v>30160</v>
      </c>
      <c r="N27" s="806" t="s">
        <v>310</v>
      </c>
      <c r="O27" s="797">
        <v>1832912</v>
      </c>
      <c r="P27" s="998">
        <v>4002</v>
      </c>
      <c r="Q27" s="794">
        <f>31347.49*20.15</f>
        <v>631651.92350000003</v>
      </c>
      <c r="R27" s="744" t="s">
        <v>319</v>
      </c>
      <c r="S27" s="70">
        <f t="shared" si="0"/>
        <v>676693.92350000003</v>
      </c>
      <c r="T27" s="70">
        <f t="shared" si="4"/>
        <v>35.841127939281265</v>
      </c>
      <c r="W27" s="79"/>
      <c r="Y27" s="209"/>
      <c r="Z27" s="210">
        <v>5.0000000000000001E-3</v>
      </c>
      <c r="AA27" s="209">
        <f t="shared" si="5"/>
        <v>0</v>
      </c>
      <c r="AB27" s="209">
        <f t="shared" si="6"/>
        <v>0</v>
      </c>
      <c r="AC27" s="209">
        <f t="shared" si="7"/>
        <v>0</v>
      </c>
    </row>
    <row r="28" spans="1:29" s="171" customFormat="1" ht="16.5" x14ac:dyDescent="0.25">
      <c r="A28" s="107">
        <v>25</v>
      </c>
      <c r="B28" s="82" t="str">
        <f>PIERNA!IM5</f>
        <v>SEABOARD FOODS</v>
      </c>
      <c r="C28" s="171" t="str">
        <f>PIERNA!IN5</f>
        <v>Seaboard</v>
      </c>
      <c r="D28" s="733" t="str">
        <f>PIERNA!IO5</f>
        <v>PED. 58257149</v>
      </c>
      <c r="E28" s="949">
        <f>PIERNA!IP5</f>
        <v>44166</v>
      </c>
      <c r="F28" s="950">
        <f>PIERNA!IQ5</f>
        <v>18834.400000000001</v>
      </c>
      <c r="G28" s="951">
        <f>PIERNA!IR5</f>
        <v>21</v>
      </c>
      <c r="H28" s="952">
        <f>PIERNA!IS5</f>
        <v>18847.8</v>
      </c>
      <c r="I28" s="678">
        <f>PIERNA!I28</f>
        <v>-13.399999999997817</v>
      </c>
      <c r="J28" s="955" t="s">
        <v>449</v>
      </c>
      <c r="K28" s="992">
        <v>9580</v>
      </c>
      <c r="L28" s="993" t="s">
        <v>528</v>
      </c>
      <c r="M28" s="990">
        <v>30160</v>
      </c>
      <c r="N28" s="991" t="s">
        <v>528</v>
      </c>
      <c r="O28" s="964">
        <v>1833500</v>
      </c>
      <c r="P28" s="1000">
        <v>3973</v>
      </c>
      <c r="Q28" s="798">
        <f>31596.9*20.075</f>
        <v>634307.76749999996</v>
      </c>
      <c r="R28" s="985" t="s">
        <v>526</v>
      </c>
      <c r="S28" s="70">
        <f t="shared" si="0"/>
        <v>678020.76749999996</v>
      </c>
      <c r="T28" s="70">
        <f>S28/H28</f>
        <v>35.973469980581285</v>
      </c>
      <c r="W28" s="79"/>
      <c r="X28" s="79"/>
      <c r="Y28" s="209"/>
      <c r="Z28" s="210">
        <v>0</v>
      </c>
      <c r="AA28" s="209">
        <f t="shared" si="5"/>
        <v>0</v>
      </c>
      <c r="AB28" s="209">
        <f t="shared" si="6"/>
        <v>0</v>
      </c>
      <c r="AC28" s="209">
        <f t="shared" si="7"/>
        <v>0</v>
      </c>
    </row>
    <row r="29" spans="1:29" s="171" customFormat="1" ht="16.5" x14ac:dyDescent="0.25">
      <c r="A29" s="107">
        <v>26</v>
      </c>
      <c r="B29" s="82" t="str">
        <f>PIERNA!IW5</f>
        <v>SMITHFIELD FRESH MEAT</v>
      </c>
      <c r="C29" s="171" t="str">
        <f>PIERNA!IX5</f>
        <v>Smithfield</v>
      </c>
      <c r="D29" s="733" t="str">
        <f>PIERNA!IY5</f>
        <v>PED. 58324422</v>
      </c>
      <c r="E29" s="949">
        <f>PIERNA!IZ5</f>
        <v>44167</v>
      </c>
      <c r="F29" s="950">
        <f>PIERNA!JA5</f>
        <v>16846.62</v>
      </c>
      <c r="G29" s="951">
        <f>PIERNA!JB5</f>
        <v>20</v>
      </c>
      <c r="H29" s="952">
        <f>PIERNA!JC5</f>
        <v>17121.53</v>
      </c>
      <c r="I29" s="678">
        <f>PIERNA!I29</f>
        <v>-274.90999999999985</v>
      </c>
      <c r="J29" s="955" t="s">
        <v>467</v>
      </c>
      <c r="K29" s="953">
        <v>11730</v>
      </c>
      <c r="L29" s="795" t="s">
        <v>517</v>
      </c>
      <c r="M29" s="791">
        <v>30160</v>
      </c>
      <c r="N29" s="961" t="s">
        <v>518</v>
      </c>
      <c r="O29" s="964">
        <v>9002132070</v>
      </c>
      <c r="P29" s="1105">
        <v>3712</v>
      </c>
      <c r="Q29" s="794">
        <f>28329.85*19.76</f>
        <v>559797.83600000001</v>
      </c>
      <c r="R29" s="744" t="s">
        <v>522</v>
      </c>
      <c r="S29" s="70">
        <f t="shared" si="0"/>
        <v>605399.83600000001</v>
      </c>
      <c r="T29" s="70">
        <f>S29/H29</f>
        <v>35.35897995097401</v>
      </c>
      <c r="W29" s="79"/>
      <c r="X29" s="79"/>
      <c r="Y29" s="209"/>
      <c r="Z29" s="210"/>
      <c r="AA29" s="209"/>
      <c r="AB29" s="209"/>
      <c r="AC29" s="209">
        <f>SUM(AC7:AC28)</f>
        <v>0</v>
      </c>
    </row>
    <row r="30" spans="1:29" s="171" customFormat="1" ht="16.5" x14ac:dyDescent="0.25">
      <c r="A30" s="107">
        <v>27</v>
      </c>
      <c r="B30" s="82" t="str">
        <f>PIERNA!JG5</f>
        <v>SMITHFIELD FRESH MEAT</v>
      </c>
      <c r="C30" s="171" t="str">
        <f>PIERNA!JH5</f>
        <v>Smithfield</v>
      </c>
      <c r="D30" s="109" t="str">
        <f>PIERNA!JI5</f>
        <v>PED. 58324426</v>
      </c>
      <c r="E30" s="942">
        <f>PIERNA!JJ5</f>
        <v>44167</v>
      </c>
      <c r="F30" s="943">
        <f>PIERNA!JK5</f>
        <v>17407.419999999998</v>
      </c>
      <c r="G30" s="944">
        <f>PIERNA!JL5</f>
        <v>20</v>
      </c>
      <c r="H30" s="945">
        <f>PIERNA!JM5</f>
        <v>17520.18</v>
      </c>
      <c r="I30" s="678">
        <f>PIERNA!I30</f>
        <v>-112.76000000000204</v>
      </c>
      <c r="J30" s="956" t="s">
        <v>468</v>
      </c>
      <c r="K30" s="954">
        <v>9580</v>
      </c>
      <c r="L30" s="795" t="s">
        <v>517</v>
      </c>
      <c r="M30" s="791">
        <v>30160</v>
      </c>
      <c r="N30" s="961" t="s">
        <v>518</v>
      </c>
      <c r="O30" s="964">
        <v>9002132071</v>
      </c>
      <c r="P30" s="1105">
        <v>3770</v>
      </c>
      <c r="Q30" s="794">
        <f>28989.45*19.98</f>
        <v>579209.21100000001</v>
      </c>
      <c r="R30" s="744" t="s">
        <v>514</v>
      </c>
      <c r="S30" s="70">
        <f>Q30+M30+K30+P30</f>
        <v>622719.21100000001</v>
      </c>
      <c r="T30" s="70">
        <f t="shared" si="4"/>
        <v>35.642968793699609</v>
      </c>
      <c r="W30" s="79"/>
      <c r="X30" s="79"/>
      <c r="Y30" s="209"/>
      <c r="Z30" s="210"/>
      <c r="AA30" s="209"/>
      <c r="AB30" s="209"/>
      <c r="AC30" s="209"/>
    </row>
    <row r="31" spans="1:29" s="171" customFormat="1" ht="16.5" x14ac:dyDescent="0.25">
      <c r="A31" s="107">
        <v>28</v>
      </c>
      <c r="B31" s="82" t="str">
        <f>PIERNA!JQ5</f>
        <v>SEABOARD FOODS</v>
      </c>
      <c r="C31" s="172" t="str">
        <f>PIERNA!JR5</f>
        <v>Seaboard</v>
      </c>
      <c r="D31" s="109" t="str">
        <f>PIERNA!JS5</f>
        <v>PED. 58400253</v>
      </c>
      <c r="E31" s="942">
        <f>PIERNA!JT5</f>
        <v>44168</v>
      </c>
      <c r="F31" s="943">
        <f>PIERNA!JU5</f>
        <v>18625.52</v>
      </c>
      <c r="G31" s="944">
        <f>PIERNA!JV5</f>
        <v>21</v>
      </c>
      <c r="H31" s="945">
        <f>PIERNA!JW5</f>
        <v>18697.099999999999</v>
      </c>
      <c r="I31" s="181">
        <f>PIERNA!I31</f>
        <v>-71.579999999998108</v>
      </c>
      <c r="J31" s="955" t="s">
        <v>469</v>
      </c>
      <c r="K31" s="953">
        <v>11880</v>
      </c>
      <c r="L31" s="795" t="s">
        <v>518</v>
      </c>
      <c r="M31" s="791">
        <v>30160</v>
      </c>
      <c r="N31" s="961" t="s">
        <v>519</v>
      </c>
      <c r="O31" s="964">
        <v>1834538</v>
      </c>
      <c r="P31" s="1105">
        <v>3961.4</v>
      </c>
      <c r="Q31" s="798">
        <f>31108.47*20.01</f>
        <v>622480.48470000003</v>
      </c>
      <c r="R31" s="985" t="s">
        <v>303</v>
      </c>
      <c r="S31" s="70">
        <f t="shared" si="0"/>
        <v>668481.88470000005</v>
      </c>
      <c r="T31" s="70">
        <f t="shared" si="4"/>
        <v>35.853238988934123</v>
      </c>
      <c r="W31" s="79"/>
      <c r="X31" s="79"/>
      <c r="Y31" s="209"/>
      <c r="Z31" s="210"/>
      <c r="AA31" s="209"/>
      <c r="AB31" s="209"/>
      <c r="AC31" s="209"/>
    </row>
    <row r="32" spans="1:29" s="171" customFormat="1" ht="16.5" x14ac:dyDescent="0.25">
      <c r="A32" s="107">
        <v>29</v>
      </c>
      <c r="B32" s="66" t="str">
        <f>PIERNA!KA5</f>
        <v>F&amp;J TRADING MEAT S DE RL</v>
      </c>
      <c r="C32" s="171" t="str">
        <f>PIERNA!KB5</f>
        <v>Seaboard</v>
      </c>
      <c r="D32" s="109" t="str">
        <f>PIERNA!KC5</f>
        <v>PED. 58272798</v>
      </c>
      <c r="E32" s="942">
        <f>PIERNA!KD5</f>
        <v>44168</v>
      </c>
      <c r="F32" s="943">
        <f>PIERNA!KE5</f>
        <v>18882.39</v>
      </c>
      <c r="G32" s="944">
        <f>PIERNA!KF5</f>
        <v>21</v>
      </c>
      <c r="H32" s="945">
        <f>PIERNA!KG5</f>
        <v>18975.099999999999</v>
      </c>
      <c r="I32" s="181">
        <f>PIERNA!I32</f>
        <v>-92.709999999999127</v>
      </c>
      <c r="J32" s="955" t="s">
        <v>470</v>
      </c>
      <c r="K32" s="953"/>
      <c r="L32" s="795"/>
      <c r="M32" s="791"/>
      <c r="N32" s="961"/>
      <c r="O32" s="964">
        <v>1163</v>
      </c>
      <c r="P32" s="1105">
        <v>0</v>
      </c>
      <c r="Q32" s="794">
        <v>705692.15</v>
      </c>
      <c r="R32" s="744" t="s">
        <v>524</v>
      </c>
      <c r="S32" s="70">
        <f>Q32+M32+K32+P32</f>
        <v>705692.15</v>
      </c>
      <c r="T32" s="70">
        <f t="shared" si="4"/>
        <v>37.290431143972896</v>
      </c>
      <c r="W32" s="79"/>
      <c r="X32" s="79"/>
      <c r="Y32" s="209"/>
      <c r="Z32" s="210"/>
      <c r="AA32" s="209"/>
      <c r="AB32" s="209"/>
      <c r="AC32" s="209"/>
    </row>
    <row r="33" spans="1:29" s="171" customFormat="1" ht="16.5" x14ac:dyDescent="0.25">
      <c r="A33" s="107">
        <v>30</v>
      </c>
      <c r="B33" s="263" t="str">
        <f>PIERNA!KK5</f>
        <v>TYSON FRESH MEATS</v>
      </c>
      <c r="C33" s="171" t="str">
        <f>PIERNA!KL5</f>
        <v xml:space="preserve">I B P </v>
      </c>
      <c r="D33" s="109" t="str">
        <f>PIERNA!KM5</f>
        <v>PED. 58432475</v>
      </c>
      <c r="E33" s="942">
        <f>PIERNA!KN5</f>
        <v>44169</v>
      </c>
      <c r="F33" s="946">
        <f>PIERNA!KO5</f>
        <v>18448.28</v>
      </c>
      <c r="G33" s="947">
        <f>PIERNA!KP5</f>
        <v>20</v>
      </c>
      <c r="H33" s="945">
        <f>PIERNA!KQ5</f>
        <v>18657.64</v>
      </c>
      <c r="I33" s="181">
        <f>PIERNA!I33</f>
        <v>-209.36000000000058</v>
      </c>
      <c r="J33" s="955" t="s">
        <v>509</v>
      </c>
      <c r="K33" s="954">
        <v>10880</v>
      </c>
      <c r="L33" s="795" t="s">
        <v>519</v>
      </c>
      <c r="M33" s="791">
        <v>30160</v>
      </c>
      <c r="N33" s="961" t="s">
        <v>520</v>
      </c>
      <c r="O33" s="964">
        <v>54320</v>
      </c>
      <c r="P33" s="1105">
        <v>4031</v>
      </c>
      <c r="Q33" s="798">
        <f>32146.22*20.075</f>
        <v>645335.3665</v>
      </c>
      <c r="R33" s="985" t="s">
        <v>526</v>
      </c>
      <c r="S33" s="70">
        <f>Q33+M33+K33+P33</f>
        <v>690406.3665</v>
      </c>
      <c r="T33" s="70">
        <f t="shared" si="4"/>
        <v>37.103949400888858</v>
      </c>
      <c r="W33" s="79"/>
      <c r="X33" s="79"/>
      <c r="Y33" s="209"/>
      <c r="Z33" s="210"/>
      <c r="AA33" s="209"/>
      <c r="AB33" s="209"/>
      <c r="AC33" s="209"/>
    </row>
    <row r="34" spans="1:29" s="171" customFormat="1" ht="17.399999999999999" x14ac:dyDescent="0.35">
      <c r="A34" s="107">
        <v>31</v>
      </c>
      <c r="B34" s="82" t="str">
        <f>PIERNA!B34</f>
        <v>SEABOARD FOODS</v>
      </c>
      <c r="C34" s="184" t="str">
        <f>PIERNA!C34</f>
        <v>Seaboard</v>
      </c>
      <c r="D34" s="109" t="str">
        <f>PIERNA!D34</f>
        <v>PED. 58432472</v>
      </c>
      <c r="E34" s="942">
        <f>PIERNA!E34</f>
        <v>44169</v>
      </c>
      <c r="F34" s="946">
        <f>PIERNA!F34</f>
        <v>18589.689999999999</v>
      </c>
      <c r="G34" s="947">
        <f>PIERNA!G34</f>
        <v>21</v>
      </c>
      <c r="H34" s="945">
        <f>PIERNA!H34</f>
        <v>18621.099999999999</v>
      </c>
      <c r="I34" s="181">
        <f>PIERNA!I34</f>
        <v>-31.409999999999854</v>
      </c>
      <c r="J34" s="955" t="s">
        <v>471</v>
      </c>
      <c r="K34" s="340">
        <v>11880</v>
      </c>
      <c r="L34" s="342" t="s">
        <v>519</v>
      </c>
      <c r="M34" s="636">
        <v>30160</v>
      </c>
      <c r="N34" s="962" t="s">
        <v>520</v>
      </c>
      <c r="O34" s="964">
        <v>1834921</v>
      </c>
      <c r="P34" s="1106">
        <v>4002</v>
      </c>
      <c r="Q34" s="986">
        <f>31877.65*20.073</f>
        <v>639880.06845000002</v>
      </c>
      <c r="R34" s="989" t="s">
        <v>527</v>
      </c>
      <c r="S34" s="70">
        <f>Q34+M34+K34+P34</f>
        <v>685922.06845000002</v>
      </c>
      <c r="T34" s="70">
        <f t="shared" si="4"/>
        <v>36.935743777220473</v>
      </c>
      <c r="W34" s="79"/>
      <c r="X34" s="79"/>
      <c r="Y34" s="209"/>
      <c r="Z34" s="210"/>
      <c r="AA34" s="209"/>
      <c r="AB34" s="209"/>
      <c r="AC34" s="209"/>
    </row>
    <row r="35" spans="1:29" s="171" customFormat="1" ht="16.5" x14ac:dyDescent="0.25">
      <c r="A35" s="107">
        <v>32</v>
      </c>
      <c r="B35" s="82" t="str">
        <f>PIERNA!B35</f>
        <v>SEABOARD FOODS</v>
      </c>
      <c r="C35" s="184" t="str">
        <f>PIERNA!C35</f>
        <v>Seaboard</v>
      </c>
      <c r="D35" s="109" t="str">
        <f>PIERNA!D35</f>
        <v>PED. 58432474</v>
      </c>
      <c r="E35" s="942">
        <f>PIERNA!E35</f>
        <v>44169</v>
      </c>
      <c r="F35" s="946">
        <f>PIERNA!F35</f>
        <v>18427.349999999999</v>
      </c>
      <c r="G35" s="948">
        <f>PIERNA!G35</f>
        <v>21</v>
      </c>
      <c r="H35" s="945">
        <f>PIERNA!H35</f>
        <v>18481.5</v>
      </c>
      <c r="I35" s="181">
        <f>PIERNA!I35</f>
        <v>-54.150000000001455</v>
      </c>
      <c r="J35" s="955" t="s">
        <v>472</v>
      </c>
      <c r="K35" s="340">
        <v>10880</v>
      </c>
      <c r="L35" s="342" t="s">
        <v>519</v>
      </c>
      <c r="M35" s="636">
        <v>30160</v>
      </c>
      <c r="N35" s="962" t="s">
        <v>520</v>
      </c>
      <c r="O35" s="964">
        <v>1834922</v>
      </c>
      <c r="P35" s="1106">
        <v>3973</v>
      </c>
      <c r="Q35" s="986">
        <f>31638.49*20.073</f>
        <v>635079.40977000003</v>
      </c>
      <c r="R35" s="987" t="s">
        <v>527</v>
      </c>
      <c r="S35" s="70">
        <f>Q35+M35+K35</f>
        <v>676119.40977000003</v>
      </c>
      <c r="T35" s="70">
        <f t="shared" si="4"/>
        <v>36.683578701404109</v>
      </c>
      <c r="W35" s="79"/>
      <c r="X35" s="79"/>
      <c r="Y35" s="209"/>
      <c r="Z35" s="210"/>
      <c r="AA35" s="209"/>
      <c r="AB35" s="209"/>
      <c r="AC35" s="209"/>
    </row>
    <row r="36" spans="1:29" s="171" customFormat="1" ht="16.5" x14ac:dyDescent="0.25">
      <c r="A36" s="107">
        <v>33</v>
      </c>
      <c r="B36" s="82">
        <f>PIERNA!B36</f>
        <v>0</v>
      </c>
      <c r="C36" s="184">
        <f>PIERNA!C36</f>
        <v>0</v>
      </c>
      <c r="D36" s="109">
        <f>PIERNA!D36</f>
        <v>0</v>
      </c>
      <c r="E36" s="578">
        <f>PIERNA!E36</f>
        <v>0</v>
      </c>
      <c r="F36" s="579">
        <f>PIERNA!F36</f>
        <v>0</v>
      </c>
      <c r="G36" s="580">
        <f>PIERNA!G36</f>
        <v>0</v>
      </c>
      <c r="H36" s="696">
        <f>PIERNA!H36</f>
        <v>0</v>
      </c>
      <c r="I36" s="181">
        <f>PIERNA!I36</f>
        <v>0</v>
      </c>
      <c r="J36" s="339"/>
      <c r="K36" s="340"/>
      <c r="L36" s="342"/>
      <c r="M36" s="636"/>
      <c r="N36" s="651"/>
      <c r="O36" s="964"/>
      <c r="P36" s="1107"/>
      <c r="Q36" s="986"/>
      <c r="R36" s="988"/>
      <c r="S36" s="70">
        <f t="shared" ref="S36:S39" si="8">Q36+M36+K36</f>
        <v>0</v>
      </c>
      <c r="T36" s="70" t="e">
        <f t="shared" si="4"/>
        <v>#DIV/0!</v>
      </c>
      <c r="W36" s="79"/>
      <c r="X36" s="79"/>
      <c r="Y36" s="209"/>
      <c r="Z36" s="210"/>
      <c r="AA36" s="209"/>
      <c r="AB36" s="209"/>
      <c r="AC36" s="209"/>
    </row>
    <row r="37" spans="1:29" s="171" customFormat="1" ht="15" x14ac:dyDescent="0.25">
      <c r="A37" s="107">
        <v>34</v>
      </c>
      <c r="B37" s="82">
        <f>PIERNA!B37</f>
        <v>0</v>
      </c>
      <c r="C37" s="184">
        <f>PIERNA!C37</f>
        <v>0</v>
      </c>
      <c r="D37" s="110">
        <f>PIERNA!D37</f>
        <v>0</v>
      </c>
      <c r="E37" s="148">
        <f>PIERNA!E37</f>
        <v>0</v>
      </c>
      <c r="F37" s="162">
        <f>PIERNA!F37</f>
        <v>0</v>
      </c>
      <c r="G37" s="107">
        <f>PIERNA!G37</f>
        <v>0</v>
      </c>
      <c r="H37" s="694">
        <f>PIERNA!H37</f>
        <v>0</v>
      </c>
      <c r="I37" s="181">
        <f>PIERNA!I37</f>
        <v>0</v>
      </c>
      <c r="J37" s="339"/>
      <c r="K37" s="340"/>
      <c r="L37" s="342"/>
      <c r="M37" s="636"/>
      <c r="N37" s="346"/>
      <c r="O37" s="823"/>
      <c r="P37" s="610"/>
      <c r="Q37" s="340"/>
      <c r="R37" s="641"/>
      <c r="S37" s="70">
        <f t="shared" si="8"/>
        <v>0</v>
      </c>
      <c r="T37" s="70" t="e">
        <f t="shared" si="4"/>
        <v>#DIV/0!</v>
      </c>
      <c r="W37" s="79"/>
      <c r="X37" s="79"/>
      <c r="Y37" s="209"/>
      <c r="Z37" s="210"/>
      <c r="AA37" s="209"/>
      <c r="AB37" s="209"/>
      <c r="AC37" s="209"/>
    </row>
    <row r="38" spans="1:29" s="171" customFormat="1" ht="15" x14ac:dyDescent="0.25">
      <c r="A38" s="107">
        <v>35</v>
      </c>
      <c r="B38" s="82">
        <f>PIERNA!B38</f>
        <v>0</v>
      </c>
      <c r="C38" s="184">
        <f>PIERNA!C38</f>
        <v>0</v>
      </c>
      <c r="D38" s="136">
        <f>PIERNA!D38</f>
        <v>0</v>
      </c>
      <c r="E38" s="148">
        <f>PIERNA!E38</f>
        <v>0</v>
      </c>
      <c r="F38" s="185">
        <f>PIERNA!F38</f>
        <v>0</v>
      </c>
      <c r="G38" s="107">
        <f>PIERNA!G38</f>
        <v>0</v>
      </c>
      <c r="H38" s="113">
        <f>PIERNA!H38</f>
        <v>0</v>
      </c>
      <c r="I38" s="181">
        <f>PIERNA!I38</f>
        <v>0</v>
      </c>
      <c r="J38" s="339"/>
      <c r="K38" s="340"/>
      <c r="L38" s="342"/>
      <c r="M38" s="636"/>
      <c r="N38" s="346"/>
      <c r="O38" s="823"/>
      <c r="P38" s="335"/>
      <c r="Q38" s="340"/>
      <c r="R38" s="642"/>
      <c r="S38" s="70">
        <f t="shared" si="8"/>
        <v>0</v>
      </c>
      <c r="T38" s="70" t="e">
        <f t="shared" si="4"/>
        <v>#DIV/0!</v>
      </c>
      <c r="W38" s="79"/>
      <c r="X38" s="79"/>
      <c r="Y38" s="209"/>
      <c r="Z38" s="210"/>
      <c r="AA38" s="209"/>
      <c r="AB38" s="209"/>
      <c r="AC38" s="209"/>
    </row>
    <row r="39" spans="1:29" s="171" customFormat="1" ht="15" x14ac:dyDescent="0.25">
      <c r="A39" s="107">
        <v>36</v>
      </c>
      <c r="B39" s="82">
        <f>PIERNA!B39</f>
        <v>0</v>
      </c>
      <c r="C39" s="184">
        <f>PIERNA!C39</f>
        <v>0</v>
      </c>
      <c r="D39" s="136">
        <f>PIERNA!D39</f>
        <v>0</v>
      </c>
      <c r="E39" s="148">
        <f>PIERNA!E39</f>
        <v>0</v>
      </c>
      <c r="F39" s="185">
        <f>PIERNA!F39</f>
        <v>0</v>
      </c>
      <c r="G39" s="107">
        <f>PIERNA!G39</f>
        <v>0</v>
      </c>
      <c r="H39" s="113">
        <f>PIERNA!H39</f>
        <v>0</v>
      </c>
      <c r="I39" s="181">
        <f>PIERNA!I39</f>
        <v>0</v>
      </c>
      <c r="J39" s="339"/>
      <c r="K39" s="340"/>
      <c r="L39" s="342"/>
      <c r="M39" s="636"/>
      <c r="N39" s="346"/>
      <c r="O39" s="823"/>
      <c r="P39" s="335"/>
      <c r="Q39" s="343"/>
      <c r="R39" s="642"/>
      <c r="S39" s="70">
        <f t="shared" si="8"/>
        <v>0</v>
      </c>
      <c r="T39" s="70" t="e">
        <f t="shared" si="4"/>
        <v>#DIV/0!</v>
      </c>
      <c r="W39" s="79"/>
      <c r="X39" s="79"/>
      <c r="Y39" s="209"/>
      <c r="Z39" s="210"/>
      <c r="AA39" s="209"/>
      <c r="AB39" s="209"/>
      <c r="AC39" s="209"/>
    </row>
    <row r="40" spans="1:29" s="171" customFormat="1" ht="15" x14ac:dyDescent="0.25">
      <c r="A40" s="107">
        <v>37</v>
      </c>
      <c r="B40" s="82">
        <f>PIERNA!B40</f>
        <v>0</v>
      </c>
      <c r="C40" s="184">
        <f>PIERNA!C40</f>
        <v>0</v>
      </c>
      <c r="D40" s="136">
        <f>PIERNA!D40</f>
        <v>0</v>
      </c>
      <c r="E40" s="148">
        <f>PIERNA!E40</f>
        <v>0</v>
      </c>
      <c r="F40" s="185">
        <f>PIERNA!F40</f>
        <v>0</v>
      </c>
      <c r="G40" s="107">
        <f>PIERNA!G40</f>
        <v>0</v>
      </c>
      <c r="H40" s="113">
        <f>PIERNA!H40</f>
        <v>0</v>
      </c>
      <c r="I40" s="181">
        <f>PIERNA!I40</f>
        <v>0</v>
      </c>
      <c r="J40" s="339"/>
      <c r="K40" s="340"/>
      <c r="L40" s="342"/>
      <c r="M40" s="636"/>
      <c r="N40" s="346"/>
      <c r="O40" s="318"/>
      <c r="P40" s="347"/>
      <c r="Q40" s="348"/>
      <c r="R40" s="643"/>
      <c r="S40" s="70">
        <f>Q40+M40+K40+P40</f>
        <v>0</v>
      </c>
      <c r="T40" s="70" t="e">
        <f t="shared" si="4"/>
        <v>#DIV/0!</v>
      </c>
      <c r="W40" s="79"/>
      <c r="X40" s="79"/>
      <c r="Y40" s="209"/>
      <c r="Z40" s="210"/>
      <c r="AA40" s="209"/>
      <c r="AB40" s="209"/>
      <c r="AC40" s="209"/>
    </row>
    <row r="41" spans="1:29" s="171" customFormat="1" ht="15" x14ac:dyDescent="0.25">
      <c r="A41" s="107">
        <v>38</v>
      </c>
      <c r="B41" s="82">
        <f>PIERNA!B41</f>
        <v>0</v>
      </c>
      <c r="C41" s="167">
        <f>PIERNA!C41</f>
        <v>0</v>
      </c>
      <c r="D41" s="136">
        <f>PIERNA!D41</f>
        <v>0</v>
      </c>
      <c r="E41" s="148">
        <f>PIERNA!E41</f>
        <v>0</v>
      </c>
      <c r="F41" s="185">
        <f>PIERNA!F41</f>
        <v>0</v>
      </c>
      <c r="G41" s="107">
        <f>PIERNA!G41</f>
        <v>0</v>
      </c>
      <c r="H41" s="113">
        <f>PIERNA!H41</f>
        <v>0</v>
      </c>
      <c r="I41" s="181">
        <f>PIERNA!I41</f>
        <v>0</v>
      </c>
      <c r="J41" s="339"/>
      <c r="K41" s="340"/>
      <c r="L41" s="342"/>
      <c r="M41" s="636"/>
      <c r="N41" s="346"/>
      <c r="O41" s="318"/>
      <c r="P41" s="347"/>
      <c r="Q41" s="348"/>
      <c r="R41" s="642"/>
      <c r="S41" s="70">
        <f>Q41+M41+K41+P41</f>
        <v>0</v>
      </c>
      <c r="T41" s="70" t="e">
        <f t="shared" si="4"/>
        <v>#DIV/0!</v>
      </c>
      <c r="W41" s="79"/>
      <c r="X41" s="79"/>
      <c r="Y41" s="209"/>
      <c r="AA41" s="209"/>
      <c r="AB41" s="209"/>
      <c r="AC41" s="209"/>
    </row>
    <row r="42" spans="1:29" s="171" customFormat="1" ht="15" x14ac:dyDescent="0.25">
      <c r="A42" s="107">
        <v>39</v>
      </c>
      <c r="B42" s="82">
        <f>PIERNA!B42</f>
        <v>0</v>
      </c>
      <c r="C42" s="186">
        <f>PIERNA!C42</f>
        <v>0</v>
      </c>
      <c r="D42" s="204">
        <f>PIERNA!D42</f>
        <v>0</v>
      </c>
      <c r="E42" s="148">
        <f>PIERNA!E42</f>
        <v>0</v>
      </c>
      <c r="F42" s="162">
        <f>PIERNA!F42</f>
        <v>0</v>
      </c>
      <c r="G42" s="107">
        <f>PIERNA!G42</f>
        <v>0</v>
      </c>
      <c r="H42" s="694">
        <f>PIERNA!H42</f>
        <v>0</v>
      </c>
      <c r="I42" s="181">
        <f>PIERNA!I42</f>
        <v>0</v>
      </c>
      <c r="J42" s="339"/>
      <c r="K42" s="340"/>
      <c r="L42" s="342"/>
      <c r="M42" s="636"/>
      <c r="N42" s="346"/>
      <c r="O42" s="318"/>
      <c r="P42" s="347"/>
      <c r="Q42" s="348"/>
      <c r="R42" s="642"/>
      <c r="S42" s="70">
        <f t="shared" ref="S42:S59" si="9">Q42+M42+K42</f>
        <v>0</v>
      </c>
      <c r="T42" s="70" t="e">
        <f t="shared" ref="T42:T71" si="10">S42/H42+0.1</f>
        <v>#DIV/0!</v>
      </c>
      <c r="W42" s="79"/>
      <c r="X42" s="79"/>
      <c r="Y42" s="209"/>
      <c r="AA42" s="209"/>
      <c r="AB42" s="209"/>
      <c r="AC42" s="209"/>
    </row>
    <row r="43" spans="1:29" s="171" customFormat="1" ht="15" x14ac:dyDescent="0.25">
      <c r="A43" s="107">
        <v>40</v>
      </c>
      <c r="B43" s="82">
        <f>PIERNA!B43</f>
        <v>0</v>
      </c>
      <c r="C43" s="184">
        <f>PIERNA!C43</f>
        <v>0</v>
      </c>
      <c r="D43" s="124">
        <f>PIERNA!D43</f>
        <v>0</v>
      </c>
      <c r="E43" s="148">
        <f>PIERNA!E43</f>
        <v>0</v>
      </c>
      <c r="F43" s="162">
        <f>PIERNA!F43</f>
        <v>0</v>
      </c>
      <c r="G43" s="107">
        <f>PIERNA!G43</f>
        <v>0</v>
      </c>
      <c r="H43" s="694">
        <f>PIERNA!H43</f>
        <v>0</v>
      </c>
      <c r="I43" s="181">
        <f>PIERNA!I43</f>
        <v>0</v>
      </c>
      <c r="J43" s="339"/>
      <c r="K43" s="340"/>
      <c r="L43" s="342"/>
      <c r="M43" s="636"/>
      <c r="N43" s="346"/>
      <c r="O43" s="318"/>
      <c r="P43" s="347"/>
      <c r="Q43" s="316"/>
      <c r="R43" s="640"/>
      <c r="S43" s="70">
        <f t="shared" si="9"/>
        <v>0</v>
      </c>
      <c r="T43" s="70" t="e">
        <f>S43/H43+0.1</f>
        <v>#DIV/0!</v>
      </c>
    </row>
    <row r="44" spans="1:29" s="171" customFormat="1" ht="15" x14ac:dyDescent="0.25">
      <c r="A44" s="107">
        <v>41</v>
      </c>
      <c r="B44" s="82">
        <f>PIERNA!B44</f>
        <v>0</v>
      </c>
      <c r="C44" s="184">
        <f>PIERNA!C44</f>
        <v>0</v>
      </c>
      <c r="D44" s="204">
        <f>PIERNA!D44</f>
        <v>0</v>
      </c>
      <c r="E44" s="148">
        <f>PIERNA!E44</f>
        <v>0</v>
      </c>
      <c r="F44" s="162">
        <f>PIERNA!F44</f>
        <v>0</v>
      </c>
      <c r="G44" s="107">
        <f>PIERNA!G44</f>
        <v>0</v>
      </c>
      <c r="H44" s="694">
        <f>PIERNA!H44</f>
        <v>0</v>
      </c>
      <c r="I44" s="181">
        <f>PIERNA!I44</f>
        <v>0</v>
      </c>
      <c r="J44" s="339"/>
      <c r="K44" s="340"/>
      <c r="L44" s="342"/>
      <c r="M44" s="636"/>
      <c r="N44" s="346"/>
      <c r="O44" s="318"/>
      <c r="P44" s="347"/>
      <c r="Q44" s="316"/>
      <c r="R44" s="640"/>
      <c r="S44" s="70">
        <f>Q44+M44+K44</f>
        <v>0</v>
      </c>
      <c r="T44" s="70" t="e">
        <f t="shared" si="10"/>
        <v>#DIV/0!</v>
      </c>
    </row>
    <row r="45" spans="1:29" s="171" customFormat="1" ht="15" x14ac:dyDescent="0.25">
      <c r="A45" s="107">
        <v>42</v>
      </c>
      <c r="B45" s="82">
        <f>PIERNA!B45</f>
        <v>0</v>
      </c>
      <c r="C45" s="184">
        <f>PIERNA!C45</f>
        <v>0</v>
      </c>
      <c r="D45" s="204">
        <f>PIERNA!D45</f>
        <v>0</v>
      </c>
      <c r="E45" s="148">
        <f>PIERNA!E45</f>
        <v>0</v>
      </c>
      <c r="F45" s="162">
        <f>PIERNA!F45</f>
        <v>0</v>
      </c>
      <c r="G45" s="107">
        <f>PIERNA!G45</f>
        <v>0</v>
      </c>
      <c r="H45" s="694">
        <f>PIERNA!H45</f>
        <v>0</v>
      </c>
      <c r="I45" s="181">
        <f>PIERNA!I45</f>
        <v>0</v>
      </c>
      <c r="J45" s="339"/>
      <c r="K45" s="340"/>
      <c r="L45" s="342"/>
      <c r="M45" s="636"/>
      <c r="N45" s="346"/>
      <c r="O45" s="823"/>
      <c r="P45" s="347"/>
      <c r="Q45" s="316"/>
      <c r="R45" s="640"/>
      <c r="S45" s="70">
        <f>Q45+M45+K45</f>
        <v>0</v>
      </c>
      <c r="T45" s="70" t="e">
        <f t="shared" si="10"/>
        <v>#DIV/0!</v>
      </c>
    </row>
    <row r="46" spans="1:29" s="171" customFormat="1" ht="15" x14ac:dyDescent="0.25">
      <c r="A46" s="107">
        <v>43</v>
      </c>
      <c r="B46" s="82">
        <f>PIERNA!B46</f>
        <v>0</v>
      </c>
      <c r="C46" s="184">
        <f>PIERNA!C46</f>
        <v>0</v>
      </c>
      <c r="D46" s="204">
        <f>PIERNA!D46</f>
        <v>0</v>
      </c>
      <c r="E46" s="148">
        <f>PIERNA!E46</f>
        <v>0</v>
      </c>
      <c r="F46" s="162">
        <f>PIERNA!F46</f>
        <v>0</v>
      </c>
      <c r="G46" s="107">
        <f>PIERNA!G46</f>
        <v>0</v>
      </c>
      <c r="H46" s="694">
        <f>PIERNA!H46</f>
        <v>0</v>
      </c>
      <c r="I46" s="181">
        <f>PIERNA!I46</f>
        <v>0</v>
      </c>
      <c r="J46" s="339"/>
      <c r="K46" s="340"/>
      <c r="L46" s="342"/>
      <c r="M46" s="636"/>
      <c r="N46" s="346"/>
      <c r="O46" s="823"/>
      <c r="P46" s="347"/>
      <c r="Q46" s="316"/>
      <c r="R46" s="640"/>
      <c r="S46" s="70">
        <f>Q46+M46+K46</f>
        <v>0</v>
      </c>
      <c r="T46" s="70" t="e">
        <f t="shared" si="10"/>
        <v>#DIV/0!</v>
      </c>
    </row>
    <row r="47" spans="1:29" s="171" customFormat="1" ht="15" x14ac:dyDescent="0.25">
      <c r="A47" s="107">
        <v>44</v>
      </c>
      <c r="B47" s="82">
        <f>PIERNA!B47</f>
        <v>0</v>
      </c>
      <c r="C47" s="184">
        <f>PIERNA!C47</f>
        <v>0</v>
      </c>
      <c r="D47" s="204">
        <f>PIERNA!D47</f>
        <v>0</v>
      </c>
      <c r="E47" s="148">
        <f>PIERNA!E47</f>
        <v>0</v>
      </c>
      <c r="F47" s="162">
        <f>PIERNA!F47</f>
        <v>0</v>
      </c>
      <c r="G47" s="107">
        <f>PIERNA!G47</f>
        <v>0</v>
      </c>
      <c r="H47" s="694">
        <f>PIERNA!H47</f>
        <v>0</v>
      </c>
      <c r="I47" s="181">
        <f>PIERNA!I47</f>
        <v>0</v>
      </c>
      <c r="J47" s="339"/>
      <c r="K47" s="340"/>
      <c r="L47" s="342"/>
      <c r="M47" s="637"/>
      <c r="N47" s="346"/>
      <c r="O47" s="824"/>
      <c r="P47" s="347"/>
      <c r="Q47" s="316"/>
      <c r="R47" s="640"/>
      <c r="S47" s="70">
        <f>Q47+M47+K47</f>
        <v>0</v>
      </c>
      <c r="T47" s="70" t="e">
        <f>S47/H47</f>
        <v>#DIV/0!</v>
      </c>
    </row>
    <row r="48" spans="1:29" s="171" customFormat="1" ht="15" x14ac:dyDescent="0.25">
      <c r="A48" s="107">
        <v>45</v>
      </c>
      <c r="B48" s="82">
        <f>PIERNA!B48</f>
        <v>0</v>
      </c>
      <c r="C48" s="184">
        <f>PIERNA!C48</f>
        <v>0</v>
      </c>
      <c r="D48" s="204">
        <f>PIERNA!D48</f>
        <v>0</v>
      </c>
      <c r="E48" s="148">
        <f>PIERNA!E48</f>
        <v>0</v>
      </c>
      <c r="F48" s="162">
        <f>PIERNA!F48</f>
        <v>0</v>
      </c>
      <c r="G48" s="107">
        <f>PIERNA!G48</f>
        <v>0</v>
      </c>
      <c r="H48" s="694">
        <f>PIERNA!H48</f>
        <v>0</v>
      </c>
      <c r="I48" s="181">
        <f>PIERNA!I48</f>
        <v>0</v>
      </c>
      <c r="J48" s="339"/>
      <c r="K48" s="340"/>
      <c r="L48" s="342"/>
      <c r="M48" s="638"/>
      <c r="N48" s="346"/>
      <c r="O48" s="823"/>
      <c r="P48" s="347"/>
      <c r="Q48" s="316"/>
      <c r="R48" s="640"/>
      <c r="S48" s="70">
        <f>Q48+M48+K48</f>
        <v>0</v>
      </c>
      <c r="T48" s="70" t="e">
        <f t="shared" ref="T48:T65" si="11">S48/H48</f>
        <v>#DIV/0!</v>
      </c>
    </row>
    <row r="49" spans="1:20" s="171" customFormat="1" ht="15" x14ac:dyDescent="0.25">
      <c r="A49" s="107">
        <v>46</v>
      </c>
      <c r="B49" s="82">
        <f>PIERNA!QB5</f>
        <v>0</v>
      </c>
      <c r="C49" s="184">
        <f>PIERNA!QC5</f>
        <v>0</v>
      </c>
      <c r="D49" s="204">
        <f>PIERNA!D49</f>
        <v>0</v>
      </c>
      <c r="E49" s="148">
        <f>PIERNA!E49</f>
        <v>0</v>
      </c>
      <c r="F49" s="162">
        <f>PIERNA!F49</f>
        <v>0</v>
      </c>
      <c r="G49" s="107">
        <f>PIERNA!G49</f>
        <v>0</v>
      </c>
      <c r="H49" s="694">
        <f>PIERNA!H49</f>
        <v>0</v>
      </c>
      <c r="I49" s="181">
        <f>PIERNA!I49</f>
        <v>0</v>
      </c>
      <c r="J49" s="339"/>
      <c r="K49" s="340"/>
      <c r="L49" s="341"/>
      <c r="M49" s="638"/>
      <c r="N49" s="346"/>
      <c r="O49" s="823"/>
      <c r="P49" s="347"/>
      <c r="Q49" s="316"/>
      <c r="R49" s="640"/>
      <c r="S49" s="70">
        <f t="shared" ref="S49:S53" si="12">Q49+M49+K49</f>
        <v>0</v>
      </c>
      <c r="T49" s="70" t="e">
        <f t="shared" si="11"/>
        <v>#DIV/0!</v>
      </c>
    </row>
    <row r="50" spans="1:20" s="171" customFormat="1" ht="15" x14ac:dyDescent="0.25">
      <c r="A50" s="107">
        <v>47</v>
      </c>
      <c r="B50" s="82">
        <f>PIERNA!QK5</f>
        <v>0</v>
      </c>
      <c r="C50" s="184">
        <f>PIERNA!QL5</f>
        <v>0</v>
      </c>
      <c r="D50" s="204">
        <f>PIERNA!D50</f>
        <v>0</v>
      </c>
      <c r="E50" s="148">
        <f>PIERNA!E50</f>
        <v>0</v>
      </c>
      <c r="F50" s="162">
        <f>PIERNA!F50</f>
        <v>0</v>
      </c>
      <c r="G50" s="107">
        <f>PIERNA!G50</f>
        <v>0</v>
      </c>
      <c r="H50" s="694">
        <f>PIERNA!H50</f>
        <v>0</v>
      </c>
      <c r="I50" s="181">
        <f>PIERNA!I50</f>
        <v>0</v>
      </c>
      <c r="J50" s="339"/>
      <c r="K50" s="340"/>
      <c r="L50" s="341"/>
      <c r="M50" s="638"/>
      <c r="N50" s="346"/>
      <c r="O50" s="823"/>
      <c r="P50" s="347"/>
      <c r="Q50" s="316"/>
      <c r="R50" s="640"/>
      <c r="S50" s="70">
        <f t="shared" si="12"/>
        <v>0</v>
      </c>
      <c r="T50" s="70" t="e">
        <f t="shared" si="11"/>
        <v>#DIV/0!</v>
      </c>
    </row>
    <row r="51" spans="1:20" s="171" customFormat="1" ht="15" x14ac:dyDescent="0.25">
      <c r="A51" s="107">
        <v>48</v>
      </c>
      <c r="B51" s="82">
        <f>PIERNA!B49</f>
        <v>0</v>
      </c>
      <c r="C51" s="184">
        <f>PIERNA!C49</f>
        <v>0</v>
      </c>
      <c r="D51" s="204">
        <f>PIERNA!D51</f>
        <v>0</v>
      </c>
      <c r="E51" s="148">
        <f>PIERNA!E51</f>
        <v>0</v>
      </c>
      <c r="F51" s="162">
        <f>PIERNA!F51</f>
        <v>0</v>
      </c>
      <c r="G51" s="107">
        <f>PIERNA!G51</f>
        <v>0</v>
      </c>
      <c r="H51" s="694">
        <f>PIERNA!H51</f>
        <v>0</v>
      </c>
      <c r="I51" s="181">
        <f>PIERNA!I51</f>
        <v>0</v>
      </c>
      <c r="J51" s="339"/>
      <c r="K51" s="340"/>
      <c r="L51" s="341"/>
      <c r="M51" s="638"/>
      <c r="N51" s="346"/>
      <c r="O51" s="823"/>
      <c r="P51" s="368"/>
      <c r="Q51" s="316"/>
      <c r="R51" s="640"/>
      <c r="S51" s="70">
        <f t="shared" si="12"/>
        <v>0</v>
      </c>
      <c r="T51" s="70" t="e">
        <f t="shared" si="11"/>
        <v>#DIV/0!</v>
      </c>
    </row>
    <row r="52" spans="1:20" s="171" customFormat="1" ht="15" x14ac:dyDescent="0.25">
      <c r="A52" s="107">
        <v>49</v>
      </c>
      <c r="B52" s="82">
        <f>PIERNA!B50</f>
        <v>0</v>
      </c>
      <c r="C52" s="184">
        <f>PIERNA!C50</f>
        <v>0</v>
      </c>
      <c r="D52" s="204">
        <f>PIERNA!D52</f>
        <v>0</v>
      </c>
      <c r="E52" s="148">
        <f>PIERNA!E52</f>
        <v>0</v>
      </c>
      <c r="F52" s="162">
        <f>PIERNA!F52</f>
        <v>0</v>
      </c>
      <c r="G52" s="107">
        <f>PIERNA!G52</f>
        <v>0</v>
      </c>
      <c r="H52" s="694">
        <f>PIERNA!H52</f>
        <v>0</v>
      </c>
      <c r="I52" s="181">
        <f>PIERNA!I52</f>
        <v>0</v>
      </c>
      <c r="J52" s="339"/>
      <c r="K52" s="340"/>
      <c r="L52" s="341"/>
      <c r="M52" s="638"/>
      <c r="N52" s="346"/>
      <c r="O52" s="823"/>
      <c r="P52" s="347"/>
      <c r="Q52" s="316"/>
      <c r="R52" s="640"/>
      <c r="S52" s="70">
        <f t="shared" si="12"/>
        <v>0</v>
      </c>
      <c r="T52" s="70" t="e">
        <f t="shared" si="11"/>
        <v>#DIV/0!</v>
      </c>
    </row>
    <row r="53" spans="1:20" s="171" customFormat="1" ht="15" x14ac:dyDescent="0.25">
      <c r="A53" s="107">
        <v>50</v>
      </c>
      <c r="B53" s="82">
        <f>PIERNA!RL5</f>
        <v>0</v>
      </c>
      <c r="C53" s="184">
        <f>PIERNA!RM5</f>
        <v>0</v>
      </c>
      <c r="D53" s="204">
        <f>PIERNA!RN5</f>
        <v>0</v>
      </c>
      <c r="E53" s="148">
        <f>PIERNA!RO5</f>
        <v>0</v>
      </c>
      <c r="F53" s="162">
        <f>PIERNA!RP5</f>
        <v>0</v>
      </c>
      <c r="G53" s="107">
        <f>PIERNA!RQ5</f>
        <v>0</v>
      </c>
      <c r="H53" s="694">
        <f>PIERNA!RR5</f>
        <v>0</v>
      </c>
      <c r="I53" s="181">
        <f>PIERNA!I53</f>
        <v>0</v>
      </c>
      <c r="J53" s="339"/>
      <c r="K53" s="340"/>
      <c r="L53" s="341"/>
      <c r="M53" s="638"/>
      <c r="N53" s="346"/>
      <c r="O53" s="823"/>
      <c r="P53" s="347"/>
      <c r="Q53" s="316"/>
      <c r="R53" s="640"/>
      <c r="S53" s="70">
        <f t="shared" si="12"/>
        <v>0</v>
      </c>
      <c r="T53" s="70" t="e">
        <f t="shared" si="11"/>
        <v>#DIV/0!</v>
      </c>
    </row>
    <row r="54" spans="1:20" s="171" customFormat="1" ht="15" x14ac:dyDescent="0.25">
      <c r="A54" s="107">
        <v>51</v>
      </c>
      <c r="B54" s="82">
        <f>PIERNA!RU5</f>
        <v>0</v>
      </c>
      <c r="C54" s="184">
        <f>PIERNA!RV5</f>
        <v>0</v>
      </c>
      <c r="D54" s="204">
        <f>PIERNA!D53</f>
        <v>0</v>
      </c>
      <c r="E54" s="148">
        <f>PIERNA!E53</f>
        <v>0</v>
      </c>
      <c r="F54" s="162">
        <f>PIERNA!F53</f>
        <v>0</v>
      </c>
      <c r="G54" s="107">
        <f>PIERNA!G53</f>
        <v>0</v>
      </c>
      <c r="H54" s="694">
        <f>PIERNA!H53</f>
        <v>0</v>
      </c>
      <c r="I54" s="181">
        <f>PIERNA!I54</f>
        <v>0</v>
      </c>
      <c r="J54" s="339"/>
      <c r="K54" s="340"/>
      <c r="L54" s="341"/>
      <c r="M54" s="638"/>
      <c r="N54" s="346"/>
      <c r="O54" s="823"/>
      <c r="P54" s="347"/>
      <c r="Q54" s="316"/>
      <c r="R54" s="640"/>
      <c r="S54" s="70">
        <f t="shared" si="9"/>
        <v>0</v>
      </c>
      <c r="T54" s="70" t="e">
        <f t="shared" si="11"/>
        <v>#DIV/0!</v>
      </c>
    </row>
    <row r="55" spans="1:20" s="171" customFormat="1" ht="15.75" x14ac:dyDescent="0.25">
      <c r="A55" s="107">
        <v>52</v>
      </c>
      <c r="B55" s="82">
        <f>PIERNA!SD5</f>
        <v>0</v>
      </c>
      <c r="C55" s="184">
        <f>PIERNA!SE5</f>
        <v>0</v>
      </c>
      <c r="D55" s="273">
        <f>PIERNA!SF5</f>
        <v>0</v>
      </c>
      <c r="E55" s="148">
        <f>PIERNA!SG5</f>
        <v>0</v>
      </c>
      <c r="F55" s="274">
        <f>PIERNA!SH5</f>
        <v>0</v>
      </c>
      <c r="G55" s="107">
        <f>PIERNA!SI5</f>
        <v>0</v>
      </c>
      <c r="H55" s="694">
        <f>PIERNA!SJ5</f>
        <v>0</v>
      </c>
      <c r="I55" s="181">
        <f>PIERNA!I55</f>
        <v>0</v>
      </c>
      <c r="J55" s="339"/>
      <c r="K55" s="340"/>
      <c r="L55" s="342"/>
      <c r="M55" s="638"/>
      <c r="N55" s="346"/>
      <c r="O55" s="823"/>
      <c r="P55" s="347"/>
      <c r="Q55" s="316"/>
      <c r="R55" s="640"/>
      <c r="S55" s="70">
        <f t="shared" si="9"/>
        <v>0</v>
      </c>
      <c r="T55" s="70" t="e">
        <f t="shared" si="11"/>
        <v>#DIV/0!</v>
      </c>
    </row>
    <row r="56" spans="1:20" s="171" customFormat="1" ht="15" x14ac:dyDescent="0.25">
      <c r="A56" s="107">
        <v>53</v>
      </c>
      <c r="B56" s="82">
        <f>PIERNA!SM5</f>
        <v>0</v>
      </c>
      <c r="C56" s="184">
        <f>PIERNA!SN5</f>
        <v>0</v>
      </c>
      <c r="D56" s="204">
        <f>PIERNA!SO5</f>
        <v>0</v>
      </c>
      <c r="E56" s="148">
        <f>PIERNA!SP5</f>
        <v>0</v>
      </c>
      <c r="F56" s="162">
        <f>PIERNA!SQ5</f>
        <v>0</v>
      </c>
      <c r="G56" s="107">
        <f>PIERNA!SR5</f>
        <v>0</v>
      </c>
      <c r="H56" s="694">
        <f>PIERNA!SS5</f>
        <v>0</v>
      </c>
      <c r="I56" s="181">
        <f>PIERNA!I56</f>
        <v>0</v>
      </c>
      <c r="J56" s="339"/>
      <c r="K56" s="340"/>
      <c r="L56" s="611"/>
      <c r="M56" s="638"/>
      <c r="N56" s="346"/>
      <c r="O56" s="823"/>
      <c r="P56" s="347"/>
      <c r="Q56" s="316"/>
      <c r="R56" s="640"/>
      <c r="S56" s="70">
        <f t="shared" si="9"/>
        <v>0</v>
      </c>
      <c r="T56" s="70" t="e">
        <f t="shared" si="11"/>
        <v>#DIV/0!</v>
      </c>
    </row>
    <row r="57" spans="1:20" s="171" customFormat="1" ht="15" x14ac:dyDescent="0.25">
      <c r="A57" s="107">
        <v>54</v>
      </c>
      <c r="B57" s="140">
        <f>PIERNA!B57</f>
        <v>0</v>
      </c>
      <c r="C57" s="184">
        <f>PIERNA!C57</f>
        <v>0</v>
      </c>
      <c r="D57" s="204">
        <f>PIERNA!D57</f>
        <v>0</v>
      </c>
      <c r="E57" s="148">
        <f>PIERNA!E57</f>
        <v>0</v>
      </c>
      <c r="F57" s="162">
        <f>PIERNA!F57</f>
        <v>0</v>
      </c>
      <c r="G57" s="190">
        <f>PIERNA!G57</f>
        <v>0</v>
      </c>
      <c r="H57" s="694">
        <f>PIERNA!H57</f>
        <v>0</v>
      </c>
      <c r="I57" s="181">
        <f>PIERNA!I57</f>
        <v>0</v>
      </c>
      <c r="J57" s="339"/>
      <c r="K57" s="340"/>
      <c r="L57" s="612"/>
      <c r="M57" s="638"/>
      <c r="N57" s="346"/>
      <c r="O57" s="823"/>
      <c r="P57" s="347"/>
      <c r="Q57" s="316"/>
      <c r="R57" s="640"/>
      <c r="S57" s="70">
        <f t="shared" si="9"/>
        <v>0</v>
      </c>
      <c r="T57" s="70" t="e">
        <f t="shared" si="11"/>
        <v>#DIV/0!</v>
      </c>
    </row>
    <row r="58" spans="1:20" s="171" customFormat="1" ht="15" x14ac:dyDescent="0.25">
      <c r="A58" s="107">
        <v>55</v>
      </c>
      <c r="B58" s="82">
        <f>PIERNA!B58</f>
        <v>0</v>
      </c>
      <c r="C58" s="184">
        <f>PIERNA!C58</f>
        <v>0</v>
      </c>
      <c r="D58" s="204">
        <f>PIERNA!D58</f>
        <v>0</v>
      </c>
      <c r="E58" s="148">
        <f>PIERNA!E58</f>
        <v>0</v>
      </c>
      <c r="F58" s="162">
        <f>PIERNA!F58</f>
        <v>0</v>
      </c>
      <c r="G58" s="107">
        <f>PIERNA!G58</f>
        <v>0</v>
      </c>
      <c r="H58" s="694">
        <f>PIERNA!H58</f>
        <v>0</v>
      </c>
      <c r="I58" s="181">
        <f>PIERNA!I58</f>
        <v>0</v>
      </c>
      <c r="J58" s="339"/>
      <c r="K58" s="340"/>
      <c r="L58" s="612"/>
      <c r="M58" s="638"/>
      <c r="N58" s="346"/>
      <c r="O58" s="823"/>
      <c r="P58" s="347"/>
      <c r="Q58" s="316"/>
      <c r="R58" s="640"/>
      <c r="S58" s="70">
        <f t="shared" si="9"/>
        <v>0</v>
      </c>
      <c r="T58" s="70" t="e">
        <f t="shared" si="11"/>
        <v>#DIV/0!</v>
      </c>
    </row>
    <row r="59" spans="1:20" s="171" customFormat="1" ht="15" x14ac:dyDescent="0.25">
      <c r="A59" s="107">
        <v>56</v>
      </c>
      <c r="B59" s="82">
        <f>PIERNA!B59</f>
        <v>0</v>
      </c>
      <c r="C59" s="184">
        <f>PIERNA!C59</f>
        <v>0</v>
      </c>
      <c r="D59" s="204">
        <f>PIERNA!D59</f>
        <v>0</v>
      </c>
      <c r="E59" s="148">
        <f>PIERNA!E59</f>
        <v>0</v>
      </c>
      <c r="F59" s="162">
        <f>PIERNA!F59</f>
        <v>0</v>
      </c>
      <c r="G59" s="107">
        <f>PIERNA!G59</f>
        <v>0</v>
      </c>
      <c r="H59" s="694">
        <f>PIERNA!H59</f>
        <v>0</v>
      </c>
      <c r="I59" s="181">
        <f>PIERNA!I59</f>
        <v>0</v>
      </c>
      <c r="J59" s="339"/>
      <c r="K59" s="340"/>
      <c r="L59" s="612"/>
      <c r="M59" s="638"/>
      <c r="N59" s="346"/>
      <c r="O59" s="823"/>
      <c r="P59" s="347"/>
      <c r="Q59" s="316"/>
      <c r="R59" s="640"/>
      <c r="S59" s="70">
        <f t="shared" si="9"/>
        <v>0</v>
      </c>
      <c r="T59" s="70" t="e">
        <f t="shared" si="11"/>
        <v>#DIV/0!</v>
      </c>
    </row>
    <row r="60" spans="1:20" s="171" customFormat="1" ht="15" x14ac:dyDescent="0.25">
      <c r="A60" s="107">
        <v>57</v>
      </c>
      <c r="B60" s="82">
        <f>PIERNA!B60</f>
        <v>0</v>
      </c>
      <c r="C60" s="184">
        <f>PIERNA!TX5</f>
        <v>0</v>
      </c>
      <c r="D60" s="204">
        <f>PIERNA!D60</f>
        <v>0</v>
      </c>
      <c r="E60" s="148">
        <f>PIERNA!E60</f>
        <v>0</v>
      </c>
      <c r="F60" s="162">
        <f>PIERNA!F60</f>
        <v>0</v>
      </c>
      <c r="G60" s="107">
        <f>PIERNA!G60</f>
        <v>0</v>
      </c>
      <c r="H60" s="694">
        <f>PIERNA!H60</f>
        <v>0</v>
      </c>
      <c r="I60" s="181">
        <f>PIERNA!I60</f>
        <v>0</v>
      </c>
      <c r="J60" s="339"/>
      <c r="K60" s="307"/>
      <c r="L60" s="340"/>
      <c r="M60" s="638"/>
      <c r="N60" s="346"/>
      <c r="O60" s="823"/>
      <c r="P60" s="347"/>
      <c r="Q60" s="316"/>
      <c r="R60" s="640"/>
      <c r="S60" s="70">
        <f>Q60+M60+L60</f>
        <v>0</v>
      </c>
      <c r="T60" s="70" t="e">
        <f t="shared" si="11"/>
        <v>#DIV/0!</v>
      </c>
    </row>
    <row r="61" spans="1:20" s="171" customFormat="1" ht="15" x14ac:dyDescent="0.25">
      <c r="A61" s="107">
        <v>58</v>
      </c>
      <c r="B61" s="82">
        <f>PIERNA!B61</f>
        <v>0</v>
      </c>
      <c r="C61" s="184">
        <f>PIERNA!C61</f>
        <v>0</v>
      </c>
      <c r="D61" s="204">
        <f>PIERNA!D61</f>
        <v>0</v>
      </c>
      <c r="E61" s="148">
        <f>PIERNA!E61</f>
        <v>0</v>
      </c>
      <c r="F61" s="162">
        <f>PIERNA!F61</f>
        <v>0</v>
      </c>
      <c r="G61" s="107">
        <f>PIERNA!G61</f>
        <v>0</v>
      </c>
      <c r="H61" s="694">
        <f>PIERNA!H61</f>
        <v>0</v>
      </c>
      <c r="I61" s="181">
        <f>PIERNA!I61</f>
        <v>0</v>
      </c>
      <c r="J61" s="339"/>
      <c r="K61" s="340"/>
      <c r="L61" s="612"/>
      <c r="M61" s="638"/>
      <c r="N61" s="346"/>
      <c r="O61" s="823"/>
      <c r="P61" s="347"/>
      <c r="Q61" s="316"/>
      <c r="R61" s="640"/>
      <c r="S61" s="70">
        <f t="shared" ref="S61:S71" si="13">Q61+M61+K61</f>
        <v>0</v>
      </c>
      <c r="T61" s="70" t="e">
        <f t="shared" si="11"/>
        <v>#DIV/0!</v>
      </c>
    </row>
    <row r="62" spans="1:20" s="171" customFormat="1" ht="15" x14ac:dyDescent="0.25">
      <c r="A62" s="107">
        <v>59</v>
      </c>
      <c r="B62" s="82">
        <f>PIERNA!B62</f>
        <v>0</v>
      </c>
      <c r="C62" s="184">
        <f>PIERNA!C62</f>
        <v>0</v>
      </c>
      <c r="D62" s="204">
        <f>PIERNA!D62</f>
        <v>0</v>
      </c>
      <c r="E62" s="148">
        <f>PIERNA!F62</f>
        <v>0</v>
      </c>
      <c r="F62" s="162">
        <f>PIERNA!F62</f>
        <v>0</v>
      </c>
      <c r="G62" s="183">
        <f>PIERNA!G62</f>
        <v>0</v>
      </c>
      <c r="H62" s="694">
        <f>PIERNA!H62</f>
        <v>0</v>
      </c>
      <c r="I62" s="181">
        <f>PIERNA!I62</f>
        <v>0</v>
      </c>
      <c r="J62" s="339"/>
      <c r="K62" s="340"/>
      <c r="L62" s="612"/>
      <c r="M62" s="638"/>
      <c r="N62" s="346"/>
      <c r="O62" s="823"/>
      <c r="P62" s="347"/>
      <c r="Q62" s="316"/>
      <c r="R62" s="640"/>
      <c r="S62" s="70">
        <f t="shared" si="13"/>
        <v>0</v>
      </c>
      <c r="T62" s="70" t="e">
        <f t="shared" si="11"/>
        <v>#DIV/0!</v>
      </c>
    </row>
    <row r="63" spans="1:20" s="171" customFormat="1" ht="15" x14ac:dyDescent="0.25">
      <c r="A63" s="107">
        <v>60</v>
      </c>
      <c r="B63" s="82">
        <f>PIERNA!B63</f>
        <v>0</v>
      </c>
      <c r="C63" s="184">
        <f>PIERNA!C62</f>
        <v>0</v>
      </c>
      <c r="D63" s="204">
        <f>PIERNA!D62</f>
        <v>0</v>
      </c>
      <c r="E63" s="148">
        <f>PIERNA!E63</f>
        <v>0</v>
      </c>
      <c r="F63" s="162">
        <f>PIERNA!F63</f>
        <v>0</v>
      </c>
      <c r="G63" s="183">
        <f>PIERNA!G63</f>
        <v>0</v>
      </c>
      <c r="H63" s="694">
        <f>PIERNA!H63</f>
        <v>0</v>
      </c>
      <c r="I63" s="181">
        <f>PIERNA!I63</f>
        <v>0</v>
      </c>
      <c r="J63" s="339"/>
      <c r="K63" s="340"/>
      <c r="L63" s="612"/>
      <c r="M63" s="638"/>
      <c r="N63" s="346"/>
      <c r="O63" s="823"/>
      <c r="P63" s="347"/>
      <c r="Q63" s="316"/>
      <c r="R63" s="640"/>
      <c r="S63" s="70">
        <f t="shared" si="13"/>
        <v>0</v>
      </c>
      <c r="T63" s="70" t="e">
        <f t="shared" si="11"/>
        <v>#DIV/0!</v>
      </c>
    </row>
    <row r="64" spans="1:20" s="171" customFormat="1" ht="15" x14ac:dyDescent="0.25">
      <c r="A64" s="107"/>
      <c r="B64" s="82">
        <f>PIERNA!B64</f>
        <v>0</v>
      </c>
      <c r="C64" s="184">
        <f>PIERNA!C64</f>
        <v>0</v>
      </c>
      <c r="D64" s="204">
        <f>PIERNA!D64</f>
        <v>0</v>
      </c>
      <c r="E64" s="148">
        <f>PIERNA!E64</f>
        <v>0</v>
      </c>
      <c r="F64" s="162">
        <f>PIERNA!F64</f>
        <v>0</v>
      </c>
      <c r="G64" s="183">
        <f>PIERNA!G64</f>
        <v>0</v>
      </c>
      <c r="H64" s="694">
        <f>PIERNA!H64</f>
        <v>0</v>
      </c>
      <c r="I64" s="181">
        <f>PIERNA!I64</f>
        <v>0</v>
      </c>
      <c r="J64" s="339"/>
      <c r="K64" s="340"/>
      <c r="L64" s="612"/>
      <c r="M64" s="638"/>
      <c r="N64" s="346"/>
      <c r="O64" s="823"/>
      <c r="P64" s="347"/>
      <c r="Q64" s="316"/>
      <c r="R64" s="640"/>
      <c r="S64" s="70">
        <f t="shared" si="13"/>
        <v>0</v>
      </c>
      <c r="T64" s="70" t="e">
        <f t="shared" si="11"/>
        <v>#DIV/0!</v>
      </c>
    </row>
    <row r="65" spans="1:20" s="171" customFormat="1" ht="15" x14ac:dyDescent="0.25">
      <c r="A65" s="107"/>
      <c r="B65" s="82">
        <f>PIERNA!B65</f>
        <v>0</v>
      </c>
      <c r="C65" s="184">
        <f>PIERNA!C65</f>
        <v>0</v>
      </c>
      <c r="D65" s="204">
        <f>PIERNA!D65</f>
        <v>0</v>
      </c>
      <c r="E65" s="148">
        <f>PIERNA!E65</f>
        <v>0</v>
      </c>
      <c r="F65" s="162">
        <f>PIERNA!F65</f>
        <v>0</v>
      </c>
      <c r="G65" s="183">
        <f>PIERNA!G65</f>
        <v>0</v>
      </c>
      <c r="H65" s="694">
        <f>PIERNA!H65</f>
        <v>0</v>
      </c>
      <c r="I65" s="181">
        <f>PIERNA!I65</f>
        <v>0</v>
      </c>
      <c r="J65" s="339"/>
      <c r="K65" s="340"/>
      <c r="L65" s="612"/>
      <c r="M65" s="638"/>
      <c r="N65" s="346"/>
      <c r="O65" s="823"/>
      <c r="P65" s="347"/>
      <c r="Q65" s="316"/>
      <c r="R65" s="640"/>
      <c r="S65" s="70">
        <f t="shared" si="13"/>
        <v>0</v>
      </c>
      <c r="T65" s="70" t="e">
        <f t="shared" si="11"/>
        <v>#DIV/0!</v>
      </c>
    </row>
    <row r="66" spans="1:20" s="171" customFormat="1" ht="15" x14ac:dyDescent="0.25">
      <c r="A66" s="107"/>
      <c r="B66" s="82">
        <f>PIERNA!B61</f>
        <v>0</v>
      </c>
      <c r="C66" s="184">
        <f>PIERNA!C61</f>
        <v>0</v>
      </c>
      <c r="D66" s="204">
        <f>PIERNA!D61</f>
        <v>0</v>
      </c>
      <c r="E66" s="148">
        <f>PIERNA!E61</f>
        <v>0</v>
      </c>
      <c r="F66" s="162">
        <f>PIERNA!F61</f>
        <v>0</v>
      </c>
      <c r="G66" s="183">
        <f>PIERNA!G61</f>
        <v>0</v>
      </c>
      <c r="H66" s="694">
        <f>PIERNA!H61</f>
        <v>0</v>
      </c>
      <c r="I66" s="181">
        <f>PIERNA!I66</f>
        <v>0</v>
      </c>
      <c r="J66" s="339"/>
      <c r="K66" s="340"/>
      <c r="L66" s="612"/>
      <c r="M66" s="613"/>
      <c r="N66" s="367"/>
      <c r="O66" s="825"/>
      <c r="P66" s="347"/>
      <c r="Q66" s="316"/>
      <c r="R66" s="640"/>
      <c r="S66" s="70">
        <f t="shared" si="13"/>
        <v>0</v>
      </c>
      <c r="T66" s="70" t="e">
        <f t="shared" si="10"/>
        <v>#DIV/0!</v>
      </c>
    </row>
    <row r="67" spans="1:20" s="171" customFormat="1" ht="15" x14ac:dyDescent="0.25">
      <c r="A67" s="107"/>
      <c r="B67" s="82">
        <f>PIERNA!B62</f>
        <v>0</v>
      </c>
      <c r="C67" s="184">
        <f>PIERNA!C62</f>
        <v>0</v>
      </c>
      <c r="D67" s="204">
        <f>PIERNA!D62</f>
        <v>0</v>
      </c>
      <c r="E67" s="148">
        <f>PIERNA!E62</f>
        <v>0</v>
      </c>
      <c r="F67" s="162">
        <f>PIERNA!F62</f>
        <v>0</v>
      </c>
      <c r="G67" s="183">
        <f>PIERNA!G62</f>
        <v>0</v>
      </c>
      <c r="H67" s="694">
        <f>PIERNA!H62</f>
        <v>0</v>
      </c>
      <c r="I67" s="181">
        <f>PIERNA!I67</f>
        <v>0</v>
      </c>
      <c r="J67" s="339"/>
      <c r="K67" s="340"/>
      <c r="L67" s="351"/>
      <c r="M67" s="348"/>
      <c r="N67" s="367"/>
      <c r="O67" s="825"/>
      <c r="P67" s="347"/>
      <c r="Q67" s="316"/>
      <c r="R67" s="640"/>
      <c r="S67" s="70">
        <f t="shared" si="13"/>
        <v>0</v>
      </c>
      <c r="T67" s="70" t="e">
        <f t="shared" si="10"/>
        <v>#DIV/0!</v>
      </c>
    </row>
    <row r="68" spans="1:20" s="171" customFormat="1" ht="15" x14ac:dyDescent="0.25">
      <c r="A68" s="107"/>
      <c r="B68" s="141">
        <f>PIERNA!B63</f>
        <v>0</v>
      </c>
      <c r="C68" s="167">
        <f>PIERNA!C63</f>
        <v>0</v>
      </c>
      <c r="D68" s="109">
        <f>PIERNA!D63</f>
        <v>0</v>
      </c>
      <c r="E68" s="148">
        <f>PIERNA!E63</f>
        <v>0</v>
      </c>
      <c r="F68" s="162">
        <f>PIERNA!F63</f>
        <v>0</v>
      </c>
      <c r="G68" s="183">
        <f>PIERNA!G63</f>
        <v>0</v>
      </c>
      <c r="H68" s="694">
        <f>PIERNA!H63</f>
        <v>0</v>
      </c>
      <c r="I68" s="181">
        <f>PIERNA!I68</f>
        <v>0</v>
      </c>
      <c r="J68" s="339"/>
      <c r="K68" s="340"/>
      <c r="L68" s="351"/>
      <c r="M68" s="348"/>
      <c r="N68" s="367"/>
      <c r="O68" s="825"/>
      <c r="P68" s="347"/>
      <c r="Q68" s="316"/>
      <c r="R68" s="640"/>
      <c r="S68" s="70">
        <f t="shared" si="13"/>
        <v>0</v>
      </c>
      <c r="T68" s="70" t="e">
        <f t="shared" si="10"/>
        <v>#DIV/0!</v>
      </c>
    </row>
    <row r="69" spans="1:20" s="171" customFormat="1" ht="15" x14ac:dyDescent="0.25">
      <c r="A69" s="107"/>
      <c r="B69" s="82">
        <f>PIERNA!B64</f>
        <v>0</v>
      </c>
      <c r="C69" s="167">
        <f>PIERNA!C64</f>
        <v>0</v>
      </c>
      <c r="D69" s="109">
        <f>PIERNA!D64</f>
        <v>0</v>
      </c>
      <c r="E69" s="148">
        <f>PIERNA!E64</f>
        <v>0</v>
      </c>
      <c r="F69" s="162">
        <f>PIERNA!F64</f>
        <v>0</v>
      </c>
      <c r="G69" s="183">
        <f>PIERNA!G64</f>
        <v>0</v>
      </c>
      <c r="H69" s="694">
        <f>PIERNA!H64</f>
        <v>0</v>
      </c>
      <c r="I69" s="181">
        <f>PIERNA!I69</f>
        <v>0</v>
      </c>
      <c r="J69" s="339"/>
      <c r="K69" s="340"/>
      <c r="L69" s="351"/>
      <c r="M69" s="348"/>
      <c r="N69" s="367"/>
      <c r="O69" s="825"/>
      <c r="P69" s="347"/>
      <c r="Q69" s="316"/>
      <c r="R69" s="640"/>
      <c r="S69" s="70">
        <f t="shared" si="13"/>
        <v>0</v>
      </c>
      <c r="T69" s="70" t="e">
        <f t="shared" si="10"/>
        <v>#DIV/0!</v>
      </c>
    </row>
    <row r="70" spans="1:20" s="171" customFormat="1" ht="15" hidden="1" customHeight="1" x14ac:dyDescent="0.25">
      <c r="A70" s="107">
        <v>62</v>
      </c>
      <c r="B70" s="82">
        <f>PIERNA!B65</f>
        <v>0</v>
      </c>
      <c r="C70" s="167">
        <f>PIERNA!C65</f>
        <v>0</v>
      </c>
      <c r="D70" s="109">
        <f>PIERNA!D65</f>
        <v>0</v>
      </c>
      <c r="E70" s="148">
        <f>PIERNA!E65</f>
        <v>0</v>
      </c>
      <c r="F70" s="162">
        <f>PIERNA!F65</f>
        <v>0</v>
      </c>
      <c r="G70" s="183">
        <f>PIERNA!G65</f>
        <v>0</v>
      </c>
      <c r="H70" s="694">
        <f>PIERNA!H65</f>
        <v>0</v>
      </c>
      <c r="I70" s="181">
        <f>PIERNA!I70</f>
        <v>0</v>
      </c>
      <c r="J70" s="614"/>
      <c r="K70" s="340"/>
      <c r="L70" s="351"/>
      <c r="M70" s="348"/>
      <c r="N70" s="346"/>
      <c r="O70" s="318"/>
      <c r="P70" s="347"/>
      <c r="Q70" s="316"/>
      <c r="R70" s="640"/>
      <c r="S70" s="70">
        <f t="shared" si="13"/>
        <v>0</v>
      </c>
      <c r="T70" s="70" t="e">
        <f t="shared" si="10"/>
        <v>#DIV/0!</v>
      </c>
    </row>
    <row r="71" spans="1:20" s="171" customFormat="1" ht="15" hidden="1" customHeight="1" x14ac:dyDescent="0.25">
      <c r="A71" s="107">
        <v>63</v>
      </c>
      <c r="B71" s="82">
        <f>PIERNA!B66</f>
        <v>0</v>
      </c>
      <c r="C71" s="167">
        <f>PIERNA!C66</f>
        <v>0</v>
      </c>
      <c r="D71" s="109">
        <f>PIERNA!D66</f>
        <v>0</v>
      </c>
      <c r="E71" s="148">
        <f>PIERNA!E66</f>
        <v>0</v>
      </c>
      <c r="F71" s="162">
        <f>PIERNA!F66</f>
        <v>0</v>
      </c>
      <c r="G71" s="183">
        <f>PIERNA!G66</f>
        <v>0</v>
      </c>
      <c r="H71" s="694">
        <f>PIERNA!H66</f>
        <v>0</v>
      </c>
      <c r="I71" s="181">
        <f>PIERNA!I71</f>
        <v>0</v>
      </c>
      <c r="J71" s="614"/>
      <c r="K71" s="340"/>
      <c r="L71" s="351"/>
      <c r="M71" s="348"/>
      <c r="N71" s="346"/>
      <c r="O71" s="318"/>
      <c r="P71" s="347"/>
      <c r="Q71" s="316"/>
      <c r="R71" s="640"/>
      <c r="S71" s="70">
        <f t="shared" si="13"/>
        <v>0</v>
      </c>
      <c r="T71" s="70" t="e">
        <f t="shared" si="10"/>
        <v>#DIV/0!</v>
      </c>
    </row>
    <row r="72" spans="1:20" s="171" customFormat="1" ht="15" hidden="1" customHeight="1" x14ac:dyDescent="0.25">
      <c r="A72" s="107">
        <v>64</v>
      </c>
      <c r="B72" s="82">
        <f>PIERNA!B67</f>
        <v>0</v>
      </c>
      <c r="C72" s="167">
        <f>PIERNA!C67</f>
        <v>0</v>
      </c>
      <c r="D72" s="109">
        <f>PIERNA!D67</f>
        <v>0</v>
      </c>
      <c r="E72" s="148">
        <f>PIERNA!E67</f>
        <v>0</v>
      </c>
      <c r="F72" s="162">
        <f>PIERNA!F67</f>
        <v>0</v>
      </c>
      <c r="G72" s="183">
        <f>PIERNA!G67</f>
        <v>0</v>
      </c>
      <c r="H72" s="694">
        <f>PIERNA!H67</f>
        <v>0</v>
      </c>
      <c r="I72" s="181">
        <f>PIERNA!I72</f>
        <v>0</v>
      </c>
      <c r="J72" s="614"/>
      <c r="K72" s="340"/>
      <c r="L72" s="351"/>
      <c r="M72" s="348"/>
      <c r="N72" s="346"/>
      <c r="O72" s="318"/>
      <c r="P72" s="347"/>
      <c r="Q72" s="316"/>
      <c r="R72" s="640"/>
      <c r="S72" s="70">
        <f t="shared" ref="S72:S123" si="14">Q72+M72+K72</f>
        <v>0</v>
      </c>
      <c r="T72" s="70" t="e">
        <f t="shared" ref="T72:T95" si="15">S72/H72+0.1</f>
        <v>#DIV/0!</v>
      </c>
    </row>
    <row r="73" spans="1:20" s="171" customFormat="1" ht="15" hidden="1" customHeight="1" x14ac:dyDescent="0.25">
      <c r="A73" s="107">
        <v>65</v>
      </c>
      <c r="B73" s="82">
        <f>PIERNA!B68</f>
        <v>0</v>
      </c>
      <c r="C73" s="167">
        <f>PIERNA!C68</f>
        <v>0</v>
      </c>
      <c r="D73" s="109">
        <f>PIERNA!D68</f>
        <v>0</v>
      </c>
      <c r="E73" s="148">
        <f>PIERNA!E68</f>
        <v>0</v>
      </c>
      <c r="F73" s="162">
        <f>PIERNA!F68</f>
        <v>0</v>
      </c>
      <c r="G73" s="183">
        <f>PIERNA!G68</f>
        <v>0</v>
      </c>
      <c r="H73" s="694">
        <f>PIERNA!H68</f>
        <v>0</v>
      </c>
      <c r="I73" s="181">
        <f>PIERNA!I73</f>
        <v>0</v>
      </c>
      <c r="J73" s="614"/>
      <c r="K73" s="340"/>
      <c r="L73" s="351"/>
      <c r="M73" s="348"/>
      <c r="N73" s="346"/>
      <c r="O73" s="318"/>
      <c r="P73" s="347"/>
      <c r="Q73" s="316"/>
      <c r="R73" s="640"/>
      <c r="S73" s="70">
        <f t="shared" si="14"/>
        <v>0</v>
      </c>
      <c r="T73" s="70" t="e">
        <f t="shared" si="15"/>
        <v>#DIV/0!</v>
      </c>
    </row>
    <row r="74" spans="1:20" s="171" customFormat="1" ht="15" hidden="1" customHeight="1" x14ac:dyDescent="0.25">
      <c r="A74" s="107">
        <v>66</v>
      </c>
      <c r="B74" s="82">
        <f>PIERNA!B69</f>
        <v>0</v>
      </c>
      <c r="C74" s="167">
        <f>PIERNA!C69</f>
        <v>0</v>
      </c>
      <c r="D74" s="109">
        <f>PIERNA!D69</f>
        <v>0</v>
      </c>
      <c r="E74" s="148">
        <f>PIERNA!E69</f>
        <v>0</v>
      </c>
      <c r="F74" s="162">
        <f>PIERNA!F69</f>
        <v>0</v>
      </c>
      <c r="G74" s="183">
        <f>PIERNA!G69</f>
        <v>0</v>
      </c>
      <c r="H74" s="694">
        <f>PIERNA!H69</f>
        <v>0</v>
      </c>
      <c r="I74" s="181">
        <f>PIERNA!I74</f>
        <v>0</v>
      </c>
      <c r="J74" s="614"/>
      <c r="K74" s="340"/>
      <c r="L74" s="351"/>
      <c r="M74" s="348"/>
      <c r="N74" s="346"/>
      <c r="O74" s="318"/>
      <c r="P74" s="347"/>
      <c r="Q74" s="316"/>
      <c r="R74" s="640"/>
      <c r="S74" s="70">
        <f t="shared" si="14"/>
        <v>0</v>
      </c>
      <c r="T74" s="70" t="e">
        <f t="shared" si="15"/>
        <v>#DIV/0!</v>
      </c>
    </row>
    <row r="75" spans="1:20" s="171" customFormat="1" ht="15" hidden="1" customHeight="1" x14ac:dyDescent="0.25">
      <c r="A75" s="107">
        <v>67</v>
      </c>
      <c r="B75" s="82">
        <f>PIERNA!B70</f>
        <v>0</v>
      </c>
      <c r="C75" s="167">
        <f>PIERNA!C70</f>
        <v>0</v>
      </c>
      <c r="D75" s="109">
        <f>PIERNA!D70</f>
        <v>0</v>
      </c>
      <c r="E75" s="148">
        <f>PIERNA!E70</f>
        <v>0</v>
      </c>
      <c r="F75" s="162">
        <f>PIERNA!F70</f>
        <v>0</v>
      </c>
      <c r="G75" s="183">
        <f>PIERNA!G70</f>
        <v>0</v>
      </c>
      <c r="H75" s="694">
        <f>PIERNA!H70</f>
        <v>0</v>
      </c>
      <c r="I75" s="181">
        <f>PIERNA!I75</f>
        <v>0</v>
      </c>
      <c r="J75" s="614"/>
      <c r="K75" s="340"/>
      <c r="L75" s="351"/>
      <c r="M75" s="348"/>
      <c r="N75" s="346"/>
      <c r="O75" s="318"/>
      <c r="P75" s="347"/>
      <c r="Q75" s="316"/>
      <c r="R75" s="640"/>
      <c r="S75" s="70">
        <f t="shared" si="14"/>
        <v>0</v>
      </c>
      <c r="T75" s="70" t="e">
        <f t="shared" si="15"/>
        <v>#DIV/0!</v>
      </c>
    </row>
    <row r="76" spans="1:20" s="171" customFormat="1" ht="15" hidden="1" customHeight="1" x14ac:dyDescent="0.25">
      <c r="A76" s="107">
        <v>68</v>
      </c>
      <c r="B76" s="140">
        <f>PIERNA!B71</f>
        <v>0</v>
      </c>
      <c r="C76" s="167">
        <f>PIERNA!C71</f>
        <v>0</v>
      </c>
      <c r="D76" s="109">
        <f>PIERNA!D71</f>
        <v>0</v>
      </c>
      <c r="E76" s="148">
        <f>PIERNA!E71</f>
        <v>0</v>
      </c>
      <c r="F76" s="162">
        <f>PIERNA!F71</f>
        <v>0</v>
      </c>
      <c r="G76" s="183">
        <f>PIERNA!G71</f>
        <v>0</v>
      </c>
      <c r="H76" s="694">
        <f>PIERNA!H71</f>
        <v>0</v>
      </c>
      <c r="I76" s="181">
        <f>PIERNA!I76</f>
        <v>0</v>
      </c>
      <c r="J76" s="614"/>
      <c r="K76" s="340"/>
      <c r="L76" s="351"/>
      <c r="M76" s="348"/>
      <c r="N76" s="346"/>
      <c r="O76" s="318"/>
      <c r="P76" s="347"/>
      <c r="Q76" s="316"/>
      <c r="R76" s="640"/>
      <c r="S76" s="70">
        <f t="shared" si="14"/>
        <v>0</v>
      </c>
      <c r="T76" s="70" t="e">
        <f t="shared" si="15"/>
        <v>#DIV/0!</v>
      </c>
    </row>
    <row r="77" spans="1:20" s="171" customFormat="1" ht="15" hidden="1" customHeight="1" x14ac:dyDescent="0.25">
      <c r="A77" s="107">
        <v>69</v>
      </c>
      <c r="B77" s="82">
        <f>PIERNA!B72</f>
        <v>0</v>
      </c>
      <c r="C77" s="167">
        <f>PIERNA!C72</f>
        <v>0</v>
      </c>
      <c r="D77" s="109">
        <f>PIERNA!D72</f>
        <v>0</v>
      </c>
      <c r="E77" s="148">
        <f>PIERNA!E72</f>
        <v>0</v>
      </c>
      <c r="F77" s="162">
        <f>PIERNA!F72</f>
        <v>0</v>
      </c>
      <c r="G77" s="183">
        <f>PIERNA!G72</f>
        <v>0</v>
      </c>
      <c r="H77" s="694">
        <f>PIERNA!H72</f>
        <v>0</v>
      </c>
      <c r="I77" s="181">
        <f>PIERNA!I77</f>
        <v>0</v>
      </c>
      <c r="J77" s="614"/>
      <c r="K77" s="340"/>
      <c r="L77" s="351"/>
      <c r="M77" s="348"/>
      <c r="N77" s="346"/>
      <c r="O77" s="318"/>
      <c r="P77" s="347"/>
      <c r="Q77" s="316"/>
      <c r="R77" s="640"/>
      <c r="S77" s="70">
        <f t="shared" si="14"/>
        <v>0</v>
      </c>
      <c r="T77" s="70" t="e">
        <f t="shared" si="15"/>
        <v>#DIV/0!</v>
      </c>
    </row>
    <row r="78" spans="1:20" s="171" customFormat="1" ht="15" hidden="1" customHeight="1" x14ac:dyDescent="0.25">
      <c r="A78" s="107">
        <v>70</v>
      </c>
      <c r="B78" s="82">
        <f>PIERNA!B73</f>
        <v>0</v>
      </c>
      <c r="C78" s="167">
        <f>PIERNA!C73</f>
        <v>0</v>
      </c>
      <c r="D78" s="109">
        <f>PIERNA!D73</f>
        <v>0</v>
      </c>
      <c r="E78" s="148">
        <f>PIERNA!E73</f>
        <v>0</v>
      </c>
      <c r="F78" s="162">
        <f>PIERNA!F73</f>
        <v>0</v>
      </c>
      <c r="G78" s="183">
        <f>PIERNA!G73</f>
        <v>0</v>
      </c>
      <c r="H78" s="694">
        <f>PIERNA!H73</f>
        <v>0</v>
      </c>
      <c r="I78" s="181">
        <f>PIERNA!I78</f>
        <v>0</v>
      </c>
      <c r="J78" s="614"/>
      <c r="K78" s="340"/>
      <c r="L78" s="351"/>
      <c r="M78" s="348"/>
      <c r="N78" s="346"/>
      <c r="O78" s="318"/>
      <c r="P78" s="347"/>
      <c r="Q78" s="316"/>
      <c r="R78" s="640"/>
      <c r="S78" s="70">
        <f t="shared" si="14"/>
        <v>0</v>
      </c>
      <c r="T78" s="70" t="e">
        <f t="shared" si="15"/>
        <v>#DIV/0!</v>
      </c>
    </row>
    <row r="79" spans="1:20" s="171" customFormat="1" ht="15" hidden="1" customHeight="1" x14ac:dyDescent="0.25">
      <c r="A79" s="107">
        <v>71</v>
      </c>
      <c r="B79" s="82">
        <f>PIERNA!B74</f>
        <v>0</v>
      </c>
      <c r="C79" s="167">
        <f>PIERNA!C74</f>
        <v>0</v>
      </c>
      <c r="D79" s="109">
        <f>PIERNA!D74</f>
        <v>0</v>
      </c>
      <c r="E79" s="148">
        <f>PIERNA!E74</f>
        <v>0</v>
      </c>
      <c r="F79" s="162">
        <f>PIERNA!F74</f>
        <v>0</v>
      </c>
      <c r="G79" s="183">
        <f>PIERNA!G74</f>
        <v>0</v>
      </c>
      <c r="H79" s="694">
        <f>PIERNA!H74</f>
        <v>0</v>
      </c>
      <c r="I79" s="181">
        <f>PIERNA!I79</f>
        <v>0</v>
      </c>
      <c r="J79" s="614"/>
      <c r="K79" s="340"/>
      <c r="L79" s="351"/>
      <c r="M79" s="348"/>
      <c r="N79" s="346"/>
      <c r="O79" s="318"/>
      <c r="P79" s="347"/>
      <c r="Q79" s="316"/>
      <c r="R79" s="640"/>
      <c r="S79" s="70">
        <f t="shared" si="14"/>
        <v>0</v>
      </c>
      <c r="T79" s="70" t="e">
        <f t="shared" si="15"/>
        <v>#DIV/0!</v>
      </c>
    </row>
    <row r="80" spans="1:20" s="171" customFormat="1" ht="15" hidden="1" customHeight="1" x14ac:dyDescent="0.25">
      <c r="A80" s="107">
        <v>72</v>
      </c>
      <c r="B80" s="82">
        <f>PIERNA!B75</f>
        <v>0</v>
      </c>
      <c r="C80" s="167">
        <f>PIERNA!C75</f>
        <v>0</v>
      </c>
      <c r="D80" s="109">
        <f>PIERNA!D75</f>
        <v>0</v>
      </c>
      <c r="E80" s="148">
        <f>PIERNA!E75</f>
        <v>0</v>
      </c>
      <c r="F80" s="162">
        <f>PIERNA!F75</f>
        <v>0</v>
      </c>
      <c r="G80" s="183">
        <f>PIERNA!G75</f>
        <v>0</v>
      </c>
      <c r="H80" s="694">
        <f>PIERNA!H75</f>
        <v>0</v>
      </c>
      <c r="I80" s="181">
        <f>PIERNA!I80</f>
        <v>0</v>
      </c>
      <c r="J80" s="614"/>
      <c r="K80" s="340"/>
      <c r="L80" s="351"/>
      <c r="M80" s="348"/>
      <c r="N80" s="346"/>
      <c r="O80" s="318"/>
      <c r="P80" s="347"/>
      <c r="Q80" s="316"/>
      <c r="R80" s="640"/>
      <c r="S80" s="70">
        <f t="shared" si="14"/>
        <v>0</v>
      </c>
      <c r="T80" s="70" t="e">
        <f t="shared" si="15"/>
        <v>#DIV/0!</v>
      </c>
    </row>
    <row r="81" spans="1:20" s="171" customFormat="1" ht="15" hidden="1" customHeight="1" x14ac:dyDescent="0.25">
      <c r="A81" s="107">
        <v>73</v>
      </c>
      <c r="B81" s="82">
        <f>PIERNA!B76</f>
        <v>0</v>
      </c>
      <c r="C81" s="167">
        <f>PIERNA!C76</f>
        <v>0</v>
      </c>
      <c r="D81" s="109">
        <f>PIERNA!D76</f>
        <v>0</v>
      </c>
      <c r="E81" s="148">
        <f>PIERNA!E76</f>
        <v>0</v>
      </c>
      <c r="F81" s="162">
        <f>PIERNA!F76</f>
        <v>0</v>
      </c>
      <c r="G81" s="183">
        <f>PIERNA!G76</f>
        <v>0</v>
      </c>
      <c r="H81" s="694">
        <f>PIERNA!H76</f>
        <v>0</v>
      </c>
      <c r="I81" s="181">
        <f>PIERNA!I81</f>
        <v>0</v>
      </c>
      <c r="J81" s="614"/>
      <c r="K81" s="340"/>
      <c r="L81" s="351"/>
      <c r="M81" s="348"/>
      <c r="N81" s="346"/>
      <c r="O81" s="318"/>
      <c r="P81" s="347"/>
      <c r="Q81" s="316"/>
      <c r="R81" s="640"/>
      <c r="S81" s="70">
        <f t="shared" si="14"/>
        <v>0</v>
      </c>
      <c r="T81" s="70" t="e">
        <f t="shared" si="15"/>
        <v>#DIV/0!</v>
      </c>
    </row>
    <row r="82" spans="1:20" s="171" customFormat="1" ht="15" hidden="1" customHeight="1" x14ac:dyDescent="0.25">
      <c r="A82" s="107">
        <v>74</v>
      </c>
      <c r="B82" s="82">
        <f>PIERNA!B77</f>
        <v>0</v>
      </c>
      <c r="C82" s="167">
        <f>PIERNA!C77</f>
        <v>0</v>
      </c>
      <c r="D82" s="109">
        <f>PIERNA!D77</f>
        <v>0</v>
      </c>
      <c r="E82" s="148">
        <f>PIERNA!E77</f>
        <v>0</v>
      </c>
      <c r="F82" s="162">
        <f>PIERNA!F77</f>
        <v>0</v>
      </c>
      <c r="G82" s="183">
        <f>PIERNA!G77</f>
        <v>0</v>
      </c>
      <c r="H82" s="694">
        <f>PIERNA!H77</f>
        <v>0</v>
      </c>
      <c r="I82" s="181">
        <f>PIERNA!I82</f>
        <v>0</v>
      </c>
      <c r="J82" s="614"/>
      <c r="K82" s="340"/>
      <c r="L82" s="351"/>
      <c r="M82" s="348"/>
      <c r="N82" s="346"/>
      <c r="O82" s="318"/>
      <c r="P82" s="347"/>
      <c r="Q82" s="316"/>
      <c r="R82" s="640"/>
      <c r="S82" s="70">
        <f t="shared" si="14"/>
        <v>0</v>
      </c>
      <c r="T82" s="70" t="e">
        <f t="shared" si="15"/>
        <v>#DIV/0!</v>
      </c>
    </row>
    <row r="83" spans="1:20" s="171" customFormat="1" ht="15" hidden="1" customHeight="1" x14ac:dyDescent="0.25">
      <c r="A83" s="107">
        <v>75</v>
      </c>
      <c r="B83" s="82">
        <f>PIERNA!B78</f>
        <v>0</v>
      </c>
      <c r="C83" s="167">
        <f>PIERNA!C78</f>
        <v>0</v>
      </c>
      <c r="D83" s="109">
        <f>PIERNA!D78</f>
        <v>0</v>
      </c>
      <c r="E83" s="148">
        <f>PIERNA!E78</f>
        <v>0</v>
      </c>
      <c r="F83" s="162">
        <f>PIERNA!F78</f>
        <v>0</v>
      </c>
      <c r="G83" s="183">
        <f>PIERNA!G78</f>
        <v>0</v>
      </c>
      <c r="H83" s="694">
        <f>PIERNA!H78</f>
        <v>0</v>
      </c>
      <c r="I83" s="181">
        <f>PIERNA!I83</f>
        <v>0</v>
      </c>
      <c r="J83" s="614"/>
      <c r="K83" s="340"/>
      <c r="L83" s="351"/>
      <c r="M83" s="348"/>
      <c r="N83" s="346"/>
      <c r="O83" s="318"/>
      <c r="P83" s="347"/>
      <c r="Q83" s="316"/>
      <c r="R83" s="640"/>
      <c r="S83" s="70">
        <f t="shared" si="14"/>
        <v>0</v>
      </c>
      <c r="T83" s="70" t="e">
        <f t="shared" si="15"/>
        <v>#DIV/0!</v>
      </c>
    </row>
    <row r="84" spans="1:20" s="171" customFormat="1" ht="15" hidden="1" customHeight="1" x14ac:dyDescent="0.25">
      <c r="A84" s="107">
        <v>76</v>
      </c>
      <c r="B84" s="82">
        <f>PIERNA!B79</f>
        <v>0</v>
      </c>
      <c r="C84" s="167">
        <f>PIERNA!C79</f>
        <v>0</v>
      </c>
      <c r="D84" s="109">
        <f>PIERNA!D79</f>
        <v>0</v>
      </c>
      <c r="E84" s="148">
        <f>PIERNA!E79</f>
        <v>0</v>
      </c>
      <c r="F84" s="162">
        <f>PIERNA!F79</f>
        <v>0</v>
      </c>
      <c r="G84" s="183">
        <f>PIERNA!G79</f>
        <v>0</v>
      </c>
      <c r="H84" s="694">
        <f>PIERNA!H79</f>
        <v>0</v>
      </c>
      <c r="I84" s="181">
        <f>PIERNA!I84</f>
        <v>0</v>
      </c>
      <c r="J84" s="614"/>
      <c r="K84" s="340"/>
      <c r="L84" s="351"/>
      <c r="M84" s="348"/>
      <c r="N84" s="346"/>
      <c r="O84" s="318"/>
      <c r="P84" s="347"/>
      <c r="Q84" s="316"/>
      <c r="R84" s="640"/>
      <c r="S84" s="70">
        <f t="shared" si="14"/>
        <v>0</v>
      </c>
      <c r="T84" s="70" t="e">
        <f t="shared" si="15"/>
        <v>#DIV/0!</v>
      </c>
    </row>
    <row r="85" spans="1:20" s="171" customFormat="1" ht="15" hidden="1" customHeight="1" x14ac:dyDescent="0.25">
      <c r="A85" s="107">
        <v>77</v>
      </c>
      <c r="B85" s="82">
        <f>PIERNA!B80</f>
        <v>0</v>
      </c>
      <c r="C85" s="167">
        <f>PIERNA!C80</f>
        <v>0</v>
      </c>
      <c r="D85" s="109">
        <f>PIERNA!D80</f>
        <v>0</v>
      </c>
      <c r="E85" s="148">
        <f>PIERNA!E80</f>
        <v>0</v>
      </c>
      <c r="F85" s="162">
        <f>PIERNA!F80</f>
        <v>0</v>
      </c>
      <c r="G85" s="183">
        <f>PIERNA!G80</f>
        <v>0</v>
      </c>
      <c r="H85" s="694">
        <f>PIERNA!H80</f>
        <v>0</v>
      </c>
      <c r="I85" s="181">
        <f>PIERNA!I85</f>
        <v>0</v>
      </c>
      <c r="J85" s="614"/>
      <c r="K85" s="340"/>
      <c r="L85" s="351"/>
      <c r="M85" s="348"/>
      <c r="N85" s="346"/>
      <c r="O85" s="318"/>
      <c r="P85" s="347"/>
      <c r="Q85" s="316"/>
      <c r="R85" s="640"/>
      <c r="S85" s="70">
        <f t="shared" si="14"/>
        <v>0</v>
      </c>
      <c r="T85" s="70" t="e">
        <f t="shared" si="15"/>
        <v>#DIV/0!</v>
      </c>
    </row>
    <row r="86" spans="1:20" s="171" customFormat="1" ht="15" hidden="1" customHeight="1" x14ac:dyDescent="0.25">
      <c r="A86" s="107">
        <v>78</v>
      </c>
      <c r="B86" s="82">
        <f>PIERNA!B81</f>
        <v>0</v>
      </c>
      <c r="C86" s="167">
        <f>PIERNA!C81</f>
        <v>0</v>
      </c>
      <c r="D86" s="109">
        <f>PIERNA!D81</f>
        <v>0</v>
      </c>
      <c r="E86" s="148">
        <f>PIERNA!E81</f>
        <v>0</v>
      </c>
      <c r="F86" s="162">
        <f>PIERNA!F81</f>
        <v>0</v>
      </c>
      <c r="G86" s="183">
        <f>PIERNA!G81</f>
        <v>0</v>
      </c>
      <c r="H86" s="694">
        <f>PIERNA!H81</f>
        <v>0</v>
      </c>
      <c r="I86" s="181">
        <f>PIERNA!I86</f>
        <v>0</v>
      </c>
      <c r="J86" s="614"/>
      <c r="K86" s="340"/>
      <c r="L86" s="351"/>
      <c r="M86" s="348"/>
      <c r="N86" s="346"/>
      <c r="O86" s="318"/>
      <c r="P86" s="347"/>
      <c r="Q86" s="316"/>
      <c r="R86" s="640"/>
      <c r="S86" s="70">
        <f t="shared" si="14"/>
        <v>0</v>
      </c>
      <c r="T86" s="70" t="e">
        <f t="shared" si="15"/>
        <v>#DIV/0!</v>
      </c>
    </row>
    <row r="87" spans="1:20" s="171" customFormat="1" ht="15" hidden="1" customHeight="1" x14ac:dyDescent="0.25">
      <c r="A87" s="107">
        <v>79</v>
      </c>
      <c r="B87" s="82">
        <f>PIERNA!B82</f>
        <v>0</v>
      </c>
      <c r="C87" s="167">
        <f>PIERNA!C82</f>
        <v>0</v>
      </c>
      <c r="D87" s="109">
        <f>PIERNA!D82</f>
        <v>0</v>
      </c>
      <c r="E87" s="148">
        <f>PIERNA!E82</f>
        <v>0</v>
      </c>
      <c r="F87" s="162">
        <f>PIERNA!F82</f>
        <v>0</v>
      </c>
      <c r="G87" s="183">
        <f>PIERNA!G82</f>
        <v>0</v>
      </c>
      <c r="H87" s="694">
        <f>PIERNA!H82</f>
        <v>0</v>
      </c>
      <c r="I87" s="181">
        <f>PIERNA!I87</f>
        <v>0</v>
      </c>
      <c r="J87" s="614"/>
      <c r="K87" s="340"/>
      <c r="L87" s="351"/>
      <c r="M87" s="348"/>
      <c r="N87" s="346"/>
      <c r="O87" s="318"/>
      <c r="P87" s="347"/>
      <c r="Q87" s="316"/>
      <c r="R87" s="640"/>
      <c r="S87" s="70">
        <f t="shared" si="14"/>
        <v>0</v>
      </c>
      <c r="T87" s="70" t="e">
        <f t="shared" si="15"/>
        <v>#DIV/0!</v>
      </c>
    </row>
    <row r="88" spans="1:20" s="171" customFormat="1" ht="15" hidden="1" customHeight="1" x14ac:dyDescent="0.25">
      <c r="A88" s="107">
        <v>80</v>
      </c>
      <c r="B88" s="82">
        <f>PIERNA!B83</f>
        <v>0</v>
      </c>
      <c r="C88" s="167">
        <f>PIERNA!C83</f>
        <v>0</v>
      </c>
      <c r="D88" s="109">
        <f>PIERNA!D83</f>
        <v>0</v>
      </c>
      <c r="E88" s="148">
        <f>PIERNA!E83</f>
        <v>0</v>
      </c>
      <c r="F88" s="162">
        <f>PIERNA!F83</f>
        <v>0</v>
      </c>
      <c r="G88" s="183">
        <f>PIERNA!G83</f>
        <v>0</v>
      </c>
      <c r="H88" s="694">
        <f>PIERNA!H83</f>
        <v>0</v>
      </c>
      <c r="I88" s="181">
        <f>PIERNA!I88</f>
        <v>0</v>
      </c>
      <c r="J88" s="614"/>
      <c r="K88" s="340"/>
      <c r="L88" s="351"/>
      <c r="M88" s="348"/>
      <c r="N88" s="346"/>
      <c r="O88" s="318"/>
      <c r="P88" s="347"/>
      <c r="Q88" s="316"/>
      <c r="R88" s="640"/>
      <c r="S88" s="70">
        <f t="shared" si="14"/>
        <v>0</v>
      </c>
      <c r="T88" s="70" t="e">
        <f t="shared" si="15"/>
        <v>#DIV/0!</v>
      </c>
    </row>
    <row r="89" spans="1:20" s="171" customFormat="1" ht="15" hidden="1" customHeight="1" x14ac:dyDescent="0.25">
      <c r="A89" s="107">
        <v>81</v>
      </c>
      <c r="B89" s="82">
        <f>PIERNA!B84</f>
        <v>0</v>
      </c>
      <c r="C89" s="167">
        <f>PIERNA!C84</f>
        <v>0</v>
      </c>
      <c r="D89" s="109">
        <f>PIERNA!D84</f>
        <v>0</v>
      </c>
      <c r="E89" s="148">
        <f>PIERNA!E84</f>
        <v>0</v>
      </c>
      <c r="F89" s="162">
        <f>PIERNA!F84</f>
        <v>0</v>
      </c>
      <c r="G89" s="183">
        <f>PIERNA!G84</f>
        <v>0</v>
      </c>
      <c r="H89" s="694">
        <f>PIERNA!H84</f>
        <v>0</v>
      </c>
      <c r="I89" s="181">
        <f>PIERNA!I89</f>
        <v>0</v>
      </c>
      <c r="J89" s="614"/>
      <c r="K89" s="340"/>
      <c r="L89" s="351"/>
      <c r="M89" s="348"/>
      <c r="N89" s="346"/>
      <c r="O89" s="318"/>
      <c r="P89" s="347"/>
      <c r="Q89" s="316"/>
      <c r="R89" s="640"/>
      <c r="S89" s="70">
        <f t="shared" si="14"/>
        <v>0</v>
      </c>
      <c r="T89" s="70" t="e">
        <f t="shared" si="15"/>
        <v>#DIV/0!</v>
      </c>
    </row>
    <row r="90" spans="1:20" s="171" customFormat="1" ht="15" hidden="1" customHeight="1" x14ac:dyDescent="0.25">
      <c r="A90" s="107">
        <v>82</v>
      </c>
      <c r="B90" s="82">
        <f>PIERNA!B85</f>
        <v>0</v>
      </c>
      <c r="C90" s="167">
        <f>PIERNA!C85</f>
        <v>0</v>
      </c>
      <c r="D90" s="109">
        <f>PIERNA!D85</f>
        <v>0</v>
      </c>
      <c r="E90" s="148">
        <f>PIERNA!E85</f>
        <v>0</v>
      </c>
      <c r="F90" s="162">
        <f>PIERNA!F85</f>
        <v>0</v>
      </c>
      <c r="G90" s="183">
        <f>PIERNA!G85</f>
        <v>0</v>
      </c>
      <c r="H90" s="694">
        <f>PIERNA!H85</f>
        <v>0</v>
      </c>
      <c r="I90" s="181">
        <f>PIERNA!I90</f>
        <v>0</v>
      </c>
      <c r="J90" s="614"/>
      <c r="K90" s="340"/>
      <c r="L90" s="351"/>
      <c r="M90" s="348"/>
      <c r="N90" s="346"/>
      <c r="O90" s="318"/>
      <c r="P90" s="347"/>
      <c r="Q90" s="316"/>
      <c r="R90" s="640"/>
      <c r="S90" s="70">
        <f t="shared" si="14"/>
        <v>0</v>
      </c>
      <c r="T90" s="70" t="e">
        <f t="shared" si="15"/>
        <v>#DIV/0!</v>
      </c>
    </row>
    <row r="91" spans="1:20" s="171" customFormat="1" ht="15" hidden="1" customHeight="1" x14ac:dyDescent="0.25">
      <c r="A91" s="107">
        <v>83</v>
      </c>
      <c r="B91" s="82">
        <f>PIERNA!B86</f>
        <v>0</v>
      </c>
      <c r="C91" s="167">
        <f>PIERNA!C86</f>
        <v>0</v>
      </c>
      <c r="D91" s="109">
        <f>PIERNA!D86</f>
        <v>0</v>
      </c>
      <c r="E91" s="148">
        <f>PIERNA!E86</f>
        <v>0</v>
      </c>
      <c r="F91" s="162">
        <f>PIERNA!F86</f>
        <v>0</v>
      </c>
      <c r="G91" s="183">
        <f>PIERNA!G86</f>
        <v>0</v>
      </c>
      <c r="H91" s="694">
        <f>PIERNA!H86</f>
        <v>0</v>
      </c>
      <c r="I91" s="181">
        <f>PIERNA!I91</f>
        <v>0</v>
      </c>
      <c r="J91" s="614"/>
      <c r="K91" s="340"/>
      <c r="L91" s="351"/>
      <c r="M91" s="348"/>
      <c r="N91" s="346"/>
      <c r="O91" s="318"/>
      <c r="P91" s="347"/>
      <c r="Q91" s="316"/>
      <c r="R91" s="640"/>
      <c r="S91" s="70">
        <f t="shared" si="14"/>
        <v>0</v>
      </c>
      <c r="T91" s="70" t="e">
        <f t="shared" si="15"/>
        <v>#DIV/0!</v>
      </c>
    </row>
    <row r="92" spans="1:20" s="171" customFormat="1" ht="15" hidden="1" customHeight="1" x14ac:dyDescent="0.25">
      <c r="A92" s="107">
        <v>84</v>
      </c>
      <c r="B92" s="82">
        <f>PIERNA!B87</f>
        <v>0</v>
      </c>
      <c r="C92" s="167">
        <f>PIERNA!C87</f>
        <v>0</v>
      </c>
      <c r="D92" s="109">
        <f>PIERNA!D87</f>
        <v>0</v>
      </c>
      <c r="E92" s="148">
        <f>PIERNA!E87</f>
        <v>0</v>
      </c>
      <c r="F92" s="162">
        <f>PIERNA!F87</f>
        <v>0</v>
      </c>
      <c r="G92" s="183">
        <f>PIERNA!G87</f>
        <v>0</v>
      </c>
      <c r="H92" s="694">
        <f>PIERNA!H87</f>
        <v>0</v>
      </c>
      <c r="I92" s="181">
        <f>PIERNA!I92</f>
        <v>0</v>
      </c>
      <c r="J92" s="614"/>
      <c r="K92" s="340"/>
      <c r="L92" s="351"/>
      <c r="M92" s="348"/>
      <c r="N92" s="346"/>
      <c r="O92" s="318"/>
      <c r="P92" s="347"/>
      <c r="Q92" s="316"/>
      <c r="R92" s="640"/>
      <c r="S92" s="70">
        <f t="shared" si="14"/>
        <v>0</v>
      </c>
      <c r="T92" s="70" t="e">
        <f t="shared" si="15"/>
        <v>#DIV/0!</v>
      </c>
    </row>
    <row r="93" spans="1:20" s="171" customFormat="1" ht="15" hidden="1" customHeight="1" x14ac:dyDescent="0.25">
      <c r="A93" s="107">
        <v>85</v>
      </c>
      <c r="B93" s="82">
        <f>PIERNA!B88</f>
        <v>0</v>
      </c>
      <c r="C93" s="167">
        <f>PIERNA!C88</f>
        <v>0</v>
      </c>
      <c r="D93" s="109">
        <f>PIERNA!D88</f>
        <v>0</v>
      </c>
      <c r="E93" s="148">
        <f>PIERNA!E88</f>
        <v>0</v>
      </c>
      <c r="F93" s="162">
        <f>PIERNA!F88</f>
        <v>0</v>
      </c>
      <c r="G93" s="183">
        <f>PIERNA!G88</f>
        <v>0</v>
      </c>
      <c r="H93" s="694">
        <f>PIERNA!H88</f>
        <v>0</v>
      </c>
      <c r="I93" s="181">
        <f>PIERNA!I93</f>
        <v>0</v>
      </c>
      <c r="J93" s="614"/>
      <c r="K93" s="340"/>
      <c r="L93" s="351"/>
      <c r="M93" s="348"/>
      <c r="N93" s="346"/>
      <c r="O93" s="318"/>
      <c r="P93" s="347"/>
      <c r="Q93" s="316"/>
      <c r="R93" s="640"/>
      <c r="S93" s="70">
        <f t="shared" si="14"/>
        <v>0</v>
      </c>
      <c r="T93" s="70" t="e">
        <f t="shared" si="15"/>
        <v>#DIV/0!</v>
      </c>
    </row>
    <row r="94" spans="1:20" s="171" customFormat="1" ht="15.75" x14ac:dyDescent="0.25">
      <c r="A94" s="107"/>
      <c r="B94" s="66"/>
      <c r="C94" s="212"/>
      <c r="D94" s="109"/>
      <c r="E94" s="148"/>
      <c r="F94" s="162"/>
      <c r="G94" s="183"/>
      <c r="H94" s="694"/>
      <c r="I94" s="181">
        <f>PIERNA!I94</f>
        <v>0</v>
      </c>
      <c r="J94" s="339"/>
      <c r="K94" s="615"/>
      <c r="L94" s="351"/>
      <c r="M94" s="348"/>
      <c r="N94" s="346"/>
      <c r="O94" s="318"/>
      <c r="P94" s="347"/>
      <c r="Q94" s="316"/>
      <c r="R94" s="640"/>
      <c r="S94" s="70">
        <f t="shared" si="14"/>
        <v>0</v>
      </c>
      <c r="T94" s="70" t="e">
        <f t="shared" si="15"/>
        <v>#DIV/0!</v>
      </c>
    </row>
    <row r="95" spans="1:20" s="171" customFormat="1" ht="15" x14ac:dyDescent="0.25">
      <c r="A95" s="107"/>
      <c r="B95" s="82"/>
      <c r="C95" s="167"/>
      <c r="D95" s="109"/>
      <c r="E95" s="148"/>
      <c r="F95" s="162"/>
      <c r="G95" s="183"/>
      <c r="H95" s="694"/>
      <c r="I95" s="181">
        <f>PIERNA!I95</f>
        <v>0</v>
      </c>
      <c r="J95" s="614"/>
      <c r="K95" s="340"/>
      <c r="L95" s="351"/>
      <c r="M95" s="316"/>
      <c r="N95" s="346"/>
      <c r="O95" s="318"/>
      <c r="P95" s="347"/>
      <c r="Q95" s="316"/>
      <c r="R95" s="640"/>
      <c r="S95" s="70">
        <f t="shared" si="14"/>
        <v>0</v>
      </c>
      <c r="T95" s="70" t="e">
        <f t="shared" si="15"/>
        <v>#DIV/0!</v>
      </c>
    </row>
    <row r="96" spans="1:20" s="171" customFormat="1" ht="15" x14ac:dyDescent="0.25">
      <c r="A96" s="107"/>
      <c r="B96" s="549"/>
      <c r="C96" s="167"/>
      <c r="D96" s="109"/>
      <c r="E96" s="148"/>
      <c r="F96" s="162"/>
      <c r="G96" s="183"/>
      <c r="H96" s="694"/>
      <c r="I96" s="181"/>
      <c r="J96" s="614"/>
      <c r="K96" s="340"/>
      <c r="L96" s="351"/>
      <c r="M96" s="316"/>
      <c r="N96" s="346"/>
      <c r="O96" s="318"/>
      <c r="P96" s="347"/>
      <c r="Q96" s="316"/>
      <c r="R96" s="640"/>
      <c r="S96" s="70">
        <f t="shared" si="14"/>
        <v>0</v>
      </c>
      <c r="T96" s="209" t="e">
        <f t="shared" ref="T96:T101" si="16">S96/H96</f>
        <v>#DIV/0!</v>
      </c>
    </row>
    <row r="97" spans="1:20" s="171" customFormat="1" ht="15" x14ac:dyDescent="0.25">
      <c r="A97" s="107"/>
      <c r="B97" s="549"/>
      <c r="C97" s="167"/>
      <c r="D97" s="109"/>
      <c r="E97" s="148"/>
      <c r="F97" s="162"/>
      <c r="G97" s="183"/>
      <c r="H97" s="694"/>
      <c r="I97" s="181"/>
      <c r="J97" s="349"/>
      <c r="K97" s="350"/>
      <c r="L97" s="351"/>
      <c r="M97" s="316"/>
      <c r="N97" s="651"/>
      <c r="O97" s="823"/>
      <c r="P97" s="335"/>
      <c r="Q97" s="340"/>
      <c r="R97" s="658"/>
      <c r="S97" s="70">
        <f t="shared" si="14"/>
        <v>0</v>
      </c>
      <c r="T97" s="209" t="e">
        <f t="shared" si="16"/>
        <v>#DIV/0!</v>
      </c>
    </row>
    <row r="98" spans="1:20" s="171" customFormat="1" ht="15" x14ac:dyDescent="0.25">
      <c r="A98" s="107">
        <v>60</v>
      </c>
      <c r="B98" s="708" t="s">
        <v>195</v>
      </c>
      <c r="C98" s="708" t="s">
        <v>181</v>
      </c>
      <c r="D98" s="708"/>
      <c r="E98" s="736">
        <v>44139</v>
      </c>
      <c r="F98" s="708">
        <v>713.94</v>
      </c>
      <c r="G98" s="708">
        <v>24</v>
      </c>
      <c r="H98" s="734">
        <v>713.94</v>
      </c>
      <c r="I98" s="735">
        <f t="shared" ref="I98:I104" si="17">H98-F98</f>
        <v>0</v>
      </c>
      <c r="J98" s="349"/>
      <c r="K98" s="785"/>
      <c r="L98" s="785"/>
      <c r="M98" s="785"/>
      <c r="N98" s="785"/>
      <c r="O98" s="797">
        <v>725</v>
      </c>
      <c r="P98" s="843" t="s">
        <v>246</v>
      </c>
      <c r="Q98" s="785">
        <v>28557.599999999999</v>
      </c>
      <c r="R98" s="786" t="s">
        <v>245</v>
      </c>
      <c r="S98" s="70">
        <f t="shared" si="14"/>
        <v>28557.599999999999</v>
      </c>
      <c r="T98" s="209">
        <f t="shared" si="16"/>
        <v>39.999999999999993</v>
      </c>
    </row>
    <row r="99" spans="1:20" s="171" customFormat="1" ht="28.5" x14ac:dyDescent="0.25">
      <c r="A99" s="107">
        <v>61</v>
      </c>
      <c r="B99" s="708" t="s">
        <v>201</v>
      </c>
      <c r="C99" s="708" t="s">
        <v>47</v>
      </c>
      <c r="D99" s="708"/>
      <c r="E99" s="736">
        <v>44141</v>
      </c>
      <c r="F99" s="734">
        <v>1003.34</v>
      </c>
      <c r="G99" s="708">
        <v>221</v>
      </c>
      <c r="H99" s="734">
        <v>1003.34</v>
      </c>
      <c r="I99" s="735">
        <f t="shared" si="17"/>
        <v>0</v>
      </c>
      <c r="J99" s="349"/>
      <c r="K99" s="785"/>
      <c r="L99" s="785"/>
      <c r="M99" s="785"/>
      <c r="N99" s="785"/>
      <c r="O99" s="752" t="s">
        <v>202</v>
      </c>
      <c r="P99" s="787"/>
      <c r="Q99" s="785">
        <v>48160.32</v>
      </c>
      <c r="R99" s="784" t="s">
        <v>212</v>
      </c>
      <c r="S99" s="70">
        <f t="shared" si="14"/>
        <v>48160.32</v>
      </c>
      <c r="T99" s="209">
        <f>S99/H99</f>
        <v>48</v>
      </c>
    </row>
    <row r="100" spans="1:20" s="171" customFormat="1" x14ac:dyDescent="0.25">
      <c r="A100" s="107">
        <v>62</v>
      </c>
      <c r="B100" s="1014" t="s">
        <v>203</v>
      </c>
      <c r="C100" s="750" t="s">
        <v>204</v>
      </c>
      <c r="D100" s="708"/>
      <c r="E100" s="736">
        <v>44141</v>
      </c>
      <c r="F100" s="734">
        <v>4427.6000000000004</v>
      </c>
      <c r="G100" s="708">
        <v>5</v>
      </c>
      <c r="H100" s="734">
        <v>4427.6000000000004</v>
      </c>
      <c r="I100" s="735">
        <f t="shared" si="17"/>
        <v>0</v>
      </c>
      <c r="J100" s="349"/>
      <c r="K100" s="785"/>
      <c r="L100" s="785"/>
      <c r="M100" s="785"/>
      <c r="N100" s="785"/>
      <c r="O100" s="1016" t="s">
        <v>205</v>
      </c>
      <c r="P100" s="785"/>
      <c r="Q100" s="785">
        <v>86338.2</v>
      </c>
      <c r="R100" s="1018" t="s">
        <v>250</v>
      </c>
      <c r="S100" s="70">
        <f t="shared" si="14"/>
        <v>86338.2</v>
      </c>
      <c r="T100" s="209">
        <f t="shared" si="16"/>
        <v>19.499999999999996</v>
      </c>
    </row>
    <row r="101" spans="1:20" s="171" customFormat="1" x14ac:dyDescent="0.25">
      <c r="A101" s="107">
        <v>63</v>
      </c>
      <c r="B101" s="1015"/>
      <c r="C101" s="750" t="s">
        <v>206</v>
      </c>
      <c r="D101" s="708"/>
      <c r="E101" s="736">
        <v>44141</v>
      </c>
      <c r="F101" s="734">
        <v>408.6</v>
      </c>
      <c r="G101" s="708">
        <v>30</v>
      </c>
      <c r="H101" s="734">
        <v>408.6</v>
      </c>
      <c r="I101" s="735">
        <f t="shared" si="17"/>
        <v>0</v>
      </c>
      <c r="J101" s="349"/>
      <c r="K101" s="785"/>
      <c r="L101" s="785"/>
      <c r="M101" s="785"/>
      <c r="N101" s="785"/>
      <c r="O101" s="1017"/>
      <c r="P101" s="785"/>
      <c r="Q101" s="785">
        <v>24924.6</v>
      </c>
      <c r="R101" s="1019"/>
      <c r="S101" s="70">
        <f t="shared" si="14"/>
        <v>24924.6</v>
      </c>
      <c r="T101" s="209">
        <f t="shared" si="16"/>
        <v>60.999999999999993</v>
      </c>
    </row>
    <row r="102" spans="1:20" s="171" customFormat="1" ht="28.5" x14ac:dyDescent="0.25">
      <c r="A102" s="107">
        <v>64</v>
      </c>
      <c r="B102" s="708" t="s">
        <v>207</v>
      </c>
      <c r="C102" s="750" t="s">
        <v>208</v>
      </c>
      <c r="D102" s="708"/>
      <c r="E102" s="783">
        <v>44142</v>
      </c>
      <c r="F102" s="734">
        <v>408</v>
      </c>
      <c r="G102" s="708">
        <v>4</v>
      </c>
      <c r="H102" s="734">
        <v>408</v>
      </c>
      <c r="I102" s="735">
        <f t="shared" si="17"/>
        <v>0</v>
      </c>
      <c r="J102" s="349"/>
      <c r="K102" s="785"/>
      <c r="L102" s="785"/>
      <c r="M102" s="785"/>
      <c r="N102" s="785"/>
      <c r="O102" s="752" t="s">
        <v>251</v>
      </c>
      <c r="P102" s="785"/>
      <c r="Q102" s="785">
        <v>93840</v>
      </c>
      <c r="R102" s="784" t="s">
        <v>247</v>
      </c>
      <c r="S102" s="70">
        <f t="shared" si="14"/>
        <v>93840</v>
      </c>
      <c r="T102" s="209">
        <f t="shared" ref="T102:T106" si="18">S102/H102</f>
        <v>230</v>
      </c>
    </row>
    <row r="103" spans="1:20" s="171" customFormat="1" x14ac:dyDescent="0.25">
      <c r="A103" s="107">
        <v>65</v>
      </c>
      <c r="B103" s="1012" t="s">
        <v>207</v>
      </c>
      <c r="C103" s="750" t="s">
        <v>230</v>
      </c>
      <c r="D103" s="708"/>
      <c r="E103" s="1020">
        <v>44144</v>
      </c>
      <c r="F103" s="734">
        <v>241.31</v>
      </c>
      <c r="G103" s="708">
        <v>20</v>
      </c>
      <c r="H103" s="734">
        <v>241.31</v>
      </c>
      <c r="I103" s="735">
        <f t="shared" si="17"/>
        <v>0</v>
      </c>
      <c r="J103" s="349"/>
      <c r="K103" s="785"/>
      <c r="L103" s="785"/>
      <c r="M103" s="785"/>
      <c r="N103" s="785"/>
      <c r="O103" s="1016" t="s">
        <v>228</v>
      </c>
      <c r="P103" s="785"/>
      <c r="Q103" s="785">
        <v>18098.25</v>
      </c>
      <c r="R103" s="1018" t="s">
        <v>247</v>
      </c>
      <c r="S103" s="70">
        <f t="shared" si="14"/>
        <v>18098.25</v>
      </c>
      <c r="T103" s="209">
        <f t="shared" si="18"/>
        <v>75</v>
      </c>
    </row>
    <row r="104" spans="1:20" s="171" customFormat="1" x14ac:dyDescent="0.25">
      <c r="A104" s="107">
        <v>66</v>
      </c>
      <c r="B104" s="1013"/>
      <c r="C104" s="750" t="s">
        <v>229</v>
      </c>
      <c r="D104" s="708"/>
      <c r="E104" s="1021"/>
      <c r="F104" s="734">
        <v>247.22</v>
      </c>
      <c r="G104" s="708">
        <v>20</v>
      </c>
      <c r="H104" s="734">
        <v>247.22</v>
      </c>
      <c r="I104" s="181">
        <f t="shared" si="17"/>
        <v>0</v>
      </c>
      <c r="J104" s="349"/>
      <c r="K104" s="785"/>
      <c r="L104" s="785"/>
      <c r="M104" s="785"/>
      <c r="N104" s="785"/>
      <c r="O104" s="1017"/>
      <c r="P104" s="785"/>
      <c r="Q104" s="785">
        <v>16316.52</v>
      </c>
      <c r="R104" s="1019"/>
      <c r="S104" s="70">
        <f t="shared" si="14"/>
        <v>16316.52</v>
      </c>
      <c r="T104" s="209">
        <f t="shared" si="18"/>
        <v>66</v>
      </c>
    </row>
    <row r="105" spans="1:20" s="171" customFormat="1" ht="28.5" x14ac:dyDescent="0.25">
      <c r="A105" s="107">
        <v>67</v>
      </c>
      <c r="B105" s="708" t="s">
        <v>201</v>
      </c>
      <c r="C105" s="750" t="s">
        <v>47</v>
      </c>
      <c r="D105" s="708"/>
      <c r="E105" s="736">
        <v>44145</v>
      </c>
      <c r="F105" s="734">
        <v>1003.34</v>
      </c>
      <c r="G105" s="708">
        <v>221</v>
      </c>
      <c r="H105" s="734">
        <v>1003.34</v>
      </c>
      <c r="I105" s="181">
        <f t="shared" ref="I105:I106" si="19">H105-F105</f>
        <v>0</v>
      </c>
      <c r="J105" s="349"/>
      <c r="K105" s="785"/>
      <c r="L105" s="785"/>
      <c r="M105" s="785"/>
      <c r="N105" s="785"/>
      <c r="O105" s="752" t="s">
        <v>271</v>
      </c>
      <c r="P105" s="785"/>
      <c r="Q105" s="785">
        <v>46153.64</v>
      </c>
      <c r="R105" s="784" t="s">
        <v>272</v>
      </c>
      <c r="S105" s="70">
        <f t="shared" si="14"/>
        <v>46153.64</v>
      </c>
      <c r="T105" s="209">
        <f t="shared" si="18"/>
        <v>46</v>
      </c>
    </row>
    <row r="106" spans="1:20" s="171" customFormat="1" ht="28.5" x14ac:dyDescent="0.3">
      <c r="A106" s="107">
        <v>68</v>
      </c>
      <c r="B106" s="748" t="s">
        <v>71</v>
      </c>
      <c r="C106" s="807" t="s">
        <v>232</v>
      </c>
      <c r="D106" s="751"/>
      <c r="E106" s="783">
        <v>44145</v>
      </c>
      <c r="F106" s="808">
        <v>3308.62</v>
      </c>
      <c r="G106" s="751">
        <v>179</v>
      </c>
      <c r="H106" s="808">
        <v>3308.62</v>
      </c>
      <c r="I106" s="548">
        <f t="shared" si="19"/>
        <v>0</v>
      </c>
      <c r="J106" s="386"/>
      <c r="K106" s="785"/>
      <c r="L106" s="785"/>
      <c r="M106" s="785"/>
      <c r="N106" s="785"/>
      <c r="O106" s="829">
        <v>5754</v>
      </c>
      <c r="P106" s="843" t="s">
        <v>246</v>
      </c>
      <c r="Q106" s="785">
        <v>377182.68</v>
      </c>
      <c r="R106" s="784" t="s">
        <v>247</v>
      </c>
      <c r="S106" s="70">
        <f t="shared" si="14"/>
        <v>377182.68</v>
      </c>
      <c r="T106" s="209">
        <f t="shared" si="18"/>
        <v>114</v>
      </c>
    </row>
    <row r="107" spans="1:20" s="171" customFormat="1" ht="28.5" x14ac:dyDescent="0.25">
      <c r="A107" s="107">
        <v>69</v>
      </c>
      <c r="B107" s="748" t="s">
        <v>71</v>
      </c>
      <c r="C107" s="708" t="s">
        <v>111</v>
      </c>
      <c r="D107" s="708"/>
      <c r="E107" s="736">
        <v>44145</v>
      </c>
      <c r="F107" s="734">
        <v>12105.43</v>
      </c>
      <c r="G107" s="708">
        <v>400</v>
      </c>
      <c r="H107" s="734">
        <v>12105.43</v>
      </c>
      <c r="I107" s="181">
        <f t="shared" ref="I107:I178" si="20">H107-F107</f>
        <v>0</v>
      </c>
      <c r="J107" s="349"/>
      <c r="K107" s="785"/>
      <c r="L107" s="785"/>
      <c r="M107" s="785"/>
      <c r="N107" s="785"/>
      <c r="O107" s="829" t="s">
        <v>297</v>
      </c>
      <c r="P107" s="851" t="s">
        <v>246</v>
      </c>
      <c r="Q107" s="785">
        <v>1222648.43</v>
      </c>
      <c r="R107" s="784" t="s">
        <v>298</v>
      </c>
      <c r="S107" s="70">
        <f t="shared" si="14"/>
        <v>1222648.43</v>
      </c>
      <c r="T107" s="209">
        <f t="shared" ref="T107:T111" si="21">S107/H107</f>
        <v>100.99999999999999</v>
      </c>
    </row>
    <row r="108" spans="1:20" s="171" customFormat="1" ht="28.5" x14ac:dyDescent="0.25">
      <c r="A108" s="107">
        <v>70</v>
      </c>
      <c r="B108" s="748" t="s">
        <v>207</v>
      </c>
      <c r="C108" s="708" t="s">
        <v>234</v>
      </c>
      <c r="D108" s="708"/>
      <c r="E108" s="736">
        <v>44146</v>
      </c>
      <c r="F108" s="734">
        <v>402.86</v>
      </c>
      <c r="G108" s="708">
        <v>20</v>
      </c>
      <c r="H108" s="734">
        <v>402.86</v>
      </c>
      <c r="I108" s="181">
        <f t="shared" si="20"/>
        <v>0</v>
      </c>
      <c r="J108" s="349"/>
      <c r="K108" s="785"/>
      <c r="L108" s="785"/>
      <c r="M108" s="785"/>
      <c r="N108" s="785"/>
      <c r="O108" s="829" t="s">
        <v>235</v>
      </c>
      <c r="P108" s="785"/>
      <c r="Q108" s="785">
        <v>23365.88</v>
      </c>
      <c r="R108" s="784" t="s">
        <v>247</v>
      </c>
      <c r="S108" s="70">
        <f t="shared" si="14"/>
        <v>23365.88</v>
      </c>
      <c r="T108" s="209">
        <f t="shared" si="21"/>
        <v>58</v>
      </c>
    </row>
    <row r="109" spans="1:20" s="171" customFormat="1" x14ac:dyDescent="0.25">
      <c r="A109" s="107">
        <v>71</v>
      </c>
      <c r="B109" s="1014" t="s">
        <v>183</v>
      </c>
      <c r="C109" s="708" t="s">
        <v>240</v>
      </c>
      <c r="D109" s="708"/>
      <c r="E109" s="736">
        <v>44153</v>
      </c>
      <c r="F109" s="734">
        <v>9086.69</v>
      </c>
      <c r="G109" s="708">
        <v>455</v>
      </c>
      <c r="H109" s="734">
        <v>9086.69</v>
      </c>
      <c r="I109" s="181">
        <f t="shared" si="20"/>
        <v>0</v>
      </c>
      <c r="J109" s="1022" t="s">
        <v>262</v>
      </c>
      <c r="K109" s="785">
        <v>5422.5</v>
      </c>
      <c r="L109" s="844" t="s">
        <v>261</v>
      </c>
      <c r="M109" s="785">
        <v>15031.5</v>
      </c>
      <c r="N109" s="844" t="s">
        <v>263</v>
      </c>
      <c r="O109" s="1016">
        <v>1828626</v>
      </c>
      <c r="P109" s="1023">
        <v>5626</v>
      </c>
      <c r="Q109" s="785">
        <f>24439.53*20.593</f>
        <v>503283.24128999998</v>
      </c>
      <c r="R109" s="846" t="s">
        <v>267</v>
      </c>
      <c r="S109" s="70">
        <f t="shared" si="14"/>
        <v>523737.24128999998</v>
      </c>
      <c r="T109" s="70">
        <f t="shared" si="21"/>
        <v>57.637846266352206</v>
      </c>
    </row>
    <row r="110" spans="1:20" s="171" customFormat="1" x14ac:dyDescent="0.25">
      <c r="A110" s="107">
        <v>72</v>
      </c>
      <c r="B110" s="1015"/>
      <c r="C110" s="708" t="s">
        <v>241</v>
      </c>
      <c r="D110" s="708"/>
      <c r="E110" s="736">
        <v>44153</v>
      </c>
      <c r="F110" s="734">
        <v>9145.48</v>
      </c>
      <c r="G110" s="708">
        <v>221</v>
      </c>
      <c r="H110" s="734">
        <v>9145.48</v>
      </c>
      <c r="I110" s="181">
        <f t="shared" si="20"/>
        <v>0</v>
      </c>
      <c r="J110" s="1022"/>
      <c r="K110" s="785">
        <v>5457.5</v>
      </c>
      <c r="L110" s="844" t="s">
        <v>261</v>
      </c>
      <c r="M110" s="785">
        <v>15128.5</v>
      </c>
      <c r="N110" s="845" t="s">
        <v>263</v>
      </c>
      <c r="O110" s="1017"/>
      <c r="P110" s="1024"/>
      <c r="Q110" s="785">
        <f>19355.52*20.593</f>
        <v>398588.22336</v>
      </c>
      <c r="R110" s="786" t="s">
        <v>267</v>
      </c>
      <c r="S110" s="70">
        <f t="shared" si="14"/>
        <v>419174.22336</v>
      </c>
      <c r="T110" s="70">
        <f t="shared" si="21"/>
        <v>45.834032042057935</v>
      </c>
    </row>
    <row r="111" spans="1:20" s="171" customFormat="1" ht="28.5" x14ac:dyDescent="0.25">
      <c r="A111" s="107">
        <v>73</v>
      </c>
      <c r="B111" s="856" t="s">
        <v>284</v>
      </c>
      <c r="C111" s="708" t="s">
        <v>304</v>
      </c>
      <c r="D111" s="708"/>
      <c r="E111" s="736">
        <v>44154</v>
      </c>
      <c r="F111" s="734">
        <v>18671</v>
      </c>
      <c r="G111" s="708">
        <v>686</v>
      </c>
      <c r="H111" s="734">
        <v>18672.919999999998</v>
      </c>
      <c r="I111" s="181">
        <f t="shared" si="20"/>
        <v>1.9199999999982538</v>
      </c>
      <c r="J111" s="349"/>
      <c r="K111" s="785"/>
      <c r="L111" s="785"/>
      <c r="M111" s="785"/>
      <c r="N111" s="785"/>
      <c r="O111" s="797">
        <v>27039</v>
      </c>
      <c r="P111" s="785"/>
      <c r="Q111" s="785">
        <v>1036187.97</v>
      </c>
      <c r="R111" s="785" t="s">
        <v>300</v>
      </c>
      <c r="S111" s="70">
        <f t="shared" si="14"/>
        <v>1036187.97</v>
      </c>
      <c r="T111" s="70">
        <f t="shared" si="21"/>
        <v>55.491480175569762</v>
      </c>
    </row>
    <row r="112" spans="1:20" s="171" customFormat="1" ht="29.25" x14ac:dyDescent="0.25">
      <c r="A112" s="107">
        <v>74</v>
      </c>
      <c r="B112" s="748" t="s">
        <v>71</v>
      </c>
      <c r="C112" s="708" t="s">
        <v>285</v>
      </c>
      <c r="D112" s="708"/>
      <c r="E112" s="736">
        <v>44155</v>
      </c>
      <c r="F112" s="734">
        <v>300.86</v>
      </c>
      <c r="G112" s="708">
        <v>13</v>
      </c>
      <c r="H112" s="734">
        <v>300.86</v>
      </c>
      <c r="I112" s="181">
        <f t="shared" si="20"/>
        <v>0</v>
      </c>
      <c r="J112" s="349"/>
      <c r="K112" s="785"/>
      <c r="L112" s="785"/>
      <c r="M112" s="785"/>
      <c r="N112" s="787"/>
      <c r="O112" s="797" t="s">
        <v>299</v>
      </c>
      <c r="P112" s="787"/>
      <c r="Q112" s="785">
        <v>31590.3</v>
      </c>
      <c r="R112" s="788" t="s">
        <v>300</v>
      </c>
      <c r="S112" s="70">
        <f t="shared" si="14"/>
        <v>31590.3</v>
      </c>
      <c r="T112" s="70">
        <f>S112/H112</f>
        <v>104.99999999999999</v>
      </c>
    </row>
    <row r="113" spans="1:20" s="171" customFormat="1" ht="28.5" x14ac:dyDescent="0.25">
      <c r="A113" s="107">
        <v>75</v>
      </c>
      <c r="B113" s="708" t="s">
        <v>203</v>
      </c>
      <c r="C113" s="708" t="s">
        <v>204</v>
      </c>
      <c r="D113" s="708"/>
      <c r="E113" s="736">
        <v>44155</v>
      </c>
      <c r="F113" s="734">
        <v>1000</v>
      </c>
      <c r="G113" s="708">
        <v>25</v>
      </c>
      <c r="H113" s="734">
        <v>1000</v>
      </c>
      <c r="I113" s="181">
        <f t="shared" si="20"/>
        <v>0</v>
      </c>
      <c r="J113" s="349"/>
      <c r="K113" s="785"/>
      <c r="L113" s="785"/>
      <c r="M113" s="785"/>
      <c r="N113" s="785"/>
      <c r="O113" s="830" t="s">
        <v>286</v>
      </c>
      <c r="P113" s="785"/>
      <c r="Q113" s="785">
        <v>23000</v>
      </c>
      <c r="R113" s="784" t="s">
        <v>300</v>
      </c>
      <c r="S113" s="70">
        <f t="shared" si="14"/>
        <v>23000</v>
      </c>
      <c r="T113" s="70">
        <f t="shared" ref="T113:T115" si="22">S113/H113</f>
        <v>23</v>
      </c>
    </row>
    <row r="114" spans="1:20" s="171" customFormat="1" ht="28.5" x14ac:dyDescent="0.25">
      <c r="A114" s="107">
        <v>76</v>
      </c>
      <c r="B114" s="748" t="s">
        <v>195</v>
      </c>
      <c r="C114" s="708" t="s">
        <v>111</v>
      </c>
      <c r="D114" s="708"/>
      <c r="E114" s="736">
        <v>44158</v>
      </c>
      <c r="F114" s="734">
        <v>1773.87</v>
      </c>
      <c r="G114" s="708">
        <v>59</v>
      </c>
      <c r="H114" s="734">
        <v>1773.87</v>
      </c>
      <c r="I114" s="181">
        <f t="shared" si="20"/>
        <v>0</v>
      </c>
      <c r="J114" s="349"/>
      <c r="K114" s="785"/>
      <c r="L114" s="785"/>
      <c r="M114" s="785"/>
      <c r="N114" s="785"/>
      <c r="O114" s="831">
        <v>804</v>
      </c>
      <c r="P114" s="851" t="s">
        <v>246</v>
      </c>
      <c r="Q114" s="785">
        <v>195125.7</v>
      </c>
      <c r="R114" s="784" t="s">
        <v>300</v>
      </c>
      <c r="S114" s="70">
        <f t="shared" si="14"/>
        <v>195125.7</v>
      </c>
      <c r="T114" s="70">
        <f t="shared" si="22"/>
        <v>110.00000000000001</v>
      </c>
    </row>
    <row r="115" spans="1:20" s="171" customFormat="1" ht="28.5" x14ac:dyDescent="0.25">
      <c r="A115" s="107">
        <v>77</v>
      </c>
      <c r="B115" s="748" t="s">
        <v>71</v>
      </c>
      <c r="C115" s="708" t="s">
        <v>111</v>
      </c>
      <c r="D115" s="708"/>
      <c r="E115" s="736">
        <v>44158</v>
      </c>
      <c r="F115" s="734">
        <v>1683.17</v>
      </c>
      <c r="G115" s="708">
        <v>58</v>
      </c>
      <c r="H115" s="734">
        <v>1683.17</v>
      </c>
      <c r="I115" s="181">
        <f t="shared" si="20"/>
        <v>0</v>
      </c>
      <c r="J115" s="349"/>
      <c r="K115" s="785"/>
      <c r="L115" s="785"/>
      <c r="M115" s="785"/>
      <c r="N115" s="785"/>
      <c r="O115" s="831">
        <v>807</v>
      </c>
      <c r="P115" s="851" t="s">
        <v>246</v>
      </c>
      <c r="Q115" s="785">
        <v>185148.7</v>
      </c>
      <c r="R115" s="784" t="s">
        <v>300</v>
      </c>
      <c r="S115" s="70">
        <f t="shared" si="14"/>
        <v>185148.7</v>
      </c>
      <c r="T115" s="70">
        <f t="shared" si="22"/>
        <v>110</v>
      </c>
    </row>
    <row r="116" spans="1:20" s="171" customFormat="1" ht="28.5" x14ac:dyDescent="0.25">
      <c r="A116" s="107">
        <v>78</v>
      </c>
      <c r="B116" s="748" t="s">
        <v>203</v>
      </c>
      <c r="C116" s="708" t="s">
        <v>204</v>
      </c>
      <c r="D116" s="708"/>
      <c r="E116" s="736">
        <v>44160</v>
      </c>
      <c r="F116" s="734">
        <v>5188</v>
      </c>
      <c r="G116" s="708">
        <v>6</v>
      </c>
      <c r="H116" s="734">
        <v>5188</v>
      </c>
      <c r="I116" s="181">
        <f t="shared" si="20"/>
        <v>0</v>
      </c>
      <c r="J116" s="289"/>
      <c r="K116" s="785"/>
      <c r="L116" s="785"/>
      <c r="M116" s="785"/>
      <c r="N116" s="785"/>
      <c r="O116" s="830" t="s">
        <v>291</v>
      </c>
      <c r="P116" s="785"/>
      <c r="Q116" s="785">
        <v>101166</v>
      </c>
      <c r="R116" s="784" t="s">
        <v>300</v>
      </c>
      <c r="S116" s="70">
        <f t="shared" si="14"/>
        <v>101166</v>
      </c>
      <c r="T116" s="70">
        <f t="shared" ref="T116:T117" si="23">S116/H116</f>
        <v>19.5</v>
      </c>
    </row>
    <row r="117" spans="1:20" s="171" customFormat="1" ht="28.5" x14ac:dyDescent="0.25">
      <c r="A117" s="107">
        <v>79</v>
      </c>
      <c r="B117" s="748" t="s">
        <v>207</v>
      </c>
      <c r="C117" s="708" t="s">
        <v>230</v>
      </c>
      <c r="D117" s="708"/>
      <c r="E117" s="736">
        <v>44160</v>
      </c>
      <c r="F117" s="734">
        <v>83.67</v>
      </c>
      <c r="G117" s="708">
        <v>7</v>
      </c>
      <c r="H117" s="734">
        <v>83.67</v>
      </c>
      <c r="I117" s="181">
        <f t="shared" si="20"/>
        <v>0</v>
      </c>
      <c r="J117" s="717"/>
      <c r="K117" s="785"/>
      <c r="L117" s="785"/>
      <c r="M117" s="785"/>
      <c r="N117" s="785"/>
      <c r="O117" s="830" t="s">
        <v>292</v>
      </c>
      <c r="P117" s="785"/>
      <c r="Q117" s="785">
        <v>6275.25</v>
      </c>
      <c r="R117" s="784" t="s">
        <v>300</v>
      </c>
      <c r="S117" s="70">
        <f t="shared" si="14"/>
        <v>6275.25</v>
      </c>
      <c r="T117" s="70">
        <f t="shared" si="23"/>
        <v>75</v>
      </c>
    </row>
    <row r="118" spans="1:20" s="171" customFormat="1" ht="27.6" x14ac:dyDescent="0.25">
      <c r="A118" s="107">
        <v>80</v>
      </c>
      <c r="B118" s="748" t="s">
        <v>201</v>
      </c>
      <c r="C118" s="708" t="s">
        <v>47</v>
      </c>
      <c r="D118" s="708"/>
      <c r="E118" s="736">
        <v>44160</v>
      </c>
      <c r="F118" s="734">
        <v>4004.28</v>
      </c>
      <c r="G118" s="708">
        <v>882</v>
      </c>
      <c r="H118" s="734">
        <v>4004.28</v>
      </c>
      <c r="I118" s="181">
        <f t="shared" si="20"/>
        <v>0</v>
      </c>
      <c r="J118" s="717"/>
      <c r="K118" s="785"/>
      <c r="L118" s="785"/>
      <c r="M118" s="785"/>
      <c r="N118" s="785"/>
      <c r="O118" s="752" t="s">
        <v>296</v>
      </c>
      <c r="P118" s="785"/>
      <c r="Q118" s="789">
        <v>184196.88</v>
      </c>
      <c r="R118" s="790" t="s">
        <v>303</v>
      </c>
      <c r="S118" s="70">
        <f t="shared" si="14"/>
        <v>184196.88</v>
      </c>
      <c r="T118" s="70">
        <f t="shared" ref="T118" si="24">S118/H118</f>
        <v>46</v>
      </c>
    </row>
    <row r="119" spans="1:20" s="171" customFormat="1" ht="27.6" x14ac:dyDescent="0.25">
      <c r="A119" s="107">
        <v>81</v>
      </c>
      <c r="B119" s="708" t="s">
        <v>203</v>
      </c>
      <c r="C119" s="708" t="s">
        <v>204</v>
      </c>
      <c r="D119" s="708"/>
      <c r="E119" s="736">
        <v>44165</v>
      </c>
      <c r="F119" s="734">
        <v>3499.89</v>
      </c>
      <c r="G119" s="854">
        <v>4</v>
      </c>
      <c r="H119" s="734">
        <v>3499.89</v>
      </c>
      <c r="I119" s="181">
        <f t="shared" si="20"/>
        <v>0</v>
      </c>
      <c r="J119" s="717"/>
      <c r="K119" s="785"/>
      <c r="L119" s="785"/>
      <c r="M119" s="785"/>
      <c r="N119" s="785"/>
      <c r="O119" s="752" t="s">
        <v>302</v>
      </c>
      <c r="P119" s="785"/>
      <c r="Q119" s="983">
        <v>68247.86</v>
      </c>
      <c r="R119" s="984" t="s">
        <v>523</v>
      </c>
      <c r="S119" s="70">
        <f t="shared" si="14"/>
        <v>68247.86</v>
      </c>
      <c r="T119" s="70">
        <f t="shared" ref="T119:T124" si="25">S119/H119</f>
        <v>19.500001428616329</v>
      </c>
    </row>
    <row r="120" spans="1:20" s="171" customFormat="1" ht="41.4" x14ac:dyDescent="0.25">
      <c r="A120" s="107">
        <v>82</v>
      </c>
      <c r="B120" s="982" t="s">
        <v>515</v>
      </c>
      <c r="C120" s="708" t="s">
        <v>111</v>
      </c>
      <c r="D120" s="708"/>
      <c r="E120" s="736">
        <v>44165</v>
      </c>
      <c r="F120" s="734">
        <v>3175.02</v>
      </c>
      <c r="G120" s="708">
        <v>100</v>
      </c>
      <c r="H120" s="734">
        <v>3175.02</v>
      </c>
      <c r="I120" s="181">
        <f t="shared" si="20"/>
        <v>0</v>
      </c>
      <c r="J120" s="717"/>
      <c r="K120" s="785"/>
      <c r="L120" s="785"/>
      <c r="M120" s="785"/>
      <c r="N120" s="785"/>
      <c r="O120" s="752">
        <v>949</v>
      </c>
      <c r="P120" s="785"/>
      <c r="Q120" s="983">
        <v>350839.71</v>
      </c>
      <c r="R120" s="984" t="s">
        <v>516</v>
      </c>
      <c r="S120" s="70">
        <f t="shared" si="14"/>
        <v>350839.71</v>
      </c>
      <c r="T120" s="70">
        <f t="shared" si="25"/>
        <v>110.50000000000001</v>
      </c>
    </row>
    <row r="121" spans="1:20" s="171" customFormat="1" ht="28.5" customHeight="1" x14ac:dyDescent="0.25">
      <c r="A121" s="107">
        <v>83</v>
      </c>
      <c r="B121" s="1002" t="s">
        <v>207</v>
      </c>
      <c r="C121" s="708" t="s">
        <v>450</v>
      </c>
      <c r="D121" s="708"/>
      <c r="E121" s="957">
        <v>44166</v>
      </c>
      <c r="F121" s="958">
        <v>204</v>
      </c>
      <c r="G121" s="959">
        <v>204</v>
      </c>
      <c r="H121" s="958">
        <v>204</v>
      </c>
      <c r="I121" s="181">
        <f t="shared" si="20"/>
        <v>0</v>
      </c>
      <c r="J121" s="717"/>
      <c r="K121" s="785"/>
      <c r="L121" s="785"/>
      <c r="M121" s="785"/>
      <c r="N121" s="785"/>
      <c r="O121" s="1004" t="s">
        <v>451</v>
      </c>
      <c r="P121" s="785"/>
      <c r="Q121" s="785">
        <v>48960</v>
      </c>
      <c r="R121" s="1018" t="s">
        <v>516</v>
      </c>
      <c r="S121" s="70">
        <f t="shared" si="14"/>
        <v>48960</v>
      </c>
      <c r="T121" s="70">
        <f t="shared" si="25"/>
        <v>240</v>
      </c>
    </row>
    <row r="122" spans="1:20" s="171" customFormat="1" x14ac:dyDescent="0.25">
      <c r="A122" s="107">
        <v>84</v>
      </c>
      <c r="B122" s="1003"/>
      <c r="C122" s="708" t="s">
        <v>230</v>
      </c>
      <c r="D122" s="708"/>
      <c r="E122" s="957">
        <v>44166</v>
      </c>
      <c r="F122" s="958">
        <v>395.01</v>
      </c>
      <c r="G122" s="959">
        <v>32</v>
      </c>
      <c r="H122" s="958">
        <v>395.01</v>
      </c>
      <c r="I122" s="181">
        <f t="shared" si="20"/>
        <v>0</v>
      </c>
      <c r="J122" s="717"/>
      <c r="K122" s="785"/>
      <c r="L122" s="785"/>
      <c r="M122" s="785"/>
      <c r="N122" s="785"/>
      <c r="O122" s="1005"/>
      <c r="P122" s="785"/>
      <c r="Q122" s="785">
        <v>29625.75</v>
      </c>
      <c r="R122" s="1019"/>
      <c r="S122" s="70">
        <f t="shared" si="14"/>
        <v>29625.75</v>
      </c>
      <c r="T122" s="70">
        <f t="shared" si="25"/>
        <v>75</v>
      </c>
    </row>
    <row r="123" spans="1:20" s="171" customFormat="1" ht="27.6" x14ac:dyDescent="0.25">
      <c r="A123" s="107">
        <v>85</v>
      </c>
      <c r="B123" s="960" t="s">
        <v>71</v>
      </c>
      <c r="C123" s="708" t="s">
        <v>285</v>
      </c>
      <c r="D123" s="708"/>
      <c r="E123" s="957">
        <v>44166</v>
      </c>
      <c r="F123" s="958">
        <v>518.46</v>
      </c>
      <c r="G123" s="959">
        <v>22</v>
      </c>
      <c r="H123" s="958">
        <v>518.46</v>
      </c>
      <c r="I123" s="755">
        <f t="shared" si="20"/>
        <v>0</v>
      </c>
      <c r="J123" s="304"/>
      <c r="K123" s="785"/>
      <c r="L123" s="785"/>
      <c r="M123" s="785"/>
      <c r="N123" s="785"/>
      <c r="O123" s="965" t="s">
        <v>510</v>
      </c>
      <c r="P123" s="785"/>
      <c r="Q123" s="785">
        <v>54438.3</v>
      </c>
      <c r="R123" s="788" t="s">
        <v>511</v>
      </c>
      <c r="S123" s="70">
        <f t="shared" si="14"/>
        <v>54438.3</v>
      </c>
      <c r="T123" s="70">
        <f t="shared" si="25"/>
        <v>105</v>
      </c>
    </row>
    <row r="124" spans="1:20" s="171" customFormat="1" ht="27.6" x14ac:dyDescent="0.25">
      <c r="A124" s="107">
        <v>86</v>
      </c>
      <c r="B124" s="959" t="s">
        <v>207</v>
      </c>
      <c r="C124" s="708" t="s">
        <v>474</v>
      </c>
      <c r="D124" s="708"/>
      <c r="E124" s="957">
        <v>44169</v>
      </c>
      <c r="F124" s="958">
        <v>709.97</v>
      </c>
      <c r="G124" s="959">
        <v>39</v>
      </c>
      <c r="H124" s="958">
        <v>709.97</v>
      </c>
      <c r="I124" s="678">
        <f t="shared" si="20"/>
        <v>0</v>
      </c>
      <c r="J124" s="304"/>
      <c r="K124" s="785"/>
      <c r="L124" s="785"/>
      <c r="M124" s="785"/>
      <c r="N124" s="785"/>
      <c r="O124" s="966" t="s">
        <v>473</v>
      </c>
      <c r="P124" s="785"/>
      <c r="Q124" s="785">
        <v>39758.32</v>
      </c>
      <c r="R124" s="788" t="s">
        <v>516</v>
      </c>
      <c r="S124" s="70">
        <f t="shared" ref="S124:S132" si="26">Q124+M124+K124</f>
        <v>39758.32</v>
      </c>
      <c r="T124" s="70">
        <f t="shared" si="25"/>
        <v>56</v>
      </c>
    </row>
    <row r="125" spans="1:20" s="171" customFormat="1" ht="28.2" x14ac:dyDescent="0.3">
      <c r="A125" s="107">
        <v>87</v>
      </c>
      <c r="B125" s="959" t="s">
        <v>203</v>
      </c>
      <c r="C125" s="708" t="s">
        <v>206</v>
      </c>
      <c r="D125" s="708"/>
      <c r="E125" s="957">
        <v>44169</v>
      </c>
      <c r="F125" s="958">
        <v>267.70999999999998</v>
      </c>
      <c r="G125" s="959">
        <v>10</v>
      </c>
      <c r="H125" s="958">
        <v>267.70999999999998</v>
      </c>
      <c r="I125" s="678">
        <f t="shared" si="20"/>
        <v>0</v>
      </c>
      <c r="J125" s="306"/>
      <c r="K125" s="785"/>
      <c r="L125" s="785"/>
      <c r="M125" s="785"/>
      <c r="N125" s="785"/>
      <c r="O125" s="965" t="s">
        <v>475</v>
      </c>
      <c r="P125" s="785"/>
      <c r="Q125" s="785">
        <v>15527.18</v>
      </c>
      <c r="R125" s="788" t="s">
        <v>525</v>
      </c>
      <c r="S125" s="70">
        <f t="shared" si="26"/>
        <v>15527.18</v>
      </c>
      <c r="T125" s="70">
        <f t="shared" ref="T125:T133" si="27">S125/H125</f>
        <v>58.000000000000007</v>
      </c>
    </row>
    <row r="126" spans="1:20" s="171" customFormat="1" ht="26.4" x14ac:dyDescent="0.25">
      <c r="A126" s="107">
        <v>88</v>
      </c>
      <c r="B126" s="959" t="s">
        <v>507</v>
      </c>
      <c r="C126" s="708" t="s">
        <v>508</v>
      </c>
      <c r="D126" s="708"/>
      <c r="E126" s="957">
        <v>44172</v>
      </c>
      <c r="F126" s="958">
        <v>16708.080000000002</v>
      </c>
      <c r="G126" s="959">
        <v>613</v>
      </c>
      <c r="H126" s="958">
        <v>16708.080000000002</v>
      </c>
      <c r="I126" s="678">
        <f t="shared" si="20"/>
        <v>0</v>
      </c>
      <c r="J126" s="285"/>
      <c r="K126" s="785"/>
      <c r="L126" s="785"/>
      <c r="M126" s="785"/>
      <c r="N126" s="785"/>
      <c r="O126" s="963" t="s">
        <v>529</v>
      </c>
      <c r="P126" s="785"/>
      <c r="Q126" s="785">
        <v>1871304.62</v>
      </c>
      <c r="R126" s="1001" t="s">
        <v>530</v>
      </c>
      <c r="S126" s="70">
        <f t="shared" si="26"/>
        <v>1871304.62</v>
      </c>
      <c r="T126" s="70">
        <f t="shared" si="27"/>
        <v>111.99997965056427</v>
      </c>
    </row>
    <row r="127" spans="1:20" s="171" customFormat="1" x14ac:dyDescent="0.25">
      <c r="A127" s="107">
        <v>89</v>
      </c>
      <c r="B127" s="708"/>
      <c r="C127" s="708"/>
      <c r="D127" s="708"/>
      <c r="E127" s="736"/>
      <c r="F127" s="734"/>
      <c r="G127" s="708"/>
      <c r="H127" s="734"/>
      <c r="I127" s="678">
        <f t="shared" si="20"/>
        <v>0</v>
      </c>
      <c r="J127" s="360"/>
      <c r="K127" s="785"/>
      <c r="L127" s="785"/>
      <c r="M127" s="785"/>
      <c r="N127" s="785"/>
      <c r="O127" s="797"/>
      <c r="P127" s="785"/>
      <c r="Q127" s="785"/>
      <c r="R127" s="785"/>
      <c r="S127" s="70">
        <f t="shared" si="26"/>
        <v>0</v>
      </c>
      <c r="T127" s="70" t="e">
        <f t="shared" si="27"/>
        <v>#DIV/0!</v>
      </c>
    </row>
    <row r="128" spans="1:20" s="171" customFormat="1" x14ac:dyDescent="0.25">
      <c r="A128" s="107">
        <v>90</v>
      </c>
      <c r="B128" s="708"/>
      <c r="C128" s="708"/>
      <c r="D128" s="708"/>
      <c r="E128" s="736"/>
      <c r="F128" s="734"/>
      <c r="G128" s="708"/>
      <c r="H128" s="734"/>
      <c r="I128" s="678">
        <f t="shared" si="20"/>
        <v>0</v>
      </c>
      <c r="J128" s="360"/>
      <c r="K128" s="785"/>
      <c r="L128" s="785"/>
      <c r="M128" s="785"/>
      <c r="N128" s="785"/>
      <c r="O128" s="752"/>
      <c r="P128" s="785"/>
      <c r="Q128" s="785"/>
      <c r="R128" s="788"/>
      <c r="S128" s="70">
        <f t="shared" si="26"/>
        <v>0</v>
      </c>
      <c r="T128" s="70" t="e">
        <f t="shared" si="27"/>
        <v>#DIV/0!</v>
      </c>
    </row>
    <row r="129" spans="1:20" s="171" customFormat="1" x14ac:dyDescent="0.25">
      <c r="A129" s="107">
        <v>91</v>
      </c>
      <c r="B129" s="708"/>
      <c r="C129" s="708"/>
      <c r="D129" s="708"/>
      <c r="E129" s="736"/>
      <c r="F129" s="734"/>
      <c r="G129" s="708"/>
      <c r="H129" s="734"/>
      <c r="I129" s="678">
        <f t="shared" si="20"/>
        <v>0</v>
      </c>
      <c r="J129" s="360"/>
      <c r="K129" s="785"/>
      <c r="L129" s="785"/>
      <c r="M129" s="785"/>
      <c r="N129" s="785"/>
      <c r="O129" s="752"/>
      <c r="P129" s="785"/>
      <c r="Q129" s="785"/>
      <c r="R129" s="788"/>
      <c r="S129" s="70">
        <f t="shared" si="26"/>
        <v>0</v>
      </c>
      <c r="T129" s="70" t="e">
        <f t="shared" si="27"/>
        <v>#DIV/0!</v>
      </c>
    </row>
    <row r="130" spans="1:20" s="171" customFormat="1" x14ac:dyDescent="0.25">
      <c r="A130" s="107">
        <v>92</v>
      </c>
      <c r="B130" s="708"/>
      <c r="C130" s="708"/>
      <c r="D130" s="708"/>
      <c r="E130" s="736"/>
      <c r="F130" s="734"/>
      <c r="G130" s="708"/>
      <c r="H130" s="734"/>
      <c r="I130" s="678">
        <f t="shared" si="20"/>
        <v>0</v>
      </c>
      <c r="J130" s="360"/>
      <c r="K130" s="785"/>
      <c r="L130" s="785"/>
      <c r="M130" s="785"/>
      <c r="N130" s="785"/>
      <c r="O130" s="752"/>
      <c r="P130" s="785"/>
      <c r="Q130" s="785"/>
      <c r="R130" s="788"/>
      <c r="S130" s="70">
        <f t="shared" si="26"/>
        <v>0</v>
      </c>
      <c r="T130" s="70" t="e">
        <f t="shared" si="27"/>
        <v>#DIV/0!</v>
      </c>
    </row>
    <row r="131" spans="1:20" s="171" customFormat="1" x14ac:dyDescent="0.25">
      <c r="A131" s="107">
        <v>93</v>
      </c>
      <c r="B131" s="708"/>
      <c r="C131" s="708"/>
      <c r="D131" s="708"/>
      <c r="E131" s="736"/>
      <c r="F131" s="734"/>
      <c r="G131" s="708"/>
      <c r="H131" s="734"/>
      <c r="I131" s="678">
        <f t="shared" si="20"/>
        <v>0</v>
      </c>
      <c r="J131" s="369"/>
      <c r="K131" s="785"/>
      <c r="L131" s="785"/>
      <c r="M131" s="785"/>
      <c r="N131" s="785"/>
      <c r="O131" s="797"/>
      <c r="P131" s="785"/>
      <c r="Q131" s="785"/>
      <c r="R131" s="785"/>
      <c r="S131" s="70">
        <f t="shared" si="26"/>
        <v>0</v>
      </c>
      <c r="T131" s="70" t="e">
        <f t="shared" si="27"/>
        <v>#DIV/0!</v>
      </c>
    </row>
    <row r="132" spans="1:20" s="171" customFormat="1" x14ac:dyDescent="0.25">
      <c r="A132" s="107">
        <v>94</v>
      </c>
      <c r="B132" s="708"/>
      <c r="C132" s="708"/>
      <c r="D132" s="708"/>
      <c r="E132" s="736"/>
      <c r="F132" s="734"/>
      <c r="G132" s="708"/>
      <c r="H132" s="734"/>
      <c r="I132" s="678">
        <f t="shared" si="20"/>
        <v>0</v>
      </c>
      <c r="J132" s="304"/>
      <c r="K132" s="677"/>
      <c r="L132" s="677"/>
      <c r="M132" s="677"/>
      <c r="N132" s="677"/>
      <c r="O132" s="832"/>
      <c r="P132" s="677"/>
      <c r="Q132" s="677"/>
      <c r="R132" s="677"/>
      <c r="S132" s="70">
        <f t="shared" si="26"/>
        <v>0</v>
      </c>
      <c r="T132" s="70" t="e">
        <f t="shared" si="27"/>
        <v>#DIV/0!</v>
      </c>
    </row>
    <row r="133" spans="1:20" s="171" customFormat="1" ht="14.4" x14ac:dyDescent="0.3">
      <c r="A133" s="107">
        <v>95</v>
      </c>
      <c r="B133" s="708"/>
      <c r="C133" s="676"/>
      <c r="D133" s="737"/>
      <c r="E133" s="738"/>
      <c r="F133" s="739"/>
      <c r="G133" s="740"/>
      <c r="H133" s="741"/>
      <c r="I133" s="678">
        <f t="shared" si="20"/>
        <v>0</v>
      </c>
      <c r="J133" s="304"/>
      <c r="K133" s="285"/>
      <c r="L133" s="305"/>
      <c r="M133" s="284"/>
      <c r="N133" s="709"/>
      <c r="O133" s="832"/>
      <c r="P133" s="730"/>
      <c r="Q133" s="731"/>
      <c r="R133" s="732"/>
      <c r="S133" s="70">
        <f t="shared" ref="S133" si="28">Q133+M133+K133</f>
        <v>0</v>
      </c>
      <c r="T133" s="70" t="e">
        <f t="shared" si="27"/>
        <v>#DIV/0!</v>
      </c>
    </row>
    <row r="134" spans="1:20" s="171" customFormat="1" ht="14.4" x14ac:dyDescent="0.3">
      <c r="A134" s="107">
        <v>96</v>
      </c>
      <c r="B134" s="742"/>
      <c r="C134" s="743"/>
      <c r="D134" s="737"/>
      <c r="E134" s="738"/>
      <c r="F134" s="739"/>
      <c r="G134" s="740"/>
      <c r="H134" s="741"/>
      <c r="I134" s="678">
        <f t="shared" si="20"/>
        <v>0</v>
      </c>
      <c r="J134" s="304"/>
      <c r="K134" s="285"/>
      <c r="L134" s="305"/>
      <c r="M134" s="284"/>
      <c r="N134" s="709"/>
      <c r="O134" s="826"/>
      <c r="P134" s="730"/>
      <c r="Q134" s="731"/>
      <c r="R134" s="732"/>
      <c r="S134" s="70"/>
      <c r="T134" s="70"/>
    </row>
    <row r="135" spans="1:20" s="171" customFormat="1" ht="14.4" x14ac:dyDescent="0.3">
      <c r="A135" s="107">
        <v>97</v>
      </c>
      <c r="B135" s="742"/>
      <c r="C135" s="743"/>
      <c r="D135" s="737"/>
      <c r="E135" s="738"/>
      <c r="F135" s="739"/>
      <c r="G135" s="740"/>
      <c r="H135" s="741"/>
      <c r="I135" s="678">
        <f t="shared" si="20"/>
        <v>0</v>
      </c>
      <c r="J135" s="304"/>
      <c r="K135" s="285"/>
      <c r="L135" s="305"/>
      <c r="M135" s="284"/>
      <c r="N135" s="709"/>
      <c r="O135" s="826"/>
      <c r="P135" s="730"/>
      <c r="Q135" s="731"/>
      <c r="R135" s="732"/>
      <c r="S135" s="70"/>
      <c r="T135" s="70"/>
    </row>
    <row r="136" spans="1:20" s="171" customFormat="1" ht="14.4" x14ac:dyDescent="0.3">
      <c r="A136" s="107">
        <v>98</v>
      </c>
      <c r="B136" s="742"/>
      <c r="C136" s="743"/>
      <c r="D136" s="737"/>
      <c r="E136" s="738"/>
      <c r="F136" s="739"/>
      <c r="G136" s="740"/>
      <c r="H136" s="741"/>
      <c r="I136" s="678">
        <f t="shared" si="20"/>
        <v>0</v>
      </c>
      <c r="J136" s="304"/>
      <c r="K136" s="285"/>
      <c r="L136" s="305"/>
      <c r="M136" s="284"/>
      <c r="N136" s="709"/>
      <c r="O136" s="826"/>
      <c r="P136" s="730"/>
      <c r="Q136" s="731"/>
      <c r="R136" s="732"/>
      <c r="S136" s="70"/>
      <c r="T136" s="70"/>
    </row>
    <row r="137" spans="1:20" s="171" customFormat="1" ht="14.4" x14ac:dyDescent="0.3">
      <c r="A137" s="107">
        <v>99</v>
      </c>
      <c r="B137" s="742"/>
      <c r="C137" s="676"/>
      <c r="D137" s="737"/>
      <c r="E137" s="738"/>
      <c r="F137" s="739"/>
      <c r="G137" s="740"/>
      <c r="H137" s="741"/>
      <c r="I137" s="678">
        <f t="shared" si="20"/>
        <v>0</v>
      </c>
      <c r="J137" s="304"/>
      <c r="K137" s="285"/>
      <c r="L137" s="305"/>
      <c r="M137" s="284"/>
      <c r="N137" s="709"/>
      <c r="O137" s="826"/>
      <c r="P137" s="730"/>
      <c r="Q137" s="731"/>
      <c r="R137" s="732"/>
      <c r="S137" s="70"/>
      <c r="T137" s="70"/>
    </row>
    <row r="138" spans="1:20" s="171" customFormat="1" ht="14.4" x14ac:dyDescent="0.3">
      <c r="A138" s="107">
        <v>100</v>
      </c>
      <c r="B138" s="742"/>
      <c r="C138" s="743"/>
      <c r="D138" s="737"/>
      <c r="E138" s="738"/>
      <c r="F138" s="739"/>
      <c r="G138" s="740"/>
      <c r="H138" s="741"/>
      <c r="I138" s="678">
        <f t="shared" si="20"/>
        <v>0</v>
      </c>
      <c r="J138" s="304"/>
      <c r="K138" s="285"/>
      <c r="L138" s="305"/>
      <c r="M138" s="284"/>
      <c r="N138" s="709"/>
      <c r="O138" s="826"/>
      <c r="P138" s="730"/>
      <c r="Q138" s="731"/>
      <c r="R138" s="732"/>
      <c r="S138" s="70"/>
      <c r="T138" s="70"/>
    </row>
    <row r="139" spans="1:20" s="171" customFormat="1" ht="14.4" x14ac:dyDescent="0.3">
      <c r="A139" s="107">
        <v>101</v>
      </c>
      <c r="B139" s="742"/>
      <c r="C139" s="743"/>
      <c r="D139" s="737"/>
      <c r="E139" s="738"/>
      <c r="F139" s="739"/>
      <c r="G139" s="740"/>
      <c r="H139" s="741"/>
      <c r="I139" s="678">
        <f t="shared" si="20"/>
        <v>0</v>
      </c>
      <c r="J139" s="304"/>
      <c r="K139" s="285"/>
      <c r="L139" s="305"/>
      <c r="M139" s="284"/>
      <c r="N139" s="709"/>
      <c r="O139" s="826"/>
      <c r="P139" s="730"/>
      <c r="Q139" s="731"/>
      <c r="R139" s="732"/>
      <c r="S139" s="70"/>
      <c r="T139" s="70"/>
    </row>
    <row r="140" spans="1:20" s="171" customFormat="1" ht="14.4" x14ac:dyDescent="0.3">
      <c r="A140" s="107">
        <v>102</v>
      </c>
      <c r="B140" s="742"/>
      <c r="C140" s="744"/>
      <c r="D140" s="737"/>
      <c r="E140" s="738"/>
      <c r="F140" s="739"/>
      <c r="G140" s="740"/>
      <c r="H140" s="741"/>
      <c r="I140" s="678">
        <f t="shared" si="20"/>
        <v>0</v>
      </c>
      <c r="J140" s="304"/>
      <c r="K140" s="285"/>
      <c r="L140" s="305"/>
      <c r="M140" s="284"/>
      <c r="N140" s="709"/>
      <c r="O140" s="826"/>
      <c r="P140" s="730"/>
      <c r="Q140" s="731"/>
      <c r="R140" s="732"/>
      <c r="S140" s="70"/>
      <c r="T140" s="70"/>
    </row>
    <row r="141" spans="1:20" s="171" customFormat="1" ht="14.4" x14ac:dyDescent="0.3">
      <c r="A141" s="107">
        <v>103</v>
      </c>
      <c r="B141" s="742"/>
      <c r="C141" s="745"/>
      <c r="D141" s="737"/>
      <c r="E141" s="738"/>
      <c r="F141" s="739"/>
      <c r="G141" s="740"/>
      <c r="H141" s="741"/>
      <c r="I141" s="678">
        <f t="shared" si="20"/>
        <v>0</v>
      </c>
      <c r="J141" s="304"/>
      <c r="K141" s="285"/>
      <c r="L141" s="305"/>
      <c r="M141" s="284"/>
      <c r="N141" s="709"/>
      <c r="O141" s="826"/>
      <c r="P141" s="730"/>
      <c r="Q141" s="731"/>
      <c r="R141" s="732"/>
      <c r="S141" s="70"/>
      <c r="T141" s="70"/>
    </row>
    <row r="142" spans="1:20" s="171" customFormat="1" ht="14.4" x14ac:dyDescent="0.3">
      <c r="A142" s="107">
        <v>104</v>
      </c>
      <c r="B142" s="742"/>
      <c r="C142" s="676"/>
      <c r="D142" s="737"/>
      <c r="E142" s="738"/>
      <c r="F142" s="739"/>
      <c r="G142" s="740"/>
      <c r="H142" s="741"/>
      <c r="I142" s="678">
        <f t="shared" si="20"/>
        <v>0</v>
      </c>
      <c r="J142" s="304"/>
      <c r="K142" s="285"/>
      <c r="L142" s="305"/>
      <c r="M142" s="284"/>
      <c r="N142" s="709"/>
      <c r="O142" s="826"/>
      <c r="P142" s="730"/>
      <c r="Q142" s="731"/>
      <c r="R142" s="732"/>
      <c r="S142" s="70"/>
      <c r="T142" s="70"/>
    </row>
    <row r="143" spans="1:20" s="171" customFormat="1" ht="14.4" x14ac:dyDescent="0.3">
      <c r="A143" s="107">
        <v>105</v>
      </c>
      <c r="B143" s="742"/>
      <c r="C143" s="676"/>
      <c r="D143" s="737"/>
      <c r="E143" s="738"/>
      <c r="F143" s="739"/>
      <c r="G143" s="740"/>
      <c r="H143" s="741"/>
      <c r="I143" s="678">
        <f t="shared" si="20"/>
        <v>0</v>
      </c>
      <c r="J143" s="304"/>
      <c r="K143" s="285"/>
      <c r="L143" s="305"/>
      <c r="M143" s="284"/>
      <c r="N143" s="709"/>
      <c r="O143" s="826"/>
      <c r="P143" s="730"/>
      <c r="Q143" s="731"/>
      <c r="R143" s="732"/>
      <c r="S143" s="70"/>
      <c r="T143" s="70"/>
    </row>
    <row r="144" spans="1:20" s="171" customFormat="1" ht="14.4" x14ac:dyDescent="0.3">
      <c r="A144" s="107">
        <v>106</v>
      </c>
      <c r="B144" s="742"/>
      <c r="C144" s="745"/>
      <c r="D144" s="737"/>
      <c r="E144" s="738"/>
      <c r="F144" s="739"/>
      <c r="G144" s="740"/>
      <c r="H144" s="741"/>
      <c r="I144" s="678">
        <f t="shared" si="20"/>
        <v>0</v>
      </c>
      <c r="J144" s="304"/>
      <c r="K144" s="285"/>
      <c r="L144" s="305"/>
      <c r="M144" s="284"/>
      <c r="N144" s="709"/>
      <c r="O144" s="826"/>
      <c r="P144" s="730"/>
      <c r="Q144" s="731"/>
      <c r="R144" s="732"/>
      <c r="S144" s="70"/>
      <c r="T144" s="70"/>
    </row>
    <row r="145" spans="1:20" s="171" customFormat="1" ht="14.4" x14ac:dyDescent="0.3">
      <c r="A145" s="107">
        <v>107</v>
      </c>
      <c r="B145" s="742"/>
      <c r="C145" s="676"/>
      <c r="D145" s="737"/>
      <c r="E145" s="738"/>
      <c r="F145" s="739"/>
      <c r="G145" s="740"/>
      <c r="H145" s="741"/>
      <c r="I145" s="678">
        <f t="shared" si="20"/>
        <v>0</v>
      </c>
      <c r="J145" s="304"/>
      <c r="K145" s="285"/>
      <c r="L145" s="305"/>
      <c r="M145" s="284"/>
      <c r="N145" s="709"/>
      <c r="O145" s="826"/>
      <c r="P145" s="730"/>
      <c r="Q145" s="731"/>
      <c r="R145" s="732"/>
      <c r="S145" s="70"/>
      <c r="T145" s="70"/>
    </row>
    <row r="146" spans="1:20" s="171" customFormat="1" ht="14.4" x14ac:dyDescent="0.3">
      <c r="A146" s="107">
        <v>108</v>
      </c>
      <c r="B146" s="742"/>
      <c r="C146" s="676"/>
      <c r="D146" s="737"/>
      <c r="E146" s="738"/>
      <c r="F146" s="739"/>
      <c r="G146" s="740"/>
      <c r="H146" s="741"/>
      <c r="I146" s="678">
        <f t="shared" si="20"/>
        <v>0</v>
      </c>
      <c r="J146" s="304"/>
      <c r="K146" s="285"/>
      <c r="L146" s="305"/>
      <c r="M146" s="284"/>
      <c r="N146" s="709"/>
      <c r="O146" s="826"/>
      <c r="P146" s="730"/>
      <c r="Q146" s="731"/>
      <c r="R146" s="732"/>
      <c r="S146" s="70"/>
      <c r="T146" s="70"/>
    </row>
    <row r="147" spans="1:20" s="171" customFormat="1" ht="14.4" x14ac:dyDescent="0.3">
      <c r="A147" s="107">
        <v>109</v>
      </c>
      <c r="B147" s="742"/>
      <c r="C147" s="676"/>
      <c r="D147" s="737"/>
      <c r="E147" s="738"/>
      <c r="F147" s="739"/>
      <c r="G147" s="740"/>
      <c r="H147" s="741"/>
      <c r="I147" s="678">
        <f t="shared" si="20"/>
        <v>0</v>
      </c>
      <c r="J147" s="304"/>
      <c r="K147" s="285"/>
      <c r="L147" s="305"/>
      <c r="M147" s="284"/>
      <c r="N147" s="709"/>
      <c r="O147" s="826"/>
      <c r="P147" s="730"/>
      <c r="Q147" s="731"/>
      <c r="R147" s="732"/>
      <c r="S147" s="70"/>
      <c r="T147" s="70"/>
    </row>
    <row r="148" spans="1:20" s="171" customFormat="1" ht="14.4" x14ac:dyDescent="0.3">
      <c r="A148" s="107">
        <v>110</v>
      </c>
      <c r="B148" s="742"/>
      <c r="C148" s="676"/>
      <c r="D148" s="737"/>
      <c r="E148" s="738"/>
      <c r="F148" s="739"/>
      <c r="G148" s="740"/>
      <c r="H148" s="741"/>
      <c r="I148" s="678">
        <f t="shared" si="20"/>
        <v>0</v>
      </c>
      <c r="J148" s="304"/>
      <c r="K148" s="285"/>
      <c r="L148" s="305"/>
      <c r="M148" s="284"/>
      <c r="N148" s="709"/>
      <c r="O148" s="826"/>
      <c r="P148" s="730"/>
      <c r="Q148" s="731"/>
      <c r="R148" s="732"/>
      <c r="S148" s="70"/>
      <c r="T148" s="70"/>
    </row>
    <row r="149" spans="1:20" s="171" customFormat="1" ht="14.4" x14ac:dyDescent="0.3">
      <c r="A149" s="107">
        <v>111</v>
      </c>
      <c r="B149" s="742"/>
      <c r="C149" s="676"/>
      <c r="D149" s="737"/>
      <c r="E149" s="738"/>
      <c r="F149" s="739"/>
      <c r="G149" s="740"/>
      <c r="H149" s="741"/>
      <c r="I149" s="678">
        <f t="shared" si="20"/>
        <v>0</v>
      </c>
      <c r="J149" s="304"/>
      <c r="K149" s="285"/>
      <c r="L149" s="305"/>
      <c r="M149" s="284"/>
      <c r="N149" s="709"/>
      <c r="O149" s="826"/>
      <c r="P149" s="730"/>
      <c r="Q149" s="731"/>
      <c r="R149" s="732"/>
      <c r="S149" s="70"/>
      <c r="T149" s="70"/>
    </row>
    <row r="150" spans="1:20" s="171" customFormat="1" ht="14.4" x14ac:dyDescent="0.3">
      <c r="A150" s="107">
        <v>112</v>
      </c>
      <c r="B150" s="742"/>
      <c r="C150" s="676"/>
      <c r="D150" s="737"/>
      <c r="E150" s="738"/>
      <c r="F150" s="739"/>
      <c r="G150" s="740"/>
      <c r="H150" s="741"/>
      <c r="I150" s="678">
        <f t="shared" si="20"/>
        <v>0</v>
      </c>
      <c r="J150" s="304"/>
      <c r="K150" s="285"/>
      <c r="L150" s="305"/>
      <c r="M150" s="284"/>
      <c r="N150" s="709"/>
      <c r="O150" s="826"/>
      <c r="P150" s="730"/>
      <c r="Q150" s="731"/>
      <c r="R150" s="732"/>
      <c r="S150" s="70"/>
      <c r="T150" s="70"/>
    </row>
    <row r="151" spans="1:20" s="171" customFormat="1" ht="14.4" x14ac:dyDescent="0.3">
      <c r="A151" s="107">
        <v>113</v>
      </c>
      <c r="B151" s="742"/>
      <c r="C151" s="676"/>
      <c r="D151" s="737"/>
      <c r="E151" s="738"/>
      <c r="F151" s="739"/>
      <c r="G151" s="740"/>
      <c r="H151" s="741"/>
      <c r="I151" s="678">
        <f t="shared" si="20"/>
        <v>0</v>
      </c>
      <c r="J151" s="304"/>
      <c r="K151" s="285"/>
      <c r="L151" s="305"/>
      <c r="M151" s="284"/>
      <c r="N151" s="709"/>
      <c r="O151" s="826"/>
      <c r="P151" s="730"/>
      <c r="Q151" s="731"/>
      <c r="R151" s="732"/>
      <c r="S151" s="70"/>
      <c r="T151" s="70"/>
    </row>
    <row r="152" spans="1:20" s="171" customFormat="1" ht="14.4" x14ac:dyDescent="0.3">
      <c r="A152" s="107">
        <v>114</v>
      </c>
      <c r="B152" s="742"/>
      <c r="C152" s="676"/>
      <c r="D152" s="737"/>
      <c r="E152" s="738"/>
      <c r="F152" s="739"/>
      <c r="G152" s="740"/>
      <c r="H152" s="741"/>
      <c r="I152" s="678">
        <f t="shared" si="20"/>
        <v>0</v>
      </c>
      <c r="J152" s="304"/>
      <c r="K152" s="285"/>
      <c r="L152" s="305"/>
      <c r="M152" s="284"/>
      <c r="N152" s="709"/>
      <c r="O152" s="826"/>
      <c r="P152" s="730"/>
      <c r="Q152" s="731"/>
      <c r="R152" s="732"/>
      <c r="S152" s="70"/>
      <c r="T152" s="70"/>
    </row>
    <row r="153" spans="1:20" s="171" customFormat="1" ht="14.4" x14ac:dyDescent="0.3">
      <c r="A153" s="107">
        <v>115</v>
      </c>
      <c r="B153" s="439"/>
      <c r="C153" s="79"/>
      <c r="D153" s="176"/>
      <c r="E153" s="425"/>
      <c r="F153" s="113"/>
      <c r="G153" s="107"/>
      <c r="H153" s="694"/>
      <c r="I153" s="678">
        <f t="shared" si="20"/>
        <v>0</v>
      </c>
      <c r="J153" s="304"/>
      <c r="K153" s="285"/>
      <c r="L153" s="305"/>
      <c r="M153" s="284"/>
      <c r="N153" s="709"/>
      <c r="O153" s="826"/>
      <c r="P153" s="730"/>
      <c r="Q153" s="731"/>
      <c r="R153" s="732"/>
      <c r="S153" s="70"/>
      <c r="T153" s="70"/>
    </row>
    <row r="154" spans="1:20" s="171" customFormat="1" ht="14.4" x14ac:dyDescent="0.3">
      <c r="A154" s="107">
        <v>116</v>
      </c>
      <c r="B154" s="439"/>
      <c r="C154" s="79"/>
      <c r="D154" s="176"/>
      <c r="E154" s="425"/>
      <c r="F154" s="113"/>
      <c r="G154" s="107"/>
      <c r="H154" s="694"/>
      <c r="I154" s="678">
        <f t="shared" si="20"/>
        <v>0</v>
      </c>
      <c r="J154" s="304"/>
      <c r="K154" s="285"/>
      <c r="L154" s="305"/>
      <c r="M154" s="284"/>
      <c r="N154" s="709"/>
      <c r="O154" s="826"/>
      <c r="P154" s="730"/>
      <c r="Q154" s="731"/>
      <c r="R154" s="732"/>
      <c r="S154" s="70"/>
      <c r="T154" s="70"/>
    </row>
    <row r="155" spans="1:20" s="171" customFormat="1" ht="14.4" x14ac:dyDescent="0.3">
      <c r="A155" s="107">
        <v>117</v>
      </c>
      <c r="B155" s="439"/>
      <c r="C155" s="79"/>
      <c r="D155" s="176"/>
      <c r="E155" s="425"/>
      <c r="F155" s="113"/>
      <c r="G155" s="107"/>
      <c r="H155" s="694"/>
      <c r="I155" s="678">
        <f t="shared" si="20"/>
        <v>0</v>
      </c>
      <c r="J155" s="304"/>
      <c r="K155" s="285"/>
      <c r="L155" s="305"/>
      <c r="M155" s="284"/>
      <c r="N155" s="709"/>
      <c r="O155" s="826"/>
      <c r="P155" s="730"/>
      <c r="Q155" s="731"/>
      <c r="R155" s="732"/>
      <c r="S155" s="70"/>
      <c r="T155" s="70"/>
    </row>
    <row r="156" spans="1:20" s="171" customFormat="1" ht="14.4" x14ac:dyDescent="0.3">
      <c r="A156" s="107">
        <v>118</v>
      </c>
      <c r="B156" s="439"/>
      <c r="C156" s="79"/>
      <c r="D156" s="176"/>
      <c r="E156" s="425"/>
      <c r="F156" s="113"/>
      <c r="G156" s="107"/>
      <c r="H156" s="694"/>
      <c r="I156" s="678">
        <f t="shared" si="20"/>
        <v>0</v>
      </c>
      <c r="J156" s="304"/>
      <c r="K156" s="285"/>
      <c r="L156" s="305"/>
      <c r="M156" s="284"/>
      <c r="N156" s="709"/>
      <c r="O156" s="826"/>
      <c r="P156" s="730"/>
      <c r="Q156" s="731"/>
      <c r="R156" s="732"/>
      <c r="S156" s="70"/>
      <c r="T156" s="70"/>
    </row>
    <row r="157" spans="1:20" s="171" customFormat="1" ht="14.4" x14ac:dyDescent="0.3">
      <c r="A157" s="107">
        <v>119</v>
      </c>
      <c r="B157" s="82"/>
      <c r="C157" s="79"/>
      <c r="D157" s="176"/>
      <c r="E157" s="425"/>
      <c r="F157" s="113"/>
      <c r="G157" s="107"/>
      <c r="H157" s="694"/>
      <c r="I157" s="678">
        <f t="shared" si="20"/>
        <v>0</v>
      </c>
      <c r="J157" s="304"/>
      <c r="K157" s="285"/>
      <c r="L157" s="305"/>
      <c r="M157" s="284"/>
      <c r="N157" s="709"/>
      <c r="O157" s="826"/>
      <c r="P157" s="730"/>
      <c r="Q157" s="731"/>
      <c r="R157" s="732"/>
      <c r="S157" s="70"/>
      <c r="T157" s="70"/>
    </row>
    <row r="158" spans="1:20" s="171" customFormat="1" ht="14.4" x14ac:dyDescent="0.3">
      <c r="A158" s="107">
        <v>120</v>
      </c>
      <c r="B158" s="82"/>
      <c r="C158" s="79"/>
      <c r="D158" s="176"/>
      <c r="E158" s="425"/>
      <c r="F158" s="113"/>
      <c r="G158" s="107"/>
      <c r="H158" s="694"/>
      <c r="I158" s="678">
        <f t="shared" si="20"/>
        <v>0</v>
      </c>
      <c r="J158" s="304"/>
      <c r="K158" s="285"/>
      <c r="L158" s="305"/>
      <c r="M158" s="284"/>
      <c r="N158" s="709"/>
      <c r="O158" s="826"/>
      <c r="P158" s="730"/>
      <c r="Q158" s="731"/>
      <c r="R158" s="732"/>
      <c r="S158" s="70"/>
      <c r="T158" s="70"/>
    </row>
    <row r="159" spans="1:20" s="171" customFormat="1" ht="14.4" x14ac:dyDescent="0.3">
      <c r="A159" s="107">
        <v>121</v>
      </c>
      <c r="B159" s="82"/>
      <c r="C159" s="79"/>
      <c r="D159" s="176"/>
      <c r="E159" s="425"/>
      <c r="F159" s="113"/>
      <c r="G159" s="107"/>
      <c r="H159" s="694"/>
      <c r="I159" s="678">
        <f t="shared" si="20"/>
        <v>0</v>
      </c>
      <c r="J159" s="304"/>
      <c r="K159" s="285"/>
      <c r="L159" s="305"/>
      <c r="M159" s="284"/>
      <c r="N159" s="709"/>
      <c r="O159" s="826"/>
      <c r="P159" s="730"/>
      <c r="Q159" s="731"/>
      <c r="R159" s="732"/>
      <c r="S159" s="70"/>
      <c r="T159" s="70"/>
    </row>
    <row r="160" spans="1:20" s="171" customFormat="1" ht="14.4" x14ac:dyDescent="0.3">
      <c r="A160" s="107">
        <v>122</v>
      </c>
      <c r="B160" s="82"/>
      <c r="C160" s="79"/>
      <c r="D160" s="176"/>
      <c r="E160" s="425"/>
      <c r="F160" s="113"/>
      <c r="G160" s="107"/>
      <c r="H160" s="694"/>
      <c r="I160" s="678">
        <f t="shared" si="20"/>
        <v>0</v>
      </c>
      <c r="J160" s="304"/>
      <c r="K160" s="285"/>
      <c r="L160" s="305"/>
      <c r="M160" s="284"/>
      <c r="N160" s="709"/>
      <c r="O160" s="826"/>
      <c r="P160" s="730"/>
      <c r="Q160" s="731"/>
      <c r="R160" s="732"/>
      <c r="S160" s="70"/>
      <c r="T160" s="70"/>
    </row>
    <row r="161" spans="1:20" s="171" customFormat="1" ht="14.4" x14ac:dyDescent="0.3">
      <c r="A161" s="107">
        <v>123</v>
      </c>
      <c r="B161" s="82"/>
      <c r="C161" s="79"/>
      <c r="D161" s="176"/>
      <c r="E161" s="425"/>
      <c r="F161" s="113"/>
      <c r="G161" s="107"/>
      <c r="H161" s="694"/>
      <c r="I161" s="678">
        <f t="shared" si="20"/>
        <v>0</v>
      </c>
      <c r="J161" s="304"/>
      <c r="K161" s="285"/>
      <c r="L161" s="305"/>
      <c r="M161" s="284"/>
      <c r="N161" s="709"/>
      <c r="O161" s="826"/>
      <c r="P161" s="730"/>
      <c r="Q161" s="731"/>
      <c r="R161" s="732"/>
      <c r="S161" s="70"/>
      <c r="T161" s="70"/>
    </row>
    <row r="162" spans="1:20" s="171" customFormat="1" ht="14.4" x14ac:dyDescent="0.3">
      <c r="A162" s="107">
        <v>124</v>
      </c>
      <c r="B162" s="82"/>
      <c r="C162" s="79"/>
      <c r="D162" s="176"/>
      <c r="E162" s="425"/>
      <c r="F162" s="113"/>
      <c r="G162" s="107"/>
      <c r="H162" s="694"/>
      <c r="I162" s="678">
        <f t="shared" si="20"/>
        <v>0</v>
      </c>
      <c r="J162" s="304"/>
      <c r="K162" s="285"/>
      <c r="L162" s="305"/>
      <c r="M162" s="284"/>
      <c r="N162" s="709"/>
      <c r="O162" s="826"/>
      <c r="P162" s="730"/>
      <c r="Q162" s="731"/>
      <c r="R162" s="732"/>
      <c r="S162" s="70"/>
      <c r="T162" s="70"/>
    </row>
    <row r="163" spans="1:20" s="171" customFormat="1" ht="14.4" x14ac:dyDescent="0.3">
      <c r="A163" s="107">
        <v>125</v>
      </c>
      <c r="B163" s="82"/>
      <c r="C163" s="79"/>
      <c r="D163" s="176"/>
      <c r="E163" s="425"/>
      <c r="F163" s="113"/>
      <c r="G163" s="107"/>
      <c r="H163" s="694"/>
      <c r="I163" s="678">
        <f t="shared" si="20"/>
        <v>0</v>
      </c>
      <c r="J163" s="304"/>
      <c r="K163" s="285"/>
      <c r="L163" s="305"/>
      <c r="M163" s="284"/>
      <c r="N163" s="560"/>
      <c r="O163" s="827"/>
      <c r="P163" s="283"/>
      <c r="Q163" s="284"/>
      <c r="R163" s="644"/>
      <c r="S163" s="70"/>
      <c r="T163" s="70"/>
    </row>
    <row r="164" spans="1:20" s="171" customFormat="1" ht="14.4" x14ac:dyDescent="0.3">
      <c r="A164" s="107">
        <v>126</v>
      </c>
      <c r="B164" s="82"/>
      <c r="C164" s="79"/>
      <c r="D164" s="176"/>
      <c r="E164" s="425"/>
      <c r="F164" s="113"/>
      <c r="G164" s="107"/>
      <c r="H164" s="694"/>
      <c r="I164" s="678">
        <f t="shared" si="20"/>
        <v>0</v>
      </c>
      <c r="J164" s="304"/>
      <c r="K164" s="285"/>
      <c r="L164" s="305"/>
      <c r="M164" s="284"/>
      <c r="N164" s="560"/>
      <c r="O164" s="827"/>
      <c r="P164" s="283"/>
      <c r="Q164" s="284"/>
      <c r="R164" s="644"/>
      <c r="S164" s="70"/>
      <c r="T164" s="70"/>
    </row>
    <row r="165" spans="1:20" s="171" customFormat="1" ht="14.4" x14ac:dyDescent="0.3">
      <c r="A165" s="107"/>
      <c r="B165" s="82"/>
      <c r="C165" s="79"/>
      <c r="D165" s="176"/>
      <c r="E165" s="425"/>
      <c r="F165" s="113"/>
      <c r="G165" s="107"/>
      <c r="H165" s="694"/>
      <c r="I165" s="678">
        <f t="shared" si="20"/>
        <v>0</v>
      </c>
      <c r="J165" s="304"/>
      <c r="K165" s="285"/>
      <c r="L165" s="305"/>
      <c r="M165" s="284"/>
      <c r="N165" s="560"/>
      <c r="O165" s="827"/>
      <c r="P165" s="283"/>
      <c r="Q165" s="284"/>
      <c r="R165" s="644"/>
      <c r="S165" s="70"/>
      <c r="T165" s="70"/>
    </row>
    <row r="166" spans="1:20" s="171" customFormat="1" ht="15" thickBot="1" x14ac:dyDescent="0.35">
      <c r="A166" s="107" t="s">
        <v>36</v>
      </c>
      <c r="B166" s="82"/>
      <c r="C166" s="160"/>
      <c r="D166" s="160"/>
      <c r="E166" s="148"/>
      <c r="F166" s="162"/>
      <c r="G166" s="107"/>
      <c r="H166" s="694"/>
      <c r="I166" s="678">
        <f t="shared" si="20"/>
        <v>0</v>
      </c>
      <c r="J166" s="304"/>
      <c r="K166" s="350"/>
      <c r="L166" s="351"/>
      <c r="M166" s="316"/>
      <c r="N166" s="560"/>
      <c r="O166" s="318"/>
      <c r="P166" s="347"/>
      <c r="Q166" s="361"/>
      <c r="R166" s="645"/>
      <c r="S166" s="70">
        <f t="shared" ref="S166:S171" si="29">Q166+M166+K166</f>
        <v>0</v>
      </c>
      <c r="T166" s="70" t="e">
        <f t="shared" ref="T166:T174" si="30">S166/H166+0.1</f>
        <v>#DIV/0!</v>
      </c>
    </row>
    <row r="167" spans="1:20" s="171" customFormat="1" ht="15.75" hidden="1" thickBot="1" x14ac:dyDescent="0.3">
      <c r="A167" s="107">
        <v>72</v>
      </c>
      <c r="B167" s="82"/>
      <c r="D167" s="160"/>
      <c r="E167" s="148"/>
      <c r="F167" s="162"/>
      <c r="G167" s="107"/>
      <c r="H167" s="694"/>
      <c r="I167" s="181">
        <f t="shared" si="20"/>
        <v>0</v>
      </c>
      <c r="J167" s="220"/>
      <c r="K167" s="116"/>
      <c r="L167" s="196"/>
      <c r="M167" s="76"/>
      <c r="N167" s="561"/>
      <c r="O167" s="137"/>
      <c r="P167" s="125"/>
      <c r="Q167" s="202"/>
      <c r="R167" s="200"/>
      <c r="S167" s="70">
        <f t="shared" si="29"/>
        <v>0</v>
      </c>
      <c r="T167" s="70" t="e">
        <f t="shared" si="30"/>
        <v>#DIV/0!</v>
      </c>
    </row>
    <row r="168" spans="1:20" s="171" customFormat="1" ht="15.75" hidden="1" thickBot="1" x14ac:dyDescent="0.3">
      <c r="A168" s="107">
        <v>73</v>
      </c>
      <c r="B168" s="82"/>
      <c r="D168" s="160"/>
      <c r="E168" s="148"/>
      <c r="F168" s="162"/>
      <c r="G168" s="107"/>
      <c r="H168" s="694"/>
      <c r="I168" s="181">
        <f t="shared" si="20"/>
        <v>0</v>
      </c>
      <c r="J168" s="220"/>
      <c r="K168" s="116"/>
      <c r="L168" s="196"/>
      <c r="M168" s="76"/>
      <c r="N168" s="561"/>
      <c r="O168" s="137"/>
      <c r="P168" s="125"/>
      <c r="Q168" s="202"/>
      <c r="R168" s="200"/>
      <c r="S168" s="70">
        <f t="shared" si="29"/>
        <v>0</v>
      </c>
      <c r="T168" s="70" t="e">
        <f t="shared" si="30"/>
        <v>#DIV/0!</v>
      </c>
    </row>
    <row r="169" spans="1:20" s="171" customFormat="1" ht="15.75" hidden="1" thickBot="1" x14ac:dyDescent="0.3">
      <c r="A169" s="107">
        <v>74</v>
      </c>
      <c r="B169" s="82"/>
      <c r="D169" s="160"/>
      <c r="E169" s="148"/>
      <c r="F169" s="162"/>
      <c r="G169" s="107"/>
      <c r="H169" s="694"/>
      <c r="I169" s="181">
        <f t="shared" si="20"/>
        <v>0</v>
      </c>
      <c r="J169" s="220"/>
      <c r="K169" s="116"/>
      <c r="L169" s="196"/>
      <c r="M169" s="76"/>
      <c r="N169" s="561"/>
      <c r="O169" s="137"/>
      <c r="P169" s="125"/>
      <c r="Q169" s="202"/>
      <c r="R169" s="201"/>
      <c r="S169" s="70">
        <f t="shared" si="29"/>
        <v>0</v>
      </c>
      <c r="T169" s="70" t="e">
        <f t="shared" si="30"/>
        <v>#DIV/0!</v>
      </c>
    </row>
    <row r="170" spans="1:20" s="171" customFormat="1" ht="15.75" hidden="1" thickBot="1" x14ac:dyDescent="0.3">
      <c r="A170" s="107">
        <v>75</v>
      </c>
      <c r="B170" s="82"/>
      <c r="D170" s="160"/>
      <c r="E170" s="148"/>
      <c r="F170" s="162"/>
      <c r="G170" s="107"/>
      <c r="H170" s="694"/>
      <c r="I170" s="181">
        <f t="shared" si="20"/>
        <v>0</v>
      </c>
      <c r="J170" s="220"/>
      <c r="K170" s="116"/>
      <c r="L170" s="196"/>
      <c r="M170" s="76"/>
      <c r="N170" s="561"/>
      <c r="O170" s="137"/>
      <c r="P170" s="125"/>
      <c r="Q170" s="202"/>
      <c r="R170" s="201"/>
      <c r="S170" s="70">
        <f t="shared" si="29"/>
        <v>0</v>
      </c>
      <c r="T170" s="70" t="e">
        <f t="shared" si="30"/>
        <v>#DIV/0!</v>
      </c>
    </row>
    <row r="171" spans="1:20" s="171" customFormat="1" ht="15.75" hidden="1" thickBot="1" x14ac:dyDescent="0.3">
      <c r="A171" s="107">
        <v>76</v>
      </c>
      <c r="B171" s="82"/>
      <c r="C171" s="160"/>
      <c r="E171" s="148"/>
      <c r="F171" s="162"/>
      <c r="G171" s="107"/>
      <c r="H171" s="694"/>
      <c r="I171" s="181">
        <f t="shared" si="20"/>
        <v>0</v>
      </c>
      <c r="J171" s="220"/>
      <c r="K171" s="116"/>
      <c r="L171" s="196"/>
      <c r="M171" s="76"/>
      <c r="N171" s="561"/>
      <c r="O171" s="137"/>
      <c r="P171" s="125"/>
      <c r="Q171" s="76"/>
      <c r="R171" s="197"/>
      <c r="S171" s="70">
        <f t="shared" si="29"/>
        <v>0</v>
      </c>
      <c r="T171" s="70" t="e">
        <f t="shared" si="30"/>
        <v>#DIV/0!</v>
      </c>
    </row>
    <row r="172" spans="1:20" s="171" customFormat="1" ht="15.75" hidden="1" thickBot="1" x14ac:dyDescent="0.3">
      <c r="A172" s="107">
        <v>77</v>
      </c>
      <c r="B172" s="82"/>
      <c r="C172" s="160"/>
      <c r="D172" s="109"/>
      <c r="E172" s="148"/>
      <c r="F172" s="162"/>
      <c r="G172" s="107"/>
      <c r="H172" s="694"/>
      <c r="I172" s="181">
        <f t="shared" si="20"/>
        <v>0</v>
      </c>
      <c r="J172" s="220"/>
      <c r="K172" s="116"/>
      <c r="L172" s="182"/>
      <c r="M172" s="76"/>
      <c r="N172" s="561"/>
      <c r="O172" s="137"/>
      <c r="P172" s="125"/>
      <c r="Q172" s="76"/>
      <c r="R172" s="197"/>
      <c r="S172" s="70">
        <f t="shared" ref="S172:S177" si="31">Q172+M172+K172</f>
        <v>0</v>
      </c>
      <c r="T172" s="70" t="e">
        <f t="shared" si="30"/>
        <v>#DIV/0!</v>
      </c>
    </row>
    <row r="173" spans="1:20" s="171" customFormat="1" ht="15.75" hidden="1" thickBot="1" x14ac:dyDescent="0.3">
      <c r="A173" s="107">
        <v>77</v>
      </c>
      <c r="B173" s="82"/>
      <c r="C173" s="167"/>
      <c r="D173" s="109"/>
      <c r="E173" s="148"/>
      <c r="F173" s="162"/>
      <c r="G173" s="107"/>
      <c r="H173" s="694"/>
      <c r="I173" s="181">
        <f t="shared" si="20"/>
        <v>0</v>
      </c>
      <c r="J173" s="220"/>
      <c r="K173" s="116"/>
      <c r="L173" s="182"/>
      <c r="M173" s="76"/>
      <c r="N173" s="561"/>
      <c r="O173" s="137"/>
      <c r="P173" s="125"/>
      <c r="Q173" s="76"/>
      <c r="R173" s="197"/>
      <c r="S173" s="70">
        <f t="shared" si="31"/>
        <v>0</v>
      </c>
      <c r="T173" s="70" t="e">
        <f t="shared" si="30"/>
        <v>#DIV/0!</v>
      </c>
    </row>
    <row r="174" spans="1:20" s="171" customFormat="1" ht="15.75" hidden="1" thickBot="1" x14ac:dyDescent="0.3">
      <c r="A174" s="107">
        <v>78</v>
      </c>
      <c r="B174" s="82"/>
      <c r="C174" s="167"/>
      <c r="D174" s="109"/>
      <c r="E174" s="148"/>
      <c r="F174" s="162"/>
      <c r="G174" s="107"/>
      <c r="H174" s="694"/>
      <c r="I174" s="181">
        <f t="shared" si="20"/>
        <v>0</v>
      </c>
      <c r="J174" s="220"/>
      <c r="K174" s="116"/>
      <c r="L174" s="182"/>
      <c r="M174" s="76"/>
      <c r="N174" s="561"/>
      <c r="O174" s="137"/>
      <c r="P174" s="125"/>
      <c r="Q174" s="76"/>
      <c r="R174" s="197"/>
      <c r="S174" s="70">
        <f t="shared" si="31"/>
        <v>0</v>
      </c>
      <c r="T174" s="70" t="e">
        <f t="shared" si="30"/>
        <v>#DIV/0!</v>
      </c>
    </row>
    <row r="175" spans="1:20" s="171" customFormat="1" ht="15.75" hidden="1" thickBot="1" x14ac:dyDescent="0.3">
      <c r="A175" s="107"/>
      <c r="B175" s="82"/>
      <c r="C175" s="167"/>
      <c r="D175" s="109"/>
      <c r="E175" s="148"/>
      <c r="F175" s="162"/>
      <c r="G175" s="107"/>
      <c r="H175" s="694"/>
      <c r="I175" s="181">
        <f t="shared" si="20"/>
        <v>0</v>
      </c>
      <c r="J175" s="220"/>
      <c r="K175" s="116"/>
      <c r="L175" s="182"/>
      <c r="M175" s="76"/>
      <c r="N175" s="561"/>
      <c r="O175" s="137"/>
      <c r="P175" s="125"/>
      <c r="Q175" s="76"/>
      <c r="R175" s="197"/>
      <c r="S175" s="70">
        <f t="shared" si="31"/>
        <v>0</v>
      </c>
      <c r="T175" s="70" t="e">
        <f>S175/H175</f>
        <v>#DIV/0!</v>
      </c>
    </row>
    <row r="176" spans="1:20" s="171" customFormat="1" ht="15.75" hidden="1" thickBot="1" x14ac:dyDescent="0.3">
      <c r="A176" s="107"/>
      <c r="B176" s="82"/>
      <c r="C176" s="167"/>
      <c r="D176" s="173"/>
      <c r="E176" s="148"/>
      <c r="F176" s="162"/>
      <c r="G176" s="107"/>
      <c r="H176" s="694"/>
      <c r="I176" s="181">
        <f t="shared" si="20"/>
        <v>0</v>
      </c>
      <c r="J176" s="220"/>
      <c r="K176" s="116"/>
      <c r="L176" s="182"/>
      <c r="M176" s="76"/>
      <c r="N176" s="561"/>
      <c r="O176" s="137"/>
      <c r="P176" s="125"/>
      <c r="Q176" s="65"/>
      <c r="R176" s="198"/>
      <c r="S176" s="70">
        <f t="shared" si="31"/>
        <v>0</v>
      </c>
      <c r="T176" s="70" t="e">
        <f>S176/H176</f>
        <v>#DIV/0!</v>
      </c>
    </row>
    <row r="177" spans="1:20" s="171" customFormat="1" ht="15.75" hidden="1" thickBot="1" x14ac:dyDescent="0.3">
      <c r="A177" s="107"/>
      <c r="B177" s="82"/>
      <c r="C177" s="167"/>
      <c r="D177" s="173"/>
      <c r="E177" s="148"/>
      <c r="F177" s="162"/>
      <c r="G177" s="107"/>
      <c r="H177" s="694"/>
      <c r="I177" s="181">
        <f t="shared" si="20"/>
        <v>0</v>
      </c>
      <c r="J177" s="220"/>
      <c r="K177" s="116"/>
      <c r="L177" s="182"/>
      <c r="M177" s="76"/>
      <c r="N177" s="561"/>
      <c r="O177" s="137"/>
      <c r="P177" s="125"/>
      <c r="Q177" s="65"/>
      <c r="R177" s="187"/>
      <c r="S177" s="70">
        <f t="shared" si="31"/>
        <v>0</v>
      </c>
      <c r="T177" s="70" t="e">
        <f>S177/H177</f>
        <v>#DIV/0!</v>
      </c>
    </row>
    <row r="178" spans="1:20" s="171" customFormat="1" ht="15.75" hidden="1" thickBot="1" x14ac:dyDescent="0.3">
      <c r="A178" s="107"/>
      <c r="B178" s="82"/>
      <c r="C178" s="81"/>
      <c r="D178" s="173"/>
      <c r="E178" s="426"/>
      <c r="F178" s="162"/>
      <c r="G178" s="107"/>
      <c r="H178" s="694"/>
      <c r="I178" s="181">
        <f t="shared" si="20"/>
        <v>0</v>
      </c>
      <c r="J178" s="139"/>
      <c r="K178" s="188"/>
      <c r="L178" s="189"/>
      <c r="M178" s="76"/>
      <c r="N178" s="562"/>
      <c r="O178" s="137"/>
      <c r="P178" s="102"/>
      <c r="Q178" s="82"/>
      <c r="R178" s="165"/>
      <c r="S178" s="70">
        <f>Q178+M178+K178</f>
        <v>0</v>
      </c>
      <c r="T178" s="70" t="e">
        <f>S178/H178+0.1</f>
        <v>#DIV/0!</v>
      </c>
    </row>
    <row r="179" spans="1:20" s="171" customFormat="1" ht="29.25" customHeight="1" thickTop="1" thickBot="1" x14ac:dyDescent="0.35">
      <c r="A179" s="107"/>
      <c r="B179" s="82"/>
      <c r="C179" s="81"/>
      <c r="D179" s="190"/>
      <c r="E179" s="148"/>
      <c r="F179" s="77" t="s">
        <v>31</v>
      </c>
      <c r="G179" s="78">
        <f>SUM(G5:G178)</f>
        <v>5223</v>
      </c>
      <c r="H179" s="697">
        <f>SUM(H3:H178)</f>
        <v>692202.77999999991</v>
      </c>
      <c r="I179" s="191">
        <f>PIERNA!I37</f>
        <v>0</v>
      </c>
      <c r="J179" s="47"/>
      <c r="K179" s="192">
        <f>SUM(K5:K178)</f>
        <v>319230</v>
      </c>
      <c r="L179" s="193"/>
      <c r="M179" s="192">
        <f>SUM(M5:M178)</f>
        <v>874640</v>
      </c>
      <c r="N179" s="563"/>
      <c r="O179" s="828"/>
      <c r="P179" s="126"/>
      <c r="Q179" s="194">
        <f>SUM(Q5:Q178)</f>
        <v>28566894.081379998</v>
      </c>
      <c r="R179" s="166"/>
      <c r="S179" s="205">
        <f>Q179+M179+K179</f>
        <v>29760764.081379998</v>
      </c>
      <c r="T179" s="70"/>
    </row>
    <row r="180" spans="1:20" s="171" customFormat="1" ht="14.4" thickTop="1" x14ac:dyDescent="0.25">
      <c r="B180" s="82"/>
      <c r="D180" s="107"/>
      <c r="E180" s="148"/>
      <c r="H180" s="181"/>
      <c r="J180" s="139"/>
      <c r="N180" s="211"/>
      <c r="O180" s="183"/>
      <c r="P180" s="102"/>
      <c r="Q180" s="82"/>
      <c r="R180" s="167" t="s">
        <v>45</v>
      </c>
    </row>
  </sheetData>
  <sortState xmlns:xlrd2="http://schemas.microsoft.com/office/spreadsheetml/2017/richdata2" ref="B98:O104">
    <sortCondition ref="E98:E104"/>
  </sortState>
  <mergeCells count="17">
    <mergeCell ref="R121:R122"/>
    <mergeCell ref="R100:R101"/>
    <mergeCell ref="E103:E104"/>
    <mergeCell ref="O103:O104"/>
    <mergeCell ref="R103:R104"/>
    <mergeCell ref="J109:J110"/>
    <mergeCell ref="P109:P110"/>
    <mergeCell ref="B121:B122"/>
    <mergeCell ref="O121:O122"/>
    <mergeCell ref="Q1:Q2"/>
    <mergeCell ref="K1:K2"/>
    <mergeCell ref="M1:M2"/>
    <mergeCell ref="B103:B104"/>
    <mergeCell ref="B109:B110"/>
    <mergeCell ref="O109:O110"/>
    <mergeCell ref="B100:B101"/>
    <mergeCell ref="O100:O10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23" activePane="bottomLeft" state="frozen"/>
      <selection pane="bottomLeft" activeCell="H20" sqref="H20"/>
    </sheetView>
  </sheetViews>
  <sheetFormatPr baseColWidth="10" defaultColWidth="11.44140625" defaultRowHeight="13.8" x14ac:dyDescent="0.25"/>
  <cols>
    <col min="1" max="1" width="32.44140625" bestFit="1" customWidth="1"/>
    <col min="2" max="2" width="17.6640625" style="79" bestFit="1" customWidth="1"/>
    <col min="3" max="3" width="13.33203125" bestFit="1" customWidth="1"/>
    <col min="6" max="6" width="12" customWidth="1"/>
  </cols>
  <sheetData>
    <row r="1" spans="1:9" ht="36.75" customHeight="1" x14ac:dyDescent="0.55000000000000004">
      <c r="A1" s="1041" t="s">
        <v>171</v>
      </c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7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1"/>
      <c r="D4" s="147"/>
      <c r="E4" s="224"/>
      <c r="F4" s="150"/>
      <c r="G4" s="39"/>
    </row>
    <row r="5" spans="1:9" ht="18.75" customHeight="1" x14ac:dyDescent="0.3">
      <c r="A5" s="1032" t="s">
        <v>71</v>
      </c>
      <c r="B5" s="246" t="s">
        <v>124</v>
      </c>
      <c r="C5" s="928">
        <v>62</v>
      </c>
      <c r="D5" s="147">
        <v>44128</v>
      </c>
      <c r="E5" s="224">
        <v>6328.92</v>
      </c>
      <c r="F5" s="150">
        <v>262</v>
      </c>
      <c r="G5" s="95">
        <f>F29</f>
        <v>5622.5599999999995</v>
      </c>
      <c r="H5" s="7">
        <f>E5-G5+E4+E6</f>
        <v>706.36000000000058</v>
      </c>
    </row>
    <row r="6" spans="1:9" ht="16.2" thickBot="1" x14ac:dyDescent="0.35">
      <c r="A6" s="1032"/>
      <c r="B6" s="221"/>
      <c r="C6" s="141"/>
      <c r="D6" s="13"/>
      <c r="E6" s="225"/>
      <c r="F6" s="150"/>
    </row>
    <row r="7" spans="1:9" ht="15" thickTop="1" thickBot="1" x14ac:dyDescent="0.3">
      <c r="A7" s="1032"/>
      <c r="B7" s="22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27"/>
      <c r="C8" s="15">
        <v>5</v>
      </c>
      <c r="D8" s="74">
        <v>115.58</v>
      </c>
      <c r="E8" s="147">
        <v>44149</v>
      </c>
      <c r="F8" s="113">
        <f t="shared" ref="F8:F28" si="0">D8</f>
        <v>115.58</v>
      </c>
      <c r="G8" s="75" t="s">
        <v>384</v>
      </c>
      <c r="H8" s="76">
        <v>64</v>
      </c>
      <c r="I8" s="48">
        <f>E5+E6-F8</f>
        <v>6213.34</v>
      </c>
    </row>
    <row r="9" spans="1:9" ht="15" x14ac:dyDescent="0.25">
      <c r="B9" s="227"/>
      <c r="C9" s="15">
        <v>28</v>
      </c>
      <c r="D9" s="74">
        <v>640.54</v>
      </c>
      <c r="E9" s="147">
        <v>44151</v>
      </c>
      <c r="F9" s="113">
        <f t="shared" si="0"/>
        <v>640.54</v>
      </c>
      <c r="G9" s="75" t="s">
        <v>388</v>
      </c>
      <c r="H9" s="76">
        <v>64</v>
      </c>
      <c r="I9" s="48">
        <f>I8-F9</f>
        <v>5572.8</v>
      </c>
    </row>
    <row r="10" spans="1:9" ht="15" x14ac:dyDescent="0.25">
      <c r="B10" s="227"/>
      <c r="C10" s="15">
        <v>5</v>
      </c>
      <c r="D10" s="74">
        <v>107.1</v>
      </c>
      <c r="E10" s="147">
        <v>44151</v>
      </c>
      <c r="F10" s="113">
        <f t="shared" si="0"/>
        <v>107.1</v>
      </c>
      <c r="G10" s="75" t="s">
        <v>389</v>
      </c>
      <c r="H10" s="76">
        <v>64</v>
      </c>
      <c r="I10" s="48">
        <f t="shared" ref="I10:I27" si="1">I9-F10</f>
        <v>5465.7</v>
      </c>
    </row>
    <row r="11" spans="1:9" ht="15" x14ac:dyDescent="0.25">
      <c r="A11" s="60" t="s">
        <v>33</v>
      </c>
      <c r="B11" s="227"/>
      <c r="C11" s="15">
        <v>30</v>
      </c>
      <c r="D11" s="74">
        <v>784.24</v>
      </c>
      <c r="E11" s="147">
        <v>44152</v>
      </c>
      <c r="F11" s="113">
        <f t="shared" si="0"/>
        <v>784.24</v>
      </c>
      <c r="G11" s="315" t="s">
        <v>391</v>
      </c>
      <c r="H11" s="316">
        <v>64</v>
      </c>
      <c r="I11" s="312">
        <f t="shared" si="1"/>
        <v>4681.46</v>
      </c>
    </row>
    <row r="12" spans="1:9" ht="15" x14ac:dyDescent="0.25">
      <c r="B12" s="227"/>
      <c r="C12" s="15">
        <v>18</v>
      </c>
      <c r="D12" s="74">
        <v>420.04</v>
      </c>
      <c r="E12" s="147">
        <v>44160</v>
      </c>
      <c r="F12" s="113">
        <f t="shared" si="0"/>
        <v>420.04</v>
      </c>
      <c r="G12" s="315" t="s">
        <v>424</v>
      </c>
      <c r="H12" s="316">
        <v>64</v>
      </c>
      <c r="I12" s="312">
        <f t="shared" si="1"/>
        <v>4261.42</v>
      </c>
    </row>
    <row r="13" spans="1:9" ht="15" x14ac:dyDescent="0.25">
      <c r="A13" s="19"/>
      <c r="B13" s="227"/>
      <c r="C13" s="15">
        <v>17</v>
      </c>
      <c r="D13" s="74">
        <v>405.66</v>
      </c>
      <c r="E13" s="147">
        <v>44163</v>
      </c>
      <c r="F13" s="113">
        <f t="shared" si="0"/>
        <v>405.66</v>
      </c>
      <c r="G13" s="315" t="s">
        <v>441</v>
      </c>
      <c r="H13" s="316">
        <v>64</v>
      </c>
      <c r="I13" s="312">
        <f t="shared" si="1"/>
        <v>3855.76</v>
      </c>
    </row>
    <row r="14" spans="1:9" ht="15" x14ac:dyDescent="0.25">
      <c r="A14" s="19"/>
      <c r="B14" s="227"/>
      <c r="C14" s="15">
        <v>30</v>
      </c>
      <c r="D14" s="74">
        <v>792</v>
      </c>
      <c r="E14" s="147">
        <v>44165</v>
      </c>
      <c r="F14" s="113">
        <f t="shared" si="0"/>
        <v>792</v>
      </c>
      <c r="G14" s="315" t="s">
        <v>445</v>
      </c>
      <c r="H14" s="316">
        <v>64</v>
      </c>
      <c r="I14" s="312">
        <f t="shared" si="1"/>
        <v>3063.76</v>
      </c>
    </row>
    <row r="15" spans="1:9" ht="15" x14ac:dyDescent="0.25">
      <c r="A15" s="19"/>
      <c r="B15" s="227"/>
      <c r="C15" s="15">
        <v>24</v>
      </c>
      <c r="D15" s="74">
        <v>575.76</v>
      </c>
      <c r="E15" s="147">
        <v>44167</v>
      </c>
      <c r="F15" s="113">
        <f t="shared" si="0"/>
        <v>575.76</v>
      </c>
      <c r="G15" s="315" t="s">
        <v>456</v>
      </c>
      <c r="H15" s="316">
        <v>64</v>
      </c>
      <c r="I15" s="312">
        <f t="shared" si="1"/>
        <v>2488</v>
      </c>
    </row>
    <row r="16" spans="1:9" ht="15" x14ac:dyDescent="0.25">
      <c r="A16" s="19"/>
      <c r="B16" s="227"/>
      <c r="C16" s="15">
        <v>28</v>
      </c>
      <c r="D16" s="74">
        <v>648.28</v>
      </c>
      <c r="E16" s="147">
        <v>44169</v>
      </c>
      <c r="F16" s="113">
        <f t="shared" si="0"/>
        <v>648.28</v>
      </c>
      <c r="G16" s="315" t="s">
        <v>486</v>
      </c>
      <c r="H16" s="316">
        <v>64</v>
      </c>
      <c r="I16" s="312">
        <f t="shared" si="1"/>
        <v>1839.72</v>
      </c>
    </row>
    <row r="17" spans="1:9" ht="15" x14ac:dyDescent="0.25">
      <c r="A17" s="19"/>
      <c r="B17" s="227"/>
      <c r="C17" s="15">
        <v>47</v>
      </c>
      <c r="D17" s="74">
        <v>1133.3599999999999</v>
      </c>
      <c r="E17" s="147">
        <v>44170</v>
      </c>
      <c r="F17" s="113">
        <f t="shared" si="0"/>
        <v>1133.3599999999999</v>
      </c>
      <c r="G17" s="315" t="s">
        <v>498</v>
      </c>
      <c r="H17" s="316">
        <v>64</v>
      </c>
      <c r="I17" s="312">
        <f t="shared" si="1"/>
        <v>706.36000000000013</v>
      </c>
    </row>
    <row r="18" spans="1:9" ht="15" x14ac:dyDescent="0.25">
      <c r="A18" s="19"/>
      <c r="B18" s="227"/>
      <c r="C18" s="15"/>
      <c r="D18" s="74">
        <f t="shared" ref="D18:D27" si="2">C18*B18</f>
        <v>0</v>
      </c>
      <c r="E18" s="147"/>
      <c r="F18" s="113">
        <f t="shared" si="0"/>
        <v>0</v>
      </c>
      <c r="G18" s="75"/>
      <c r="H18" s="76"/>
      <c r="I18" s="48">
        <f t="shared" si="1"/>
        <v>706.36000000000013</v>
      </c>
    </row>
    <row r="19" spans="1:9" ht="15" x14ac:dyDescent="0.25">
      <c r="A19" s="19"/>
      <c r="B19" s="227"/>
      <c r="C19" s="15"/>
      <c r="D19" s="74">
        <f t="shared" si="2"/>
        <v>0</v>
      </c>
      <c r="E19" s="147"/>
      <c r="F19" s="113">
        <f t="shared" si="0"/>
        <v>0</v>
      </c>
      <c r="G19" s="75"/>
      <c r="H19" s="76"/>
      <c r="I19" s="48">
        <f t="shared" si="1"/>
        <v>706.36000000000013</v>
      </c>
    </row>
    <row r="20" spans="1:9" ht="15" x14ac:dyDescent="0.25">
      <c r="A20" s="19"/>
      <c r="B20" s="227"/>
      <c r="C20" s="15"/>
      <c r="D20" s="74">
        <f t="shared" si="2"/>
        <v>0</v>
      </c>
      <c r="E20" s="147"/>
      <c r="F20" s="113">
        <f t="shared" si="0"/>
        <v>0</v>
      </c>
      <c r="G20" s="75"/>
      <c r="H20" s="76"/>
      <c r="I20" s="48">
        <f t="shared" si="1"/>
        <v>706.36000000000013</v>
      </c>
    </row>
    <row r="21" spans="1:9" ht="15" x14ac:dyDescent="0.25">
      <c r="A21" s="19"/>
      <c r="B21" s="227"/>
      <c r="C21" s="15"/>
      <c r="D21" s="74">
        <f t="shared" si="2"/>
        <v>0</v>
      </c>
      <c r="E21" s="147"/>
      <c r="F21" s="113">
        <f t="shared" si="0"/>
        <v>0</v>
      </c>
      <c r="G21" s="75"/>
      <c r="H21" s="76"/>
      <c r="I21" s="48">
        <f t="shared" si="1"/>
        <v>706.36000000000013</v>
      </c>
    </row>
    <row r="22" spans="1:9" ht="15" x14ac:dyDescent="0.25">
      <c r="A22" s="19"/>
      <c r="B22" s="227"/>
      <c r="C22" s="15"/>
      <c r="D22" s="74">
        <f t="shared" si="2"/>
        <v>0</v>
      </c>
      <c r="E22" s="147"/>
      <c r="F22" s="113">
        <f t="shared" si="0"/>
        <v>0</v>
      </c>
      <c r="G22" s="75"/>
      <c r="H22" s="76"/>
      <c r="I22" s="48">
        <f t="shared" si="1"/>
        <v>706.36000000000013</v>
      </c>
    </row>
    <row r="23" spans="1:9" ht="15" x14ac:dyDescent="0.25">
      <c r="A23" s="19"/>
      <c r="B23" s="227"/>
      <c r="C23" s="15"/>
      <c r="D23" s="74">
        <f t="shared" si="2"/>
        <v>0</v>
      </c>
      <c r="E23" s="147"/>
      <c r="F23" s="113">
        <f t="shared" si="0"/>
        <v>0</v>
      </c>
      <c r="G23" s="75"/>
      <c r="H23" s="76"/>
      <c r="I23" s="48">
        <f t="shared" si="1"/>
        <v>706.36000000000013</v>
      </c>
    </row>
    <row r="24" spans="1:9" ht="15" x14ac:dyDescent="0.25">
      <c r="A24" s="19"/>
      <c r="B24" s="227"/>
      <c r="C24" s="15"/>
      <c r="D24" s="74">
        <f t="shared" si="2"/>
        <v>0</v>
      </c>
      <c r="E24" s="147"/>
      <c r="F24" s="113">
        <f t="shared" si="0"/>
        <v>0</v>
      </c>
      <c r="G24" s="75"/>
      <c r="H24" s="76"/>
      <c r="I24" s="48">
        <f t="shared" si="1"/>
        <v>706.36000000000013</v>
      </c>
    </row>
    <row r="25" spans="1:9" ht="15" x14ac:dyDescent="0.25">
      <c r="A25" s="19"/>
      <c r="B25" s="227"/>
      <c r="C25" s="15"/>
      <c r="D25" s="74">
        <f t="shared" si="2"/>
        <v>0</v>
      </c>
      <c r="E25" s="147"/>
      <c r="F25" s="113">
        <f t="shared" si="0"/>
        <v>0</v>
      </c>
      <c r="G25" s="75"/>
      <c r="H25" s="76"/>
      <c r="I25" s="48">
        <f t="shared" si="1"/>
        <v>706.36000000000013</v>
      </c>
    </row>
    <row r="26" spans="1:9" ht="15" x14ac:dyDescent="0.25">
      <c r="A26" s="19"/>
      <c r="B26" s="227"/>
      <c r="C26" s="15"/>
      <c r="D26" s="74">
        <f t="shared" si="2"/>
        <v>0</v>
      </c>
      <c r="E26" s="147"/>
      <c r="F26" s="113">
        <f t="shared" si="0"/>
        <v>0</v>
      </c>
      <c r="G26" s="75"/>
      <c r="H26" s="76"/>
      <c r="I26" s="48">
        <f t="shared" si="1"/>
        <v>706.36000000000013</v>
      </c>
    </row>
    <row r="27" spans="1:9" ht="15" x14ac:dyDescent="0.25">
      <c r="B27" s="227"/>
      <c r="C27" s="15"/>
      <c r="D27" s="74">
        <f t="shared" si="2"/>
        <v>0</v>
      </c>
      <c r="E27" s="147"/>
      <c r="F27" s="113">
        <f t="shared" si="0"/>
        <v>0</v>
      </c>
      <c r="G27" s="75"/>
      <c r="H27" s="76"/>
      <c r="I27" s="48">
        <f t="shared" si="1"/>
        <v>706.36000000000013</v>
      </c>
    </row>
    <row r="28" spans="1:9" ht="15.75" thickBot="1" x14ac:dyDescent="0.3">
      <c r="A28" s="131"/>
      <c r="B28" s="228"/>
      <c r="C28" s="38"/>
      <c r="D28" s="256">
        <f>B28*C28</f>
        <v>0</v>
      </c>
      <c r="E28" s="397"/>
      <c r="F28" s="258">
        <f t="shared" si="0"/>
        <v>0</v>
      </c>
      <c r="G28" s="152"/>
      <c r="H28" s="245"/>
      <c r="I28" s="171"/>
    </row>
    <row r="29" spans="1:9" ht="15.75" thickTop="1" x14ac:dyDescent="0.25">
      <c r="A29" s="48">
        <f>SUM(A28:A28)</f>
        <v>0</v>
      </c>
      <c r="C29" s="79">
        <f>SUM(C8:C28)</f>
        <v>232</v>
      </c>
      <c r="D29" s="113">
        <f>SUM(D8:D28)</f>
        <v>5622.5599999999995</v>
      </c>
      <c r="E29" s="147"/>
      <c r="F29" s="113">
        <f>SUM(F8:F28)</f>
        <v>5622.5599999999995</v>
      </c>
      <c r="G29" s="171"/>
      <c r="H29" s="171"/>
    </row>
    <row r="30" spans="1:9" ht="15.75" thickBot="1" x14ac:dyDescent="0.3">
      <c r="A30" s="48"/>
    </row>
    <row r="31" spans="1:9" ht="15" x14ac:dyDescent="0.25">
      <c r="B31" s="229"/>
      <c r="D31" s="1028" t="s">
        <v>21</v>
      </c>
      <c r="E31" s="1029"/>
      <c r="F31" s="154">
        <f>E4+E5-F29+E6</f>
        <v>706.36000000000058</v>
      </c>
    </row>
    <row r="32" spans="1:9" ht="15.75" thickBot="1" x14ac:dyDescent="0.3">
      <c r="A32" s="135"/>
      <c r="D32" s="371" t="s">
        <v>4</v>
      </c>
      <c r="E32" s="372"/>
      <c r="F32" s="50">
        <f>F4+F5-C29+F6</f>
        <v>30</v>
      </c>
    </row>
    <row r="33" spans="2:2" ht="15" x14ac:dyDescent="0.25">
      <c r="B33" s="229"/>
    </row>
  </sheetData>
  <mergeCells count="3">
    <mergeCell ref="A1:G1"/>
    <mergeCell ref="D31:E31"/>
    <mergeCell ref="A5:A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20" activePane="bottomLeft" state="frozen"/>
      <selection pane="bottomLeft" activeCell="G11" sqref="G11"/>
    </sheetView>
  </sheetViews>
  <sheetFormatPr baseColWidth="10" defaultColWidth="11.44140625" defaultRowHeight="13.8" x14ac:dyDescent="0.25"/>
  <cols>
    <col min="1" max="1" width="32.44140625" bestFit="1" customWidth="1"/>
    <col min="2" max="2" width="17.6640625" bestFit="1" customWidth="1"/>
    <col min="3" max="3" width="13.33203125" bestFit="1" customWidth="1"/>
    <col min="6" max="6" width="12" customWidth="1"/>
  </cols>
  <sheetData>
    <row r="1" spans="1:8" ht="36.75" customHeight="1" x14ac:dyDescent="0.55000000000000004">
      <c r="A1" s="1034" t="s">
        <v>162</v>
      </c>
      <c r="B1" s="1034"/>
      <c r="C1" s="1034"/>
      <c r="D1" s="1034"/>
      <c r="E1" s="1034"/>
      <c r="F1" s="1034"/>
      <c r="G1" s="1034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1"/>
      <c r="D4" s="128"/>
      <c r="E4" s="53"/>
      <c r="F4" s="12"/>
      <c r="G4" s="573"/>
    </row>
    <row r="5" spans="1:8" ht="15.75" x14ac:dyDescent="0.25">
      <c r="A5" s="82" t="s">
        <v>183</v>
      </c>
      <c r="B5" s="842" t="s">
        <v>224</v>
      </c>
      <c r="C5" s="374">
        <v>46.26</v>
      </c>
      <c r="D5" s="375">
        <v>44153</v>
      </c>
      <c r="E5" s="376">
        <v>9145.48</v>
      </c>
      <c r="F5" s="353">
        <v>221</v>
      </c>
      <c r="G5" s="327">
        <f>F26</f>
        <v>2068.1999999999998</v>
      </c>
      <c r="H5" s="7">
        <f>E5-G5+E4+E6</f>
        <v>7077.28</v>
      </c>
    </row>
    <row r="6" spans="1:8" ht="15.75" thickBot="1" x14ac:dyDescent="0.3">
      <c r="B6" s="221"/>
      <c r="C6" s="71"/>
      <c r="D6" s="128"/>
      <c r="E6" s="113"/>
      <c r="F6" s="79"/>
    </row>
    <row r="7" spans="1:8" ht="16.5" thickTop="1" thickBot="1" x14ac:dyDescent="0.3">
      <c r="B7" s="69" t="s">
        <v>7</v>
      </c>
      <c r="C7" s="27" t="s">
        <v>8</v>
      </c>
      <c r="D7" s="255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0" t="s">
        <v>32</v>
      </c>
      <c r="B8" s="600"/>
      <c r="C8" s="79">
        <v>20</v>
      </c>
      <c r="D8" s="74">
        <v>782</v>
      </c>
      <c r="E8" s="392">
        <v>44153</v>
      </c>
      <c r="F8" s="113">
        <f t="shared" ref="F8:F25" si="0">D8</f>
        <v>782</v>
      </c>
      <c r="G8" s="315" t="s">
        <v>395</v>
      </c>
      <c r="H8" s="316">
        <v>52</v>
      </c>
    </row>
    <row r="9" spans="1:8" ht="15" x14ac:dyDescent="0.25">
      <c r="B9" s="600"/>
      <c r="C9" s="79">
        <v>5</v>
      </c>
      <c r="D9" s="74">
        <v>207.3</v>
      </c>
      <c r="E9" s="392">
        <v>44160</v>
      </c>
      <c r="F9" s="113">
        <f t="shared" si="0"/>
        <v>207.3</v>
      </c>
      <c r="G9" s="315" t="s">
        <v>424</v>
      </c>
      <c r="H9" s="316">
        <v>52</v>
      </c>
    </row>
    <row r="10" spans="1:8" ht="15" x14ac:dyDescent="0.25">
      <c r="B10" s="600"/>
      <c r="C10" s="79">
        <v>25</v>
      </c>
      <c r="D10" s="74">
        <v>1078.9000000000001</v>
      </c>
      <c r="E10" s="392">
        <v>44163</v>
      </c>
      <c r="F10" s="113">
        <f t="shared" si="0"/>
        <v>1078.9000000000001</v>
      </c>
      <c r="G10" s="315" t="s">
        <v>442</v>
      </c>
      <c r="H10" s="316">
        <v>52</v>
      </c>
    </row>
    <row r="11" spans="1:8" ht="15" x14ac:dyDescent="0.25">
      <c r="A11" s="60" t="s">
        <v>33</v>
      </c>
      <c r="B11" s="600"/>
      <c r="C11" s="79"/>
      <c r="D11" s="74">
        <f t="shared" ref="D11:D25" si="1">C11*B11</f>
        <v>0</v>
      </c>
      <c r="E11" s="398"/>
      <c r="F11" s="326">
        <f t="shared" si="0"/>
        <v>0</v>
      </c>
      <c r="G11" s="315"/>
      <c r="H11" s="316"/>
    </row>
    <row r="12" spans="1:8" ht="15" x14ac:dyDescent="0.25">
      <c r="B12" s="600"/>
      <c r="C12" s="79"/>
      <c r="D12" s="74">
        <f t="shared" si="1"/>
        <v>0</v>
      </c>
      <c r="E12" s="398"/>
      <c r="F12" s="326">
        <f t="shared" si="0"/>
        <v>0</v>
      </c>
      <c r="G12" s="315"/>
      <c r="H12" s="316"/>
    </row>
    <row r="13" spans="1:8" ht="15" x14ac:dyDescent="0.25">
      <c r="A13" s="19"/>
      <c r="B13" s="600"/>
      <c r="C13" s="79"/>
      <c r="D13" s="74">
        <f t="shared" si="1"/>
        <v>0</v>
      </c>
      <c r="E13" s="398"/>
      <c r="F13" s="326">
        <f t="shared" si="0"/>
        <v>0</v>
      </c>
      <c r="G13" s="315"/>
      <c r="H13" s="316"/>
    </row>
    <row r="14" spans="1:8" ht="15" x14ac:dyDescent="0.25">
      <c r="B14" s="600"/>
      <c r="C14" s="79"/>
      <c r="D14" s="74">
        <f t="shared" si="1"/>
        <v>0</v>
      </c>
      <c r="E14" s="398"/>
      <c r="F14" s="326">
        <f t="shared" si="0"/>
        <v>0</v>
      </c>
      <c r="G14" s="315"/>
      <c r="H14" s="316"/>
    </row>
    <row r="15" spans="1:8" ht="15" x14ac:dyDescent="0.25">
      <c r="B15" s="600"/>
      <c r="C15" s="79"/>
      <c r="D15" s="74">
        <f t="shared" si="1"/>
        <v>0</v>
      </c>
      <c r="E15" s="398"/>
      <c r="F15" s="326">
        <f t="shared" si="0"/>
        <v>0</v>
      </c>
      <c r="G15" s="315"/>
      <c r="H15" s="316"/>
    </row>
    <row r="16" spans="1:8" ht="15" x14ac:dyDescent="0.25">
      <c r="B16" s="600"/>
      <c r="C16" s="79"/>
      <c r="D16" s="74">
        <f t="shared" si="1"/>
        <v>0</v>
      </c>
      <c r="E16" s="398"/>
      <c r="F16" s="326">
        <f t="shared" si="0"/>
        <v>0</v>
      </c>
      <c r="G16" s="315"/>
      <c r="H16" s="316"/>
    </row>
    <row r="17" spans="1:8" ht="15" x14ac:dyDescent="0.25">
      <c r="B17" s="600"/>
      <c r="C17" s="79"/>
      <c r="D17" s="74">
        <f t="shared" si="1"/>
        <v>0</v>
      </c>
      <c r="E17" s="398"/>
      <c r="F17" s="326">
        <f t="shared" si="0"/>
        <v>0</v>
      </c>
      <c r="G17" s="315"/>
      <c r="H17" s="316"/>
    </row>
    <row r="18" spans="1:8" ht="15" x14ac:dyDescent="0.25">
      <c r="B18" s="600"/>
      <c r="C18" s="79"/>
      <c r="D18" s="74">
        <f t="shared" si="1"/>
        <v>0</v>
      </c>
      <c r="E18" s="398"/>
      <c r="F18" s="326">
        <f t="shared" si="0"/>
        <v>0</v>
      </c>
      <c r="G18" s="315"/>
      <c r="H18" s="316"/>
    </row>
    <row r="19" spans="1:8" ht="15" x14ac:dyDescent="0.25">
      <c r="B19" s="600"/>
      <c r="C19" s="79"/>
      <c r="D19" s="74">
        <f t="shared" si="1"/>
        <v>0</v>
      </c>
      <c r="E19" s="398"/>
      <c r="F19" s="326">
        <f t="shared" si="0"/>
        <v>0</v>
      </c>
      <c r="G19" s="315"/>
      <c r="H19" s="316"/>
    </row>
    <row r="20" spans="1:8" ht="15" x14ac:dyDescent="0.25">
      <c r="B20" s="600"/>
      <c r="C20" s="79"/>
      <c r="D20" s="74">
        <f t="shared" si="1"/>
        <v>0</v>
      </c>
      <c r="E20" s="398"/>
      <c r="F20" s="326">
        <f t="shared" si="0"/>
        <v>0</v>
      </c>
      <c r="G20" s="315"/>
      <c r="H20" s="316"/>
    </row>
    <row r="21" spans="1:8" ht="15" x14ac:dyDescent="0.25">
      <c r="B21" s="600"/>
      <c r="C21" s="79"/>
      <c r="D21" s="74">
        <f t="shared" si="1"/>
        <v>0</v>
      </c>
      <c r="E21" s="398"/>
      <c r="F21" s="326">
        <f t="shared" si="0"/>
        <v>0</v>
      </c>
      <c r="G21" s="315"/>
      <c r="H21" s="316"/>
    </row>
    <row r="22" spans="1:8" ht="15" x14ac:dyDescent="0.25">
      <c r="B22" s="600"/>
      <c r="C22" s="15"/>
      <c r="D22" s="74">
        <f t="shared" si="1"/>
        <v>0</v>
      </c>
      <c r="E22" s="398"/>
      <c r="F22" s="326">
        <f t="shared" si="0"/>
        <v>0</v>
      </c>
      <c r="G22" s="315"/>
      <c r="H22" s="316"/>
    </row>
    <row r="23" spans="1:8" ht="15" x14ac:dyDescent="0.25">
      <c r="B23" s="600"/>
      <c r="C23" s="15"/>
      <c r="D23" s="74">
        <f t="shared" si="1"/>
        <v>0</v>
      </c>
      <c r="E23" s="398"/>
      <c r="F23" s="326">
        <f t="shared" si="0"/>
        <v>0</v>
      </c>
      <c r="G23" s="315"/>
      <c r="H23" s="316"/>
    </row>
    <row r="24" spans="1:8" ht="15" x14ac:dyDescent="0.25">
      <c r="B24" s="600"/>
      <c r="C24" s="15"/>
      <c r="D24" s="74">
        <f t="shared" si="1"/>
        <v>0</v>
      </c>
      <c r="E24" s="392"/>
      <c r="F24" s="113">
        <f t="shared" si="0"/>
        <v>0</v>
      </c>
      <c r="G24" s="75"/>
      <c r="H24" s="76"/>
    </row>
    <row r="25" spans="1:8" ht="15.75" thickBot="1" x14ac:dyDescent="0.3">
      <c r="A25" s="131"/>
      <c r="B25" s="600"/>
      <c r="C25" s="38"/>
      <c r="D25" s="74">
        <f t="shared" si="1"/>
        <v>0</v>
      </c>
      <c r="E25" s="257"/>
      <c r="F25" s="258">
        <f t="shared" si="0"/>
        <v>0</v>
      </c>
      <c r="G25" s="152"/>
      <c r="H25" s="245"/>
    </row>
    <row r="26" spans="1:8" ht="15.75" thickTop="1" x14ac:dyDescent="0.25">
      <c r="A26" s="48">
        <f>SUM(A25:A25)</f>
        <v>0</v>
      </c>
      <c r="C26" s="79">
        <f>SUM(C8:C25)</f>
        <v>50</v>
      </c>
      <c r="D26" s="113">
        <f>SUM(D8:D25)</f>
        <v>2068.1999999999998</v>
      </c>
      <c r="E26" s="82"/>
      <c r="F26" s="113">
        <f>SUM(F8:F25)</f>
        <v>2068.1999999999998</v>
      </c>
      <c r="G26" s="171"/>
      <c r="H26" s="171"/>
    </row>
    <row r="27" spans="1:8" ht="15.75" thickBot="1" x14ac:dyDescent="0.3">
      <c r="A27" s="48"/>
    </row>
    <row r="28" spans="1:8" ht="15" x14ac:dyDescent="0.25">
      <c r="B28" s="5"/>
      <c r="D28" s="1028" t="s">
        <v>21</v>
      </c>
      <c r="E28" s="1029"/>
      <c r="F28" s="154">
        <f>E4+E5-F26+E6</f>
        <v>7077.28</v>
      </c>
    </row>
    <row r="29" spans="1:8" ht="15.75" thickBot="1" x14ac:dyDescent="0.3">
      <c r="A29" s="135"/>
      <c r="D29" s="571" t="s">
        <v>4</v>
      </c>
      <c r="E29" s="572"/>
      <c r="F29" s="50">
        <f>F4+F5-C26+F6</f>
        <v>171</v>
      </c>
    </row>
    <row r="30" spans="1:8" ht="15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J49"/>
  <sheetViews>
    <sheetView topLeftCell="C1" zoomScaleNormal="100" workbookViewId="0">
      <pane ySplit="12" topLeftCell="A13" activePane="bottomLeft" state="frozen"/>
      <selection pane="bottomLeft" activeCell="F18" sqref="F18"/>
    </sheetView>
  </sheetViews>
  <sheetFormatPr baseColWidth="10" defaultColWidth="11.44140625" defaultRowHeight="13.8" x14ac:dyDescent="0.25"/>
  <cols>
    <col min="1" max="1" width="32.44140625" bestFit="1" customWidth="1"/>
    <col min="2" max="2" width="17.6640625" bestFit="1" customWidth="1"/>
    <col min="3" max="3" width="13.33203125" bestFit="1" customWidth="1"/>
    <col min="6" max="6" width="12" customWidth="1"/>
    <col min="9" max="9" width="11.44140625" style="82"/>
  </cols>
  <sheetData>
    <row r="1" spans="1:10" ht="36.75" customHeight="1" x14ac:dyDescent="0.55000000000000004">
      <c r="A1" s="1034" t="s">
        <v>162</v>
      </c>
      <c r="B1" s="1034"/>
      <c r="C1" s="1034"/>
      <c r="D1" s="1034"/>
      <c r="E1" s="1034"/>
      <c r="F1" s="1034"/>
      <c r="G1" s="10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79"/>
      <c r="C4" s="328">
        <v>19.5</v>
      </c>
      <c r="D4" s="329">
        <v>44141</v>
      </c>
      <c r="E4" s="320">
        <v>4427.6000000000004</v>
      </c>
      <c r="F4" s="289">
        <v>5</v>
      </c>
      <c r="G4" s="39"/>
    </row>
    <row r="5" spans="1:10" ht="15" x14ac:dyDescent="0.25">
      <c r="A5" s="82"/>
      <c r="B5" s="79"/>
      <c r="C5" s="328">
        <v>23</v>
      </c>
      <c r="D5" s="329">
        <v>44155</v>
      </c>
      <c r="E5" s="320">
        <v>1000</v>
      </c>
      <c r="F5" s="289">
        <v>25</v>
      </c>
      <c r="G5" s="95">
        <f>F45</f>
        <v>14115.49</v>
      </c>
      <c r="H5" s="7">
        <f>E5+E4+E6+E7+E8+E9+E11+E10-G5</f>
        <v>0</v>
      </c>
    </row>
    <row r="6" spans="1:10" x14ac:dyDescent="0.25">
      <c r="A6" s="1044" t="s">
        <v>190</v>
      </c>
      <c r="B6" s="240" t="s">
        <v>43</v>
      </c>
      <c r="C6" s="328">
        <v>19.5</v>
      </c>
      <c r="D6" s="329">
        <v>44160</v>
      </c>
      <c r="E6" s="320">
        <v>5188</v>
      </c>
      <c r="F6" s="289">
        <v>6</v>
      </c>
      <c r="G6" s="286"/>
      <c r="H6" s="286"/>
      <c r="I6" s="288"/>
    </row>
    <row r="7" spans="1:10" x14ac:dyDescent="0.25">
      <c r="A7" s="1044"/>
      <c r="B7" s="240" t="s">
        <v>44</v>
      </c>
      <c r="C7" s="176">
        <v>19.5</v>
      </c>
      <c r="D7" s="168">
        <v>44165</v>
      </c>
      <c r="E7" s="142">
        <v>3499.89</v>
      </c>
      <c r="F7" s="289">
        <v>4</v>
      </c>
      <c r="G7" s="286"/>
      <c r="H7" s="286"/>
      <c r="I7" s="288"/>
    </row>
    <row r="8" spans="1:10" ht="15" x14ac:dyDescent="0.25">
      <c r="B8" s="79"/>
      <c r="C8" s="176"/>
      <c r="D8" s="168"/>
      <c r="E8" s="142"/>
      <c r="F8" s="289"/>
      <c r="G8" s="286"/>
      <c r="H8" s="286"/>
      <c r="I8" s="288"/>
    </row>
    <row r="9" spans="1:10" ht="15" x14ac:dyDescent="0.25">
      <c r="B9" s="79"/>
      <c r="C9" s="176"/>
      <c r="D9" s="168"/>
      <c r="E9" s="320"/>
      <c r="F9" s="289"/>
      <c r="G9" s="286"/>
      <c r="H9" s="286"/>
      <c r="I9" s="288"/>
    </row>
    <row r="10" spans="1:10" ht="15" x14ac:dyDescent="0.25">
      <c r="B10" s="79"/>
      <c r="C10" s="176"/>
      <c r="D10" s="168"/>
      <c r="E10" s="320"/>
      <c r="F10" s="289"/>
      <c r="G10" s="286"/>
      <c r="H10" s="286"/>
      <c r="I10" s="288"/>
    </row>
    <row r="11" spans="1:10" ht="15.75" thickBot="1" x14ac:dyDescent="0.3">
      <c r="B11" s="79"/>
      <c r="C11" s="176"/>
      <c r="D11" s="168"/>
      <c r="E11" s="320"/>
      <c r="F11" s="289"/>
      <c r="G11" s="286"/>
      <c r="H11" s="286"/>
      <c r="I11" s="288"/>
    </row>
    <row r="12" spans="1:10" ht="16.5" thickTop="1" thickBot="1" x14ac:dyDescent="0.3">
      <c r="B12" s="69" t="s">
        <v>7</v>
      </c>
      <c r="C12" s="27" t="s">
        <v>8</v>
      </c>
      <c r="D12" s="28" t="s">
        <v>17</v>
      </c>
      <c r="E12" s="23" t="s">
        <v>2</v>
      </c>
      <c r="F12" s="627" t="s">
        <v>41</v>
      </c>
      <c r="G12" s="628"/>
      <c r="H12" s="629"/>
      <c r="I12" s="288"/>
    </row>
    <row r="13" spans="1:10" ht="15.75" thickTop="1" x14ac:dyDescent="0.25">
      <c r="A13" s="60" t="s">
        <v>32</v>
      </c>
      <c r="B13" s="96"/>
      <c r="C13" s="15">
        <v>5</v>
      </c>
      <c r="D13" s="314">
        <v>4427.6000000000004</v>
      </c>
      <c r="E13" s="398">
        <v>44141</v>
      </c>
      <c r="F13" s="326">
        <f t="shared" ref="F13:F44" si="0">D13</f>
        <v>4427.6000000000004</v>
      </c>
      <c r="G13" s="315" t="s">
        <v>340</v>
      </c>
      <c r="H13" s="316">
        <v>20.5</v>
      </c>
      <c r="I13" s="320">
        <f>E5+E6+E7+E8+E9-D13+E4</f>
        <v>9687.89</v>
      </c>
    </row>
    <row r="14" spans="1:10" ht="15" x14ac:dyDescent="0.25">
      <c r="B14" s="96"/>
      <c r="C14" s="15">
        <v>25</v>
      </c>
      <c r="D14" s="74">
        <v>1000</v>
      </c>
      <c r="E14" s="392">
        <v>44154</v>
      </c>
      <c r="F14" s="326">
        <f t="shared" si="0"/>
        <v>1000</v>
      </c>
      <c r="G14" s="315" t="s">
        <v>427</v>
      </c>
      <c r="H14" s="316">
        <v>24</v>
      </c>
      <c r="I14" s="320">
        <f>I13-D14</f>
        <v>8687.89</v>
      </c>
      <c r="J14" s="286"/>
    </row>
    <row r="15" spans="1:10" ht="15" x14ac:dyDescent="0.25">
      <c r="B15" s="96"/>
      <c r="C15" s="15">
        <v>6</v>
      </c>
      <c r="D15" s="74">
        <v>5188</v>
      </c>
      <c r="E15" s="398">
        <v>44160</v>
      </c>
      <c r="F15" s="326">
        <f t="shared" si="0"/>
        <v>5188</v>
      </c>
      <c r="G15" s="315" t="s">
        <v>426</v>
      </c>
      <c r="H15" s="316">
        <v>20.5</v>
      </c>
      <c r="I15" s="320">
        <f t="shared" ref="I15:I43" si="1">I14-D15</f>
        <v>3499.8899999999994</v>
      </c>
      <c r="J15" s="286"/>
    </row>
    <row r="16" spans="1:10" ht="15" x14ac:dyDescent="0.25">
      <c r="A16" s="60" t="s">
        <v>33</v>
      </c>
      <c r="B16" s="96"/>
      <c r="C16" s="15">
        <v>4</v>
      </c>
      <c r="D16" s="74">
        <v>3499.89</v>
      </c>
      <c r="E16" s="398">
        <v>44165</v>
      </c>
      <c r="F16" s="326">
        <f t="shared" si="0"/>
        <v>3499.89</v>
      </c>
      <c r="G16" s="315" t="s">
        <v>446</v>
      </c>
      <c r="H16" s="316">
        <v>20.5</v>
      </c>
      <c r="I16" s="320">
        <f t="shared" si="1"/>
        <v>0</v>
      </c>
      <c r="J16" s="286"/>
    </row>
    <row r="17" spans="1:10" ht="15" x14ac:dyDescent="0.25">
      <c r="B17" s="96"/>
      <c r="C17" s="15"/>
      <c r="D17" s="74"/>
      <c r="E17" s="398"/>
      <c r="F17" s="326">
        <f t="shared" si="0"/>
        <v>0</v>
      </c>
      <c r="G17" s="913"/>
      <c r="H17" s="915"/>
      <c r="I17" s="929">
        <f t="shared" si="1"/>
        <v>0</v>
      </c>
      <c r="J17" s="286"/>
    </row>
    <row r="18" spans="1:10" ht="15" x14ac:dyDescent="0.25">
      <c r="A18" s="19"/>
      <c r="B18" s="96"/>
      <c r="C18" s="15"/>
      <c r="D18" s="74"/>
      <c r="E18" s="398"/>
      <c r="F18" s="326">
        <f t="shared" si="0"/>
        <v>0</v>
      </c>
      <c r="G18" s="913"/>
      <c r="H18" s="915"/>
      <c r="I18" s="929">
        <f t="shared" si="1"/>
        <v>0</v>
      </c>
      <c r="J18" s="286"/>
    </row>
    <row r="19" spans="1:10" ht="15" x14ac:dyDescent="0.25">
      <c r="B19" s="96"/>
      <c r="C19" s="15"/>
      <c r="D19" s="74"/>
      <c r="E19" s="398"/>
      <c r="F19" s="326">
        <f t="shared" si="0"/>
        <v>0</v>
      </c>
      <c r="G19" s="913"/>
      <c r="H19" s="915"/>
      <c r="I19" s="929">
        <f t="shared" si="1"/>
        <v>0</v>
      </c>
      <c r="J19" s="286"/>
    </row>
    <row r="20" spans="1:10" ht="15" x14ac:dyDescent="0.25">
      <c r="B20" s="96"/>
      <c r="C20" s="15"/>
      <c r="D20" s="74"/>
      <c r="E20" s="398"/>
      <c r="F20" s="326">
        <f t="shared" si="0"/>
        <v>0</v>
      </c>
      <c r="G20" s="315"/>
      <c r="H20" s="316"/>
      <c r="I20" s="320">
        <f t="shared" si="1"/>
        <v>0</v>
      </c>
      <c r="J20" s="286"/>
    </row>
    <row r="21" spans="1:10" ht="15" x14ac:dyDescent="0.25">
      <c r="B21" s="96"/>
      <c r="C21" s="15"/>
      <c r="D21" s="74"/>
      <c r="E21" s="398"/>
      <c r="F21" s="326">
        <f t="shared" si="0"/>
        <v>0</v>
      </c>
      <c r="G21" s="315"/>
      <c r="H21" s="316"/>
      <c r="I21" s="320">
        <f t="shared" si="1"/>
        <v>0</v>
      </c>
      <c r="J21" s="286"/>
    </row>
    <row r="22" spans="1:10" ht="15" x14ac:dyDescent="0.25">
      <c r="B22" s="96"/>
      <c r="C22" s="15"/>
      <c r="D22" s="74"/>
      <c r="E22" s="392"/>
      <c r="F22" s="326">
        <f t="shared" si="0"/>
        <v>0</v>
      </c>
      <c r="G22" s="315"/>
      <c r="H22" s="316"/>
      <c r="I22" s="320">
        <f t="shared" si="1"/>
        <v>0</v>
      </c>
    </row>
    <row r="23" spans="1:10" ht="15" x14ac:dyDescent="0.25">
      <c r="B23" s="96"/>
      <c r="C23" s="15"/>
      <c r="D23" s="74"/>
      <c r="E23" s="392"/>
      <c r="F23" s="326">
        <f t="shared" si="0"/>
        <v>0</v>
      </c>
      <c r="G23" s="315"/>
      <c r="H23" s="316"/>
      <c r="I23" s="320">
        <f t="shared" si="1"/>
        <v>0</v>
      </c>
    </row>
    <row r="24" spans="1:10" ht="15" x14ac:dyDescent="0.25">
      <c r="B24" s="96"/>
      <c r="C24" s="15"/>
      <c r="D24" s="74"/>
      <c r="E24" s="392"/>
      <c r="F24" s="326">
        <f t="shared" si="0"/>
        <v>0</v>
      </c>
      <c r="G24" s="315"/>
      <c r="H24" s="316"/>
      <c r="I24" s="320">
        <f t="shared" si="1"/>
        <v>0</v>
      </c>
    </row>
    <row r="25" spans="1:10" ht="15" x14ac:dyDescent="0.25">
      <c r="B25" s="96"/>
      <c r="C25" s="15"/>
      <c r="D25" s="74"/>
      <c r="E25" s="392"/>
      <c r="F25" s="326">
        <f t="shared" si="0"/>
        <v>0</v>
      </c>
      <c r="G25" s="315"/>
      <c r="H25" s="316"/>
      <c r="I25" s="320">
        <f t="shared" si="1"/>
        <v>0</v>
      </c>
    </row>
    <row r="26" spans="1:10" ht="15" x14ac:dyDescent="0.25">
      <c r="B26" s="96"/>
      <c r="C26" s="15"/>
      <c r="D26" s="74"/>
      <c r="E26" s="392"/>
      <c r="F26" s="326">
        <f t="shared" si="0"/>
        <v>0</v>
      </c>
      <c r="G26" s="315"/>
      <c r="H26" s="316"/>
      <c r="I26" s="320">
        <f t="shared" si="1"/>
        <v>0</v>
      </c>
    </row>
    <row r="27" spans="1:10" ht="15" x14ac:dyDescent="0.25">
      <c r="B27" s="96"/>
      <c r="C27" s="15"/>
      <c r="D27" s="74"/>
      <c r="E27" s="392"/>
      <c r="F27" s="326">
        <f t="shared" si="0"/>
        <v>0</v>
      </c>
      <c r="G27" s="315"/>
      <c r="H27" s="316"/>
      <c r="I27" s="320">
        <f t="shared" si="1"/>
        <v>0</v>
      </c>
    </row>
    <row r="28" spans="1:10" ht="15" x14ac:dyDescent="0.25">
      <c r="B28" s="96"/>
      <c r="C28" s="15"/>
      <c r="D28" s="74"/>
      <c r="E28" s="392"/>
      <c r="F28" s="326">
        <f t="shared" si="0"/>
        <v>0</v>
      </c>
      <c r="G28" s="315"/>
      <c r="H28" s="316"/>
      <c r="I28" s="320">
        <f t="shared" si="1"/>
        <v>0</v>
      </c>
    </row>
    <row r="29" spans="1:10" ht="15" x14ac:dyDescent="0.25">
      <c r="B29" s="96"/>
      <c r="C29" s="15"/>
      <c r="D29" s="74"/>
      <c r="E29" s="392"/>
      <c r="F29" s="326">
        <f t="shared" si="0"/>
        <v>0</v>
      </c>
      <c r="G29" s="315"/>
      <c r="H29" s="316"/>
      <c r="I29" s="320">
        <f t="shared" si="1"/>
        <v>0</v>
      </c>
    </row>
    <row r="30" spans="1:10" ht="15" x14ac:dyDescent="0.25">
      <c r="B30" s="96"/>
      <c r="C30" s="15"/>
      <c r="D30" s="74">
        <f t="shared" ref="D30:D43" si="2">C30*B30</f>
        <v>0</v>
      </c>
      <c r="E30" s="392"/>
      <c r="F30" s="326">
        <f t="shared" si="0"/>
        <v>0</v>
      </c>
      <c r="G30" s="315"/>
      <c r="H30" s="316"/>
      <c r="I30" s="320">
        <f t="shared" si="1"/>
        <v>0</v>
      </c>
    </row>
    <row r="31" spans="1:10" ht="15" x14ac:dyDescent="0.25">
      <c r="B31" s="96"/>
      <c r="C31" s="15"/>
      <c r="D31" s="74">
        <f t="shared" si="2"/>
        <v>0</v>
      </c>
      <c r="E31" s="392"/>
      <c r="F31" s="326">
        <f t="shared" si="0"/>
        <v>0</v>
      </c>
      <c r="G31" s="315"/>
      <c r="H31" s="316"/>
      <c r="I31" s="320">
        <f t="shared" si="1"/>
        <v>0</v>
      </c>
    </row>
    <row r="32" spans="1:10" ht="15" x14ac:dyDescent="0.25">
      <c r="B32" s="96"/>
      <c r="C32" s="15"/>
      <c r="D32" s="74">
        <f t="shared" si="2"/>
        <v>0</v>
      </c>
      <c r="E32" s="392"/>
      <c r="F32" s="113">
        <f t="shared" si="0"/>
        <v>0</v>
      </c>
      <c r="G32" s="315"/>
      <c r="H32" s="316"/>
      <c r="I32" s="320">
        <f t="shared" si="1"/>
        <v>0</v>
      </c>
    </row>
    <row r="33" spans="1:9" ht="15" x14ac:dyDescent="0.25">
      <c r="B33" s="96"/>
      <c r="C33" s="15"/>
      <c r="D33" s="74">
        <f t="shared" si="2"/>
        <v>0</v>
      </c>
      <c r="E33" s="392"/>
      <c r="F33" s="326">
        <f t="shared" si="0"/>
        <v>0</v>
      </c>
      <c r="G33" s="315"/>
      <c r="H33" s="316"/>
      <c r="I33" s="320">
        <f t="shared" si="1"/>
        <v>0</v>
      </c>
    </row>
    <row r="34" spans="1:9" ht="15" x14ac:dyDescent="0.25">
      <c r="A34" s="48"/>
      <c r="B34" s="96"/>
      <c r="C34" s="15"/>
      <c r="D34" s="74">
        <f t="shared" si="2"/>
        <v>0</v>
      </c>
      <c r="E34" s="392"/>
      <c r="F34" s="326">
        <f t="shared" si="0"/>
        <v>0</v>
      </c>
      <c r="G34" s="315"/>
      <c r="H34" s="316"/>
      <c r="I34" s="320">
        <f t="shared" si="1"/>
        <v>0</v>
      </c>
    </row>
    <row r="35" spans="1:9" ht="15" x14ac:dyDescent="0.25">
      <c r="A35" s="48"/>
      <c r="B35" s="96"/>
      <c r="C35" s="15"/>
      <c r="D35" s="74">
        <f t="shared" si="2"/>
        <v>0</v>
      </c>
      <c r="E35" s="392"/>
      <c r="F35" s="326">
        <f t="shared" si="0"/>
        <v>0</v>
      </c>
      <c r="G35" s="315"/>
      <c r="H35" s="316"/>
      <c r="I35" s="320">
        <f t="shared" si="1"/>
        <v>0</v>
      </c>
    </row>
    <row r="36" spans="1:9" ht="15" x14ac:dyDescent="0.25">
      <c r="A36" s="48"/>
      <c r="B36" s="96"/>
      <c r="C36" s="15"/>
      <c r="D36" s="74">
        <f t="shared" si="2"/>
        <v>0</v>
      </c>
      <c r="E36" s="392"/>
      <c r="F36" s="326">
        <f t="shared" si="0"/>
        <v>0</v>
      </c>
      <c r="G36" s="315"/>
      <c r="H36" s="316"/>
      <c r="I36" s="320">
        <f t="shared" si="1"/>
        <v>0</v>
      </c>
    </row>
    <row r="37" spans="1:9" ht="15" x14ac:dyDescent="0.25">
      <c r="A37" s="48"/>
      <c r="B37" s="96"/>
      <c r="C37" s="15"/>
      <c r="D37" s="74">
        <f t="shared" si="2"/>
        <v>0</v>
      </c>
      <c r="E37" s="392"/>
      <c r="F37" s="326">
        <f t="shared" si="0"/>
        <v>0</v>
      </c>
      <c r="G37" s="315"/>
      <c r="H37" s="316"/>
      <c r="I37" s="320">
        <f t="shared" si="1"/>
        <v>0</v>
      </c>
    </row>
    <row r="38" spans="1:9" ht="15" x14ac:dyDescent="0.25">
      <c r="A38" s="48"/>
      <c r="B38" s="96"/>
      <c r="C38" s="15"/>
      <c r="D38" s="74">
        <f t="shared" si="2"/>
        <v>0</v>
      </c>
      <c r="E38" s="392"/>
      <c r="F38" s="326">
        <f t="shared" si="0"/>
        <v>0</v>
      </c>
      <c r="G38" s="315"/>
      <c r="H38" s="316"/>
      <c r="I38" s="320">
        <f t="shared" si="1"/>
        <v>0</v>
      </c>
    </row>
    <row r="39" spans="1:9" ht="15" x14ac:dyDescent="0.25">
      <c r="A39" s="48"/>
      <c r="B39" s="96"/>
      <c r="C39" s="15"/>
      <c r="D39" s="74">
        <f t="shared" si="2"/>
        <v>0</v>
      </c>
      <c r="E39" s="392"/>
      <c r="F39" s="326">
        <f t="shared" si="0"/>
        <v>0</v>
      </c>
      <c r="G39" s="315"/>
      <c r="H39" s="316"/>
      <c r="I39" s="320">
        <f t="shared" si="1"/>
        <v>0</v>
      </c>
    </row>
    <row r="40" spans="1:9" x14ac:dyDescent="0.25">
      <c r="A40" s="48"/>
      <c r="B40" s="96"/>
      <c r="C40" s="15"/>
      <c r="D40" s="74">
        <f t="shared" si="2"/>
        <v>0</v>
      </c>
      <c r="E40" s="392"/>
      <c r="F40" s="326">
        <f t="shared" si="0"/>
        <v>0</v>
      </c>
      <c r="G40" s="315"/>
      <c r="H40" s="316"/>
      <c r="I40" s="320">
        <f t="shared" si="1"/>
        <v>0</v>
      </c>
    </row>
    <row r="41" spans="1:9" x14ac:dyDescent="0.25">
      <c r="A41" s="48"/>
      <c r="B41" s="96"/>
      <c r="C41" s="15"/>
      <c r="D41" s="74">
        <f t="shared" si="2"/>
        <v>0</v>
      </c>
      <c r="E41" s="392"/>
      <c r="F41" s="326">
        <f t="shared" si="0"/>
        <v>0</v>
      </c>
      <c r="G41" s="315"/>
      <c r="H41" s="316"/>
      <c r="I41" s="320">
        <f t="shared" si="1"/>
        <v>0</v>
      </c>
    </row>
    <row r="42" spans="1:9" x14ac:dyDescent="0.25">
      <c r="A42" s="48"/>
      <c r="B42" s="96"/>
      <c r="C42" s="15"/>
      <c r="D42" s="74">
        <f t="shared" si="2"/>
        <v>0</v>
      </c>
      <c r="E42" s="392"/>
      <c r="F42" s="326">
        <f t="shared" si="0"/>
        <v>0</v>
      </c>
      <c r="G42" s="75"/>
      <c r="H42" s="76"/>
      <c r="I42" s="320">
        <f t="shared" si="1"/>
        <v>0</v>
      </c>
    </row>
    <row r="43" spans="1:9" x14ac:dyDescent="0.25">
      <c r="A43" s="48"/>
      <c r="B43" s="96"/>
      <c r="C43" s="15"/>
      <c r="D43" s="74">
        <f t="shared" si="2"/>
        <v>0</v>
      </c>
      <c r="E43" s="392"/>
      <c r="F43" s="113">
        <f t="shared" si="0"/>
        <v>0</v>
      </c>
      <c r="G43" s="75"/>
      <c r="H43" s="76"/>
      <c r="I43" s="320">
        <f t="shared" si="1"/>
        <v>0</v>
      </c>
    </row>
    <row r="44" spans="1:9" ht="14.4" thickBot="1" x14ac:dyDescent="0.3">
      <c r="A44" s="131"/>
      <c r="B44" s="103"/>
      <c r="C44" s="38"/>
      <c r="D44" s="218">
        <f>B44*C44</f>
        <v>0</v>
      </c>
      <c r="E44" s="403"/>
      <c r="F44" s="219">
        <f t="shared" si="0"/>
        <v>0</v>
      </c>
      <c r="G44" s="112"/>
      <c r="H44" s="207"/>
    </row>
    <row r="45" spans="1:9" ht="14.4" thickTop="1" x14ac:dyDescent="0.25">
      <c r="A45" s="48">
        <f>SUM(A34:A44)</f>
        <v>0</v>
      </c>
      <c r="C45" s="79">
        <f>SUM(C13:C44)</f>
        <v>40</v>
      </c>
      <c r="D45" s="113">
        <f>SUM(D13:D44)</f>
        <v>14115.49</v>
      </c>
      <c r="E45" s="82"/>
      <c r="F45" s="113">
        <f>SUM(F13:F44)</f>
        <v>14115.49</v>
      </c>
    </row>
    <row r="46" spans="1:9" ht="14.4" thickBot="1" x14ac:dyDescent="0.3">
      <c r="A46" s="48"/>
    </row>
    <row r="47" spans="1:9" x14ac:dyDescent="0.25">
      <c r="B47" s="5"/>
      <c r="D47" s="1028" t="s">
        <v>21</v>
      </c>
      <c r="E47" s="1029"/>
      <c r="F47" s="154">
        <f>E4+E5-F45+E6+E7+E8+E9+E11</f>
        <v>4.5474735088646412E-13</v>
      </c>
    </row>
    <row r="48" spans="1:9" ht="14.4" thickBot="1" x14ac:dyDescent="0.3">
      <c r="A48" s="135"/>
      <c r="D48" s="571" t="s">
        <v>4</v>
      </c>
      <c r="E48" s="572"/>
      <c r="F48" s="50">
        <f>F4+F5-C45+F6+F7+F8+F9+F11</f>
        <v>0</v>
      </c>
    </row>
    <row r="49" spans="2:2" x14ac:dyDescent="0.25">
      <c r="B49" s="5"/>
    </row>
  </sheetData>
  <mergeCells count="3">
    <mergeCell ref="A1:G1"/>
    <mergeCell ref="D47:E47"/>
    <mergeCell ref="A6:A7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I32"/>
  <sheetViews>
    <sheetView workbookViewId="0">
      <selection activeCell="C12" sqref="C12"/>
    </sheetView>
  </sheetViews>
  <sheetFormatPr baseColWidth="10" defaultColWidth="11.44140625" defaultRowHeight="13.8" x14ac:dyDescent="0.25"/>
  <cols>
    <col min="1" max="1" width="32.44140625" bestFit="1" customWidth="1"/>
    <col min="2" max="2" width="17.6640625" bestFit="1" customWidth="1"/>
    <col min="3" max="3" width="13.33203125" bestFit="1" customWidth="1"/>
    <col min="6" max="6" width="12" customWidth="1"/>
  </cols>
  <sheetData>
    <row r="1" spans="1:9" ht="36.75" customHeight="1" x14ac:dyDescent="0.55000000000000004">
      <c r="A1" s="1034" t="s">
        <v>191</v>
      </c>
      <c r="B1" s="1034"/>
      <c r="C1" s="1034"/>
      <c r="D1" s="1034"/>
      <c r="E1" s="1034"/>
      <c r="F1" s="1034"/>
      <c r="G1" s="1034"/>
      <c r="H1" s="11">
        <v>1</v>
      </c>
    </row>
    <row r="2" spans="1:9" ht="15.75" thickBot="1" x14ac:dyDescent="0.3">
      <c r="A2" t="s">
        <v>41</v>
      </c>
    </row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A4" s="646"/>
      <c r="B4" s="646"/>
      <c r="C4" s="647">
        <v>230</v>
      </c>
      <c r="D4" s="375">
        <v>44142</v>
      </c>
      <c r="E4" s="650">
        <v>408</v>
      </c>
      <c r="F4" s="646">
        <v>4</v>
      </c>
      <c r="G4" s="381"/>
      <c r="H4" s="381"/>
    </row>
    <row r="5" spans="1:9" ht="15" x14ac:dyDescent="0.25">
      <c r="C5" s="691">
        <v>240</v>
      </c>
      <c r="D5" s="375">
        <v>44166</v>
      </c>
      <c r="E5" s="648">
        <v>204</v>
      </c>
      <c r="F5" s="353">
        <v>204</v>
      </c>
      <c r="G5" s="690"/>
    </row>
    <row r="6" spans="1:9" ht="15.75" customHeight="1" x14ac:dyDescent="0.3">
      <c r="A6" s="1026" t="s">
        <v>192</v>
      </c>
      <c r="B6" s="1045" t="s">
        <v>109</v>
      </c>
      <c r="C6" s="691"/>
      <c r="D6" s="375"/>
      <c r="E6" s="648"/>
      <c r="F6" s="353"/>
      <c r="G6" s="95">
        <f>F28</f>
        <v>612</v>
      </c>
      <c r="H6" s="7">
        <f>E6-G6+E5+E7+E4+E8</f>
        <v>0</v>
      </c>
    </row>
    <row r="7" spans="1:9" ht="16.5" customHeight="1" thickBot="1" x14ac:dyDescent="0.3">
      <c r="A7" s="1026"/>
      <c r="B7" s="1046"/>
      <c r="C7" s="692"/>
      <c r="D7" s="375"/>
      <c r="E7" s="649"/>
      <c r="F7" s="289"/>
    </row>
    <row r="8" spans="1:9" ht="16.5" customHeight="1" thickBot="1" x14ac:dyDescent="0.3">
      <c r="A8" s="687"/>
      <c r="B8" s="586"/>
      <c r="C8" s="692"/>
      <c r="D8" s="375"/>
      <c r="E8" s="649"/>
      <c r="F8" s="289"/>
    </row>
    <row r="9" spans="1:9" ht="16.5" thickTop="1" thickBot="1" x14ac:dyDescent="0.3">
      <c r="B9" s="69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9" ht="15.75" thickTop="1" x14ac:dyDescent="0.25">
      <c r="A10" s="60" t="s">
        <v>32</v>
      </c>
      <c r="B10" s="652">
        <f>F4+F5+F6+F7+F8-C10</f>
        <v>204</v>
      </c>
      <c r="C10" s="15">
        <v>4</v>
      </c>
      <c r="D10" s="74">
        <v>408</v>
      </c>
      <c r="E10" s="148">
        <v>44142</v>
      </c>
      <c r="F10" s="113">
        <f>D10</f>
        <v>408</v>
      </c>
      <c r="G10" s="315" t="s">
        <v>351</v>
      </c>
      <c r="H10" s="316">
        <v>230</v>
      </c>
    </row>
    <row r="11" spans="1:9" ht="15" x14ac:dyDescent="0.25">
      <c r="B11" s="652">
        <f>B10-C11</f>
        <v>102</v>
      </c>
      <c r="C11" s="15">
        <v>102</v>
      </c>
      <c r="D11" s="74">
        <v>102</v>
      </c>
      <c r="E11" s="148">
        <v>44169</v>
      </c>
      <c r="F11" s="326">
        <f>D11</f>
        <v>102</v>
      </c>
      <c r="G11" s="315" t="s">
        <v>489</v>
      </c>
      <c r="H11" s="316">
        <v>230</v>
      </c>
    </row>
    <row r="12" spans="1:9" ht="15" x14ac:dyDescent="0.25">
      <c r="B12" s="652">
        <f t="shared" ref="B12:B27" si="0">B11-C12</f>
        <v>0</v>
      </c>
      <c r="C12" s="15">
        <v>102</v>
      </c>
      <c r="D12" s="74">
        <v>102</v>
      </c>
      <c r="E12" s="291">
        <v>44170</v>
      </c>
      <c r="F12" s="326">
        <f>D12</f>
        <v>102</v>
      </c>
      <c r="G12" s="315" t="s">
        <v>502</v>
      </c>
      <c r="H12" s="316">
        <v>230</v>
      </c>
      <c r="I12" s="286"/>
    </row>
    <row r="13" spans="1:9" ht="15" x14ac:dyDescent="0.25">
      <c r="A13" s="60" t="s">
        <v>33</v>
      </c>
      <c r="B13" s="652">
        <f t="shared" si="0"/>
        <v>0</v>
      </c>
      <c r="C13" s="15"/>
      <c r="D13" s="74">
        <v>0</v>
      </c>
      <c r="E13" s="291"/>
      <c r="F13" s="912">
        <f t="shared" ref="F13:F27" si="1">D13</f>
        <v>0</v>
      </c>
      <c r="G13" s="913"/>
      <c r="H13" s="915"/>
      <c r="I13" s="286"/>
    </row>
    <row r="14" spans="1:9" ht="15" x14ac:dyDescent="0.25">
      <c r="B14" s="652">
        <f t="shared" si="0"/>
        <v>0</v>
      </c>
      <c r="C14" s="15"/>
      <c r="D14" s="74">
        <v>0</v>
      </c>
      <c r="E14" s="291"/>
      <c r="F14" s="912">
        <f t="shared" si="1"/>
        <v>0</v>
      </c>
      <c r="G14" s="913"/>
      <c r="H14" s="915"/>
      <c r="I14" s="286"/>
    </row>
    <row r="15" spans="1:9" ht="15" x14ac:dyDescent="0.25">
      <c r="A15" s="19"/>
      <c r="B15" s="652">
        <f t="shared" si="0"/>
        <v>0</v>
      </c>
      <c r="C15" s="15"/>
      <c r="D15" s="74">
        <v>0</v>
      </c>
      <c r="E15" s="291"/>
      <c r="F15" s="912">
        <f t="shared" si="1"/>
        <v>0</v>
      </c>
      <c r="G15" s="913"/>
      <c r="H15" s="915"/>
      <c r="I15" s="286"/>
    </row>
    <row r="16" spans="1:9" ht="15" x14ac:dyDescent="0.25">
      <c r="B16" s="652">
        <f t="shared" si="0"/>
        <v>0</v>
      </c>
      <c r="C16" s="15"/>
      <c r="D16" s="74">
        <v>0</v>
      </c>
      <c r="E16" s="291"/>
      <c r="F16" s="326">
        <f t="shared" si="1"/>
        <v>0</v>
      </c>
      <c r="G16" s="315"/>
      <c r="H16" s="316"/>
      <c r="I16" s="286"/>
    </row>
    <row r="17" spans="1:9" ht="15" x14ac:dyDescent="0.25">
      <c r="B17" s="652">
        <f t="shared" si="0"/>
        <v>0</v>
      </c>
      <c r="C17" s="15"/>
      <c r="D17" s="74">
        <v>0</v>
      </c>
      <c r="E17" s="291"/>
      <c r="F17" s="326">
        <f t="shared" si="1"/>
        <v>0</v>
      </c>
      <c r="G17" s="315"/>
      <c r="H17" s="316"/>
      <c r="I17" s="286"/>
    </row>
    <row r="18" spans="1:9" ht="15" x14ac:dyDescent="0.25">
      <c r="B18" s="652">
        <f t="shared" si="0"/>
        <v>0</v>
      </c>
      <c r="C18" s="15"/>
      <c r="D18" s="74">
        <v>0</v>
      </c>
      <c r="E18" s="148"/>
      <c r="F18" s="326">
        <f t="shared" si="1"/>
        <v>0</v>
      </c>
      <c r="G18" s="315"/>
      <c r="H18" s="316"/>
      <c r="I18" s="286"/>
    </row>
    <row r="19" spans="1:9" ht="15" x14ac:dyDescent="0.25">
      <c r="B19" s="652">
        <f t="shared" si="0"/>
        <v>0</v>
      </c>
      <c r="C19" s="15"/>
      <c r="D19" s="74">
        <v>0</v>
      </c>
      <c r="E19" s="148"/>
      <c r="F19" s="326">
        <f t="shared" si="1"/>
        <v>0</v>
      </c>
      <c r="G19" s="315"/>
      <c r="H19" s="316"/>
    </row>
    <row r="20" spans="1:9" ht="15" x14ac:dyDescent="0.25">
      <c r="B20" s="652">
        <f t="shared" si="0"/>
        <v>0</v>
      </c>
      <c r="C20" s="15"/>
      <c r="D20" s="74">
        <v>0</v>
      </c>
      <c r="E20" s="148"/>
      <c r="F20" s="326">
        <f t="shared" si="1"/>
        <v>0</v>
      </c>
      <c r="G20" s="315"/>
      <c r="H20" s="316"/>
    </row>
    <row r="21" spans="1:9" ht="15" x14ac:dyDescent="0.25">
      <c r="B21" s="652">
        <f t="shared" si="0"/>
        <v>0</v>
      </c>
      <c r="C21" s="15"/>
      <c r="D21" s="74">
        <v>0</v>
      </c>
      <c r="E21" s="148"/>
      <c r="F21" s="113">
        <f t="shared" si="1"/>
        <v>0</v>
      </c>
      <c r="G21" s="315"/>
      <c r="H21" s="316"/>
    </row>
    <row r="22" spans="1:9" ht="15" x14ac:dyDescent="0.25">
      <c r="B22" s="652">
        <f t="shared" si="0"/>
        <v>0</v>
      </c>
      <c r="C22" s="15"/>
      <c r="D22" s="74">
        <v>0</v>
      </c>
      <c r="E22" s="148"/>
      <c r="F22" s="113">
        <f t="shared" si="1"/>
        <v>0</v>
      </c>
      <c r="G22" s="315"/>
      <c r="H22" s="316"/>
    </row>
    <row r="23" spans="1:9" ht="15" x14ac:dyDescent="0.25">
      <c r="B23" s="652">
        <f t="shared" si="0"/>
        <v>0</v>
      </c>
      <c r="C23" s="15"/>
      <c r="D23" s="74">
        <v>0</v>
      </c>
      <c r="E23" s="148"/>
      <c r="F23" s="113">
        <f t="shared" si="1"/>
        <v>0</v>
      </c>
      <c r="G23" s="315"/>
      <c r="H23" s="316"/>
    </row>
    <row r="24" spans="1:9" ht="15" x14ac:dyDescent="0.25">
      <c r="B24" s="652">
        <f t="shared" si="0"/>
        <v>0</v>
      </c>
      <c r="C24" s="15"/>
      <c r="D24" s="74">
        <v>0</v>
      </c>
      <c r="E24" s="148"/>
      <c r="F24" s="113">
        <f t="shared" si="1"/>
        <v>0</v>
      </c>
      <c r="G24" s="315"/>
      <c r="H24" s="316"/>
    </row>
    <row r="25" spans="1:9" ht="15" x14ac:dyDescent="0.25">
      <c r="B25" s="652">
        <f t="shared" si="0"/>
        <v>0</v>
      </c>
      <c r="C25" s="15"/>
      <c r="D25" s="74">
        <v>0</v>
      </c>
      <c r="E25" s="148"/>
      <c r="F25" s="113">
        <f t="shared" si="1"/>
        <v>0</v>
      </c>
      <c r="G25" s="315"/>
      <c r="H25" s="316"/>
    </row>
    <row r="26" spans="1:9" x14ac:dyDescent="0.25">
      <c r="B26" s="652">
        <f t="shared" si="0"/>
        <v>0</v>
      </c>
      <c r="C26" s="15"/>
      <c r="D26" s="74">
        <v>0</v>
      </c>
      <c r="E26" s="148"/>
      <c r="F26" s="113">
        <f t="shared" si="1"/>
        <v>0</v>
      </c>
      <c r="G26" s="75"/>
      <c r="H26" s="76"/>
    </row>
    <row r="27" spans="1:9" ht="14.4" thickBot="1" x14ac:dyDescent="0.3">
      <c r="A27" s="131"/>
      <c r="B27" s="653">
        <f t="shared" si="0"/>
        <v>0</v>
      </c>
      <c r="C27" s="38"/>
      <c r="D27" s="74">
        <v>0</v>
      </c>
      <c r="E27" s="399"/>
      <c r="F27" s="400">
        <f t="shared" si="1"/>
        <v>0</v>
      </c>
      <c r="G27" s="401"/>
      <c r="H27" s="402"/>
    </row>
    <row r="28" spans="1:9" ht="14.4" thickTop="1" x14ac:dyDescent="0.25">
      <c r="A28" s="48">
        <f>SUM(A27:A27)</f>
        <v>0</v>
      </c>
      <c r="C28" s="79">
        <f>SUM(C10:C27)</f>
        <v>208</v>
      </c>
      <c r="D28" s="113">
        <f>SUM(D10:D27)</f>
        <v>612</v>
      </c>
      <c r="E28" s="82"/>
      <c r="F28" s="113">
        <f>SUM(F10:F27)</f>
        <v>612</v>
      </c>
    </row>
    <row r="29" spans="1:9" ht="14.4" thickBot="1" x14ac:dyDescent="0.3">
      <c r="A29" s="48"/>
    </row>
    <row r="30" spans="1:9" x14ac:dyDescent="0.25">
      <c r="B30" s="5"/>
      <c r="D30" s="1028" t="s">
        <v>21</v>
      </c>
      <c r="E30" s="1029"/>
      <c r="F30" s="154">
        <f>E5+E6-F28+E7+E4+E8</f>
        <v>0</v>
      </c>
    </row>
    <row r="31" spans="1:9" ht="14.4" thickBot="1" x14ac:dyDescent="0.3">
      <c r="A31" s="135"/>
      <c r="D31" s="688" t="s">
        <v>4</v>
      </c>
      <c r="E31" s="689"/>
      <c r="F31" s="50">
        <f>F5+F6-C28+F7+F4+F8</f>
        <v>0</v>
      </c>
    </row>
    <row r="32" spans="1:9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Q1" workbookViewId="0">
      <pane ySplit="7" topLeftCell="A20" activePane="bottomLeft" state="frozen"/>
      <selection activeCell="L1" sqref="L1"/>
      <selection pane="bottomLeft" activeCell="Q27" sqref="Q27"/>
    </sheetView>
  </sheetViews>
  <sheetFormatPr baseColWidth="10" defaultRowHeight="13.8" x14ac:dyDescent="0.25"/>
  <cols>
    <col min="1" max="1" width="28" bestFit="1" customWidth="1"/>
    <col min="2" max="2" width="16.33203125" bestFit="1" customWidth="1"/>
    <col min="3" max="3" width="11.5546875" customWidth="1"/>
    <col min="4" max="4" width="11.109375" customWidth="1"/>
    <col min="5" max="5" width="14.5546875" customWidth="1"/>
    <col min="6" max="6" width="8.88671875" bestFit="1" customWidth="1"/>
    <col min="7" max="7" width="12.88671875" bestFit="1" customWidth="1"/>
    <col min="12" max="12" width="28" bestFit="1" customWidth="1"/>
    <col min="13" max="13" width="16.33203125" bestFit="1" customWidth="1"/>
    <col min="14" max="14" width="11.5546875" customWidth="1"/>
    <col min="15" max="15" width="11.109375" customWidth="1"/>
    <col min="16" max="16" width="14.5546875" customWidth="1"/>
    <col min="17" max="17" width="8.88671875" bestFit="1" customWidth="1"/>
    <col min="18" max="18" width="12.88671875" bestFit="1" customWidth="1"/>
  </cols>
  <sheetData>
    <row r="1" spans="1:21" ht="40.5" x14ac:dyDescent="0.55000000000000004">
      <c r="A1" s="1041" t="s">
        <v>170</v>
      </c>
      <c r="B1" s="1041"/>
      <c r="C1" s="1041"/>
      <c r="D1" s="1041"/>
      <c r="E1" s="1041"/>
      <c r="F1" s="1041"/>
      <c r="G1" s="1041"/>
      <c r="H1" s="11">
        <v>1</v>
      </c>
      <c r="L1" s="1034" t="s">
        <v>162</v>
      </c>
      <c r="M1" s="1034"/>
      <c r="N1" s="1034"/>
      <c r="O1" s="1034"/>
      <c r="P1" s="1034"/>
      <c r="Q1" s="1034"/>
      <c r="R1" s="103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68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8" thickTop="1" x14ac:dyDescent="0.3">
      <c r="B4" s="386"/>
      <c r="C4" s="328">
        <v>58.8</v>
      </c>
      <c r="D4" s="291">
        <v>44125</v>
      </c>
      <c r="E4" s="320">
        <v>18509.599999999999</v>
      </c>
      <c r="F4" s="289">
        <v>680</v>
      </c>
      <c r="G4" s="753"/>
      <c r="H4" s="286"/>
      <c r="I4" s="286"/>
      <c r="L4" s="1048" t="s">
        <v>274</v>
      </c>
      <c r="M4" s="386"/>
      <c r="N4" s="328"/>
      <c r="O4" s="291"/>
      <c r="P4" s="320">
        <v>626.05999999999995</v>
      </c>
      <c r="Q4" s="289">
        <v>23</v>
      </c>
      <c r="R4" s="753"/>
      <c r="S4" s="286"/>
      <c r="T4" s="286"/>
    </row>
    <row r="5" spans="1:21" ht="15.75" customHeight="1" x14ac:dyDescent="0.3">
      <c r="A5" s="1047" t="s">
        <v>110</v>
      </c>
      <c r="B5" s="12" t="s">
        <v>53</v>
      </c>
      <c r="C5" s="176"/>
      <c r="D5" s="148"/>
      <c r="E5" s="142"/>
      <c r="F5" s="79"/>
      <c r="G5" s="48">
        <f>F62</f>
        <v>18509.600000000002</v>
      </c>
      <c r="H5" s="174">
        <f>E5+E6-G5+E4</f>
        <v>0</v>
      </c>
      <c r="L5" s="1049"/>
      <c r="M5" s="12" t="s">
        <v>53</v>
      </c>
      <c r="N5" s="176">
        <v>55.5</v>
      </c>
      <c r="O5" s="148">
        <v>44154</v>
      </c>
      <c r="P5" s="142">
        <v>18672.919999999998</v>
      </c>
      <c r="Q5" s="79">
        <v>686</v>
      </c>
      <c r="R5" s="48">
        <f>Q62</f>
        <v>12385.1</v>
      </c>
      <c r="S5" s="174">
        <f>P5+P6-R5+P4</f>
        <v>6913.8799999999974</v>
      </c>
    </row>
    <row r="6" spans="1:21" ht="15.75" customHeight="1" thickBot="1" x14ac:dyDescent="0.3">
      <c r="A6" s="1047"/>
      <c r="B6" s="178" t="s">
        <v>42</v>
      </c>
      <c r="C6" s="176"/>
      <c r="D6" s="148"/>
      <c r="E6" s="85"/>
      <c r="F6" s="67"/>
      <c r="L6" s="1049"/>
      <c r="M6" s="178" t="s">
        <v>42</v>
      </c>
      <c r="N6" s="176"/>
      <c r="O6" s="148"/>
      <c r="P6" s="85"/>
      <c r="Q6" s="67"/>
    </row>
    <row r="7" spans="1:21" ht="16.5" thickTop="1" thickBot="1" x14ac:dyDescent="0.3">
      <c r="B7" s="69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69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0" t="s">
        <v>32</v>
      </c>
      <c r="B8" s="2">
        <v>27.22</v>
      </c>
      <c r="C8" s="15">
        <v>56</v>
      </c>
      <c r="D8" s="472">
        <f t="shared" ref="D8:D61" si="0">C8*B8</f>
        <v>1524.32</v>
      </c>
      <c r="E8" s="394">
        <v>44125</v>
      </c>
      <c r="F8" s="74">
        <f t="shared" ref="F8:F61" si="1">D8</f>
        <v>1524.32</v>
      </c>
      <c r="G8" s="315" t="s">
        <v>135</v>
      </c>
      <c r="H8" s="316">
        <v>62</v>
      </c>
      <c r="I8" s="262">
        <f>E5-F8+E4+E6</f>
        <v>16985.28</v>
      </c>
      <c r="J8" s="79">
        <f>F5-C8+F4+F6</f>
        <v>624</v>
      </c>
      <c r="L8" s="60" t="s">
        <v>32</v>
      </c>
      <c r="M8" s="2">
        <v>27.22</v>
      </c>
      <c r="N8" s="15">
        <v>30</v>
      </c>
      <c r="O8" s="472">
        <f t="shared" ref="O8:O61" si="2">N8*M8</f>
        <v>816.59999999999991</v>
      </c>
      <c r="P8" s="394">
        <v>44155</v>
      </c>
      <c r="Q8" s="74">
        <f t="shared" ref="Q8:Q61" si="3">O8</f>
        <v>816.59999999999991</v>
      </c>
      <c r="R8" s="315" t="s">
        <v>406</v>
      </c>
      <c r="S8" s="316">
        <v>62</v>
      </c>
      <c r="T8" s="262">
        <f>P5-Q8+P4+P6</f>
        <v>18482.38</v>
      </c>
      <c r="U8" s="79">
        <f>Q5-N8+Q4+Q6</f>
        <v>679</v>
      </c>
    </row>
    <row r="9" spans="1:21" ht="15" x14ac:dyDescent="0.25">
      <c r="A9" s="144"/>
      <c r="B9" s="2">
        <v>27.22</v>
      </c>
      <c r="C9" s="15">
        <v>10</v>
      </c>
      <c r="D9" s="472">
        <f t="shared" si="0"/>
        <v>272.2</v>
      </c>
      <c r="E9" s="394">
        <v>44126</v>
      </c>
      <c r="F9" s="74">
        <f t="shared" si="1"/>
        <v>272.2</v>
      </c>
      <c r="G9" s="315" t="s">
        <v>137</v>
      </c>
      <c r="H9" s="316">
        <v>62</v>
      </c>
      <c r="I9" s="262">
        <f>I8-F9</f>
        <v>16713.079999999998</v>
      </c>
      <c r="J9" s="79">
        <f>J8-C9</f>
        <v>614</v>
      </c>
      <c r="L9" s="144"/>
      <c r="M9" s="2">
        <v>27.22</v>
      </c>
      <c r="N9" s="15">
        <v>32</v>
      </c>
      <c r="O9" s="472">
        <f t="shared" si="2"/>
        <v>871.04</v>
      </c>
      <c r="P9" s="394">
        <v>44155</v>
      </c>
      <c r="Q9" s="74">
        <f t="shared" si="3"/>
        <v>871.04</v>
      </c>
      <c r="R9" s="315" t="s">
        <v>407</v>
      </c>
      <c r="S9" s="316">
        <v>62</v>
      </c>
      <c r="T9" s="262">
        <f>T8-Q9</f>
        <v>17611.34</v>
      </c>
      <c r="U9" s="79">
        <f>U8-N9</f>
        <v>647</v>
      </c>
    </row>
    <row r="10" spans="1:21" ht="15" x14ac:dyDescent="0.25">
      <c r="A10" s="145"/>
      <c r="B10" s="2">
        <v>27.22</v>
      </c>
      <c r="C10" s="15">
        <v>26</v>
      </c>
      <c r="D10" s="472">
        <f t="shared" si="0"/>
        <v>707.72</v>
      </c>
      <c r="E10" s="394">
        <v>44126</v>
      </c>
      <c r="F10" s="74">
        <f t="shared" si="1"/>
        <v>707.72</v>
      </c>
      <c r="G10" s="315" t="s">
        <v>138</v>
      </c>
      <c r="H10" s="316">
        <v>62</v>
      </c>
      <c r="I10" s="262">
        <f t="shared" ref="I10:I60" si="4">I9-F10</f>
        <v>16005.359999999999</v>
      </c>
      <c r="J10" s="79">
        <f t="shared" ref="J10:J60" si="5">J9-C10</f>
        <v>588</v>
      </c>
      <c r="L10" s="145"/>
      <c r="M10" s="2">
        <v>27.22</v>
      </c>
      <c r="N10" s="15">
        <v>32</v>
      </c>
      <c r="O10" s="472">
        <f t="shared" si="2"/>
        <v>871.04</v>
      </c>
      <c r="P10" s="394">
        <v>44156</v>
      </c>
      <c r="Q10" s="74">
        <f t="shared" si="3"/>
        <v>871.04</v>
      </c>
      <c r="R10" s="315" t="s">
        <v>410</v>
      </c>
      <c r="S10" s="316">
        <v>62</v>
      </c>
      <c r="T10" s="262">
        <f t="shared" ref="T10:T60" si="6">T9-Q10</f>
        <v>16740.3</v>
      </c>
      <c r="U10" s="79">
        <f t="shared" ref="U10:U60" si="7">U9-N10</f>
        <v>615</v>
      </c>
    </row>
    <row r="11" spans="1:21" ht="15" x14ac:dyDescent="0.25">
      <c r="A11" s="60" t="s">
        <v>33</v>
      </c>
      <c r="B11" s="2">
        <v>27.22</v>
      </c>
      <c r="C11" s="15">
        <v>56</v>
      </c>
      <c r="D11" s="472">
        <f t="shared" si="0"/>
        <v>1524.32</v>
      </c>
      <c r="E11" s="394">
        <v>44127</v>
      </c>
      <c r="F11" s="74">
        <f t="shared" si="1"/>
        <v>1524.32</v>
      </c>
      <c r="G11" s="315" t="s">
        <v>142</v>
      </c>
      <c r="H11" s="316">
        <v>62</v>
      </c>
      <c r="I11" s="262">
        <f t="shared" si="4"/>
        <v>14481.039999999999</v>
      </c>
      <c r="J11" s="79">
        <f t="shared" si="5"/>
        <v>532</v>
      </c>
      <c r="L11" s="60" t="s">
        <v>33</v>
      </c>
      <c r="M11" s="2">
        <v>27.22</v>
      </c>
      <c r="N11" s="15">
        <v>10</v>
      </c>
      <c r="O11" s="472">
        <f t="shared" si="2"/>
        <v>272.2</v>
      </c>
      <c r="P11" s="394">
        <v>44156</v>
      </c>
      <c r="Q11" s="74">
        <f t="shared" si="3"/>
        <v>272.2</v>
      </c>
      <c r="R11" s="315" t="s">
        <v>413</v>
      </c>
      <c r="S11" s="316">
        <v>62</v>
      </c>
      <c r="T11" s="262">
        <f t="shared" si="6"/>
        <v>16468.099999999999</v>
      </c>
      <c r="U11" s="79">
        <f t="shared" si="7"/>
        <v>605</v>
      </c>
    </row>
    <row r="12" spans="1:21" ht="15" x14ac:dyDescent="0.25">
      <c r="A12" s="144"/>
      <c r="B12" s="2">
        <v>27.22</v>
      </c>
      <c r="C12" s="15">
        <v>10</v>
      </c>
      <c r="D12" s="472">
        <f t="shared" si="0"/>
        <v>272.2</v>
      </c>
      <c r="E12" s="394">
        <v>44128</v>
      </c>
      <c r="F12" s="74">
        <f t="shared" si="1"/>
        <v>272.2</v>
      </c>
      <c r="G12" s="75" t="s">
        <v>144</v>
      </c>
      <c r="H12" s="76">
        <v>62</v>
      </c>
      <c r="I12" s="262">
        <f t="shared" si="4"/>
        <v>14208.839999999998</v>
      </c>
      <c r="J12" s="79">
        <f t="shared" si="5"/>
        <v>522</v>
      </c>
      <c r="L12" s="144"/>
      <c r="M12" s="2">
        <v>27.22</v>
      </c>
      <c r="N12" s="15">
        <v>32</v>
      </c>
      <c r="O12" s="472">
        <f t="shared" si="2"/>
        <v>871.04</v>
      </c>
      <c r="P12" s="394">
        <v>44158</v>
      </c>
      <c r="Q12" s="74">
        <f t="shared" si="3"/>
        <v>871.04</v>
      </c>
      <c r="R12" s="75" t="s">
        <v>416</v>
      </c>
      <c r="S12" s="76">
        <v>62</v>
      </c>
      <c r="T12" s="262">
        <f t="shared" si="6"/>
        <v>15597.059999999998</v>
      </c>
      <c r="U12" s="79">
        <f t="shared" si="7"/>
        <v>573</v>
      </c>
    </row>
    <row r="13" spans="1:21" ht="15" x14ac:dyDescent="0.25">
      <c r="A13" s="79"/>
      <c r="B13" s="2">
        <v>27.22</v>
      </c>
      <c r="C13" s="15">
        <v>28</v>
      </c>
      <c r="D13" s="472">
        <f t="shared" si="0"/>
        <v>762.16</v>
      </c>
      <c r="E13" s="394">
        <v>44128</v>
      </c>
      <c r="F13" s="74">
        <f t="shared" si="1"/>
        <v>762.16</v>
      </c>
      <c r="G13" s="75" t="s">
        <v>145</v>
      </c>
      <c r="H13" s="76">
        <v>62</v>
      </c>
      <c r="I13" s="262">
        <f t="shared" si="4"/>
        <v>13446.679999999998</v>
      </c>
      <c r="J13" s="79">
        <f t="shared" si="5"/>
        <v>494</v>
      </c>
      <c r="L13" s="79"/>
      <c r="M13" s="2">
        <v>27.22</v>
      </c>
      <c r="N13" s="15">
        <v>32</v>
      </c>
      <c r="O13" s="472">
        <f t="shared" si="2"/>
        <v>871.04</v>
      </c>
      <c r="P13" s="394">
        <v>44161</v>
      </c>
      <c r="Q13" s="74">
        <f t="shared" si="3"/>
        <v>871.04</v>
      </c>
      <c r="R13" s="75" t="s">
        <v>431</v>
      </c>
      <c r="S13" s="76">
        <v>62</v>
      </c>
      <c r="T13" s="262">
        <f t="shared" si="6"/>
        <v>14726.019999999997</v>
      </c>
      <c r="U13" s="79">
        <f t="shared" si="7"/>
        <v>541</v>
      </c>
    </row>
    <row r="14" spans="1:21" ht="15" x14ac:dyDescent="0.25">
      <c r="B14" s="2">
        <v>27.22</v>
      </c>
      <c r="C14" s="15">
        <v>28</v>
      </c>
      <c r="D14" s="472">
        <f t="shared" si="0"/>
        <v>762.16</v>
      </c>
      <c r="E14" s="394">
        <v>44133</v>
      </c>
      <c r="F14" s="74">
        <f t="shared" si="1"/>
        <v>762.16</v>
      </c>
      <c r="G14" s="75" t="s">
        <v>151</v>
      </c>
      <c r="H14" s="76">
        <v>62</v>
      </c>
      <c r="I14" s="262">
        <f t="shared" si="4"/>
        <v>12684.519999999999</v>
      </c>
      <c r="J14" s="79">
        <f t="shared" si="5"/>
        <v>466</v>
      </c>
      <c r="M14" s="2">
        <v>27.22</v>
      </c>
      <c r="N14" s="15">
        <v>42</v>
      </c>
      <c r="O14" s="472">
        <f t="shared" si="2"/>
        <v>1143.24</v>
      </c>
      <c r="P14" s="394">
        <v>44162</v>
      </c>
      <c r="Q14" s="74">
        <f t="shared" si="3"/>
        <v>1143.24</v>
      </c>
      <c r="R14" s="75" t="s">
        <v>436</v>
      </c>
      <c r="S14" s="76">
        <v>62</v>
      </c>
      <c r="T14" s="262">
        <f t="shared" si="6"/>
        <v>13582.779999999997</v>
      </c>
      <c r="U14" s="79">
        <f t="shared" si="7"/>
        <v>499</v>
      </c>
    </row>
    <row r="15" spans="1:21" ht="15" x14ac:dyDescent="0.25">
      <c r="B15" s="2">
        <v>27.22</v>
      </c>
      <c r="C15" s="15">
        <v>28</v>
      </c>
      <c r="D15" s="472">
        <f t="shared" si="0"/>
        <v>762.16</v>
      </c>
      <c r="E15" s="394">
        <v>44134</v>
      </c>
      <c r="F15" s="74">
        <f t="shared" si="1"/>
        <v>762.16</v>
      </c>
      <c r="G15" s="75" t="s">
        <v>154</v>
      </c>
      <c r="H15" s="76">
        <v>62</v>
      </c>
      <c r="I15" s="262">
        <f t="shared" si="4"/>
        <v>11922.359999999999</v>
      </c>
      <c r="J15" s="79">
        <f t="shared" si="5"/>
        <v>438</v>
      </c>
      <c r="M15" s="2">
        <v>27.22</v>
      </c>
      <c r="N15" s="15">
        <v>5</v>
      </c>
      <c r="O15" s="472">
        <f t="shared" si="2"/>
        <v>136.1</v>
      </c>
      <c r="P15" s="394">
        <v>44165</v>
      </c>
      <c r="Q15" s="74">
        <f t="shared" si="3"/>
        <v>136.1</v>
      </c>
      <c r="R15" s="75" t="s">
        <v>444</v>
      </c>
      <c r="S15" s="76">
        <v>62</v>
      </c>
      <c r="T15" s="262">
        <f t="shared" si="6"/>
        <v>13446.679999999997</v>
      </c>
      <c r="U15" s="79">
        <f t="shared" si="7"/>
        <v>494</v>
      </c>
    </row>
    <row r="16" spans="1:21" ht="15" x14ac:dyDescent="0.25">
      <c r="B16" s="2">
        <v>27.22</v>
      </c>
      <c r="C16" s="15">
        <v>28</v>
      </c>
      <c r="D16" s="472">
        <f t="shared" si="0"/>
        <v>762.16</v>
      </c>
      <c r="E16" s="392">
        <v>44134</v>
      </c>
      <c r="F16" s="74">
        <f t="shared" si="1"/>
        <v>762.16</v>
      </c>
      <c r="G16" s="75" t="s">
        <v>156</v>
      </c>
      <c r="H16" s="76">
        <v>62</v>
      </c>
      <c r="I16" s="262">
        <f t="shared" si="4"/>
        <v>11160.199999999999</v>
      </c>
      <c r="J16" s="79">
        <f t="shared" si="5"/>
        <v>410</v>
      </c>
      <c r="M16" s="2">
        <v>27.22</v>
      </c>
      <c r="N16" s="15">
        <v>32</v>
      </c>
      <c r="O16" s="472">
        <f t="shared" si="2"/>
        <v>871.04</v>
      </c>
      <c r="P16" s="392">
        <v>44166</v>
      </c>
      <c r="Q16" s="74">
        <f t="shared" si="3"/>
        <v>871.04</v>
      </c>
      <c r="R16" s="75" t="s">
        <v>447</v>
      </c>
      <c r="S16" s="76">
        <v>62</v>
      </c>
      <c r="T16" s="262">
        <f t="shared" si="6"/>
        <v>12575.639999999996</v>
      </c>
      <c r="U16" s="79">
        <f t="shared" si="7"/>
        <v>462</v>
      </c>
    </row>
    <row r="17" spans="1:21" ht="15" x14ac:dyDescent="0.25">
      <c r="B17" s="2">
        <v>27.22</v>
      </c>
      <c r="C17" s="15">
        <v>28</v>
      </c>
      <c r="D17" s="472">
        <f t="shared" si="0"/>
        <v>762.16</v>
      </c>
      <c r="E17" s="394">
        <v>44135</v>
      </c>
      <c r="F17" s="74">
        <f t="shared" si="1"/>
        <v>762.16</v>
      </c>
      <c r="G17" s="75" t="s">
        <v>158</v>
      </c>
      <c r="H17" s="76">
        <v>62</v>
      </c>
      <c r="I17" s="262">
        <f t="shared" si="4"/>
        <v>10398.039999999999</v>
      </c>
      <c r="J17" s="79">
        <f t="shared" si="5"/>
        <v>382</v>
      </c>
      <c r="M17" s="2">
        <v>27.22</v>
      </c>
      <c r="N17" s="15">
        <v>5</v>
      </c>
      <c r="O17" s="472">
        <f t="shared" si="2"/>
        <v>136.1</v>
      </c>
      <c r="P17" s="394">
        <v>44166</v>
      </c>
      <c r="Q17" s="74">
        <f t="shared" si="3"/>
        <v>136.1</v>
      </c>
      <c r="R17" s="75" t="s">
        <v>455</v>
      </c>
      <c r="S17" s="76">
        <v>62</v>
      </c>
      <c r="T17" s="262">
        <f t="shared" si="6"/>
        <v>12439.539999999995</v>
      </c>
      <c r="U17" s="79">
        <f t="shared" si="7"/>
        <v>457</v>
      </c>
    </row>
    <row r="18" spans="1:21" ht="15" x14ac:dyDescent="0.25">
      <c r="B18" s="2">
        <v>27.22</v>
      </c>
      <c r="C18" s="15">
        <v>28</v>
      </c>
      <c r="D18" s="885">
        <f t="shared" si="0"/>
        <v>762.16</v>
      </c>
      <c r="E18" s="886">
        <v>44139</v>
      </c>
      <c r="F18" s="872">
        <f t="shared" si="1"/>
        <v>762.16</v>
      </c>
      <c r="G18" s="887" t="s">
        <v>326</v>
      </c>
      <c r="H18" s="888">
        <v>62</v>
      </c>
      <c r="I18" s="262">
        <f t="shared" si="4"/>
        <v>9635.8799999999992</v>
      </c>
      <c r="J18" s="79">
        <f t="shared" si="5"/>
        <v>354</v>
      </c>
      <c r="M18" s="2">
        <v>27.22</v>
      </c>
      <c r="N18" s="15">
        <v>32</v>
      </c>
      <c r="O18" s="472">
        <f t="shared" si="2"/>
        <v>871.04</v>
      </c>
      <c r="P18" s="394">
        <v>44167</v>
      </c>
      <c r="Q18" s="74">
        <f t="shared" si="3"/>
        <v>871.04</v>
      </c>
      <c r="R18" s="75" t="s">
        <v>457</v>
      </c>
      <c r="S18" s="76">
        <v>62</v>
      </c>
      <c r="T18" s="262">
        <f t="shared" si="6"/>
        <v>11568.499999999996</v>
      </c>
      <c r="U18" s="79">
        <f t="shared" si="7"/>
        <v>425</v>
      </c>
    </row>
    <row r="19" spans="1:21" ht="15" x14ac:dyDescent="0.25">
      <c r="B19" s="2">
        <v>27.22</v>
      </c>
      <c r="C19" s="15">
        <v>28</v>
      </c>
      <c r="D19" s="885">
        <f t="shared" si="0"/>
        <v>762.16</v>
      </c>
      <c r="E19" s="873">
        <v>44140</v>
      </c>
      <c r="F19" s="872">
        <f t="shared" si="1"/>
        <v>762.16</v>
      </c>
      <c r="G19" s="887" t="s">
        <v>328</v>
      </c>
      <c r="H19" s="888">
        <v>62</v>
      </c>
      <c r="I19" s="262">
        <f t="shared" si="4"/>
        <v>8873.7199999999993</v>
      </c>
      <c r="J19" s="79">
        <f t="shared" si="5"/>
        <v>326</v>
      </c>
      <c r="M19" s="2">
        <v>27.22</v>
      </c>
      <c r="N19" s="15">
        <v>32</v>
      </c>
      <c r="O19" s="472">
        <f t="shared" si="2"/>
        <v>871.04</v>
      </c>
      <c r="P19" s="392">
        <v>44168</v>
      </c>
      <c r="Q19" s="74">
        <f t="shared" si="3"/>
        <v>871.04</v>
      </c>
      <c r="R19" s="75" t="s">
        <v>480</v>
      </c>
      <c r="S19" s="76">
        <v>62</v>
      </c>
      <c r="T19" s="262">
        <f t="shared" si="6"/>
        <v>10697.459999999995</v>
      </c>
      <c r="U19" s="79">
        <f t="shared" si="7"/>
        <v>393</v>
      </c>
    </row>
    <row r="20" spans="1:21" ht="15" x14ac:dyDescent="0.25">
      <c r="B20" s="2">
        <v>27.22</v>
      </c>
      <c r="C20" s="15">
        <v>29</v>
      </c>
      <c r="D20" s="885">
        <f t="shared" si="0"/>
        <v>789.38</v>
      </c>
      <c r="E20" s="873">
        <v>44141</v>
      </c>
      <c r="F20" s="872">
        <f t="shared" si="1"/>
        <v>789.38</v>
      </c>
      <c r="G20" s="887" t="s">
        <v>338</v>
      </c>
      <c r="H20" s="888">
        <v>62</v>
      </c>
      <c r="I20" s="262">
        <f t="shared" si="4"/>
        <v>8084.3399999999992</v>
      </c>
      <c r="J20" s="79">
        <f t="shared" si="5"/>
        <v>297</v>
      </c>
      <c r="M20" s="2">
        <v>27.22</v>
      </c>
      <c r="N20" s="15">
        <v>32</v>
      </c>
      <c r="O20" s="472">
        <f t="shared" si="2"/>
        <v>871.04</v>
      </c>
      <c r="P20" s="392">
        <v>44169</v>
      </c>
      <c r="Q20" s="74">
        <f t="shared" si="3"/>
        <v>871.04</v>
      </c>
      <c r="R20" s="75" t="s">
        <v>486</v>
      </c>
      <c r="S20" s="76">
        <v>62</v>
      </c>
      <c r="T20" s="262">
        <f t="shared" si="6"/>
        <v>9826.4199999999946</v>
      </c>
      <c r="U20" s="79">
        <f t="shared" si="7"/>
        <v>361</v>
      </c>
    </row>
    <row r="21" spans="1:21" ht="15" x14ac:dyDescent="0.25">
      <c r="A21" t="s">
        <v>22</v>
      </c>
      <c r="B21" s="2">
        <v>27.22</v>
      </c>
      <c r="C21" s="15">
        <v>56</v>
      </c>
      <c r="D21" s="885">
        <f t="shared" si="0"/>
        <v>1524.32</v>
      </c>
      <c r="E21" s="873">
        <v>44141</v>
      </c>
      <c r="F21" s="872">
        <f t="shared" si="1"/>
        <v>1524.32</v>
      </c>
      <c r="G21" s="887" t="s">
        <v>349</v>
      </c>
      <c r="H21" s="888">
        <v>62</v>
      </c>
      <c r="I21" s="262">
        <f t="shared" si="4"/>
        <v>6560.0199999999995</v>
      </c>
      <c r="J21" s="79">
        <f t="shared" si="5"/>
        <v>241</v>
      </c>
      <c r="L21" t="s">
        <v>22</v>
      </c>
      <c r="M21" s="2">
        <v>27.22</v>
      </c>
      <c r="N21" s="15">
        <v>1</v>
      </c>
      <c r="O21" s="472">
        <f t="shared" si="2"/>
        <v>27.22</v>
      </c>
      <c r="P21" s="392">
        <v>44169</v>
      </c>
      <c r="Q21" s="74">
        <f t="shared" si="3"/>
        <v>27.22</v>
      </c>
      <c r="R21" s="75" t="s">
        <v>490</v>
      </c>
      <c r="S21" s="76">
        <v>62</v>
      </c>
      <c r="T21" s="262">
        <f t="shared" si="6"/>
        <v>9799.1999999999953</v>
      </c>
      <c r="U21" s="79">
        <f t="shared" si="7"/>
        <v>360</v>
      </c>
    </row>
    <row r="22" spans="1:21" ht="15" x14ac:dyDescent="0.25">
      <c r="B22" s="2">
        <v>27.22</v>
      </c>
      <c r="C22" s="15">
        <v>28</v>
      </c>
      <c r="D22" s="885">
        <f t="shared" si="0"/>
        <v>762.16</v>
      </c>
      <c r="E22" s="886">
        <v>44142</v>
      </c>
      <c r="F22" s="872">
        <f t="shared" si="1"/>
        <v>762.16</v>
      </c>
      <c r="G22" s="887" t="s">
        <v>352</v>
      </c>
      <c r="H22" s="888">
        <v>62</v>
      </c>
      <c r="I22" s="262">
        <f t="shared" si="4"/>
        <v>5797.86</v>
      </c>
      <c r="J22" s="79">
        <f t="shared" si="5"/>
        <v>213</v>
      </c>
      <c r="M22" s="2">
        <v>27.22</v>
      </c>
      <c r="N22" s="15">
        <v>32</v>
      </c>
      <c r="O22" s="472">
        <f t="shared" si="2"/>
        <v>871.04</v>
      </c>
      <c r="P22" s="394">
        <v>44169</v>
      </c>
      <c r="Q22" s="74">
        <f t="shared" si="3"/>
        <v>871.04</v>
      </c>
      <c r="R22" s="75" t="s">
        <v>491</v>
      </c>
      <c r="S22" s="76">
        <v>62</v>
      </c>
      <c r="T22" s="262">
        <f t="shared" si="6"/>
        <v>8928.1599999999962</v>
      </c>
      <c r="U22" s="79">
        <f t="shared" si="7"/>
        <v>328</v>
      </c>
    </row>
    <row r="23" spans="1:21" ht="15" x14ac:dyDescent="0.25">
      <c r="B23" s="2">
        <v>27.22</v>
      </c>
      <c r="C23" s="15">
        <v>28</v>
      </c>
      <c r="D23" s="885">
        <f t="shared" si="0"/>
        <v>762.16</v>
      </c>
      <c r="E23" s="873">
        <v>44145</v>
      </c>
      <c r="F23" s="872">
        <f t="shared" si="1"/>
        <v>762.16</v>
      </c>
      <c r="G23" s="887" t="s">
        <v>360</v>
      </c>
      <c r="H23" s="888">
        <v>62</v>
      </c>
      <c r="I23" s="262">
        <f t="shared" si="4"/>
        <v>5035.7</v>
      </c>
      <c r="J23" s="79">
        <f t="shared" si="5"/>
        <v>185</v>
      </c>
      <c r="M23" s="2">
        <v>27.22</v>
      </c>
      <c r="N23" s="15">
        <v>10</v>
      </c>
      <c r="O23" s="472">
        <f t="shared" si="2"/>
        <v>272.2</v>
      </c>
      <c r="P23" s="392">
        <v>44170</v>
      </c>
      <c r="Q23" s="74">
        <f t="shared" si="3"/>
        <v>272.2</v>
      </c>
      <c r="R23" s="75" t="s">
        <v>498</v>
      </c>
      <c r="S23" s="76">
        <v>62</v>
      </c>
      <c r="T23" s="262">
        <f t="shared" si="6"/>
        <v>8655.9599999999955</v>
      </c>
      <c r="U23" s="79">
        <f t="shared" si="7"/>
        <v>318</v>
      </c>
    </row>
    <row r="24" spans="1:21" ht="15" x14ac:dyDescent="0.25">
      <c r="B24" s="2">
        <v>27.22</v>
      </c>
      <c r="C24" s="15">
        <v>30</v>
      </c>
      <c r="D24" s="885">
        <f t="shared" si="0"/>
        <v>816.59999999999991</v>
      </c>
      <c r="E24" s="886">
        <v>44148</v>
      </c>
      <c r="F24" s="872">
        <f t="shared" si="1"/>
        <v>816.59999999999991</v>
      </c>
      <c r="G24" s="887" t="s">
        <v>370</v>
      </c>
      <c r="H24" s="888">
        <v>62</v>
      </c>
      <c r="I24" s="262">
        <f t="shared" si="4"/>
        <v>4219.1000000000004</v>
      </c>
      <c r="J24" s="79">
        <f t="shared" si="5"/>
        <v>155</v>
      </c>
      <c r="M24" s="2">
        <v>27.22</v>
      </c>
      <c r="N24" s="15">
        <v>64</v>
      </c>
      <c r="O24" s="472">
        <f t="shared" si="2"/>
        <v>1742.08</v>
      </c>
      <c r="P24" s="394">
        <v>44170</v>
      </c>
      <c r="Q24" s="74">
        <f t="shared" si="3"/>
        <v>1742.08</v>
      </c>
      <c r="R24" s="75" t="s">
        <v>504</v>
      </c>
      <c r="S24" s="76">
        <v>62</v>
      </c>
      <c r="T24" s="262">
        <f t="shared" si="6"/>
        <v>6913.8799999999956</v>
      </c>
      <c r="U24" s="79">
        <f t="shared" si="7"/>
        <v>254</v>
      </c>
    </row>
    <row r="25" spans="1:21" ht="15" x14ac:dyDescent="0.25">
      <c r="B25" s="2">
        <v>27.22</v>
      </c>
      <c r="C25" s="15">
        <v>28</v>
      </c>
      <c r="D25" s="885">
        <f t="shared" si="0"/>
        <v>762.16</v>
      </c>
      <c r="E25" s="886">
        <v>44148</v>
      </c>
      <c r="F25" s="872">
        <f t="shared" si="1"/>
        <v>762.16</v>
      </c>
      <c r="G25" s="887" t="s">
        <v>380</v>
      </c>
      <c r="H25" s="888">
        <v>62</v>
      </c>
      <c r="I25" s="262">
        <f t="shared" si="4"/>
        <v>3456.9400000000005</v>
      </c>
      <c r="J25" s="79">
        <f t="shared" si="5"/>
        <v>127</v>
      </c>
      <c r="M25" s="2">
        <v>27.22</v>
      </c>
      <c r="N25" s="15"/>
      <c r="O25" s="472">
        <f t="shared" si="2"/>
        <v>0</v>
      </c>
      <c r="P25" s="394"/>
      <c r="Q25" s="74">
        <f t="shared" si="3"/>
        <v>0</v>
      </c>
      <c r="R25" s="75"/>
      <c r="S25" s="76"/>
      <c r="T25" s="262">
        <f t="shared" si="6"/>
        <v>6913.8799999999956</v>
      </c>
      <c r="U25" s="79">
        <f t="shared" si="7"/>
        <v>254</v>
      </c>
    </row>
    <row r="26" spans="1:21" ht="15" x14ac:dyDescent="0.25">
      <c r="B26" s="2">
        <v>27.22</v>
      </c>
      <c r="C26" s="15">
        <v>28</v>
      </c>
      <c r="D26" s="885">
        <f t="shared" si="0"/>
        <v>762.16</v>
      </c>
      <c r="E26" s="886">
        <v>44149</v>
      </c>
      <c r="F26" s="872">
        <f t="shared" si="1"/>
        <v>762.16</v>
      </c>
      <c r="G26" s="887" t="s">
        <v>379</v>
      </c>
      <c r="H26" s="888">
        <v>62</v>
      </c>
      <c r="I26" s="262">
        <f t="shared" si="4"/>
        <v>2694.7800000000007</v>
      </c>
      <c r="J26" s="79">
        <f t="shared" si="5"/>
        <v>99</v>
      </c>
      <c r="M26" s="2">
        <v>27.22</v>
      </c>
      <c r="N26" s="15"/>
      <c r="O26" s="472">
        <f t="shared" si="2"/>
        <v>0</v>
      </c>
      <c r="P26" s="394"/>
      <c r="Q26" s="74">
        <f t="shared" si="3"/>
        <v>0</v>
      </c>
      <c r="R26" s="75"/>
      <c r="S26" s="76"/>
      <c r="T26" s="262">
        <f t="shared" si="6"/>
        <v>6913.8799999999956</v>
      </c>
      <c r="U26" s="79">
        <f t="shared" si="7"/>
        <v>254</v>
      </c>
    </row>
    <row r="27" spans="1:21" ht="15" x14ac:dyDescent="0.25">
      <c r="B27" s="2">
        <v>27.22</v>
      </c>
      <c r="C27" s="15">
        <v>10</v>
      </c>
      <c r="D27" s="885">
        <f t="shared" si="0"/>
        <v>272.2</v>
      </c>
      <c r="E27" s="886">
        <v>44152</v>
      </c>
      <c r="F27" s="872">
        <f t="shared" si="1"/>
        <v>272.2</v>
      </c>
      <c r="G27" s="887" t="s">
        <v>392</v>
      </c>
      <c r="H27" s="888">
        <v>62</v>
      </c>
      <c r="I27" s="262">
        <f t="shared" si="4"/>
        <v>2422.5800000000008</v>
      </c>
      <c r="J27" s="79">
        <f t="shared" si="5"/>
        <v>89</v>
      </c>
      <c r="M27" s="2">
        <v>27.22</v>
      </c>
      <c r="N27" s="15"/>
      <c r="O27" s="472">
        <f t="shared" si="2"/>
        <v>0</v>
      </c>
      <c r="P27" s="394"/>
      <c r="Q27" s="74">
        <f t="shared" si="3"/>
        <v>0</v>
      </c>
      <c r="R27" s="75"/>
      <c r="S27" s="76"/>
      <c r="T27" s="262">
        <f t="shared" si="6"/>
        <v>6913.8799999999956</v>
      </c>
      <c r="U27" s="79">
        <f t="shared" si="7"/>
        <v>254</v>
      </c>
    </row>
    <row r="28" spans="1:21" ht="15" x14ac:dyDescent="0.25">
      <c r="B28" s="2">
        <v>27.22</v>
      </c>
      <c r="C28" s="15">
        <v>28</v>
      </c>
      <c r="D28" s="885">
        <f t="shared" si="0"/>
        <v>762.16</v>
      </c>
      <c r="E28" s="886">
        <v>44154</v>
      </c>
      <c r="F28" s="872">
        <f t="shared" si="1"/>
        <v>762.16</v>
      </c>
      <c r="G28" s="862" t="s">
        <v>397</v>
      </c>
      <c r="H28" s="863">
        <v>62</v>
      </c>
      <c r="I28" s="317">
        <f t="shared" si="4"/>
        <v>1660.420000000001</v>
      </c>
      <c r="J28" s="289">
        <f t="shared" si="5"/>
        <v>61</v>
      </c>
      <c r="M28" s="2">
        <v>27.22</v>
      </c>
      <c r="N28" s="15"/>
      <c r="O28" s="472">
        <f t="shared" si="2"/>
        <v>0</v>
      </c>
      <c r="P28" s="394"/>
      <c r="Q28" s="74">
        <f t="shared" si="3"/>
        <v>0</v>
      </c>
      <c r="R28" s="315"/>
      <c r="S28" s="316"/>
      <c r="T28" s="317">
        <f t="shared" si="6"/>
        <v>6913.8799999999956</v>
      </c>
      <c r="U28" s="289">
        <f t="shared" si="7"/>
        <v>254</v>
      </c>
    </row>
    <row r="29" spans="1:21" ht="15" x14ac:dyDescent="0.25">
      <c r="B29" s="2">
        <v>27.22</v>
      </c>
      <c r="C29" s="15">
        <v>10</v>
      </c>
      <c r="D29" s="885">
        <f t="shared" si="0"/>
        <v>272.2</v>
      </c>
      <c r="E29" s="886">
        <v>44154</v>
      </c>
      <c r="F29" s="872">
        <f t="shared" si="1"/>
        <v>272.2</v>
      </c>
      <c r="G29" s="862" t="s">
        <v>402</v>
      </c>
      <c r="H29" s="863">
        <v>62</v>
      </c>
      <c r="I29" s="317">
        <f t="shared" si="4"/>
        <v>1388.2200000000009</v>
      </c>
      <c r="J29" s="289">
        <f t="shared" si="5"/>
        <v>51</v>
      </c>
      <c r="M29" s="2">
        <v>27.22</v>
      </c>
      <c r="N29" s="15"/>
      <c r="O29" s="472">
        <f t="shared" si="2"/>
        <v>0</v>
      </c>
      <c r="P29" s="394"/>
      <c r="Q29" s="74">
        <f t="shared" si="3"/>
        <v>0</v>
      </c>
      <c r="R29" s="315"/>
      <c r="S29" s="316"/>
      <c r="T29" s="317">
        <f t="shared" si="6"/>
        <v>6913.8799999999956</v>
      </c>
      <c r="U29" s="289">
        <f t="shared" si="7"/>
        <v>254</v>
      </c>
    </row>
    <row r="30" spans="1:21" ht="15" x14ac:dyDescent="0.25">
      <c r="B30" s="2">
        <v>27.22</v>
      </c>
      <c r="C30" s="15">
        <v>28</v>
      </c>
      <c r="D30" s="885">
        <f t="shared" si="0"/>
        <v>762.16</v>
      </c>
      <c r="E30" s="886">
        <v>44154</v>
      </c>
      <c r="F30" s="872">
        <f t="shared" si="1"/>
        <v>762.16</v>
      </c>
      <c r="G30" s="862" t="s">
        <v>403</v>
      </c>
      <c r="H30" s="863">
        <v>62</v>
      </c>
      <c r="I30" s="317">
        <f t="shared" si="4"/>
        <v>626.06000000000097</v>
      </c>
      <c r="J30" s="289">
        <f t="shared" si="5"/>
        <v>23</v>
      </c>
      <c r="M30" s="2">
        <v>27.22</v>
      </c>
      <c r="N30" s="15"/>
      <c r="O30" s="472">
        <f t="shared" si="2"/>
        <v>0</v>
      </c>
      <c r="P30" s="394"/>
      <c r="Q30" s="74">
        <f t="shared" si="3"/>
        <v>0</v>
      </c>
      <c r="R30" s="315"/>
      <c r="S30" s="316"/>
      <c r="T30" s="317">
        <f t="shared" si="6"/>
        <v>6913.8799999999956</v>
      </c>
      <c r="U30" s="289">
        <f t="shared" si="7"/>
        <v>254</v>
      </c>
    </row>
    <row r="31" spans="1:21" ht="15" x14ac:dyDescent="0.25">
      <c r="B31" s="2">
        <v>27.22</v>
      </c>
      <c r="C31" s="15"/>
      <c r="D31" s="885">
        <f t="shared" si="0"/>
        <v>0</v>
      </c>
      <c r="E31" s="886"/>
      <c r="F31" s="872">
        <f t="shared" si="1"/>
        <v>0</v>
      </c>
      <c r="G31" s="901"/>
      <c r="H31" s="902"/>
      <c r="I31" s="930">
        <f t="shared" si="4"/>
        <v>626.06000000000097</v>
      </c>
      <c r="J31" s="917">
        <f t="shared" si="5"/>
        <v>23</v>
      </c>
      <c r="M31" s="2">
        <v>27.22</v>
      </c>
      <c r="N31" s="15"/>
      <c r="O31" s="472">
        <f t="shared" si="2"/>
        <v>0</v>
      </c>
      <c r="P31" s="394"/>
      <c r="Q31" s="74">
        <f t="shared" si="3"/>
        <v>0</v>
      </c>
      <c r="R31" s="315"/>
      <c r="S31" s="316"/>
      <c r="T31" s="317">
        <f t="shared" si="6"/>
        <v>6913.8799999999956</v>
      </c>
      <c r="U31" s="289">
        <f t="shared" si="7"/>
        <v>254</v>
      </c>
    </row>
    <row r="32" spans="1:21" ht="15" x14ac:dyDescent="0.25">
      <c r="B32" s="2">
        <v>27.22</v>
      </c>
      <c r="C32" s="15"/>
      <c r="D32" s="885">
        <f t="shared" si="0"/>
        <v>0</v>
      </c>
      <c r="E32" s="886"/>
      <c r="F32" s="872">
        <f t="shared" si="1"/>
        <v>0</v>
      </c>
      <c r="G32" s="901"/>
      <c r="H32" s="902"/>
      <c r="I32" s="930">
        <f t="shared" si="4"/>
        <v>626.06000000000097</v>
      </c>
      <c r="J32" s="917">
        <f t="shared" si="5"/>
        <v>23</v>
      </c>
      <c r="M32" s="2">
        <v>27.22</v>
      </c>
      <c r="N32" s="15"/>
      <c r="O32" s="472">
        <f t="shared" si="2"/>
        <v>0</v>
      </c>
      <c r="P32" s="394"/>
      <c r="Q32" s="74">
        <f t="shared" si="3"/>
        <v>0</v>
      </c>
      <c r="R32" s="315"/>
      <c r="S32" s="316"/>
      <c r="T32" s="317">
        <f t="shared" si="6"/>
        <v>6913.8799999999956</v>
      </c>
      <c r="U32" s="289">
        <f t="shared" si="7"/>
        <v>254</v>
      </c>
    </row>
    <row r="33" spans="2:21" ht="15" x14ac:dyDescent="0.25">
      <c r="B33" s="2">
        <v>27.22</v>
      </c>
      <c r="C33" s="15">
        <v>23</v>
      </c>
      <c r="D33" s="885">
        <f t="shared" si="0"/>
        <v>626.05999999999995</v>
      </c>
      <c r="E33" s="886"/>
      <c r="F33" s="872">
        <f t="shared" si="1"/>
        <v>626.05999999999995</v>
      </c>
      <c r="G33" s="901"/>
      <c r="H33" s="902"/>
      <c r="I33" s="930">
        <f t="shared" si="4"/>
        <v>1.0231815394945443E-12</v>
      </c>
      <c r="J33" s="917">
        <f t="shared" si="5"/>
        <v>0</v>
      </c>
      <c r="M33" s="2">
        <v>27.22</v>
      </c>
      <c r="N33" s="15"/>
      <c r="O33" s="472">
        <f t="shared" si="2"/>
        <v>0</v>
      </c>
      <c r="P33" s="394"/>
      <c r="Q33" s="74">
        <f t="shared" si="3"/>
        <v>0</v>
      </c>
      <c r="R33" s="75"/>
      <c r="S33" s="76"/>
      <c r="T33" s="262">
        <f t="shared" si="6"/>
        <v>6913.8799999999956</v>
      </c>
      <c r="U33" s="79">
        <f t="shared" si="7"/>
        <v>254</v>
      </c>
    </row>
    <row r="34" spans="2:21" ht="15" x14ac:dyDescent="0.25">
      <c r="B34" s="2">
        <v>27.22</v>
      </c>
      <c r="C34" s="15"/>
      <c r="D34" s="885">
        <f t="shared" si="0"/>
        <v>0</v>
      </c>
      <c r="E34" s="886"/>
      <c r="F34" s="872">
        <f t="shared" si="1"/>
        <v>0</v>
      </c>
      <c r="G34" s="901"/>
      <c r="H34" s="902"/>
      <c r="I34" s="930">
        <f t="shared" si="4"/>
        <v>1.0231815394945443E-12</v>
      </c>
      <c r="J34" s="917">
        <f t="shared" si="5"/>
        <v>0</v>
      </c>
      <c r="M34" s="2">
        <v>27.22</v>
      </c>
      <c r="N34" s="15"/>
      <c r="O34" s="673">
        <f t="shared" si="2"/>
        <v>0</v>
      </c>
      <c r="P34" s="674"/>
      <c r="Q34" s="268">
        <f t="shared" si="3"/>
        <v>0</v>
      </c>
      <c r="R34" s="199"/>
      <c r="S34" s="127"/>
      <c r="T34" s="262">
        <f t="shared" si="6"/>
        <v>6913.8799999999956</v>
      </c>
      <c r="U34" s="79">
        <f t="shared" si="7"/>
        <v>254</v>
      </c>
    </row>
    <row r="35" spans="2:21" ht="15" x14ac:dyDescent="0.25">
      <c r="B35" s="2">
        <v>27.22</v>
      </c>
      <c r="C35" s="15"/>
      <c r="D35" s="885">
        <f t="shared" si="0"/>
        <v>0</v>
      </c>
      <c r="E35" s="886"/>
      <c r="F35" s="872">
        <f t="shared" si="1"/>
        <v>0</v>
      </c>
      <c r="G35" s="901"/>
      <c r="H35" s="902"/>
      <c r="I35" s="930">
        <f t="shared" si="4"/>
        <v>1.0231815394945443E-12</v>
      </c>
      <c r="J35" s="917">
        <f t="shared" si="5"/>
        <v>0</v>
      </c>
      <c r="M35" s="2">
        <v>27.22</v>
      </c>
      <c r="N35" s="15"/>
      <c r="O35" s="673">
        <f t="shared" si="2"/>
        <v>0</v>
      </c>
      <c r="P35" s="674"/>
      <c r="Q35" s="268">
        <f t="shared" si="3"/>
        <v>0</v>
      </c>
      <c r="R35" s="199"/>
      <c r="S35" s="127"/>
      <c r="T35" s="262">
        <f t="shared" si="6"/>
        <v>6913.8799999999956</v>
      </c>
      <c r="U35" s="79">
        <f t="shared" si="7"/>
        <v>254</v>
      </c>
    </row>
    <row r="36" spans="2:21" ht="15" x14ac:dyDescent="0.25">
      <c r="B36" s="2">
        <v>27.22</v>
      </c>
      <c r="C36" s="15"/>
      <c r="D36" s="872">
        <f t="shared" si="0"/>
        <v>0</v>
      </c>
      <c r="E36" s="889"/>
      <c r="F36" s="872">
        <f t="shared" si="1"/>
        <v>0</v>
      </c>
      <c r="G36" s="887"/>
      <c r="H36" s="888"/>
      <c r="I36" s="262">
        <f t="shared" si="4"/>
        <v>1.0231815394945443E-12</v>
      </c>
      <c r="J36" s="79">
        <f t="shared" si="5"/>
        <v>0</v>
      </c>
      <c r="M36" s="2">
        <v>27.22</v>
      </c>
      <c r="N36" s="15"/>
      <c r="O36" s="268">
        <f t="shared" si="2"/>
        <v>0</v>
      </c>
      <c r="P36" s="395"/>
      <c r="Q36" s="268">
        <f t="shared" si="3"/>
        <v>0</v>
      </c>
      <c r="R36" s="199"/>
      <c r="S36" s="127"/>
      <c r="T36" s="262">
        <f t="shared" si="6"/>
        <v>6913.8799999999956</v>
      </c>
      <c r="U36" s="79">
        <f t="shared" si="7"/>
        <v>254</v>
      </c>
    </row>
    <row r="37" spans="2:21" ht="15" x14ac:dyDescent="0.25">
      <c r="B37" s="2">
        <v>27.22</v>
      </c>
      <c r="C37" s="15"/>
      <c r="D37" s="872">
        <f t="shared" si="0"/>
        <v>0</v>
      </c>
      <c r="E37" s="889"/>
      <c r="F37" s="872">
        <f t="shared" si="1"/>
        <v>0</v>
      </c>
      <c r="G37" s="887"/>
      <c r="H37" s="888"/>
      <c r="I37" s="262">
        <f t="shared" si="4"/>
        <v>1.0231815394945443E-12</v>
      </c>
      <c r="J37" s="79">
        <f t="shared" si="5"/>
        <v>0</v>
      </c>
      <c r="M37" s="2">
        <v>27.22</v>
      </c>
      <c r="N37" s="15"/>
      <c r="O37" s="268">
        <f t="shared" si="2"/>
        <v>0</v>
      </c>
      <c r="P37" s="395"/>
      <c r="Q37" s="268">
        <f t="shared" si="3"/>
        <v>0</v>
      </c>
      <c r="R37" s="199"/>
      <c r="S37" s="127"/>
      <c r="T37" s="262">
        <f t="shared" si="6"/>
        <v>6913.8799999999956</v>
      </c>
      <c r="U37" s="79">
        <f t="shared" si="7"/>
        <v>254</v>
      </c>
    </row>
    <row r="38" spans="2:21" ht="15" x14ac:dyDescent="0.25">
      <c r="B38" s="2">
        <v>27.22</v>
      </c>
      <c r="C38" s="15"/>
      <c r="D38" s="268">
        <f t="shared" si="0"/>
        <v>0</v>
      </c>
      <c r="E38" s="395"/>
      <c r="F38" s="268">
        <f t="shared" si="1"/>
        <v>0</v>
      </c>
      <c r="G38" s="199"/>
      <c r="H38" s="127"/>
      <c r="I38" s="262">
        <f t="shared" si="4"/>
        <v>1.0231815394945443E-12</v>
      </c>
      <c r="J38" s="79">
        <f t="shared" si="5"/>
        <v>0</v>
      </c>
      <c r="M38" s="2">
        <v>27.22</v>
      </c>
      <c r="N38" s="15"/>
      <c r="O38" s="268">
        <f t="shared" si="2"/>
        <v>0</v>
      </c>
      <c r="P38" s="395"/>
      <c r="Q38" s="268">
        <f t="shared" si="3"/>
        <v>0</v>
      </c>
      <c r="R38" s="199"/>
      <c r="S38" s="127"/>
      <c r="T38" s="262">
        <f t="shared" si="6"/>
        <v>6913.8799999999956</v>
      </c>
      <c r="U38" s="79">
        <f t="shared" si="7"/>
        <v>254</v>
      </c>
    </row>
    <row r="39" spans="2:21" ht="15" x14ac:dyDescent="0.25">
      <c r="B39" s="2">
        <v>27.22</v>
      </c>
      <c r="C39" s="15"/>
      <c r="D39" s="268">
        <f t="shared" si="0"/>
        <v>0</v>
      </c>
      <c r="E39" s="395"/>
      <c r="F39" s="268">
        <f t="shared" si="1"/>
        <v>0</v>
      </c>
      <c r="G39" s="199"/>
      <c r="H39" s="127"/>
      <c r="I39" s="262">
        <f t="shared" si="4"/>
        <v>1.0231815394945443E-12</v>
      </c>
      <c r="J39" s="79">
        <f t="shared" si="5"/>
        <v>0</v>
      </c>
      <c r="M39" s="2">
        <v>27.22</v>
      </c>
      <c r="N39" s="15"/>
      <c r="O39" s="268">
        <f t="shared" si="2"/>
        <v>0</v>
      </c>
      <c r="P39" s="395"/>
      <c r="Q39" s="268">
        <f t="shared" si="3"/>
        <v>0</v>
      </c>
      <c r="R39" s="199"/>
      <c r="S39" s="127"/>
      <c r="T39" s="262">
        <f t="shared" si="6"/>
        <v>6913.8799999999956</v>
      </c>
      <c r="U39" s="79">
        <f t="shared" si="7"/>
        <v>254</v>
      </c>
    </row>
    <row r="40" spans="2:21" ht="15" x14ac:dyDescent="0.25">
      <c r="B40" s="2">
        <v>27.22</v>
      </c>
      <c r="C40" s="15"/>
      <c r="D40" s="268">
        <f t="shared" si="0"/>
        <v>0</v>
      </c>
      <c r="E40" s="395"/>
      <c r="F40" s="268">
        <f t="shared" si="1"/>
        <v>0</v>
      </c>
      <c r="G40" s="199"/>
      <c r="H40" s="127"/>
      <c r="I40" s="262">
        <f t="shared" si="4"/>
        <v>1.0231815394945443E-12</v>
      </c>
      <c r="J40" s="79">
        <f t="shared" si="5"/>
        <v>0</v>
      </c>
      <c r="M40" s="2">
        <v>27.22</v>
      </c>
      <c r="N40" s="15"/>
      <c r="O40" s="268">
        <f t="shared" si="2"/>
        <v>0</v>
      </c>
      <c r="P40" s="395"/>
      <c r="Q40" s="268">
        <f t="shared" si="3"/>
        <v>0</v>
      </c>
      <c r="R40" s="199"/>
      <c r="S40" s="127"/>
      <c r="T40" s="262">
        <f t="shared" si="6"/>
        <v>6913.8799999999956</v>
      </c>
      <c r="U40" s="79">
        <f t="shared" si="7"/>
        <v>254</v>
      </c>
    </row>
    <row r="41" spans="2:21" ht="15" x14ac:dyDescent="0.25">
      <c r="B41" s="2">
        <v>27.22</v>
      </c>
      <c r="C41" s="15"/>
      <c r="D41" s="268">
        <f t="shared" si="0"/>
        <v>0</v>
      </c>
      <c r="E41" s="395"/>
      <c r="F41" s="268">
        <f t="shared" si="1"/>
        <v>0</v>
      </c>
      <c r="G41" s="199"/>
      <c r="H41" s="127"/>
      <c r="I41" s="262">
        <f t="shared" si="4"/>
        <v>1.0231815394945443E-12</v>
      </c>
      <c r="J41" s="79">
        <f t="shared" si="5"/>
        <v>0</v>
      </c>
      <c r="M41" s="2">
        <v>27.22</v>
      </c>
      <c r="N41" s="15"/>
      <c r="O41" s="268">
        <f t="shared" si="2"/>
        <v>0</v>
      </c>
      <c r="P41" s="395"/>
      <c r="Q41" s="268">
        <f t="shared" si="3"/>
        <v>0</v>
      </c>
      <c r="R41" s="199"/>
      <c r="S41" s="127"/>
      <c r="T41" s="262">
        <f t="shared" si="6"/>
        <v>6913.8799999999956</v>
      </c>
      <c r="U41" s="79">
        <f t="shared" si="7"/>
        <v>254</v>
      </c>
    </row>
    <row r="42" spans="2:21" ht="15" x14ac:dyDescent="0.25">
      <c r="B42" s="2">
        <v>27.22</v>
      </c>
      <c r="C42" s="15"/>
      <c r="D42" s="268">
        <f t="shared" si="0"/>
        <v>0</v>
      </c>
      <c r="E42" s="395"/>
      <c r="F42" s="268">
        <f t="shared" si="1"/>
        <v>0</v>
      </c>
      <c r="G42" s="199"/>
      <c r="H42" s="127"/>
      <c r="I42" s="262">
        <f t="shared" si="4"/>
        <v>1.0231815394945443E-12</v>
      </c>
      <c r="J42" s="79">
        <f t="shared" si="5"/>
        <v>0</v>
      </c>
      <c r="M42" s="2">
        <v>27.22</v>
      </c>
      <c r="N42" s="15"/>
      <c r="O42" s="268">
        <f t="shared" si="2"/>
        <v>0</v>
      </c>
      <c r="P42" s="395"/>
      <c r="Q42" s="268">
        <f t="shared" si="3"/>
        <v>0</v>
      </c>
      <c r="R42" s="199"/>
      <c r="S42" s="127"/>
      <c r="T42" s="262">
        <f t="shared" si="6"/>
        <v>6913.8799999999956</v>
      </c>
      <c r="U42" s="79">
        <f t="shared" si="7"/>
        <v>254</v>
      </c>
    </row>
    <row r="43" spans="2:21" ht="15" x14ac:dyDescent="0.25">
      <c r="B43" s="2">
        <v>27.22</v>
      </c>
      <c r="C43" s="15"/>
      <c r="D43" s="268">
        <f t="shared" si="0"/>
        <v>0</v>
      </c>
      <c r="E43" s="395"/>
      <c r="F43" s="268">
        <f t="shared" si="1"/>
        <v>0</v>
      </c>
      <c r="G43" s="199"/>
      <c r="H43" s="127"/>
      <c r="I43" s="262">
        <f t="shared" si="4"/>
        <v>1.0231815394945443E-12</v>
      </c>
      <c r="J43" s="79">
        <f t="shared" si="5"/>
        <v>0</v>
      </c>
      <c r="M43" s="2">
        <v>27.22</v>
      </c>
      <c r="N43" s="15"/>
      <c r="O43" s="268">
        <f t="shared" si="2"/>
        <v>0</v>
      </c>
      <c r="P43" s="395"/>
      <c r="Q43" s="268">
        <f t="shared" si="3"/>
        <v>0</v>
      </c>
      <c r="R43" s="199"/>
      <c r="S43" s="127"/>
      <c r="T43" s="262">
        <f t="shared" si="6"/>
        <v>6913.8799999999956</v>
      </c>
      <c r="U43" s="79">
        <f t="shared" si="7"/>
        <v>254</v>
      </c>
    </row>
    <row r="44" spans="2:21" ht="15" x14ac:dyDescent="0.25">
      <c r="B44" s="2">
        <v>27.22</v>
      </c>
      <c r="C44" s="15"/>
      <c r="D44" s="268">
        <f t="shared" si="0"/>
        <v>0</v>
      </c>
      <c r="E44" s="395"/>
      <c r="F44" s="268">
        <f t="shared" si="1"/>
        <v>0</v>
      </c>
      <c r="G44" s="199"/>
      <c r="H44" s="127"/>
      <c r="I44" s="262">
        <f t="shared" si="4"/>
        <v>1.0231815394945443E-12</v>
      </c>
      <c r="J44" s="79">
        <f t="shared" si="5"/>
        <v>0</v>
      </c>
      <c r="M44" s="2">
        <v>27.22</v>
      </c>
      <c r="N44" s="15"/>
      <c r="O44" s="268">
        <f t="shared" si="2"/>
        <v>0</v>
      </c>
      <c r="P44" s="395"/>
      <c r="Q44" s="268">
        <f t="shared" si="3"/>
        <v>0</v>
      </c>
      <c r="R44" s="199"/>
      <c r="S44" s="127"/>
      <c r="T44" s="262">
        <f t="shared" si="6"/>
        <v>6913.8799999999956</v>
      </c>
      <c r="U44" s="79">
        <f t="shared" si="7"/>
        <v>254</v>
      </c>
    </row>
    <row r="45" spans="2:21" ht="15" x14ac:dyDescent="0.25">
      <c r="B45" s="2">
        <v>27.22</v>
      </c>
      <c r="C45" s="15"/>
      <c r="D45" s="268">
        <f t="shared" si="0"/>
        <v>0</v>
      </c>
      <c r="E45" s="395"/>
      <c r="F45" s="268">
        <f t="shared" si="1"/>
        <v>0</v>
      </c>
      <c r="G45" s="199"/>
      <c r="H45" s="127"/>
      <c r="I45" s="262">
        <f t="shared" si="4"/>
        <v>1.0231815394945443E-12</v>
      </c>
      <c r="J45" s="79">
        <f t="shared" si="5"/>
        <v>0</v>
      </c>
      <c r="M45" s="2">
        <v>27.22</v>
      </c>
      <c r="N45" s="15"/>
      <c r="O45" s="268">
        <f t="shared" si="2"/>
        <v>0</v>
      </c>
      <c r="P45" s="395"/>
      <c r="Q45" s="268">
        <f t="shared" si="3"/>
        <v>0</v>
      </c>
      <c r="R45" s="199"/>
      <c r="S45" s="127"/>
      <c r="T45" s="262">
        <f t="shared" si="6"/>
        <v>6913.8799999999956</v>
      </c>
      <c r="U45" s="79">
        <f t="shared" si="7"/>
        <v>254</v>
      </c>
    </row>
    <row r="46" spans="2:21" ht="15" x14ac:dyDescent="0.25">
      <c r="B46" s="2">
        <v>27.22</v>
      </c>
      <c r="C46" s="15"/>
      <c r="D46" s="268">
        <f t="shared" si="0"/>
        <v>0</v>
      </c>
      <c r="E46" s="395"/>
      <c r="F46" s="268">
        <f t="shared" si="1"/>
        <v>0</v>
      </c>
      <c r="G46" s="199"/>
      <c r="H46" s="127"/>
      <c r="I46" s="262">
        <f t="shared" si="4"/>
        <v>1.0231815394945443E-12</v>
      </c>
      <c r="J46" s="79">
        <f t="shared" si="5"/>
        <v>0</v>
      </c>
      <c r="M46" s="2">
        <v>27.22</v>
      </c>
      <c r="N46" s="15"/>
      <c r="O46" s="268">
        <f t="shared" si="2"/>
        <v>0</v>
      </c>
      <c r="P46" s="395"/>
      <c r="Q46" s="268">
        <f t="shared" si="3"/>
        <v>0</v>
      </c>
      <c r="R46" s="199"/>
      <c r="S46" s="127"/>
      <c r="T46" s="262">
        <f t="shared" si="6"/>
        <v>6913.8799999999956</v>
      </c>
      <c r="U46" s="79">
        <f t="shared" si="7"/>
        <v>254</v>
      </c>
    </row>
    <row r="47" spans="2:21" x14ac:dyDescent="0.25">
      <c r="B47" s="2">
        <v>27.22</v>
      </c>
      <c r="C47" s="15"/>
      <c r="D47" s="268">
        <f t="shared" si="0"/>
        <v>0</v>
      </c>
      <c r="E47" s="395"/>
      <c r="F47" s="268">
        <f t="shared" si="1"/>
        <v>0</v>
      </c>
      <c r="G47" s="199"/>
      <c r="H47" s="127"/>
      <c r="I47" s="262">
        <f t="shared" si="4"/>
        <v>1.0231815394945443E-12</v>
      </c>
      <c r="J47" s="79">
        <f t="shared" si="5"/>
        <v>0</v>
      </c>
      <c r="M47" s="2">
        <v>27.22</v>
      </c>
      <c r="N47" s="15"/>
      <c r="O47" s="268">
        <f t="shared" si="2"/>
        <v>0</v>
      </c>
      <c r="P47" s="395"/>
      <c r="Q47" s="268">
        <f t="shared" si="3"/>
        <v>0</v>
      </c>
      <c r="R47" s="199"/>
      <c r="S47" s="127"/>
      <c r="T47" s="262">
        <f t="shared" si="6"/>
        <v>6913.8799999999956</v>
      </c>
      <c r="U47" s="79">
        <f t="shared" si="7"/>
        <v>254</v>
      </c>
    </row>
    <row r="48" spans="2:21" x14ac:dyDescent="0.25">
      <c r="B48" s="2">
        <v>27.22</v>
      </c>
      <c r="C48" s="15"/>
      <c r="D48" s="268">
        <f t="shared" si="0"/>
        <v>0</v>
      </c>
      <c r="E48" s="395"/>
      <c r="F48" s="268">
        <f t="shared" si="1"/>
        <v>0</v>
      </c>
      <c r="G48" s="199"/>
      <c r="H48" s="127"/>
      <c r="I48" s="262">
        <f t="shared" si="4"/>
        <v>1.0231815394945443E-12</v>
      </c>
      <c r="J48" s="79">
        <f t="shared" si="5"/>
        <v>0</v>
      </c>
      <c r="M48" s="2">
        <v>27.22</v>
      </c>
      <c r="N48" s="15"/>
      <c r="O48" s="268">
        <f t="shared" si="2"/>
        <v>0</v>
      </c>
      <c r="P48" s="395"/>
      <c r="Q48" s="268">
        <f t="shared" si="3"/>
        <v>0</v>
      </c>
      <c r="R48" s="199"/>
      <c r="S48" s="127"/>
      <c r="T48" s="262">
        <f t="shared" si="6"/>
        <v>6913.8799999999956</v>
      </c>
      <c r="U48" s="79">
        <f t="shared" si="7"/>
        <v>254</v>
      </c>
    </row>
    <row r="49" spans="1:21" x14ac:dyDescent="0.25">
      <c r="B49" s="2">
        <v>27.22</v>
      </c>
      <c r="C49" s="15"/>
      <c r="D49" s="268">
        <f t="shared" si="0"/>
        <v>0</v>
      </c>
      <c r="E49" s="395"/>
      <c r="F49" s="268">
        <f t="shared" si="1"/>
        <v>0</v>
      </c>
      <c r="G49" s="199"/>
      <c r="H49" s="127"/>
      <c r="I49" s="262">
        <f t="shared" si="4"/>
        <v>1.0231815394945443E-12</v>
      </c>
      <c r="J49" s="79">
        <f t="shared" si="5"/>
        <v>0</v>
      </c>
      <c r="M49" s="2">
        <v>27.22</v>
      </c>
      <c r="N49" s="15"/>
      <c r="O49" s="268">
        <f t="shared" si="2"/>
        <v>0</v>
      </c>
      <c r="P49" s="395"/>
      <c r="Q49" s="268">
        <f t="shared" si="3"/>
        <v>0</v>
      </c>
      <c r="R49" s="199"/>
      <c r="S49" s="127"/>
      <c r="T49" s="262">
        <f t="shared" si="6"/>
        <v>6913.8799999999956</v>
      </c>
      <c r="U49" s="79">
        <f t="shared" si="7"/>
        <v>254</v>
      </c>
    </row>
    <row r="50" spans="1:21" x14ac:dyDescent="0.25">
      <c r="B50" s="2">
        <v>27.22</v>
      </c>
      <c r="C50" s="15"/>
      <c r="D50" s="268">
        <f t="shared" si="0"/>
        <v>0</v>
      </c>
      <c r="E50" s="395"/>
      <c r="F50" s="268">
        <f t="shared" si="1"/>
        <v>0</v>
      </c>
      <c r="G50" s="199"/>
      <c r="H50" s="127"/>
      <c r="I50" s="262">
        <f t="shared" si="4"/>
        <v>1.0231815394945443E-12</v>
      </c>
      <c r="J50" s="79">
        <f t="shared" si="5"/>
        <v>0</v>
      </c>
      <c r="M50" s="2">
        <v>27.22</v>
      </c>
      <c r="N50" s="15"/>
      <c r="O50" s="268">
        <f t="shared" si="2"/>
        <v>0</v>
      </c>
      <c r="P50" s="395"/>
      <c r="Q50" s="268">
        <f t="shared" si="3"/>
        <v>0</v>
      </c>
      <c r="R50" s="199"/>
      <c r="S50" s="127"/>
      <c r="T50" s="262">
        <f t="shared" si="6"/>
        <v>6913.8799999999956</v>
      </c>
      <c r="U50" s="79">
        <f t="shared" si="7"/>
        <v>254</v>
      </c>
    </row>
    <row r="51" spans="1:21" x14ac:dyDescent="0.25">
      <c r="B51" s="2">
        <v>27.22</v>
      </c>
      <c r="C51" s="15"/>
      <c r="D51" s="268">
        <f t="shared" si="0"/>
        <v>0</v>
      </c>
      <c r="E51" s="395"/>
      <c r="F51" s="268">
        <f t="shared" si="1"/>
        <v>0</v>
      </c>
      <c r="G51" s="199"/>
      <c r="H51" s="127"/>
      <c r="I51" s="262">
        <f t="shared" si="4"/>
        <v>1.0231815394945443E-12</v>
      </c>
      <c r="J51" s="79">
        <f t="shared" si="5"/>
        <v>0</v>
      </c>
      <c r="M51" s="2">
        <v>27.22</v>
      </c>
      <c r="N51" s="15"/>
      <c r="O51" s="268">
        <f t="shared" si="2"/>
        <v>0</v>
      </c>
      <c r="P51" s="395"/>
      <c r="Q51" s="268">
        <f t="shared" si="3"/>
        <v>0</v>
      </c>
      <c r="R51" s="199"/>
      <c r="S51" s="127"/>
      <c r="T51" s="262">
        <f t="shared" si="6"/>
        <v>6913.8799999999956</v>
      </c>
      <c r="U51" s="79">
        <f t="shared" si="7"/>
        <v>254</v>
      </c>
    </row>
    <row r="52" spans="1:21" x14ac:dyDescent="0.25">
      <c r="B52" s="2">
        <v>27.22</v>
      </c>
      <c r="C52" s="15"/>
      <c r="D52" s="268">
        <f t="shared" si="0"/>
        <v>0</v>
      </c>
      <c r="E52" s="395"/>
      <c r="F52" s="268">
        <f t="shared" si="1"/>
        <v>0</v>
      </c>
      <c r="G52" s="199"/>
      <c r="H52" s="127"/>
      <c r="I52" s="262">
        <f t="shared" si="4"/>
        <v>1.0231815394945443E-12</v>
      </c>
      <c r="J52" s="79">
        <f t="shared" si="5"/>
        <v>0</v>
      </c>
      <c r="M52" s="2">
        <v>27.22</v>
      </c>
      <c r="N52" s="15"/>
      <c r="O52" s="268">
        <f t="shared" si="2"/>
        <v>0</v>
      </c>
      <c r="P52" s="395"/>
      <c r="Q52" s="268">
        <f t="shared" si="3"/>
        <v>0</v>
      </c>
      <c r="R52" s="199"/>
      <c r="S52" s="127"/>
      <c r="T52" s="262">
        <f t="shared" si="6"/>
        <v>6913.8799999999956</v>
      </c>
      <c r="U52" s="79">
        <f t="shared" si="7"/>
        <v>254</v>
      </c>
    </row>
    <row r="53" spans="1:21" x14ac:dyDescent="0.25">
      <c r="B53" s="2">
        <v>27.22</v>
      </c>
      <c r="C53" s="15"/>
      <c r="D53" s="268">
        <f t="shared" si="0"/>
        <v>0</v>
      </c>
      <c r="E53" s="395"/>
      <c r="F53" s="268">
        <f t="shared" si="1"/>
        <v>0</v>
      </c>
      <c r="G53" s="199"/>
      <c r="H53" s="127"/>
      <c r="I53" s="262">
        <f t="shared" si="4"/>
        <v>1.0231815394945443E-12</v>
      </c>
      <c r="J53" s="79">
        <f t="shared" si="5"/>
        <v>0</v>
      </c>
      <c r="M53" s="2">
        <v>27.22</v>
      </c>
      <c r="N53" s="15"/>
      <c r="O53" s="268">
        <f t="shared" si="2"/>
        <v>0</v>
      </c>
      <c r="P53" s="395"/>
      <c r="Q53" s="268">
        <f t="shared" si="3"/>
        <v>0</v>
      </c>
      <c r="R53" s="199"/>
      <c r="S53" s="127"/>
      <c r="T53" s="262">
        <f t="shared" si="6"/>
        <v>6913.8799999999956</v>
      </c>
      <c r="U53" s="79">
        <f t="shared" si="7"/>
        <v>254</v>
      </c>
    </row>
    <row r="54" spans="1:21" x14ac:dyDescent="0.25">
      <c r="B54" s="2">
        <v>27.22</v>
      </c>
      <c r="C54" s="15"/>
      <c r="D54" s="268">
        <f t="shared" si="0"/>
        <v>0</v>
      </c>
      <c r="E54" s="395"/>
      <c r="F54" s="268">
        <f t="shared" si="1"/>
        <v>0</v>
      </c>
      <c r="G54" s="199"/>
      <c r="H54" s="127"/>
      <c r="I54" s="262">
        <f t="shared" si="4"/>
        <v>1.0231815394945443E-12</v>
      </c>
      <c r="J54" s="79">
        <f t="shared" si="5"/>
        <v>0</v>
      </c>
      <c r="M54" s="2">
        <v>27.22</v>
      </c>
      <c r="N54" s="15"/>
      <c r="O54" s="268">
        <f t="shared" si="2"/>
        <v>0</v>
      </c>
      <c r="P54" s="395"/>
      <c r="Q54" s="268">
        <f t="shared" si="3"/>
        <v>0</v>
      </c>
      <c r="R54" s="199"/>
      <c r="S54" s="127"/>
      <c r="T54" s="262">
        <f t="shared" si="6"/>
        <v>6913.8799999999956</v>
      </c>
      <c r="U54" s="79">
        <f t="shared" si="7"/>
        <v>254</v>
      </c>
    </row>
    <row r="55" spans="1:21" x14ac:dyDescent="0.25">
      <c r="B55" s="2">
        <v>27.22</v>
      </c>
      <c r="C55" s="15"/>
      <c r="D55" s="268">
        <f t="shared" si="0"/>
        <v>0</v>
      </c>
      <c r="E55" s="395"/>
      <c r="F55" s="268">
        <f t="shared" si="1"/>
        <v>0</v>
      </c>
      <c r="G55" s="199"/>
      <c r="H55" s="127"/>
      <c r="I55" s="262">
        <f t="shared" si="4"/>
        <v>1.0231815394945443E-12</v>
      </c>
      <c r="J55" s="79">
        <f t="shared" si="5"/>
        <v>0</v>
      </c>
      <c r="M55" s="2">
        <v>27.22</v>
      </c>
      <c r="N55" s="15"/>
      <c r="O55" s="268">
        <f t="shared" si="2"/>
        <v>0</v>
      </c>
      <c r="P55" s="395"/>
      <c r="Q55" s="268">
        <f t="shared" si="3"/>
        <v>0</v>
      </c>
      <c r="R55" s="199"/>
      <c r="S55" s="127"/>
      <c r="T55" s="262">
        <f t="shared" si="6"/>
        <v>6913.8799999999956</v>
      </c>
      <c r="U55" s="79">
        <f t="shared" si="7"/>
        <v>254</v>
      </c>
    </row>
    <row r="56" spans="1:21" x14ac:dyDescent="0.25">
      <c r="B56" s="2">
        <v>27.22</v>
      </c>
      <c r="C56" s="15"/>
      <c r="D56" s="268">
        <f t="shared" si="0"/>
        <v>0</v>
      </c>
      <c r="E56" s="395"/>
      <c r="F56" s="268">
        <f t="shared" si="1"/>
        <v>0</v>
      </c>
      <c r="G56" s="199"/>
      <c r="H56" s="127"/>
      <c r="I56" s="262">
        <f t="shared" si="4"/>
        <v>1.0231815394945443E-12</v>
      </c>
      <c r="J56" s="79">
        <f t="shared" si="5"/>
        <v>0</v>
      </c>
      <c r="M56" s="2">
        <v>27.22</v>
      </c>
      <c r="N56" s="15"/>
      <c r="O56" s="268">
        <f t="shared" si="2"/>
        <v>0</v>
      </c>
      <c r="P56" s="395"/>
      <c r="Q56" s="268">
        <f t="shared" si="3"/>
        <v>0</v>
      </c>
      <c r="R56" s="199"/>
      <c r="S56" s="127"/>
      <c r="T56" s="262">
        <f t="shared" si="6"/>
        <v>6913.8799999999956</v>
      </c>
      <c r="U56" s="79">
        <f t="shared" si="7"/>
        <v>254</v>
      </c>
    </row>
    <row r="57" spans="1:21" x14ac:dyDescent="0.25">
      <c r="B57" s="2">
        <v>27.22</v>
      </c>
      <c r="C57" s="15"/>
      <c r="D57" s="268">
        <f t="shared" si="0"/>
        <v>0</v>
      </c>
      <c r="E57" s="395"/>
      <c r="F57" s="268">
        <f t="shared" si="1"/>
        <v>0</v>
      </c>
      <c r="G57" s="199"/>
      <c r="H57" s="127"/>
      <c r="I57" s="262">
        <f t="shared" si="4"/>
        <v>1.0231815394945443E-12</v>
      </c>
      <c r="J57" s="79">
        <f t="shared" si="5"/>
        <v>0</v>
      </c>
      <c r="M57" s="2">
        <v>27.22</v>
      </c>
      <c r="N57" s="15"/>
      <c r="O57" s="268">
        <f t="shared" si="2"/>
        <v>0</v>
      </c>
      <c r="P57" s="395"/>
      <c r="Q57" s="268">
        <f t="shared" si="3"/>
        <v>0</v>
      </c>
      <c r="R57" s="199"/>
      <c r="S57" s="127"/>
      <c r="T57" s="262">
        <f t="shared" si="6"/>
        <v>6913.8799999999956</v>
      </c>
      <c r="U57" s="79">
        <f t="shared" si="7"/>
        <v>254</v>
      </c>
    </row>
    <row r="58" spans="1:21" x14ac:dyDescent="0.25">
      <c r="B58" s="2">
        <v>27.22</v>
      </c>
      <c r="C58" s="15"/>
      <c r="D58" s="268">
        <f t="shared" si="0"/>
        <v>0</v>
      </c>
      <c r="E58" s="395"/>
      <c r="F58" s="268">
        <f t="shared" si="1"/>
        <v>0</v>
      </c>
      <c r="G58" s="199"/>
      <c r="H58" s="127"/>
      <c r="I58" s="262">
        <f t="shared" si="4"/>
        <v>1.0231815394945443E-12</v>
      </c>
      <c r="J58" s="79">
        <f t="shared" si="5"/>
        <v>0</v>
      </c>
      <c r="M58" s="2">
        <v>27.22</v>
      </c>
      <c r="N58" s="15"/>
      <c r="O58" s="268">
        <f t="shared" si="2"/>
        <v>0</v>
      </c>
      <c r="P58" s="395"/>
      <c r="Q58" s="268">
        <f t="shared" si="3"/>
        <v>0</v>
      </c>
      <c r="R58" s="199"/>
      <c r="S58" s="127"/>
      <c r="T58" s="262">
        <f t="shared" si="6"/>
        <v>6913.8799999999956</v>
      </c>
      <c r="U58" s="79">
        <f t="shared" si="7"/>
        <v>254</v>
      </c>
    </row>
    <row r="59" spans="1:21" ht="14.4" thickBot="1" x14ac:dyDescent="0.3">
      <c r="A59" s="130"/>
      <c r="B59" s="2">
        <v>27.22</v>
      </c>
      <c r="C59" s="15"/>
      <c r="D59" s="268">
        <f t="shared" si="0"/>
        <v>0</v>
      </c>
      <c r="E59" s="395"/>
      <c r="F59" s="268">
        <f t="shared" si="1"/>
        <v>0</v>
      </c>
      <c r="G59" s="199"/>
      <c r="H59" s="127"/>
      <c r="I59" s="262">
        <f t="shared" si="4"/>
        <v>1.0231815394945443E-12</v>
      </c>
      <c r="J59" s="79">
        <f t="shared" si="5"/>
        <v>0</v>
      </c>
      <c r="L59" s="130"/>
      <c r="M59" s="2">
        <v>27.22</v>
      </c>
      <c r="N59" s="15"/>
      <c r="O59" s="268">
        <f t="shared" si="2"/>
        <v>0</v>
      </c>
      <c r="P59" s="395"/>
      <c r="Q59" s="268">
        <f t="shared" si="3"/>
        <v>0</v>
      </c>
      <c r="R59" s="199"/>
      <c r="S59" s="127"/>
      <c r="T59" s="262">
        <f t="shared" si="6"/>
        <v>6913.8799999999956</v>
      </c>
      <c r="U59" s="79">
        <f t="shared" si="7"/>
        <v>254</v>
      </c>
    </row>
    <row r="60" spans="1:21" ht="14.4" thickTop="1" x14ac:dyDescent="0.25">
      <c r="A60">
        <f>SUM(A58:A59)</f>
        <v>0</v>
      </c>
      <c r="B60" s="2">
        <v>27.22</v>
      </c>
      <c r="C60" s="15"/>
      <c r="D60" s="268">
        <f t="shared" si="0"/>
        <v>0</v>
      </c>
      <c r="E60" s="395"/>
      <c r="F60" s="268">
        <f t="shared" si="1"/>
        <v>0</v>
      </c>
      <c r="G60" s="199"/>
      <c r="H60" s="127"/>
      <c r="I60" s="262">
        <f t="shared" si="4"/>
        <v>1.0231815394945443E-12</v>
      </c>
      <c r="J60" s="79">
        <f t="shared" si="5"/>
        <v>0</v>
      </c>
      <c r="L60">
        <f>SUM(L58:L59)</f>
        <v>0</v>
      </c>
      <c r="M60" s="2">
        <v>27.22</v>
      </c>
      <c r="N60" s="15"/>
      <c r="O60" s="268">
        <f t="shared" si="2"/>
        <v>0</v>
      </c>
      <c r="P60" s="395"/>
      <c r="Q60" s="268">
        <f t="shared" si="3"/>
        <v>0</v>
      </c>
      <c r="R60" s="199"/>
      <c r="S60" s="127"/>
      <c r="T60" s="262">
        <f t="shared" si="6"/>
        <v>6913.8799999999956</v>
      </c>
      <c r="U60" s="79">
        <f t="shared" si="7"/>
        <v>254</v>
      </c>
    </row>
    <row r="61" spans="1:21" ht="14.4" thickBot="1" x14ac:dyDescent="0.3">
      <c r="B61" s="2">
        <v>27.22</v>
      </c>
      <c r="C61" s="37"/>
      <c r="D61" s="169">
        <f t="shared" si="0"/>
        <v>0</v>
      </c>
      <c r="E61" s="177"/>
      <c r="F61" s="169">
        <f t="shared" si="1"/>
        <v>0</v>
      </c>
      <c r="G61" s="152"/>
      <c r="H61" s="76"/>
      <c r="M61" s="2">
        <v>27.22</v>
      </c>
      <c r="N61" s="37"/>
      <c r="O61" s="169">
        <f t="shared" si="2"/>
        <v>0</v>
      </c>
      <c r="P61" s="177"/>
      <c r="Q61" s="169">
        <f t="shared" si="3"/>
        <v>0</v>
      </c>
      <c r="R61" s="152"/>
      <c r="S61" s="76"/>
    </row>
    <row r="62" spans="1:21" x14ac:dyDescent="0.25">
      <c r="C62" s="55">
        <f>SUM(C8:C61)</f>
        <v>680</v>
      </c>
      <c r="D62" s="6">
        <f>SUM(D8:D61)</f>
        <v>18509.600000000002</v>
      </c>
      <c r="F62" s="6">
        <f>SUM(F8:F61)</f>
        <v>18509.600000000002</v>
      </c>
      <c r="N62" s="55">
        <f>SUM(N8:N61)</f>
        <v>455</v>
      </c>
      <c r="O62" s="6">
        <f>SUM(O8:O61)</f>
        <v>12385.1</v>
      </c>
      <c r="Q62" s="6">
        <f>SUM(Q8:Q61)</f>
        <v>12385.1</v>
      </c>
    </row>
    <row r="64" spans="1:21" ht="14.4" thickBot="1" x14ac:dyDescent="0.3"/>
    <row r="65" spans="3:19" ht="14.4" thickBot="1" x14ac:dyDescent="0.3">
      <c r="D65" s="46" t="s">
        <v>4</v>
      </c>
      <c r="E65" s="61">
        <f>F5-C62+F4+F6</f>
        <v>0</v>
      </c>
      <c r="O65" s="46" t="s">
        <v>4</v>
      </c>
      <c r="P65" s="61">
        <f>Q5-N62+Q4+Q6</f>
        <v>254</v>
      </c>
    </row>
    <row r="66" spans="3:19" ht="14.4" thickBot="1" x14ac:dyDescent="0.3"/>
    <row r="67" spans="3:19" ht="14.4" thickBot="1" x14ac:dyDescent="0.3">
      <c r="C67" s="1036" t="s">
        <v>11</v>
      </c>
      <c r="D67" s="1037"/>
      <c r="E67" s="62">
        <f>E4+E5+E6-F62</f>
        <v>0</v>
      </c>
      <c r="G67" s="48"/>
      <c r="H67" s="98"/>
      <c r="N67" s="1036" t="s">
        <v>11</v>
      </c>
      <c r="O67" s="1037"/>
      <c r="P67" s="62">
        <f>P4+P5+P6-Q62</f>
        <v>6913.8799999999992</v>
      </c>
      <c r="R67" s="48"/>
      <c r="S67" s="98"/>
    </row>
  </sheetData>
  <mergeCells count="6">
    <mergeCell ref="A1:G1"/>
    <mergeCell ref="A5:A6"/>
    <mergeCell ref="C67:D67"/>
    <mergeCell ref="L1:R1"/>
    <mergeCell ref="N67:O67"/>
    <mergeCell ref="L4:L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3" workbookViewId="0">
      <selection activeCell="Q22" sqref="Q22"/>
    </sheetView>
  </sheetViews>
  <sheetFormatPr baseColWidth="10" defaultRowHeight="13.8" x14ac:dyDescent="0.25"/>
  <cols>
    <col min="1" max="1" width="31" bestFit="1" customWidth="1"/>
    <col min="2" max="2" width="19.6640625" customWidth="1"/>
    <col min="7" max="7" width="12.88671875" bestFit="1" customWidth="1"/>
    <col min="11" max="11" width="31" bestFit="1" customWidth="1"/>
    <col min="12" max="12" width="19.6640625" customWidth="1"/>
    <col min="17" max="17" width="12.88671875" bestFit="1" customWidth="1"/>
  </cols>
  <sheetData>
    <row r="1" spans="1:19" ht="40.5" x14ac:dyDescent="0.55000000000000004">
      <c r="A1" s="1041" t="s">
        <v>170</v>
      </c>
      <c r="B1" s="1041"/>
      <c r="C1" s="1041"/>
      <c r="D1" s="1041"/>
      <c r="E1" s="1041"/>
      <c r="F1" s="1041"/>
      <c r="G1" s="1041"/>
      <c r="H1" s="11">
        <v>1</v>
      </c>
      <c r="K1" s="1034" t="s">
        <v>162</v>
      </c>
      <c r="L1" s="1034"/>
      <c r="M1" s="1034"/>
      <c r="N1" s="1034"/>
      <c r="O1" s="1034"/>
      <c r="P1" s="1034"/>
      <c r="Q1" s="103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286"/>
      <c r="B4" s="355"/>
      <c r="C4" s="388"/>
      <c r="D4" s="294"/>
      <c r="E4" s="370"/>
      <c r="F4" s="289"/>
      <c r="G4" s="79"/>
      <c r="K4" s="286"/>
      <c r="L4" s="355"/>
      <c r="M4" s="388"/>
      <c r="N4" s="294"/>
      <c r="O4" s="370"/>
      <c r="P4" s="289"/>
      <c r="Q4" s="79"/>
    </row>
    <row r="5" spans="1:19" ht="15.75" customHeight="1" x14ac:dyDescent="0.25">
      <c r="A5" s="296" t="s">
        <v>71</v>
      </c>
      <c r="B5" s="603" t="s">
        <v>87</v>
      </c>
      <c r="C5" s="295">
        <v>114</v>
      </c>
      <c r="D5" s="294">
        <v>44113</v>
      </c>
      <c r="E5" s="370">
        <v>2016.72</v>
      </c>
      <c r="F5" s="289">
        <v>83</v>
      </c>
      <c r="G5" s="312">
        <f>F55</f>
        <v>2016.7199999999998</v>
      </c>
      <c r="H5" s="7">
        <f>E5-G5+E4+E6+E7</f>
        <v>2.2737367544323206E-13</v>
      </c>
      <c r="K5" s="296" t="s">
        <v>71</v>
      </c>
      <c r="L5" s="603" t="s">
        <v>87</v>
      </c>
      <c r="M5" s="295">
        <v>114</v>
      </c>
      <c r="N5" s="294">
        <v>44145</v>
      </c>
      <c r="O5" s="370">
        <v>3308.62</v>
      </c>
      <c r="P5" s="289">
        <v>179</v>
      </c>
      <c r="Q5" s="312">
        <f>P55</f>
        <v>1780.0800000000002</v>
      </c>
      <c r="R5" s="7">
        <f>O5-Q5+O4+O6+O7</f>
        <v>1744.8399999999997</v>
      </c>
    </row>
    <row r="6" spans="1:19" ht="15" customHeight="1" x14ac:dyDescent="0.25">
      <c r="A6" s="296"/>
      <c r="B6" s="604" t="s">
        <v>88</v>
      </c>
      <c r="C6" s="290"/>
      <c r="D6" s="325"/>
      <c r="E6" s="309"/>
      <c r="F6" s="923"/>
      <c r="G6" s="924"/>
      <c r="H6" s="924"/>
      <c r="I6" s="924"/>
      <c r="K6" s="296"/>
      <c r="L6" s="604" t="s">
        <v>88</v>
      </c>
      <c r="M6" s="290"/>
      <c r="N6" s="325"/>
      <c r="O6" s="309">
        <v>216.3</v>
      </c>
      <c r="P6" s="300">
        <v>9</v>
      </c>
      <c r="Q6" s="286"/>
    </row>
    <row r="7" spans="1:19" ht="15.75" thickBot="1" x14ac:dyDescent="0.3">
      <c r="A7" s="286"/>
      <c r="B7" s="289"/>
      <c r="C7" s="290"/>
      <c r="D7" s="325"/>
      <c r="E7" s="326"/>
      <c r="F7" s="917"/>
      <c r="G7" s="924"/>
      <c r="H7" s="924"/>
      <c r="I7" s="924"/>
      <c r="K7" s="286"/>
      <c r="L7" s="289"/>
      <c r="M7" s="290"/>
      <c r="N7" s="325"/>
      <c r="O7" s="326"/>
      <c r="P7" s="289"/>
    </row>
    <row r="8" spans="1:1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0" t="s">
        <v>32</v>
      </c>
      <c r="B9" s="227">
        <f>F4+F5+F6+F7-C9</f>
        <v>81</v>
      </c>
      <c r="C9" s="15">
        <v>2</v>
      </c>
      <c r="D9" s="74">
        <v>47.1</v>
      </c>
      <c r="E9" s="393">
        <v>44114</v>
      </c>
      <c r="F9" s="74">
        <f t="shared" ref="F9:F54" si="0">D9</f>
        <v>47.1</v>
      </c>
      <c r="G9" s="315" t="s">
        <v>126</v>
      </c>
      <c r="H9" s="316">
        <v>125</v>
      </c>
      <c r="I9" s="309">
        <f>E6+E5+E4-F9+E7</f>
        <v>1969.6200000000001</v>
      </c>
      <c r="K9" s="60" t="s">
        <v>32</v>
      </c>
      <c r="L9" s="227">
        <f>P4+P5+P6+P7-M9</f>
        <v>178</v>
      </c>
      <c r="M9" s="15">
        <v>10</v>
      </c>
      <c r="N9" s="74">
        <v>234.56</v>
      </c>
      <c r="O9" s="393">
        <v>44147</v>
      </c>
      <c r="P9" s="74">
        <f t="shared" ref="P9:P54" si="1">N9</f>
        <v>234.56</v>
      </c>
      <c r="Q9" s="315" t="s">
        <v>363</v>
      </c>
      <c r="R9" s="316">
        <v>125</v>
      </c>
      <c r="S9" s="309">
        <f>O6+O5+O4-P9+O7</f>
        <v>3290.36</v>
      </c>
    </row>
    <row r="10" spans="1:19" ht="15" x14ac:dyDescent="0.25">
      <c r="A10" s="84"/>
      <c r="B10" s="227">
        <f>B9-C10</f>
        <v>79</v>
      </c>
      <c r="C10" s="313">
        <v>2</v>
      </c>
      <c r="D10" s="74">
        <v>49.86</v>
      </c>
      <c r="E10" s="393">
        <v>44121</v>
      </c>
      <c r="F10" s="74">
        <f t="shared" si="0"/>
        <v>49.86</v>
      </c>
      <c r="G10" s="315" t="s">
        <v>130</v>
      </c>
      <c r="H10" s="316">
        <v>125</v>
      </c>
      <c r="I10" s="309">
        <f>I9-F10</f>
        <v>1919.7600000000002</v>
      </c>
      <c r="K10" s="84"/>
      <c r="L10" s="227">
        <f>L9-M10</f>
        <v>176</v>
      </c>
      <c r="M10" s="313">
        <v>2</v>
      </c>
      <c r="N10" s="74">
        <v>37</v>
      </c>
      <c r="O10" s="393">
        <v>44147</v>
      </c>
      <c r="P10" s="74">
        <f t="shared" si="1"/>
        <v>37</v>
      </c>
      <c r="Q10" s="315" t="s">
        <v>368</v>
      </c>
      <c r="R10" s="316">
        <v>125</v>
      </c>
      <c r="S10" s="309">
        <f>S9-P10</f>
        <v>3253.36</v>
      </c>
    </row>
    <row r="11" spans="1:19" ht="15" x14ac:dyDescent="0.25">
      <c r="A11" s="12"/>
      <c r="B11" s="227">
        <f t="shared" ref="B11:B53" si="2">B10-C11</f>
        <v>69</v>
      </c>
      <c r="C11" s="15">
        <v>10</v>
      </c>
      <c r="D11" s="74">
        <v>241.08</v>
      </c>
      <c r="E11" s="393">
        <v>44121</v>
      </c>
      <c r="F11" s="74">
        <f t="shared" si="0"/>
        <v>241.08</v>
      </c>
      <c r="G11" s="315" t="s">
        <v>131</v>
      </c>
      <c r="H11" s="316">
        <v>125</v>
      </c>
      <c r="I11" s="309">
        <f t="shared" ref="I11:I54" si="3">I10-F11</f>
        <v>1678.6800000000003</v>
      </c>
      <c r="K11" s="12"/>
      <c r="L11" s="227">
        <f t="shared" ref="L11:L53" si="4">L10-M11</f>
        <v>166</v>
      </c>
      <c r="M11" s="15">
        <v>10</v>
      </c>
      <c r="N11" s="74">
        <v>180</v>
      </c>
      <c r="O11" s="393">
        <v>44149</v>
      </c>
      <c r="P11" s="74">
        <f t="shared" si="1"/>
        <v>180</v>
      </c>
      <c r="Q11" s="315" t="s">
        <v>381</v>
      </c>
      <c r="R11" s="316">
        <v>125</v>
      </c>
      <c r="S11" s="309">
        <f t="shared" ref="S11:S54" si="5">S10-P11</f>
        <v>3073.36</v>
      </c>
    </row>
    <row r="12" spans="1:19" ht="15" x14ac:dyDescent="0.25">
      <c r="A12" s="60" t="s">
        <v>33</v>
      </c>
      <c r="B12" s="227">
        <f t="shared" si="2"/>
        <v>63</v>
      </c>
      <c r="C12" s="15">
        <v>6</v>
      </c>
      <c r="D12" s="74">
        <v>145.66</v>
      </c>
      <c r="E12" s="393">
        <v>44123</v>
      </c>
      <c r="F12" s="74">
        <f t="shared" si="0"/>
        <v>145.66</v>
      </c>
      <c r="G12" s="315" t="s">
        <v>132</v>
      </c>
      <c r="H12" s="316">
        <v>125</v>
      </c>
      <c r="I12" s="309">
        <f t="shared" si="3"/>
        <v>1533.0200000000002</v>
      </c>
      <c r="K12" s="60" t="s">
        <v>33</v>
      </c>
      <c r="L12" s="227">
        <f t="shared" si="4"/>
        <v>156</v>
      </c>
      <c r="M12" s="15">
        <v>10</v>
      </c>
      <c r="N12" s="74">
        <v>180.54</v>
      </c>
      <c r="O12" s="393">
        <v>44154</v>
      </c>
      <c r="P12" s="74">
        <f t="shared" si="1"/>
        <v>180.54</v>
      </c>
      <c r="Q12" s="315" t="s">
        <v>397</v>
      </c>
      <c r="R12" s="316">
        <v>125</v>
      </c>
      <c r="S12" s="309">
        <f t="shared" si="5"/>
        <v>2892.82</v>
      </c>
    </row>
    <row r="13" spans="1:19" ht="15" x14ac:dyDescent="0.25">
      <c r="A13" s="84"/>
      <c r="B13" s="227">
        <f t="shared" si="2"/>
        <v>53</v>
      </c>
      <c r="C13" s="15">
        <v>10</v>
      </c>
      <c r="D13" s="74">
        <v>247.74</v>
      </c>
      <c r="E13" s="393">
        <v>44125</v>
      </c>
      <c r="F13" s="74">
        <f t="shared" si="0"/>
        <v>247.74</v>
      </c>
      <c r="G13" s="315" t="s">
        <v>134</v>
      </c>
      <c r="H13" s="316">
        <v>125</v>
      </c>
      <c r="I13" s="309">
        <f t="shared" si="3"/>
        <v>1285.2800000000002</v>
      </c>
      <c r="K13" s="84"/>
      <c r="L13" s="227">
        <f t="shared" si="4"/>
        <v>150</v>
      </c>
      <c r="M13" s="15">
        <v>6</v>
      </c>
      <c r="N13" s="74">
        <v>108</v>
      </c>
      <c r="O13" s="393">
        <v>44156</v>
      </c>
      <c r="P13" s="74">
        <f t="shared" si="1"/>
        <v>108</v>
      </c>
      <c r="Q13" s="315" t="s">
        <v>410</v>
      </c>
      <c r="R13" s="316">
        <v>125</v>
      </c>
      <c r="S13" s="309">
        <f t="shared" si="5"/>
        <v>2784.82</v>
      </c>
    </row>
    <row r="14" spans="1:19" ht="15" x14ac:dyDescent="0.25">
      <c r="A14" s="12"/>
      <c r="B14" s="227">
        <f t="shared" si="2"/>
        <v>43</v>
      </c>
      <c r="C14" s="15">
        <v>10</v>
      </c>
      <c r="D14" s="74">
        <v>248.14</v>
      </c>
      <c r="E14" s="393">
        <v>44128</v>
      </c>
      <c r="F14" s="74">
        <f t="shared" si="0"/>
        <v>248.14</v>
      </c>
      <c r="G14" s="315" t="s">
        <v>147</v>
      </c>
      <c r="H14" s="316">
        <v>125</v>
      </c>
      <c r="I14" s="309">
        <f t="shared" si="3"/>
        <v>1037.1400000000003</v>
      </c>
      <c r="K14" s="12"/>
      <c r="L14" s="227">
        <f t="shared" si="4"/>
        <v>148</v>
      </c>
      <c r="M14" s="15">
        <v>2</v>
      </c>
      <c r="N14" s="74">
        <v>38.36</v>
      </c>
      <c r="O14" s="393">
        <v>44156</v>
      </c>
      <c r="P14" s="74">
        <f t="shared" si="1"/>
        <v>38.36</v>
      </c>
      <c r="Q14" s="315" t="s">
        <v>413</v>
      </c>
      <c r="R14" s="316">
        <v>125</v>
      </c>
      <c r="S14" s="309">
        <f t="shared" si="5"/>
        <v>2746.46</v>
      </c>
    </row>
    <row r="15" spans="1:19" ht="15" x14ac:dyDescent="0.25">
      <c r="B15" s="227">
        <f t="shared" si="2"/>
        <v>38</v>
      </c>
      <c r="C15" s="55">
        <v>5</v>
      </c>
      <c r="D15" s="74">
        <v>120.48</v>
      </c>
      <c r="E15" s="393">
        <v>44130</v>
      </c>
      <c r="F15" s="74">
        <f t="shared" si="0"/>
        <v>120.48</v>
      </c>
      <c r="G15" s="315" t="s">
        <v>146</v>
      </c>
      <c r="H15" s="316">
        <v>125</v>
      </c>
      <c r="I15" s="309">
        <f t="shared" si="3"/>
        <v>916.66000000000031</v>
      </c>
      <c r="L15" s="227">
        <f t="shared" si="4"/>
        <v>142</v>
      </c>
      <c r="M15" s="55">
        <v>6</v>
      </c>
      <c r="N15" s="74">
        <v>114.26</v>
      </c>
      <c r="O15" s="393">
        <v>44159</v>
      </c>
      <c r="P15" s="74">
        <f t="shared" si="1"/>
        <v>114.26</v>
      </c>
      <c r="Q15" s="315" t="s">
        <v>417</v>
      </c>
      <c r="R15" s="316">
        <v>125</v>
      </c>
      <c r="S15" s="309">
        <f t="shared" si="5"/>
        <v>2632.2</v>
      </c>
    </row>
    <row r="16" spans="1:19" ht="15" x14ac:dyDescent="0.25">
      <c r="B16" s="227">
        <f t="shared" si="2"/>
        <v>36</v>
      </c>
      <c r="C16" s="15">
        <v>2</v>
      </c>
      <c r="D16" s="74">
        <v>48.32</v>
      </c>
      <c r="E16" s="393">
        <v>44133</v>
      </c>
      <c r="F16" s="74">
        <f t="shared" si="0"/>
        <v>48.32</v>
      </c>
      <c r="G16" s="315" t="s">
        <v>152</v>
      </c>
      <c r="H16" s="316">
        <v>125</v>
      </c>
      <c r="I16" s="309">
        <f t="shared" si="3"/>
        <v>868.34000000000026</v>
      </c>
      <c r="L16" s="227">
        <f t="shared" si="4"/>
        <v>134</v>
      </c>
      <c r="M16" s="15">
        <v>8</v>
      </c>
      <c r="N16" s="74">
        <v>144.74</v>
      </c>
      <c r="O16" s="393">
        <v>44160</v>
      </c>
      <c r="P16" s="74">
        <f t="shared" si="1"/>
        <v>144.74</v>
      </c>
      <c r="Q16" s="315" t="s">
        <v>424</v>
      </c>
      <c r="R16" s="316">
        <v>125</v>
      </c>
      <c r="S16" s="309">
        <f t="shared" si="5"/>
        <v>2487.46</v>
      </c>
    </row>
    <row r="17" spans="2:19" ht="15" x14ac:dyDescent="0.25">
      <c r="B17" s="227">
        <f t="shared" si="2"/>
        <v>24</v>
      </c>
      <c r="C17" s="15">
        <v>12</v>
      </c>
      <c r="D17" s="74">
        <v>291.98</v>
      </c>
      <c r="E17" s="393">
        <v>44137</v>
      </c>
      <c r="F17" s="74">
        <f t="shared" si="0"/>
        <v>291.98</v>
      </c>
      <c r="G17" s="315" t="s">
        <v>159</v>
      </c>
      <c r="H17" s="316">
        <v>125</v>
      </c>
      <c r="I17" s="309">
        <f t="shared" si="3"/>
        <v>576.36000000000024</v>
      </c>
      <c r="L17" s="227">
        <f t="shared" si="4"/>
        <v>124</v>
      </c>
      <c r="M17" s="15">
        <v>10</v>
      </c>
      <c r="N17" s="74">
        <v>181.32</v>
      </c>
      <c r="O17" s="393">
        <v>44163</v>
      </c>
      <c r="P17" s="74">
        <f t="shared" si="1"/>
        <v>181.32</v>
      </c>
      <c r="Q17" s="315" t="s">
        <v>443</v>
      </c>
      <c r="R17" s="316">
        <v>125</v>
      </c>
      <c r="S17" s="309">
        <f t="shared" si="5"/>
        <v>2306.14</v>
      </c>
    </row>
    <row r="18" spans="2:19" ht="15" x14ac:dyDescent="0.25">
      <c r="B18" s="227">
        <f t="shared" si="2"/>
        <v>14</v>
      </c>
      <c r="C18" s="55">
        <v>10</v>
      </c>
      <c r="D18" s="905">
        <v>238.28</v>
      </c>
      <c r="E18" s="906">
        <v>44141</v>
      </c>
      <c r="F18" s="905">
        <f t="shared" si="0"/>
        <v>238.28</v>
      </c>
      <c r="G18" s="907" t="s">
        <v>337</v>
      </c>
      <c r="H18" s="908">
        <v>125</v>
      </c>
      <c r="I18" s="309">
        <f t="shared" si="3"/>
        <v>338.08000000000027</v>
      </c>
      <c r="L18" s="227">
        <f t="shared" si="4"/>
        <v>116</v>
      </c>
      <c r="M18" s="55">
        <v>8</v>
      </c>
      <c r="N18" s="74">
        <v>139.63999999999999</v>
      </c>
      <c r="O18" s="393">
        <v>44166</v>
      </c>
      <c r="P18" s="74">
        <f t="shared" si="1"/>
        <v>139.63999999999999</v>
      </c>
      <c r="Q18" s="315" t="s">
        <v>447</v>
      </c>
      <c r="R18" s="316">
        <v>125</v>
      </c>
      <c r="S18" s="309">
        <f t="shared" si="5"/>
        <v>2166.5</v>
      </c>
    </row>
    <row r="19" spans="2:19" ht="15" x14ac:dyDescent="0.25">
      <c r="B19" s="227">
        <f t="shared" si="2"/>
        <v>9</v>
      </c>
      <c r="C19" s="15">
        <v>5</v>
      </c>
      <c r="D19" s="905">
        <v>121.78</v>
      </c>
      <c r="E19" s="906">
        <v>44142</v>
      </c>
      <c r="F19" s="905">
        <f t="shared" si="0"/>
        <v>121.78</v>
      </c>
      <c r="G19" s="907" t="s">
        <v>350</v>
      </c>
      <c r="H19" s="908">
        <v>125</v>
      </c>
      <c r="I19" s="85">
        <f t="shared" si="3"/>
        <v>216.30000000000027</v>
      </c>
      <c r="L19" s="227">
        <f t="shared" si="4"/>
        <v>106</v>
      </c>
      <c r="M19" s="15">
        <v>10</v>
      </c>
      <c r="N19" s="74">
        <v>189.94</v>
      </c>
      <c r="O19" s="393">
        <v>44170</v>
      </c>
      <c r="P19" s="74">
        <f t="shared" si="1"/>
        <v>189.94</v>
      </c>
      <c r="Q19" s="315" t="s">
        <v>498</v>
      </c>
      <c r="R19" s="316">
        <v>125</v>
      </c>
      <c r="S19" s="85">
        <f t="shared" si="5"/>
        <v>1976.56</v>
      </c>
    </row>
    <row r="20" spans="2:19" ht="15" x14ac:dyDescent="0.25">
      <c r="B20" s="227">
        <f t="shared" si="2"/>
        <v>9</v>
      </c>
      <c r="C20" s="15"/>
      <c r="D20" s="905"/>
      <c r="E20" s="906"/>
      <c r="F20" s="905">
        <f t="shared" si="0"/>
        <v>0</v>
      </c>
      <c r="G20" s="907"/>
      <c r="H20" s="908"/>
      <c r="I20" s="85">
        <f t="shared" si="3"/>
        <v>216.30000000000027</v>
      </c>
      <c r="L20" s="227">
        <f t="shared" si="4"/>
        <v>104</v>
      </c>
      <c r="M20" s="15">
        <v>2</v>
      </c>
      <c r="N20" s="74">
        <v>41.32</v>
      </c>
      <c r="O20" s="393">
        <v>44170</v>
      </c>
      <c r="P20" s="74">
        <f t="shared" si="1"/>
        <v>41.32</v>
      </c>
      <c r="Q20" s="315" t="s">
        <v>500</v>
      </c>
      <c r="R20" s="316">
        <v>125</v>
      </c>
      <c r="S20" s="85">
        <f t="shared" si="5"/>
        <v>1935.24</v>
      </c>
    </row>
    <row r="21" spans="2:19" ht="15" x14ac:dyDescent="0.25">
      <c r="B21" s="227">
        <f t="shared" si="2"/>
        <v>0</v>
      </c>
      <c r="C21" s="15">
        <v>9</v>
      </c>
      <c r="D21" s="905"/>
      <c r="E21" s="906"/>
      <c r="F21" s="905">
        <v>216.3</v>
      </c>
      <c r="G21" s="921"/>
      <c r="H21" s="922"/>
      <c r="I21" s="866">
        <f t="shared" si="3"/>
        <v>2.5579538487363607E-13</v>
      </c>
      <c r="L21" s="227">
        <f t="shared" si="4"/>
        <v>94</v>
      </c>
      <c r="M21" s="15">
        <v>10</v>
      </c>
      <c r="N21" s="74">
        <v>190.4</v>
      </c>
      <c r="O21" s="393">
        <v>44172</v>
      </c>
      <c r="P21" s="74">
        <f t="shared" si="1"/>
        <v>190.4</v>
      </c>
      <c r="Q21" s="315" t="s">
        <v>505</v>
      </c>
      <c r="R21" s="316">
        <v>125</v>
      </c>
      <c r="S21" s="85">
        <f t="shared" si="5"/>
        <v>1744.84</v>
      </c>
    </row>
    <row r="22" spans="2:19" ht="15" x14ac:dyDescent="0.25">
      <c r="B22" s="227">
        <f t="shared" si="2"/>
        <v>0</v>
      </c>
      <c r="C22" s="15"/>
      <c r="D22" s="905"/>
      <c r="E22" s="906"/>
      <c r="F22" s="905">
        <f t="shared" si="0"/>
        <v>0</v>
      </c>
      <c r="G22" s="921"/>
      <c r="H22" s="922"/>
      <c r="I22" s="866">
        <f t="shared" si="3"/>
        <v>2.5579538487363607E-13</v>
      </c>
      <c r="L22" s="227">
        <f t="shared" si="4"/>
        <v>94</v>
      </c>
      <c r="M22" s="15"/>
      <c r="N22" s="74"/>
      <c r="O22" s="393"/>
      <c r="P22" s="74">
        <f t="shared" si="1"/>
        <v>0</v>
      </c>
      <c r="Q22" s="75"/>
      <c r="R22" s="76"/>
      <c r="S22" s="85">
        <f t="shared" si="5"/>
        <v>1744.84</v>
      </c>
    </row>
    <row r="23" spans="2:19" ht="15" x14ac:dyDescent="0.25">
      <c r="B23" s="227">
        <f t="shared" si="2"/>
        <v>0</v>
      </c>
      <c r="C23" s="15"/>
      <c r="D23" s="905"/>
      <c r="E23" s="906"/>
      <c r="F23" s="905">
        <f t="shared" si="0"/>
        <v>0</v>
      </c>
      <c r="G23" s="921"/>
      <c r="H23" s="922"/>
      <c r="I23" s="866">
        <f t="shared" si="3"/>
        <v>2.5579538487363607E-13</v>
      </c>
      <c r="L23" s="227">
        <f t="shared" si="4"/>
        <v>94</v>
      </c>
      <c r="M23" s="15"/>
      <c r="N23" s="74"/>
      <c r="O23" s="393"/>
      <c r="P23" s="74">
        <f t="shared" si="1"/>
        <v>0</v>
      </c>
      <c r="Q23" s="75"/>
      <c r="R23" s="76"/>
      <c r="S23" s="85">
        <f t="shared" si="5"/>
        <v>1744.84</v>
      </c>
    </row>
    <row r="24" spans="2:19" ht="15" x14ac:dyDescent="0.25">
      <c r="B24" s="227">
        <f t="shared" si="2"/>
        <v>0</v>
      </c>
      <c r="C24" s="15"/>
      <c r="D24" s="905"/>
      <c r="E24" s="906"/>
      <c r="F24" s="905">
        <f t="shared" si="0"/>
        <v>0</v>
      </c>
      <c r="G24" s="921"/>
      <c r="H24" s="922"/>
      <c r="I24" s="866">
        <f t="shared" si="3"/>
        <v>2.5579538487363607E-13</v>
      </c>
      <c r="L24" s="227">
        <f t="shared" si="4"/>
        <v>94</v>
      </c>
      <c r="M24" s="15"/>
      <c r="N24" s="74"/>
      <c r="O24" s="393"/>
      <c r="P24" s="74">
        <f t="shared" si="1"/>
        <v>0</v>
      </c>
      <c r="Q24" s="75"/>
      <c r="R24" s="76"/>
      <c r="S24" s="85">
        <f t="shared" si="5"/>
        <v>1744.84</v>
      </c>
    </row>
    <row r="25" spans="2:19" ht="15" x14ac:dyDescent="0.25">
      <c r="B25" s="227">
        <f t="shared" si="2"/>
        <v>0</v>
      </c>
      <c r="C25" s="15"/>
      <c r="D25" s="905"/>
      <c r="E25" s="906"/>
      <c r="F25" s="905">
        <f t="shared" si="0"/>
        <v>0</v>
      </c>
      <c r="G25" s="921"/>
      <c r="H25" s="922"/>
      <c r="I25" s="866">
        <f t="shared" si="3"/>
        <v>2.5579538487363607E-13</v>
      </c>
      <c r="L25" s="227">
        <f t="shared" si="4"/>
        <v>94</v>
      </c>
      <c r="M25" s="15"/>
      <c r="N25" s="74"/>
      <c r="O25" s="393"/>
      <c r="P25" s="74">
        <f t="shared" si="1"/>
        <v>0</v>
      </c>
      <c r="Q25" s="75"/>
      <c r="R25" s="76"/>
      <c r="S25" s="85">
        <f t="shared" si="5"/>
        <v>1744.84</v>
      </c>
    </row>
    <row r="26" spans="2:19" ht="15" x14ac:dyDescent="0.25">
      <c r="B26" s="227">
        <f t="shared" si="2"/>
        <v>0</v>
      </c>
      <c r="C26" s="15"/>
      <c r="D26" s="905"/>
      <c r="E26" s="906"/>
      <c r="F26" s="905">
        <f t="shared" si="0"/>
        <v>0</v>
      </c>
      <c r="G26" s="921"/>
      <c r="H26" s="922"/>
      <c r="I26" s="866">
        <f t="shared" si="3"/>
        <v>2.5579538487363607E-13</v>
      </c>
      <c r="L26" s="227">
        <f t="shared" si="4"/>
        <v>94</v>
      </c>
      <c r="M26" s="15"/>
      <c r="N26" s="74"/>
      <c r="O26" s="393"/>
      <c r="P26" s="74">
        <f t="shared" si="1"/>
        <v>0</v>
      </c>
      <c r="Q26" s="75"/>
      <c r="R26" s="76"/>
      <c r="S26" s="85">
        <f t="shared" si="5"/>
        <v>1744.84</v>
      </c>
    </row>
    <row r="27" spans="2:19" ht="15" x14ac:dyDescent="0.25">
      <c r="B27" s="227">
        <f t="shared" si="2"/>
        <v>0</v>
      </c>
      <c r="C27" s="15"/>
      <c r="D27" s="905"/>
      <c r="E27" s="906"/>
      <c r="F27" s="905">
        <f t="shared" si="0"/>
        <v>0</v>
      </c>
      <c r="G27" s="909"/>
      <c r="H27" s="238"/>
      <c r="I27" s="85">
        <f t="shared" si="3"/>
        <v>2.5579538487363607E-13</v>
      </c>
      <c r="L27" s="227">
        <f t="shared" si="4"/>
        <v>94</v>
      </c>
      <c r="M27" s="15"/>
      <c r="N27" s="74"/>
      <c r="O27" s="393"/>
      <c r="P27" s="74">
        <f t="shared" si="1"/>
        <v>0</v>
      </c>
      <c r="Q27" s="75"/>
      <c r="R27" s="76"/>
      <c r="S27" s="85">
        <f t="shared" si="5"/>
        <v>1744.84</v>
      </c>
    </row>
    <row r="28" spans="2:19" ht="15" x14ac:dyDescent="0.25">
      <c r="B28" s="227">
        <f t="shared" si="2"/>
        <v>0</v>
      </c>
      <c r="C28" s="15"/>
      <c r="D28" s="905"/>
      <c r="E28" s="906"/>
      <c r="F28" s="905">
        <f t="shared" si="0"/>
        <v>0</v>
      </c>
      <c r="G28" s="909"/>
      <c r="H28" s="238"/>
      <c r="I28" s="85">
        <f t="shared" si="3"/>
        <v>2.5579538487363607E-13</v>
      </c>
      <c r="L28" s="227">
        <f t="shared" si="4"/>
        <v>94</v>
      </c>
      <c r="M28" s="15"/>
      <c r="N28" s="74"/>
      <c r="O28" s="393"/>
      <c r="P28" s="74">
        <f t="shared" si="1"/>
        <v>0</v>
      </c>
      <c r="Q28" s="75"/>
      <c r="R28" s="76"/>
      <c r="S28" s="85">
        <f t="shared" si="5"/>
        <v>1744.84</v>
      </c>
    </row>
    <row r="29" spans="2:19" ht="15" x14ac:dyDescent="0.25">
      <c r="B29" s="227">
        <f t="shared" si="2"/>
        <v>0</v>
      </c>
      <c r="C29" s="15"/>
      <c r="D29" s="905"/>
      <c r="E29" s="906"/>
      <c r="F29" s="905">
        <f t="shared" si="0"/>
        <v>0</v>
      </c>
      <c r="G29" s="909"/>
      <c r="H29" s="238"/>
      <c r="I29" s="85">
        <f t="shared" si="3"/>
        <v>2.5579538487363607E-13</v>
      </c>
      <c r="L29" s="227">
        <f t="shared" si="4"/>
        <v>94</v>
      </c>
      <c r="M29" s="15"/>
      <c r="N29" s="74"/>
      <c r="O29" s="393"/>
      <c r="P29" s="74">
        <f t="shared" si="1"/>
        <v>0</v>
      </c>
      <c r="Q29" s="75"/>
      <c r="R29" s="76"/>
      <c r="S29" s="85">
        <f t="shared" si="5"/>
        <v>1744.84</v>
      </c>
    </row>
    <row r="30" spans="2:19" ht="15" x14ac:dyDescent="0.25">
      <c r="B30" s="227">
        <f t="shared" si="2"/>
        <v>0</v>
      </c>
      <c r="C30" s="15"/>
      <c r="D30" s="74"/>
      <c r="E30" s="393"/>
      <c r="F30" s="74">
        <f t="shared" si="0"/>
        <v>0</v>
      </c>
      <c r="G30" s="75"/>
      <c r="H30" s="76"/>
      <c r="I30" s="85">
        <f t="shared" si="3"/>
        <v>2.5579538487363607E-13</v>
      </c>
      <c r="L30" s="227">
        <f t="shared" si="4"/>
        <v>94</v>
      </c>
      <c r="M30" s="15"/>
      <c r="N30" s="74"/>
      <c r="O30" s="393"/>
      <c r="P30" s="74">
        <f t="shared" si="1"/>
        <v>0</v>
      </c>
      <c r="Q30" s="75"/>
      <c r="R30" s="76"/>
      <c r="S30" s="85">
        <f t="shared" si="5"/>
        <v>1744.84</v>
      </c>
    </row>
    <row r="31" spans="2:19" ht="15" x14ac:dyDescent="0.25">
      <c r="B31" s="227">
        <f t="shared" si="2"/>
        <v>0</v>
      </c>
      <c r="C31" s="15"/>
      <c r="D31" s="74"/>
      <c r="E31" s="393"/>
      <c r="F31" s="74">
        <f t="shared" si="0"/>
        <v>0</v>
      </c>
      <c r="G31" s="75"/>
      <c r="H31" s="76"/>
      <c r="I31" s="85">
        <f t="shared" si="3"/>
        <v>2.5579538487363607E-13</v>
      </c>
      <c r="L31" s="227">
        <f t="shared" si="4"/>
        <v>94</v>
      </c>
      <c r="M31" s="15"/>
      <c r="N31" s="74"/>
      <c r="O31" s="393"/>
      <c r="P31" s="74">
        <f t="shared" si="1"/>
        <v>0</v>
      </c>
      <c r="Q31" s="75"/>
      <c r="R31" s="76"/>
      <c r="S31" s="85">
        <f t="shared" si="5"/>
        <v>1744.84</v>
      </c>
    </row>
    <row r="32" spans="2:19" ht="15" x14ac:dyDescent="0.25">
      <c r="B32" s="227">
        <f t="shared" si="2"/>
        <v>0</v>
      </c>
      <c r="C32" s="15"/>
      <c r="D32" s="74"/>
      <c r="E32" s="393"/>
      <c r="F32" s="74">
        <f t="shared" si="0"/>
        <v>0</v>
      </c>
      <c r="G32" s="75"/>
      <c r="H32" s="76"/>
      <c r="I32" s="85">
        <f t="shared" si="3"/>
        <v>2.5579538487363607E-13</v>
      </c>
      <c r="L32" s="227">
        <f t="shared" si="4"/>
        <v>94</v>
      </c>
      <c r="M32" s="15"/>
      <c r="N32" s="74"/>
      <c r="O32" s="393"/>
      <c r="P32" s="74">
        <f t="shared" si="1"/>
        <v>0</v>
      </c>
      <c r="Q32" s="75"/>
      <c r="R32" s="76"/>
      <c r="S32" s="85">
        <f t="shared" si="5"/>
        <v>1744.84</v>
      </c>
    </row>
    <row r="33" spans="2:19" ht="15" x14ac:dyDescent="0.25">
      <c r="B33" s="227">
        <f t="shared" si="2"/>
        <v>0</v>
      </c>
      <c r="C33" s="15"/>
      <c r="D33" s="74"/>
      <c r="E33" s="393"/>
      <c r="F33" s="74">
        <f t="shared" si="0"/>
        <v>0</v>
      </c>
      <c r="G33" s="75"/>
      <c r="H33" s="76"/>
      <c r="I33" s="85">
        <f t="shared" si="3"/>
        <v>2.5579538487363607E-13</v>
      </c>
      <c r="L33" s="227">
        <f t="shared" si="4"/>
        <v>94</v>
      </c>
      <c r="M33" s="15"/>
      <c r="N33" s="74"/>
      <c r="O33" s="393"/>
      <c r="P33" s="74">
        <f t="shared" si="1"/>
        <v>0</v>
      </c>
      <c r="Q33" s="75"/>
      <c r="R33" s="76"/>
      <c r="S33" s="85">
        <f t="shared" si="5"/>
        <v>1744.84</v>
      </c>
    </row>
    <row r="34" spans="2:19" ht="15" x14ac:dyDescent="0.25">
      <c r="B34" s="227">
        <f t="shared" si="2"/>
        <v>0</v>
      </c>
      <c r="C34" s="15"/>
      <c r="D34" s="74"/>
      <c r="E34" s="393"/>
      <c r="F34" s="74">
        <f t="shared" si="0"/>
        <v>0</v>
      </c>
      <c r="G34" s="75"/>
      <c r="H34" s="76"/>
      <c r="I34" s="85">
        <f t="shared" si="3"/>
        <v>2.5579538487363607E-13</v>
      </c>
      <c r="L34" s="227">
        <f t="shared" si="4"/>
        <v>94</v>
      </c>
      <c r="M34" s="15"/>
      <c r="N34" s="74"/>
      <c r="O34" s="393"/>
      <c r="P34" s="74">
        <f t="shared" si="1"/>
        <v>0</v>
      </c>
      <c r="Q34" s="75"/>
      <c r="R34" s="76"/>
      <c r="S34" s="85">
        <f t="shared" si="5"/>
        <v>1744.84</v>
      </c>
    </row>
    <row r="35" spans="2:19" ht="15" x14ac:dyDescent="0.25">
      <c r="B35" s="227">
        <f t="shared" si="2"/>
        <v>0</v>
      </c>
      <c r="C35" s="15"/>
      <c r="D35" s="74"/>
      <c r="E35" s="393"/>
      <c r="F35" s="74">
        <f t="shared" si="0"/>
        <v>0</v>
      </c>
      <c r="G35" s="75"/>
      <c r="H35" s="76"/>
      <c r="I35" s="85">
        <f t="shared" si="3"/>
        <v>2.5579538487363607E-13</v>
      </c>
      <c r="L35" s="227">
        <f t="shared" si="4"/>
        <v>94</v>
      </c>
      <c r="M35" s="15"/>
      <c r="N35" s="74"/>
      <c r="O35" s="393"/>
      <c r="P35" s="74">
        <f t="shared" si="1"/>
        <v>0</v>
      </c>
      <c r="Q35" s="75"/>
      <c r="R35" s="76"/>
      <c r="S35" s="85">
        <f t="shared" si="5"/>
        <v>1744.84</v>
      </c>
    </row>
    <row r="36" spans="2:19" ht="15" x14ac:dyDescent="0.25">
      <c r="B36" s="227">
        <f t="shared" si="2"/>
        <v>0</v>
      </c>
      <c r="C36" s="15"/>
      <c r="D36" s="74"/>
      <c r="E36" s="393"/>
      <c r="F36" s="74">
        <f t="shared" si="0"/>
        <v>0</v>
      </c>
      <c r="G36" s="75"/>
      <c r="H36" s="76"/>
      <c r="I36" s="85">
        <f t="shared" si="3"/>
        <v>2.5579538487363607E-13</v>
      </c>
      <c r="L36" s="227">
        <f t="shared" si="4"/>
        <v>94</v>
      </c>
      <c r="M36" s="15"/>
      <c r="N36" s="74"/>
      <c r="O36" s="393"/>
      <c r="P36" s="74">
        <f t="shared" si="1"/>
        <v>0</v>
      </c>
      <c r="Q36" s="75"/>
      <c r="R36" s="76"/>
      <c r="S36" s="85">
        <f t="shared" si="5"/>
        <v>1744.84</v>
      </c>
    </row>
    <row r="37" spans="2:19" ht="15" x14ac:dyDescent="0.25">
      <c r="B37" s="227">
        <f t="shared" si="2"/>
        <v>0</v>
      </c>
      <c r="C37" s="15"/>
      <c r="D37" s="74"/>
      <c r="E37" s="393"/>
      <c r="F37" s="74">
        <f t="shared" si="0"/>
        <v>0</v>
      </c>
      <c r="G37" s="75"/>
      <c r="H37" s="76"/>
      <c r="I37" s="85">
        <f t="shared" si="3"/>
        <v>2.5579538487363607E-13</v>
      </c>
      <c r="L37" s="227">
        <f t="shared" si="4"/>
        <v>94</v>
      </c>
      <c r="M37" s="15"/>
      <c r="N37" s="74"/>
      <c r="O37" s="393"/>
      <c r="P37" s="74">
        <f t="shared" si="1"/>
        <v>0</v>
      </c>
      <c r="Q37" s="75"/>
      <c r="R37" s="76"/>
      <c r="S37" s="85">
        <f t="shared" si="5"/>
        <v>1744.84</v>
      </c>
    </row>
    <row r="38" spans="2:19" ht="15" x14ac:dyDescent="0.25">
      <c r="B38" s="227">
        <f t="shared" si="2"/>
        <v>0</v>
      </c>
      <c r="C38" s="15"/>
      <c r="D38" s="74"/>
      <c r="E38" s="393"/>
      <c r="F38" s="74">
        <f t="shared" si="0"/>
        <v>0</v>
      </c>
      <c r="G38" s="75"/>
      <c r="H38" s="76"/>
      <c r="I38" s="85">
        <f t="shared" si="3"/>
        <v>2.5579538487363607E-13</v>
      </c>
      <c r="L38" s="227">
        <f t="shared" si="4"/>
        <v>94</v>
      </c>
      <c r="M38" s="15"/>
      <c r="N38" s="74"/>
      <c r="O38" s="393"/>
      <c r="P38" s="74">
        <f t="shared" si="1"/>
        <v>0</v>
      </c>
      <c r="Q38" s="75"/>
      <c r="R38" s="76"/>
      <c r="S38" s="85">
        <f t="shared" si="5"/>
        <v>1744.84</v>
      </c>
    </row>
    <row r="39" spans="2:19" ht="15" x14ac:dyDescent="0.25">
      <c r="B39" s="227">
        <f t="shared" si="2"/>
        <v>0</v>
      </c>
      <c r="C39" s="15"/>
      <c r="D39" s="74"/>
      <c r="E39" s="393"/>
      <c r="F39" s="74">
        <f t="shared" si="0"/>
        <v>0</v>
      </c>
      <c r="G39" s="75"/>
      <c r="H39" s="76"/>
      <c r="I39" s="85">
        <f t="shared" si="3"/>
        <v>2.5579538487363607E-13</v>
      </c>
      <c r="L39" s="227">
        <f t="shared" si="4"/>
        <v>94</v>
      </c>
      <c r="M39" s="15"/>
      <c r="N39" s="74"/>
      <c r="O39" s="393"/>
      <c r="P39" s="74">
        <f t="shared" si="1"/>
        <v>0</v>
      </c>
      <c r="Q39" s="75"/>
      <c r="R39" s="76"/>
      <c r="S39" s="85">
        <f t="shared" si="5"/>
        <v>1744.84</v>
      </c>
    </row>
    <row r="40" spans="2:19" x14ac:dyDescent="0.25">
      <c r="B40" s="227">
        <f t="shared" si="2"/>
        <v>0</v>
      </c>
      <c r="C40" s="15"/>
      <c r="D40" s="74"/>
      <c r="E40" s="393"/>
      <c r="F40" s="74">
        <f t="shared" si="0"/>
        <v>0</v>
      </c>
      <c r="G40" s="75"/>
      <c r="H40" s="76"/>
      <c r="I40" s="85">
        <f t="shared" si="3"/>
        <v>2.5579538487363607E-13</v>
      </c>
      <c r="L40" s="227">
        <f t="shared" si="4"/>
        <v>94</v>
      </c>
      <c r="M40" s="15"/>
      <c r="N40" s="74"/>
      <c r="O40" s="393"/>
      <c r="P40" s="74">
        <f t="shared" si="1"/>
        <v>0</v>
      </c>
      <c r="Q40" s="75"/>
      <c r="R40" s="76"/>
      <c r="S40" s="85">
        <f t="shared" si="5"/>
        <v>1744.84</v>
      </c>
    </row>
    <row r="41" spans="2:19" x14ac:dyDescent="0.25">
      <c r="B41" s="227">
        <f t="shared" si="2"/>
        <v>0</v>
      </c>
      <c r="C41" s="15"/>
      <c r="D41" s="74"/>
      <c r="E41" s="393"/>
      <c r="F41" s="74">
        <f t="shared" si="0"/>
        <v>0</v>
      </c>
      <c r="G41" s="75"/>
      <c r="H41" s="76"/>
      <c r="I41" s="85">
        <f t="shared" si="3"/>
        <v>2.5579538487363607E-13</v>
      </c>
      <c r="L41" s="227">
        <f t="shared" si="4"/>
        <v>94</v>
      </c>
      <c r="M41" s="15"/>
      <c r="N41" s="74"/>
      <c r="O41" s="393"/>
      <c r="P41" s="74">
        <f t="shared" si="1"/>
        <v>0</v>
      </c>
      <c r="Q41" s="75"/>
      <c r="R41" s="76"/>
      <c r="S41" s="85">
        <f t="shared" si="5"/>
        <v>1744.84</v>
      </c>
    </row>
    <row r="42" spans="2:19" x14ac:dyDescent="0.25">
      <c r="B42" s="227">
        <f t="shared" si="2"/>
        <v>0</v>
      </c>
      <c r="C42" s="15"/>
      <c r="D42" s="74"/>
      <c r="E42" s="393"/>
      <c r="F42" s="74">
        <f t="shared" si="0"/>
        <v>0</v>
      </c>
      <c r="G42" s="75"/>
      <c r="H42" s="76"/>
      <c r="I42" s="85">
        <f t="shared" si="3"/>
        <v>2.5579538487363607E-13</v>
      </c>
      <c r="L42" s="227">
        <f t="shared" si="4"/>
        <v>94</v>
      </c>
      <c r="M42" s="15"/>
      <c r="N42" s="74"/>
      <c r="O42" s="393"/>
      <c r="P42" s="74">
        <f t="shared" si="1"/>
        <v>0</v>
      </c>
      <c r="Q42" s="75"/>
      <c r="R42" s="76"/>
      <c r="S42" s="85">
        <f t="shared" si="5"/>
        <v>1744.84</v>
      </c>
    </row>
    <row r="43" spans="2:19" x14ac:dyDescent="0.25">
      <c r="B43" s="227">
        <f t="shared" si="2"/>
        <v>0</v>
      </c>
      <c r="C43" s="15"/>
      <c r="D43" s="74"/>
      <c r="E43" s="393"/>
      <c r="F43" s="74">
        <f t="shared" si="0"/>
        <v>0</v>
      </c>
      <c r="G43" s="75"/>
      <c r="H43" s="76"/>
      <c r="I43" s="85">
        <f t="shared" si="3"/>
        <v>2.5579538487363607E-13</v>
      </c>
      <c r="L43" s="227">
        <f t="shared" si="4"/>
        <v>94</v>
      </c>
      <c r="M43" s="15"/>
      <c r="N43" s="74"/>
      <c r="O43" s="393"/>
      <c r="P43" s="74">
        <f t="shared" si="1"/>
        <v>0</v>
      </c>
      <c r="Q43" s="75"/>
      <c r="R43" s="76"/>
      <c r="S43" s="85">
        <f t="shared" si="5"/>
        <v>1744.84</v>
      </c>
    </row>
    <row r="44" spans="2:19" x14ac:dyDescent="0.25">
      <c r="B44" s="227">
        <f t="shared" si="2"/>
        <v>0</v>
      </c>
      <c r="C44" s="15"/>
      <c r="D44" s="74"/>
      <c r="E44" s="393"/>
      <c r="F44" s="74">
        <f t="shared" si="0"/>
        <v>0</v>
      </c>
      <c r="G44" s="75"/>
      <c r="H44" s="76"/>
      <c r="I44" s="85">
        <f t="shared" si="3"/>
        <v>2.5579538487363607E-13</v>
      </c>
      <c r="L44" s="227">
        <f t="shared" si="4"/>
        <v>94</v>
      </c>
      <c r="M44" s="15"/>
      <c r="N44" s="74"/>
      <c r="O44" s="393"/>
      <c r="P44" s="74">
        <f t="shared" si="1"/>
        <v>0</v>
      </c>
      <c r="Q44" s="75"/>
      <c r="R44" s="76"/>
      <c r="S44" s="85">
        <f t="shared" si="5"/>
        <v>1744.84</v>
      </c>
    </row>
    <row r="45" spans="2:19" x14ac:dyDescent="0.25">
      <c r="B45" s="227">
        <f t="shared" si="2"/>
        <v>0</v>
      </c>
      <c r="C45" s="15"/>
      <c r="D45" s="74"/>
      <c r="E45" s="393"/>
      <c r="F45" s="74">
        <f t="shared" si="0"/>
        <v>0</v>
      </c>
      <c r="G45" s="75"/>
      <c r="H45" s="76"/>
      <c r="I45" s="85">
        <f t="shared" si="3"/>
        <v>2.5579538487363607E-13</v>
      </c>
      <c r="L45" s="227">
        <f t="shared" si="4"/>
        <v>94</v>
      </c>
      <c r="M45" s="15"/>
      <c r="N45" s="74"/>
      <c r="O45" s="393"/>
      <c r="P45" s="74">
        <f t="shared" si="1"/>
        <v>0</v>
      </c>
      <c r="Q45" s="75"/>
      <c r="R45" s="76"/>
      <c r="S45" s="85">
        <f t="shared" si="5"/>
        <v>1744.84</v>
      </c>
    </row>
    <row r="46" spans="2:19" x14ac:dyDescent="0.25">
      <c r="B46" s="227">
        <f t="shared" si="2"/>
        <v>0</v>
      </c>
      <c r="C46" s="15"/>
      <c r="D46" s="74"/>
      <c r="E46" s="393"/>
      <c r="F46" s="74">
        <f t="shared" si="0"/>
        <v>0</v>
      </c>
      <c r="G46" s="75"/>
      <c r="H46" s="76"/>
      <c r="I46" s="85">
        <f t="shared" si="3"/>
        <v>2.5579538487363607E-13</v>
      </c>
      <c r="L46" s="227">
        <f t="shared" si="4"/>
        <v>94</v>
      </c>
      <c r="M46" s="15"/>
      <c r="N46" s="74"/>
      <c r="O46" s="393"/>
      <c r="P46" s="74">
        <f t="shared" si="1"/>
        <v>0</v>
      </c>
      <c r="Q46" s="75"/>
      <c r="R46" s="76"/>
      <c r="S46" s="85">
        <f t="shared" si="5"/>
        <v>1744.84</v>
      </c>
    </row>
    <row r="47" spans="2:19" x14ac:dyDescent="0.25">
      <c r="B47" s="227">
        <f t="shared" si="2"/>
        <v>0</v>
      </c>
      <c r="C47" s="15"/>
      <c r="D47" s="74"/>
      <c r="E47" s="393"/>
      <c r="F47" s="74">
        <f t="shared" si="0"/>
        <v>0</v>
      </c>
      <c r="G47" s="75"/>
      <c r="H47" s="76"/>
      <c r="I47" s="85">
        <f t="shared" si="3"/>
        <v>2.5579538487363607E-13</v>
      </c>
      <c r="L47" s="227">
        <f t="shared" si="4"/>
        <v>94</v>
      </c>
      <c r="M47" s="15"/>
      <c r="N47" s="74"/>
      <c r="O47" s="393"/>
      <c r="P47" s="74">
        <f t="shared" si="1"/>
        <v>0</v>
      </c>
      <c r="Q47" s="75"/>
      <c r="R47" s="76"/>
      <c r="S47" s="85">
        <f t="shared" si="5"/>
        <v>1744.84</v>
      </c>
    </row>
    <row r="48" spans="2:19" x14ac:dyDescent="0.25">
      <c r="B48" s="227">
        <f t="shared" si="2"/>
        <v>0</v>
      </c>
      <c r="C48" s="15"/>
      <c r="D48" s="74"/>
      <c r="E48" s="393"/>
      <c r="F48" s="74">
        <f t="shared" si="0"/>
        <v>0</v>
      </c>
      <c r="G48" s="75"/>
      <c r="H48" s="76"/>
      <c r="I48" s="85">
        <f t="shared" si="3"/>
        <v>2.5579538487363607E-13</v>
      </c>
      <c r="L48" s="227">
        <f t="shared" si="4"/>
        <v>94</v>
      </c>
      <c r="M48" s="15"/>
      <c r="N48" s="74"/>
      <c r="O48" s="393"/>
      <c r="P48" s="74">
        <f t="shared" si="1"/>
        <v>0</v>
      </c>
      <c r="Q48" s="75"/>
      <c r="R48" s="76"/>
      <c r="S48" s="85">
        <f t="shared" si="5"/>
        <v>1744.84</v>
      </c>
    </row>
    <row r="49" spans="2:19" x14ac:dyDescent="0.25">
      <c r="B49" s="227">
        <f t="shared" si="2"/>
        <v>0</v>
      </c>
      <c r="C49" s="15"/>
      <c r="D49" s="74"/>
      <c r="E49" s="393"/>
      <c r="F49" s="74">
        <f t="shared" si="0"/>
        <v>0</v>
      </c>
      <c r="G49" s="75"/>
      <c r="H49" s="76"/>
      <c r="I49" s="85">
        <f t="shared" si="3"/>
        <v>2.5579538487363607E-13</v>
      </c>
      <c r="L49" s="227">
        <f t="shared" si="4"/>
        <v>94</v>
      </c>
      <c r="M49" s="15"/>
      <c r="N49" s="74"/>
      <c r="O49" s="393"/>
      <c r="P49" s="74">
        <f t="shared" si="1"/>
        <v>0</v>
      </c>
      <c r="Q49" s="75"/>
      <c r="R49" s="76"/>
      <c r="S49" s="85">
        <f t="shared" si="5"/>
        <v>1744.84</v>
      </c>
    </row>
    <row r="50" spans="2:19" x14ac:dyDescent="0.25">
      <c r="B50" s="227">
        <f t="shared" si="2"/>
        <v>0</v>
      </c>
      <c r="C50" s="15"/>
      <c r="D50" s="74"/>
      <c r="E50" s="393"/>
      <c r="F50" s="74">
        <f t="shared" si="0"/>
        <v>0</v>
      </c>
      <c r="G50" s="75"/>
      <c r="H50" s="76"/>
      <c r="I50" s="85">
        <f t="shared" si="3"/>
        <v>2.5579538487363607E-13</v>
      </c>
      <c r="L50" s="227">
        <f t="shared" si="4"/>
        <v>94</v>
      </c>
      <c r="M50" s="15"/>
      <c r="N50" s="74"/>
      <c r="O50" s="393"/>
      <c r="P50" s="74">
        <f t="shared" si="1"/>
        <v>0</v>
      </c>
      <c r="Q50" s="75"/>
      <c r="R50" s="76"/>
      <c r="S50" s="85">
        <f t="shared" si="5"/>
        <v>1744.84</v>
      </c>
    </row>
    <row r="51" spans="2:19" x14ac:dyDescent="0.25">
      <c r="B51" s="227">
        <f t="shared" si="2"/>
        <v>0</v>
      </c>
      <c r="C51" s="15"/>
      <c r="D51" s="74"/>
      <c r="E51" s="393"/>
      <c r="F51" s="74">
        <f t="shared" si="0"/>
        <v>0</v>
      </c>
      <c r="G51" s="75"/>
      <c r="H51" s="76"/>
      <c r="I51" s="85">
        <f t="shared" si="3"/>
        <v>2.5579538487363607E-13</v>
      </c>
      <c r="L51" s="227">
        <f t="shared" si="4"/>
        <v>94</v>
      </c>
      <c r="M51" s="15"/>
      <c r="N51" s="74"/>
      <c r="O51" s="393"/>
      <c r="P51" s="74">
        <f t="shared" si="1"/>
        <v>0</v>
      </c>
      <c r="Q51" s="75"/>
      <c r="R51" s="76"/>
      <c r="S51" s="85">
        <f t="shared" si="5"/>
        <v>1744.84</v>
      </c>
    </row>
    <row r="52" spans="2:19" x14ac:dyDescent="0.25">
      <c r="B52" s="227">
        <f t="shared" si="2"/>
        <v>0</v>
      </c>
      <c r="C52" s="15"/>
      <c r="D52" s="74"/>
      <c r="E52" s="393"/>
      <c r="F52" s="74">
        <f t="shared" si="0"/>
        <v>0</v>
      </c>
      <c r="G52" s="75"/>
      <c r="H52" s="76"/>
      <c r="I52" s="85">
        <f t="shared" si="3"/>
        <v>2.5579538487363607E-13</v>
      </c>
      <c r="L52" s="227">
        <f t="shared" si="4"/>
        <v>94</v>
      </c>
      <c r="M52" s="15"/>
      <c r="N52" s="74"/>
      <c r="O52" s="393"/>
      <c r="P52" s="74">
        <f t="shared" si="1"/>
        <v>0</v>
      </c>
      <c r="Q52" s="75"/>
      <c r="R52" s="76"/>
      <c r="S52" s="85">
        <f t="shared" si="5"/>
        <v>1744.84</v>
      </c>
    </row>
    <row r="53" spans="2:19" x14ac:dyDescent="0.25">
      <c r="B53" s="227">
        <f t="shared" si="2"/>
        <v>0</v>
      </c>
      <c r="C53" s="15"/>
      <c r="D53" s="74"/>
      <c r="E53" s="393"/>
      <c r="F53" s="74">
        <f t="shared" si="0"/>
        <v>0</v>
      </c>
      <c r="G53" s="75"/>
      <c r="H53" s="76"/>
      <c r="I53" s="85">
        <f t="shared" si="3"/>
        <v>2.5579538487363607E-13</v>
      </c>
      <c r="L53" s="227">
        <f t="shared" si="4"/>
        <v>94</v>
      </c>
      <c r="M53" s="15"/>
      <c r="N53" s="74"/>
      <c r="O53" s="393"/>
      <c r="P53" s="74">
        <f t="shared" si="1"/>
        <v>0</v>
      </c>
      <c r="Q53" s="75"/>
      <c r="R53" s="76"/>
      <c r="S53" s="85">
        <f t="shared" si="5"/>
        <v>1744.84</v>
      </c>
    </row>
    <row r="54" spans="2:19" ht="14.4" thickBot="1" x14ac:dyDescent="0.3">
      <c r="B54" s="3"/>
      <c r="C54" s="37"/>
      <c r="D54" s="169"/>
      <c r="E54" s="411"/>
      <c r="F54" s="169">
        <f t="shared" si="0"/>
        <v>0</v>
      </c>
      <c r="G54" s="260"/>
      <c r="H54" s="82"/>
      <c r="I54" s="85">
        <f t="shared" si="3"/>
        <v>2.5579538487363607E-13</v>
      </c>
      <c r="L54" s="3"/>
      <c r="M54" s="37"/>
      <c r="N54" s="169"/>
      <c r="O54" s="411"/>
      <c r="P54" s="169">
        <f t="shared" si="1"/>
        <v>0</v>
      </c>
      <c r="Q54" s="260"/>
      <c r="R54" s="82"/>
      <c r="S54" s="85">
        <f t="shared" si="5"/>
        <v>1744.84</v>
      </c>
    </row>
    <row r="55" spans="2:19" x14ac:dyDescent="0.25">
      <c r="C55" s="55">
        <f>SUM(C9:C54)</f>
        <v>83</v>
      </c>
      <c r="D55" s="134">
        <f>SUM(D9:D54)</f>
        <v>1800.4199999999998</v>
      </c>
      <c r="E55" s="195"/>
      <c r="F55" s="134">
        <f>SUM(F9:F54)</f>
        <v>2016.7199999999998</v>
      </c>
      <c r="G55" s="180"/>
      <c r="H55" s="180"/>
      <c r="M55" s="55">
        <f>SUM(M9:M54)</f>
        <v>94</v>
      </c>
      <c r="N55" s="134">
        <f>SUM(N9:N54)</f>
        <v>1780.0800000000002</v>
      </c>
      <c r="O55" s="195"/>
      <c r="P55" s="134">
        <f>SUM(P9:P54)</f>
        <v>1780.0800000000002</v>
      </c>
      <c r="Q55" s="180"/>
      <c r="R55" s="180"/>
    </row>
    <row r="56" spans="2:19" x14ac:dyDescent="0.25">
      <c r="C56" s="118"/>
      <c r="M56" s="118"/>
    </row>
    <row r="57" spans="2:19" ht="14.4" thickBot="1" x14ac:dyDescent="0.3">
      <c r="B57" s="48"/>
      <c r="L57" s="48"/>
    </row>
    <row r="58" spans="2:19" ht="14.4" thickBot="1" x14ac:dyDescent="0.3">
      <c r="B58" s="98"/>
      <c r="D58" s="46" t="s">
        <v>4</v>
      </c>
      <c r="E58" s="61">
        <f>F5-C55+F4+F6+F7</f>
        <v>0</v>
      </c>
      <c r="L58" s="98"/>
      <c r="N58" s="46" t="s">
        <v>4</v>
      </c>
      <c r="O58" s="61">
        <f>P5-M55+P4+P6+P7</f>
        <v>94</v>
      </c>
    </row>
    <row r="59" spans="2:19" ht="14.4" thickBot="1" x14ac:dyDescent="0.3">
      <c r="B59" s="135"/>
      <c r="L59" s="135"/>
    </row>
    <row r="60" spans="2:19" ht="14.4" thickBot="1" x14ac:dyDescent="0.3">
      <c r="B60" s="98"/>
      <c r="C60" s="1036" t="s">
        <v>11</v>
      </c>
      <c r="D60" s="1037"/>
      <c r="E60" s="62">
        <f>E5-F55+E4+E6+E7</f>
        <v>2.2737367544323206E-13</v>
      </c>
      <c r="L60" s="98"/>
      <c r="M60" s="1036" t="s">
        <v>11</v>
      </c>
      <c r="N60" s="1037"/>
      <c r="O60" s="62">
        <f>O5-P55+O4+O6+O7</f>
        <v>1744.8399999999997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E20" sqref="E20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0" ht="45.75" customHeight="1" x14ac:dyDescent="0.65">
      <c r="A1" s="1034"/>
      <c r="B1" s="1034"/>
      <c r="C1" s="1034"/>
      <c r="D1" s="1034"/>
      <c r="E1" s="1034"/>
      <c r="F1" s="1034"/>
      <c r="G1" s="1034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17"/>
      <c r="D4" s="312"/>
      <c r="E4" s="413"/>
      <c r="F4" s="378"/>
    </row>
    <row r="5" spans="1:10" ht="15" customHeight="1" x14ac:dyDescent="0.3">
      <c r="A5" s="1050"/>
      <c r="B5" s="1052" t="s">
        <v>72</v>
      </c>
      <c r="C5" s="550"/>
      <c r="D5" s="375"/>
      <c r="E5" s="377"/>
      <c r="F5" s="378"/>
      <c r="G5" s="161">
        <f>F52</f>
        <v>0</v>
      </c>
      <c r="H5" s="63">
        <f>E4+E5+E6-G5</f>
        <v>0</v>
      </c>
    </row>
    <row r="6" spans="1:10" ht="16.2" thickBot="1" x14ac:dyDescent="0.35">
      <c r="A6" s="1051"/>
      <c r="B6" s="1053"/>
      <c r="C6" s="557"/>
      <c r="D6" s="556"/>
      <c r="E6" s="414"/>
      <c r="F6" s="380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6" t="s">
        <v>3</v>
      </c>
      <c r="J7" s="277" t="s">
        <v>4</v>
      </c>
    </row>
    <row r="8" spans="1:10" ht="15.75" thickTop="1" x14ac:dyDescent="0.25">
      <c r="A8" s="87" t="s">
        <v>32</v>
      </c>
      <c r="B8" s="90">
        <v>13.62</v>
      </c>
      <c r="C8" s="15"/>
      <c r="D8" s="358">
        <f t="shared" ref="D8:D13" si="0">C8*B8</f>
        <v>0</v>
      </c>
      <c r="E8" s="100"/>
      <c r="F8" s="74">
        <f t="shared" ref="F8:F50" si="1">D8</f>
        <v>0</v>
      </c>
      <c r="G8" s="315"/>
      <c r="H8" s="316"/>
      <c r="I8" s="278">
        <f>E5+E4-F8+E6</f>
        <v>0</v>
      </c>
      <c r="J8" s="279">
        <f>F4+F5+F6-C8</f>
        <v>0</v>
      </c>
    </row>
    <row r="9" spans="1:10" ht="15" x14ac:dyDescent="0.25">
      <c r="A9" s="241"/>
      <c r="B9" s="90">
        <v>13.62</v>
      </c>
      <c r="C9" s="15"/>
      <c r="D9" s="358">
        <f t="shared" si="0"/>
        <v>0</v>
      </c>
      <c r="E9" s="100"/>
      <c r="F9" s="74">
        <f t="shared" si="1"/>
        <v>0</v>
      </c>
      <c r="G9" s="315"/>
      <c r="H9" s="316"/>
      <c r="I9" s="278">
        <f>I8-F9</f>
        <v>0</v>
      </c>
      <c r="J9" s="279">
        <f>J8-C9</f>
        <v>0</v>
      </c>
    </row>
    <row r="10" spans="1:10" ht="15" x14ac:dyDescent="0.25">
      <c r="A10" s="227"/>
      <c r="B10" s="90">
        <v>13.62</v>
      </c>
      <c r="C10" s="15"/>
      <c r="D10" s="358">
        <f t="shared" si="0"/>
        <v>0</v>
      </c>
      <c r="E10" s="86"/>
      <c r="F10" s="74">
        <f t="shared" si="1"/>
        <v>0</v>
      </c>
      <c r="G10" s="315"/>
      <c r="H10" s="316"/>
      <c r="I10" s="278">
        <f t="shared" ref="I10:I19" si="2">I9-F10</f>
        <v>0</v>
      </c>
      <c r="J10" s="279">
        <f t="shared" ref="J10:J50" si="3">J9-C10</f>
        <v>0</v>
      </c>
    </row>
    <row r="11" spans="1:10" ht="15" x14ac:dyDescent="0.25">
      <c r="A11" s="89" t="s">
        <v>33</v>
      </c>
      <c r="B11" s="90">
        <v>13.62</v>
      </c>
      <c r="C11" s="15"/>
      <c r="D11" s="358">
        <f t="shared" si="0"/>
        <v>0</v>
      </c>
      <c r="E11" s="86"/>
      <c r="F11" s="74">
        <f t="shared" si="1"/>
        <v>0</v>
      </c>
      <c r="G11" s="315"/>
      <c r="H11" s="316"/>
      <c r="I11" s="278">
        <f t="shared" si="2"/>
        <v>0</v>
      </c>
      <c r="J11" s="279">
        <f t="shared" si="3"/>
        <v>0</v>
      </c>
    </row>
    <row r="12" spans="1:10" ht="15" x14ac:dyDescent="0.25">
      <c r="A12" s="79"/>
      <c r="B12" s="90">
        <v>13.62</v>
      </c>
      <c r="C12" s="15"/>
      <c r="D12" s="358">
        <f t="shared" si="0"/>
        <v>0</v>
      </c>
      <c r="E12" s="86"/>
      <c r="F12" s="74">
        <f t="shared" si="1"/>
        <v>0</v>
      </c>
      <c r="G12" s="315"/>
      <c r="H12" s="316"/>
      <c r="I12" s="356">
        <f t="shared" si="2"/>
        <v>0</v>
      </c>
      <c r="J12" s="357">
        <f t="shared" si="3"/>
        <v>0</v>
      </c>
    </row>
    <row r="13" spans="1:10" ht="15" x14ac:dyDescent="0.25">
      <c r="A13" s="79"/>
      <c r="B13" s="90">
        <v>13.62</v>
      </c>
      <c r="C13" s="15"/>
      <c r="D13" s="358">
        <f t="shared" si="0"/>
        <v>0</v>
      </c>
      <c r="E13" s="86"/>
      <c r="F13" s="74">
        <f t="shared" si="1"/>
        <v>0</v>
      </c>
      <c r="G13" s="315"/>
      <c r="H13" s="316"/>
      <c r="I13" s="356">
        <f t="shared" si="2"/>
        <v>0</v>
      </c>
      <c r="J13" s="357">
        <f t="shared" si="3"/>
        <v>0</v>
      </c>
    </row>
    <row r="14" spans="1:10" ht="15" x14ac:dyDescent="0.25">
      <c r="B14" s="90">
        <v>13.62</v>
      </c>
      <c r="C14" s="313"/>
      <c r="D14" s="358">
        <f>C14*B14</f>
        <v>0</v>
      </c>
      <c r="E14" s="359"/>
      <c r="F14" s="314">
        <f t="shared" si="1"/>
        <v>0</v>
      </c>
      <c r="G14" s="315"/>
      <c r="H14" s="316"/>
      <c r="I14" s="356">
        <f t="shared" si="2"/>
        <v>0</v>
      </c>
      <c r="J14" s="357">
        <f t="shared" si="3"/>
        <v>0</v>
      </c>
    </row>
    <row r="15" spans="1:10" ht="15" x14ac:dyDescent="0.25">
      <c r="B15" s="90">
        <v>13.62</v>
      </c>
      <c r="C15" s="15"/>
      <c r="D15" s="358">
        <f t="shared" ref="D15:D35" si="4">C15*B15</f>
        <v>0</v>
      </c>
      <c r="E15" s="91"/>
      <c r="F15" s="74">
        <f t="shared" si="1"/>
        <v>0</v>
      </c>
      <c r="G15" s="315"/>
      <c r="H15" s="316"/>
      <c r="I15" s="356">
        <f t="shared" si="2"/>
        <v>0</v>
      </c>
      <c r="J15" s="357">
        <f t="shared" si="3"/>
        <v>0</v>
      </c>
    </row>
    <row r="16" spans="1:10" ht="15" x14ac:dyDescent="0.25">
      <c r="A16" s="88"/>
      <c r="B16" s="90">
        <v>13.62</v>
      </c>
      <c r="C16" s="15"/>
      <c r="D16" s="358">
        <f t="shared" si="4"/>
        <v>0</v>
      </c>
      <c r="E16" s="91"/>
      <c r="F16" s="74">
        <f t="shared" si="1"/>
        <v>0</v>
      </c>
      <c r="G16" s="315"/>
      <c r="H16" s="316"/>
      <c r="I16" s="356">
        <f t="shared" si="2"/>
        <v>0</v>
      </c>
      <c r="J16" s="357">
        <f t="shared" si="3"/>
        <v>0</v>
      </c>
    </row>
    <row r="17" spans="1:10" ht="15" x14ac:dyDescent="0.25">
      <c r="A17" s="90"/>
      <c r="B17" s="90">
        <v>13.62</v>
      </c>
      <c r="C17" s="15"/>
      <c r="D17" s="358">
        <f t="shared" si="4"/>
        <v>0</v>
      </c>
      <c r="E17" s="91"/>
      <c r="F17" s="74">
        <f t="shared" si="1"/>
        <v>0</v>
      </c>
      <c r="G17" s="315"/>
      <c r="H17" s="316"/>
      <c r="I17" s="356">
        <f t="shared" si="2"/>
        <v>0</v>
      </c>
      <c r="J17" s="357">
        <f t="shared" si="3"/>
        <v>0</v>
      </c>
    </row>
    <row r="18" spans="1:10" ht="15" x14ac:dyDescent="0.25">
      <c r="A18" s="2"/>
      <c r="B18" s="90">
        <v>13.62</v>
      </c>
      <c r="C18" s="15"/>
      <c r="D18" s="358">
        <f t="shared" si="4"/>
        <v>0</v>
      </c>
      <c r="E18" s="91"/>
      <c r="F18" s="74">
        <f t="shared" si="1"/>
        <v>0</v>
      </c>
      <c r="G18" s="315"/>
      <c r="H18" s="316"/>
      <c r="I18" s="356">
        <f t="shared" si="2"/>
        <v>0</v>
      </c>
      <c r="J18" s="357">
        <f t="shared" si="3"/>
        <v>0</v>
      </c>
    </row>
    <row r="19" spans="1:10" ht="15" x14ac:dyDescent="0.25">
      <c r="A19" s="2"/>
      <c r="B19" s="90">
        <v>13.62</v>
      </c>
      <c r="C19" s="15"/>
      <c r="D19" s="358">
        <f t="shared" si="4"/>
        <v>0</v>
      </c>
      <c r="E19" s="91"/>
      <c r="F19" s="74">
        <f t="shared" si="1"/>
        <v>0</v>
      </c>
      <c r="G19" s="315"/>
      <c r="H19" s="316"/>
      <c r="I19" s="356">
        <f t="shared" si="2"/>
        <v>0</v>
      </c>
      <c r="J19" s="357">
        <f t="shared" si="3"/>
        <v>0</v>
      </c>
    </row>
    <row r="20" spans="1:10" ht="15" x14ac:dyDescent="0.25">
      <c r="A20" s="2"/>
      <c r="B20" s="90">
        <v>13.62</v>
      </c>
      <c r="C20" s="15"/>
      <c r="D20" s="358">
        <f t="shared" si="4"/>
        <v>0</v>
      </c>
      <c r="E20" s="86"/>
      <c r="F20" s="74">
        <f t="shared" si="1"/>
        <v>0</v>
      </c>
      <c r="G20" s="315"/>
      <c r="H20" s="316"/>
      <c r="I20" s="356">
        <f>I19-F20</f>
        <v>0</v>
      </c>
      <c r="J20" s="357">
        <f t="shared" si="3"/>
        <v>0</v>
      </c>
    </row>
    <row r="21" spans="1:10" ht="15" x14ac:dyDescent="0.25">
      <c r="A21" s="2"/>
      <c r="B21" s="90">
        <v>13.62</v>
      </c>
      <c r="C21" s="15"/>
      <c r="D21" s="358">
        <f t="shared" si="4"/>
        <v>0</v>
      </c>
      <c r="E21" s="86"/>
      <c r="F21" s="74">
        <f t="shared" si="1"/>
        <v>0</v>
      </c>
      <c r="G21" s="315"/>
      <c r="H21" s="316"/>
      <c r="I21" s="356">
        <f t="shared" ref="I21:I50" si="5">I20-F21</f>
        <v>0</v>
      </c>
      <c r="J21" s="357">
        <f t="shared" si="3"/>
        <v>0</v>
      </c>
    </row>
    <row r="22" spans="1:10" ht="15" x14ac:dyDescent="0.25">
      <c r="A22" s="2"/>
      <c r="B22" s="90">
        <v>13.62</v>
      </c>
      <c r="C22" s="15"/>
      <c r="D22" s="358">
        <f t="shared" si="4"/>
        <v>0</v>
      </c>
      <c r="E22" s="86"/>
      <c r="F22" s="74">
        <f t="shared" si="1"/>
        <v>0</v>
      </c>
      <c r="G22" s="315"/>
      <c r="H22" s="316"/>
      <c r="I22" s="356">
        <f t="shared" si="5"/>
        <v>0</v>
      </c>
      <c r="J22" s="357">
        <f t="shared" si="3"/>
        <v>0</v>
      </c>
    </row>
    <row r="23" spans="1:10" ht="15" x14ac:dyDescent="0.25">
      <c r="A23" s="2"/>
      <c r="B23" s="90">
        <v>13.62</v>
      </c>
      <c r="C23" s="15"/>
      <c r="D23" s="358">
        <f t="shared" si="4"/>
        <v>0</v>
      </c>
      <c r="E23" s="86"/>
      <c r="F23" s="74">
        <f t="shared" si="1"/>
        <v>0</v>
      </c>
      <c r="G23" s="315"/>
      <c r="H23" s="316"/>
      <c r="I23" s="356">
        <f t="shared" si="5"/>
        <v>0</v>
      </c>
      <c r="J23" s="357">
        <f t="shared" si="3"/>
        <v>0</v>
      </c>
    </row>
    <row r="24" spans="1:10" ht="15" x14ac:dyDescent="0.25">
      <c r="A24" s="2"/>
      <c r="B24" s="90">
        <v>13.62</v>
      </c>
      <c r="C24" s="15"/>
      <c r="D24" s="358">
        <f t="shared" si="4"/>
        <v>0</v>
      </c>
      <c r="E24" s="100"/>
      <c r="F24" s="74">
        <f t="shared" si="1"/>
        <v>0</v>
      </c>
      <c r="G24" s="315"/>
      <c r="H24" s="316"/>
      <c r="I24" s="356">
        <f t="shared" si="5"/>
        <v>0</v>
      </c>
      <c r="J24" s="357">
        <f t="shared" si="3"/>
        <v>0</v>
      </c>
    </row>
    <row r="25" spans="1:10" ht="15" x14ac:dyDescent="0.25">
      <c r="A25" s="2"/>
      <c r="B25" s="90">
        <v>13.62</v>
      </c>
      <c r="C25" s="15"/>
      <c r="D25" s="358">
        <f t="shared" si="4"/>
        <v>0</v>
      </c>
      <c r="E25" s="412"/>
      <c r="F25" s="74">
        <f t="shared" si="1"/>
        <v>0</v>
      </c>
      <c r="G25" s="315"/>
      <c r="H25" s="316"/>
      <c r="I25" s="356">
        <f t="shared" si="5"/>
        <v>0</v>
      </c>
      <c r="J25" s="357">
        <f t="shared" si="3"/>
        <v>0</v>
      </c>
    </row>
    <row r="26" spans="1:10" ht="15" x14ac:dyDescent="0.25">
      <c r="A26" s="2"/>
      <c r="B26" s="90">
        <v>13.62</v>
      </c>
      <c r="C26" s="15"/>
      <c r="D26" s="358">
        <f t="shared" si="4"/>
        <v>0</v>
      </c>
      <c r="E26" s="412"/>
      <c r="F26" s="74">
        <f t="shared" si="1"/>
        <v>0</v>
      </c>
      <c r="G26" s="315"/>
      <c r="H26" s="316"/>
      <c r="I26" s="356">
        <f t="shared" si="5"/>
        <v>0</v>
      </c>
      <c r="J26" s="357">
        <f t="shared" si="3"/>
        <v>0</v>
      </c>
    </row>
    <row r="27" spans="1:10" ht="15" x14ac:dyDescent="0.25">
      <c r="A27" s="215"/>
      <c r="B27" s="90">
        <v>13.62</v>
      </c>
      <c r="C27" s="15"/>
      <c r="D27" s="358">
        <f t="shared" si="4"/>
        <v>0</v>
      </c>
      <c r="E27" s="412"/>
      <c r="F27" s="74">
        <f t="shared" si="1"/>
        <v>0</v>
      </c>
      <c r="G27" s="315"/>
      <c r="H27" s="316"/>
      <c r="I27" s="356">
        <f t="shared" si="5"/>
        <v>0</v>
      </c>
      <c r="J27" s="357">
        <f t="shared" si="3"/>
        <v>0</v>
      </c>
    </row>
    <row r="28" spans="1:10" ht="15" x14ac:dyDescent="0.25">
      <c r="A28" s="215"/>
      <c r="B28" s="90">
        <v>13.62</v>
      </c>
      <c r="C28" s="15"/>
      <c r="D28" s="358">
        <f t="shared" si="4"/>
        <v>0</v>
      </c>
      <c r="E28" s="392"/>
      <c r="F28" s="74">
        <f t="shared" si="1"/>
        <v>0</v>
      </c>
      <c r="G28" s="315"/>
      <c r="H28" s="316"/>
      <c r="I28" s="356">
        <f t="shared" si="5"/>
        <v>0</v>
      </c>
      <c r="J28" s="357">
        <f t="shared" si="3"/>
        <v>0</v>
      </c>
    </row>
    <row r="29" spans="1:10" ht="15" x14ac:dyDescent="0.25">
      <c r="A29" s="215"/>
      <c r="B29" s="90">
        <v>13.62</v>
      </c>
      <c r="C29" s="15"/>
      <c r="D29" s="358">
        <f t="shared" si="4"/>
        <v>0</v>
      </c>
      <c r="E29" s="392"/>
      <c r="F29" s="74">
        <f t="shared" si="1"/>
        <v>0</v>
      </c>
      <c r="G29" s="315"/>
      <c r="H29" s="316"/>
      <c r="I29" s="356">
        <f t="shared" si="5"/>
        <v>0</v>
      </c>
      <c r="J29" s="357">
        <f t="shared" si="3"/>
        <v>0</v>
      </c>
    </row>
    <row r="30" spans="1:10" ht="15" x14ac:dyDescent="0.25">
      <c r="A30" s="215"/>
      <c r="B30" s="90">
        <v>13.62</v>
      </c>
      <c r="C30" s="15"/>
      <c r="D30" s="358">
        <f t="shared" si="4"/>
        <v>0</v>
      </c>
      <c r="E30" s="392"/>
      <c r="F30" s="74">
        <f t="shared" si="1"/>
        <v>0</v>
      </c>
      <c r="G30" s="315"/>
      <c r="H30" s="316"/>
      <c r="I30" s="356">
        <f t="shared" si="5"/>
        <v>0</v>
      </c>
      <c r="J30" s="357">
        <f t="shared" si="3"/>
        <v>0</v>
      </c>
    </row>
    <row r="31" spans="1:10" ht="15" x14ac:dyDescent="0.25">
      <c r="A31" s="215"/>
      <c r="B31" s="90">
        <v>13.62</v>
      </c>
      <c r="C31" s="15"/>
      <c r="D31" s="358">
        <f t="shared" si="4"/>
        <v>0</v>
      </c>
      <c r="E31" s="392"/>
      <c r="F31" s="74">
        <f t="shared" si="1"/>
        <v>0</v>
      </c>
      <c r="G31" s="315"/>
      <c r="H31" s="316"/>
      <c r="I31" s="356">
        <f t="shared" si="5"/>
        <v>0</v>
      </c>
      <c r="J31" s="357">
        <f t="shared" si="3"/>
        <v>0</v>
      </c>
    </row>
    <row r="32" spans="1:10" ht="15" x14ac:dyDescent="0.25">
      <c r="A32" s="2"/>
      <c r="B32" s="90">
        <v>13.62</v>
      </c>
      <c r="C32" s="313"/>
      <c r="D32" s="358">
        <f t="shared" si="4"/>
        <v>0</v>
      </c>
      <c r="E32" s="398"/>
      <c r="F32" s="314">
        <f t="shared" si="1"/>
        <v>0</v>
      </c>
      <c r="G32" s="315"/>
      <c r="H32" s="316"/>
      <c r="I32" s="356">
        <f t="shared" si="5"/>
        <v>0</v>
      </c>
      <c r="J32" s="357">
        <f t="shared" si="3"/>
        <v>0</v>
      </c>
    </row>
    <row r="33" spans="1:10" ht="15" x14ac:dyDescent="0.25">
      <c r="A33" s="2"/>
      <c r="B33" s="90">
        <v>13.62</v>
      </c>
      <c r="C33" s="15"/>
      <c r="D33" s="358">
        <f t="shared" si="4"/>
        <v>0</v>
      </c>
      <c r="E33" s="393"/>
      <c r="F33" s="74">
        <f t="shared" si="1"/>
        <v>0</v>
      </c>
      <c r="G33" s="315"/>
      <c r="H33" s="316"/>
      <c r="I33" s="278">
        <f t="shared" si="5"/>
        <v>0</v>
      </c>
      <c r="J33" s="279">
        <f t="shared" si="3"/>
        <v>0</v>
      </c>
    </row>
    <row r="34" spans="1:10" ht="15" x14ac:dyDescent="0.25">
      <c r="A34" s="2"/>
      <c r="B34" s="90">
        <v>13.62</v>
      </c>
      <c r="C34" s="15"/>
      <c r="D34" s="358">
        <f t="shared" si="4"/>
        <v>0</v>
      </c>
      <c r="E34" s="393"/>
      <c r="F34" s="74">
        <f t="shared" si="1"/>
        <v>0</v>
      </c>
      <c r="G34" s="315"/>
      <c r="H34" s="316"/>
      <c r="I34" s="278">
        <f t="shared" si="5"/>
        <v>0</v>
      </c>
      <c r="J34" s="279">
        <f t="shared" si="3"/>
        <v>0</v>
      </c>
    </row>
    <row r="35" spans="1:10" ht="15" x14ac:dyDescent="0.25">
      <c r="A35" s="2"/>
      <c r="B35" s="90">
        <v>13.62</v>
      </c>
      <c r="C35" s="15"/>
      <c r="D35" s="358">
        <f t="shared" si="4"/>
        <v>0</v>
      </c>
      <c r="E35" s="393"/>
      <c r="F35" s="74">
        <f t="shared" si="1"/>
        <v>0</v>
      </c>
      <c r="G35" s="315"/>
      <c r="H35" s="316"/>
      <c r="I35" s="356">
        <f t="shared" si="5"/>
        <v>0</v>
      </c>
      <c r="J35" s="357">
        <f t="shared" si="3"/>
        <v>0</v>
      </c>
    </row>
    <row r="36" spans="1:10" x14ac:dyDescent="0.25">
      <c r="A36" s="2"/>
      <c r="B36" s="90">
        <v>13.62</v>
      </c>
      <c r="C36" s="15"/>
      <c r="D36" s="214">
        <f t="shared" ref="D36:D50" si="6">C36*B36</f>
        <v>0</v>
      </c>
      <c r="E36" s="393"/>
      <c r="F36" s="74">
        <f t="shared" si="1"/>
        <v>0</v>
      </c>
      <c r="G36" s="315"/>
      <c r="H36" s="316"/>
      <c r="I36" s="356">
        <f t="shared" si="5"/>
        <v>0</v>
      </c>
      <c r="J36" s="357">
        <f t="shared" si="3"/>
        <v>0</v>
      </c>
    </row>
    <row r="37" spans="1:10" x14ac:dyDescent="0.25">
      <c r="A37" s="2"/>
      <c r="B37" s="90">
        <v>13.62</v>
      </c>
      <c r="C37" s="15"/>
      <c r="D37" s="214">
        <f t="shared" si="6"/>
        <v>0</v>
      </c>
      <c r="E37" s="393" t="s">
        <v>41</v>
      </c>
      <c r="F37" s="74">
        <f t="shared" si="1"/>
        <v>0</v>
      </c>
      <c r="G37" s="315"/>
      <c r="H37" s="316"/>
      <c r="I37" s="356">
        <f t="shared" si="5"/>
        <v>0</v>
      </c>
      <c r="J37" s="357">
        <f t="shared" si="3"/>
        <v>0</v>
      </c>
    </row>
    <row r="38" spans="1:10" x14ac:dyDescent="0.25">
      <c r="A38" s="2"/>
      <c r="B38" s="90">
        <v>13.62</v>
      </c>
      <c r="C38" s="15"/>
      <c r="D38" s="214">
        <f t="shared" si="6"/>
        <v>0</v>
      </c>
      <c r="E38" s="392"/>
      <c r="F38" s="74">
        <f t="shared" si="1"/>
        <v>0</v>
      </c>
      <c r="G38" s="315"/>
      <c r="H38" s="316"/>
      <c r="I38" s="356">
        <f t="shared" si="5"/>
        <v>0</v>
      </c>
      <c r="J38" s="357">
        <f t="shared" si="3"/>
        <v>0</v>
      </c>
    </row>
    <row r="39" spans="1:10" x14ac:dyDescent="0.25">
      <c r="A39" s="2"/>
      <c r="B39" s="90">
        <v>13.62</v>
      </c>
      <c r="C39" s="15"/>
      <c r="D39" s="214">
        <f t="shared" si="6"/>
        <v>0</v>
      </c>
      <c r="E39" s="393"/>
      <c r="F39" s="74">
        <f t="shared" si="1"/>
        <v>0</v>
      </c>
      <c r="G39" s="315"/>
      <c r="H39" s="316"/>
      <c r="I39" s="356">
        <f t="shared" si="5"/>
        <v>0</v>
      </c>
      <c r="J39" s="357">
        <f t="shared" si="3"/>
        <v>0</v>
      </c>
    </row>
    <row r="40" spans="1:10" x14ac:dyDescent="0.25">
      <c r="A40" s="2"/>
      <c r="B40" s="90">
        <v>13.62</v>
      </c>
      <c r="C40" s="15"/>
      <c r="D40" s="214">
        <f t="shared" si="6"/>
        <v>0</v>
      </c>
      <c r="E40" s="393"/>
      <c r="F40" s="74">
        <f t="shared" si="1"/>
        <v>0</v>
      </c>
      <c r="G40" s="315"/>
      <c r="H40" s="316"/>
      <c r="I40" s="356">
        <f t="shared" si="5"/>
        <v>0</v>
      </c>
      <c r="J40" s="357">
        <f t="shared" si="3"/>
        <v>0</v>
      </c>
    </row>
    <row r="41" spans="1:10" x14ac:dyDescent="0.25">
      <c r="A41" s="2"/>
      <c r="B41" s="90">
        <v>13.62</v>
      </c>
      <c r="C41" s="15"/>
      <c r="D41" s="214">
        <f t="shared" si="6"/>
        <v>0</v>
      </c>
      <c r="E41" s="393"/>
      <c r="F41" s="74">
        <f t="shared" si="1"/>
        <v>0</v>
      </c>
      <c r="G41" s="315"/>
      <c r="H41" s="316"/>
      <c r="I41" s="278">
        <f t="shared" si="5"/>
        <v>0</v>
      </c>
      <c r="J41" s="279">
        <f t="shared" si="3"/>
        <v>0</v>
      </c>
    </row>
    <row r="42" spans="1:10" x14ac:dyDescent="0.25">
      <c r="A42" s="2"/>
      <c r="B42" s="90">
        <v>13.62</v>
      </c>
      <c r="C42" s="15"/>
      <c r="D42" s="214">
        <f t="shared" si="6"/>
        <v>0</v>
      </c>
      <c r="E42" s="393"/>
      <c r="F42" s="74">
        <f t="shared" si="1"/>
        <v>0</v>
      </c>
      <c r="G42" s="75"/>
      <c r="H42" s="76"/>
      <c r="I42" s="278">
        <f t="shared" si="5"/>
        <v>0</v>
      </c>
      <c r="J42" s="279">
        <f t="shared" si="3"/>
        <v>0</v>
      </c>
    </row>
    <row r="43" spans="1:10" x14ac:dyDescent="0.25">
      <c r="A43" s="2"/>
      <c r="B43" s="90">
        <v>13.62</v>
      </c>
      <c r="C43" s="15"/>
      <c r="D43" s="214">
        <f t="shared" si="6"/>
        <v>0</v>
      </c>
      <c r="E43" s="393"/>
      <c r="F43" s="74">
        <f t="shared" si="1"/>
        <v>0</v>
      </c>
      <c r="G43" s="75"/>
      <c r="H43" s="76"/>
      <c r="I43" s="278">
        <f t="shared" si="5"/>
        <v>0</v>
      </c>
      <c r="J43" s="279">
        <f t="shared" si="3"/>
        <v>0</v>
      </c>
    </row>
    <row r="44" spans="1:10" x14ac:dyDescent="0.25">
      <c r="A44" s="2"/>
      <c r="B44" s="90">
        <v>13.62</v>
      </c>
      <c r="C44" s="15"/>
      <c r="D44" s="214">
        <f t="shared" si="6"/>
        <v>0</v>
      </c>
      <c r="E44" s="393"/>
      <c r="F44" s="74">
        <f t="shared" si="1"/>
        <v>0</v>
      </c>
      <c r="G44" s="75"/>
      <c r="H44" s="76"/>
      <c r="I44" s="278">
        <f t="shared" si="5"/>
        <v>0</v>
      </c>
      <c r="J44" s="279">
        <f t="shared" si="3"/>
        <v>0</v>
      </c>
    </row>
    <row r="45" spans="1:10" x14ac:dyDescent="0.25">
      <c r="A45" s="2"/>
      <c r="B45" s="90">
        <v>13.62</v>
      </c>
      <c r="C45" s="15"/>
      <c r="D45" s="214">
        <f t="shared" si="6"/>
        <v>0</v>
      </c>
      <c r="E45" s="393"/>
      <c r="F45" s="74">
        <f t="shared" si="1"/>
        <v>0</v>
      </c>
      <c r="G45" s="75"/>
      <c r="H45" s="76"/>
      <c r="I45" s="278">
        <f t="shared" si="5"/>
        <v>0</v>
      </c>
      <c r="J45" s="279">
        <f t="shared" si="3"/>
        <v>0</v>
      </c>
    </row>
    <row r="46" spans="1:10" x14ac:dyDescent="0.25">
      <c r="A46" s="2"/>
      <c r="B46" s="90">
        <v>13.62</v>
      </c>
      <c r="C46" s="15"/>
      <c r="D46" s="214">
        <f t="shared" si="6"/>
        <v>0</v>
      </c>
      <c r="E46" s="393"/>
      <c r="F46" s="74">
        <f t="shared" si="1"/>
        <v>0</v>
      </c>
      <c r="G46" s="75"/>
      <c r="H46" s="76"/>
      <c r="I46" s="278">
        <f t="shared" si="5"/>
        <v>0</v>
      </c>
      <c r="J46" s="279">
        <f t="shared" si="3"/>
        <v>0</v>
      </c>
    </row>
    <row r="47" spans="1:10" x14ac:dyDescent="0.25">
      <c r="A47" s="2"/>
      <c r="B47" s="90">
        <v>13.62</v>
      </c>
      <c r="C47" s="15"/>
      <c r="D47" s="214">
        <f t="shared" si="6"/>
        <v>0</v>
      </c>
      <c r="E47" s="393"/>
      <c r="F47" s="74">
        <f t="shared" si="1"/>
        <v>0</v>
      </c>
      <c r="G47" s="75"/>
      <c r="H47" s="76"/>
      <c r="I47" s="278">
        <f t="shared" si="5"/>
        <v>0</v>
      </c>
      <c r="J47" s="279">
        <f t="shared" si="3"/>
        <v>0</v>
      </c>
    </row>
    <row r="48" spans="1:10" x14ac:dyDescent="0.25">
      <c r="A48" s="2"/>
      <c r="B48" s="90">
        <v>13.62</v>
      </c>
      <c r="C48" s="15"/>
      <c r="D48" s="214">
        <f t="shared" si="6"/>
        <v>0</v>
      </c>
      <c r="E48" s="393"/>
      <c r="F48" s="74">
        <f t="shared" si="1"/>
        <v>0</v>
      </c>
      <c r="G48" s="75"/>
      <c r="H48" s="76"/>
      <c r="I48" s="278">
        <f t="shared" si="5"/>
        <v>0</v>
      </c>
      <c r="J48" s="279">
        <f t="shared" si="3"/>
        <v>0</v>
      </c>
    </row>
    <row r="49" spans="1:10" x14ac:dyDescent="0.25">
      <c r="A49" s="2"/>
      <c r="B49" s="90">
        <v>13.62</v>
      </c>
      <c r="C49" s="15"/>
      <c r="D49" s="214">
        <f t="shared" si="6"/>
        <v>0</v>
      </c>
      <c r="E49" s="393"/>
      <c r="F49" s="74">
        <f t="shared" si="1"/>
        <v>0</v>
      </c>
      <c r="G49" s="75"/>
      <c r="H49" s="76"/>
      <c r="I49" s="278">
        <f t="shared" si="5"/>
        <v>0</v>
      </c>
      <c r="J49" s="279">
        <f t="shared" si="3"/>
        <v>0</v>
      </c>
    </row>
    <row r="50" spans="1:10" x14ac:dyDescent="0.25">
      <c r="A50" s="2"/>
      <c r="B50" s="90">
        <v>13.62</v>
      </c>
      <c r="C50" s="15"/>
      <c r="D50" s="214">
        <f t="shared" si="6"/>
        <v>0</v>
      </c>
      <c r="E50" s="393"/>
      <c r="F50" s="74">
        <f t="shared" si="1"/>
        <v>0</v>
      </c>
      <c r="G50" s="75"/>
      <c r="H50" s="76"/>
      <c r="I50" s="278">
        <f t="shared" si="5"/>
        <v>0</v>
      </c>
      <c r="J50" s="279">
        <f t="shared" si="3"/>
        <v>0</v>
      </c>
    </row>
    <row r="51" spans="1:10" ht="14.4" thickBot="1" x14ac:dyDescent="0.3">
      <c r="A51" s="4"/>
      <c r="B51" s="90"/>
      <c r="C51" s="38"/>
      <c r="D51" s="249">
        <f>C51*B33</f>
        <v>0</v>
      </c>
      <c r="E51" s="404"/>
      <c r="F51" s="251">
        <f t="shared" ref="F51" si="7">D51</f>
        <v>0</v>
      </c>
      <c r="G51" s="252"/>
      <c r="H51" s="238"/>
    </row>
    <row r="52" spans="1:10" ht="15.6" thickTop="1" thickBot="1" x14ac:dyDescent="0.35">
      <c r="C52" s="97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" thickBot="1" x14ac:dyDescent="0.35">
      <c r="A53" s="53"/>
      <c r="D53" s="121" t="s">
        <v>4</v>
      </c>
      <c r="E53" s="73">
        <f>F4+F5+F6-+C52</f>
        <v>0</v>
      </c>
    </row>
    <row r="54" spans="1:10" ht="14.4" thickBot="1" x14ac:dyDescent="0.3">
      <c r="A54" s="129"/>
    </row>
    <row r="55" spans="1:10" ht="15" thickTop="1" thickBot="1" x14ac:dyDescent="0.3">
      <c r="A55" s="48"/>
      <c r="C55" s="1054" t="s">
        <v>11</v>
      </c>
      <c r="D55" s="1055"/>
      <c r="E55" s="159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01B3-B950-411E-9427-641EE8E18132}">
  <sheetPr>
    <tabColor theme="9" tint="-0.499984740745262"/>
  </sheetPr>
  <dimension ref="A1:J55"/>
  <sheetViews>
    <sheetView topLeftCell="B1" workbookViewId="0">
      <selection activeCell="F7" sqref="F7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0" ht="45.75" customHeight="1" x14ac:dyDescent="0.65">
      <c r="A1" s="1025" t="s">
        <v>162</v>
      </c>
      <c r="B1" s="1025"/>
      <c r="C1" s="1025"/>
      <c r="D1" s="1025"/>
      <c r="E1" s="1025"/>
      <c r="F1" s="1025"/>
      <c r="G1" s="1025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681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4.4" thickTop="1" x14ac:dyDescent="0.25">
      <c r="A4" s="82"/>
      <c r="B4" s="1052" t="s">
        <v>113</v>
      </c>
      <c r="C4" s="17"/>
      <c r="D4" s="312"/>
      <c r="E4" s="413"/>
      <c r="F4" s="378"/>
    </row>
    <row r="5" spans="1:10" ht="15" customHeight="1" x14ac:dyDescent="0.3">
      <c r="A5" s="1050" t="s">
        <v>71</v>
      </c>
      <c r="B5" s="1056"/>
      <c r="C5" s="710">
        <v>105</v>
      </c>
      <c r="D5" s="375">
        <v>44155</v>
      </c>
      <c r="E5" s="377">
        <v>300.86</v>
      </c>
      <c r="F5" s="378">
        <v>13</v>
      </c>
      <c r="G5" s="161">
        <f>F52</f>
        <v>300.86</v>
      </c>
      <c r="H5" s="63">
        <f>E4+E5+E6-G5</f>
        <v>518.46</v>
      </c>
    </row>
    <row r="6" spans="1:10" ht="16.2" thickBot="1" x14ac:dyDescent="0.35">
      <c r="A6" s="1051"/>
      <c r="B6" s="1053"/>
      <c r="C6" s="711">
        <v>105</v>
      </c>
      <c r="D6" s="556">
        <v>44166</v>
      </c>
      <c r="E6" s="414">
        <v>518.46</v>
      </c>
      <c r="F6" s="380">
        <v>22</v>
      </c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6" t="s">
        <v>3</v>
      </c>
      <c r="J7" s="277" t="s">
        <v>4</v>
      </c>
    </row>
    <row r="8" spans="1:10" ht="15.75" thickTop="1" x14ac:dyDescent="0.25">
      <c r="A8" s="87" t="s">
        <v>32</v>
      </c>
      <c r="B8" s="90"/>
      <c r="C8" s="15">
        <v>5</v>
      </c>
      <c r="D8" s="358">
        <v>115.88</v>
      </c>
      <c r="E8" s="100">
        <v>44155</v>
      </c>
      <c r="F8" s="74">
        <f t="shared" ref="F8:F51" si="0">D8</f>
        <v>115.88</v>
      </c>
      <c r="G8" s="315" t="s">
        <v>408</v>
      </c>
      <c r="H8" s="316">
        <v>125</v>
      </c>
      <c r="I8" s="356">
        <f>E5+E4-F8+E6</f>
        <v>703.44</v>
      </c>
      <c r="J8" s="357">
        <f>F4+F5+F6-C8</f>
        <v>30</v>
      </c>
    </row>
    <row r="9" spans="1:10" ht="15" x14ac:dyDescent="0.25">
      <c r="A9" s="241"/>
      <c r="B9" s="90"/>
      <c r="C9" s="15">
        <v>8</v>
      </c>
      <c r="D9" s="358">
        <v>184.98</v>
      </c>
      <c r="E9" s="100">
        <v>44156</v>
      </c>
      <c r="F9" s="74">
        <f t="shared" si="0"/>
        <v>184.98</v>
      </c>
      <c r="G9" s="315" t="s">
        <v>409</v>
      </c>
      <c r="H9" s="316">
        <v>125</v>
      </c>
      <c r="I9" s="356">
        <f>I8-F9</f>
        <v>518.46</v>
      </c>
      <c r="J9" s="357">
        <f>J8-C9</f>
        <v>22</v>
      </c>
    </row>
    <row r="10" spans="1:10" ht="15" x14ac:dyDescent="0.25">
      <c r="A10" s="227"/>
      <c r="B10" s="90"/>
      <c r="C10" s="15"/>
      <c r="D10" s="358">
        <f t="shared" ref="D10:D53" si="1">C10*B10</f>
        <v>0</v>
      </c>
      <c r="E10" s="86"/>
      <c r="F10" s="74">
        <f t="shared" si="0"/>
        <v>0</v>
      </c>
      <c r="G10" s="315"/>
      <c r="H10" s="316"/>
      <c r="I10" s="356">
        <f t="shared" ref="I10:I19" si="2">I9-F10</f>
        <v>518.46</v>
      </c>
      <c r="J10" s="357">
        <f t="shared" ref="J10:J50" si="3">J9-C10</f>
        <v>22</v>
      </c>
    </row>
    <row r="11" spans="1:10" ht="15" x14ac:dyDescent="0.25">
      <c r="A11" s="89" t="s">
        <v>33</v>
      </c>
      <c r="B11" s="90"/>
      <c r="C11" s="15"/>
      <c r="D11" s="358">
        <f t="shared" si="1"/>
        <v>0</v>
      </c>
      <c r="E11" s="86"/>
      <c r="F11" s="314">
        <f t="shared" si="0"/>
        <v>0</v>
      </c>
      <c r="G11" s="315"/>
      <c r="H11" s="316"/>
      <c r="I11" s="356">
        <f t="shared" si="2"/>
        <v>518.46</v>
      </c>
      <c r="J11" s="357">
        <f t="shared" si="3"/>
        <v>22</v>
      </c>
    </row>
    <row r="12" spans="1:10" ht="15" x14ac:dyDescent="0.25">
      <c r="A12" s="79"/>
      <c r="B12" s="90"/>
      <c r="C12" s="15"/>
      <c r="D12" s="358">
        <f t="shared" si="1"/>
        <v>0</v>
      </c>
      <c r="E12" s="86"/>
      <c r="F12" s="314">
        <f t="shared" si="0"/>
        <v>0</v>
      </c>
      <c r="G12" s="315"/>
      <c r="H12" s="316"/>
      <c r="I12" s="356">
        <f t="shared" si="2"/>
        <v>518.46</v>
      </c>
      <c r="J12" s="357">
        <f t="shared" si="3"/>
        <v>22</v>
      </c>
    </row>
    <row r="13" spans="1:10" ht="15" x14ac:dyDescent="0.25">
      <c r="A13" s="79"/>
      <c r="B13" s="90"/>
      <c r="C13" s="15"/>
      <c r="D13" s="358">
        <f t="shared" si="1"/>
        <v>0</v>
      </c>
      <c r="E13" s="86"/>
      <c r="F13" s="314">
        <f t="shared" si="0"/>
        <v>0</v>
      </c>
      <c r="G13" s="315"/>
      <c r="H13" s="316"/>
      <c r="I13" s="356">
        <f t="shared" si="2"/>
        <v>518.46</v>
      </c>
      <c r="J13" s="357">
        <f t="shared" si="3"/>
        <v>22</v>
      </c>
    </row>
    <row r="14" spans="1:10" ht="15" x14ac:dyDescent="0.25">
      <c r="B14" s="90"/>
      <c r="C14" s="313"/>
      <c r="D14" s="358">
        <f t="shared" si="1"/>
        <v>0</v>
      </c>
      <c r="E14" s="359"/>
      <c r="F14" s="314">
        <f t="shared" si="0"/>
        <v>0</v>
      </c>
      <c r="G14" s="315"/>
      <c r="H14" s="316"/>
      <c r="I14" s="356">
        <f t="shared" si="2"/>
        <v>518.46</v>
      </c>
      <c r="J14" s="357">
        <f t="shared" si="3"/>
        <v>22</v>
      </c>
    </row>
    <row r="15" spans="1:10" ht="15" x14ac:dyDescent="0.25">
      <c r="B15" s="90"/>
      <c r="C15" s="15"/>
      <c r="D15" s="358">
        <f t="shared" si="1"/>
        <v>0</v>
      </c>
      <c r="E15" s="91"/>
      <c r="F15" s="314">
        <f t="shared" si="0"/>
        <v>0</v>
      </c>
      <c r="G15" s="315"/>
      <c r="H15" s="316"/>
      <c r="I15" s="356">
        <f t="shared" si="2"/>
        <v>518.46</v>
      </c>
      <c r="J15" s="357">
        <f t="shared" si="3"/>
        <v>22</v>
      </c>
    </row>
    <row r="16" spans="1:10" ht="15" x14ac:dyDescent="0.25">
      <c r="A16" s="88"/>
      <c r="B16" s="90"/>
      <c r="C16" s="15"/>
      <c r="D16" s="358">
        <f t="shared" si="1"/>
        <v>0</v>
      </c>
      <c r="E16" s="91"/>
      <c r="F16" s="74">
        <f t="shared" si="0"/>
        <v>0</v>
      </c>
      <c r="G16" s="315"/>
      <c r="H16" s="316"/>
      <c r="I16" s="356">
        <f t="shared" si="2"/>
        <v>518.46</v>
      </c>
      <c r="J16" s="357">
        <f t="shared" si="3"/>
        <v>22</v>
      </c>
    </row>
    <row r="17" spans="1:10" ht="15" x14ac:dyDescent="0.25">
      <c r="A17" s="90"/>
      <c r="B17" s="90"/>
      <c r="C17" s="15"/>
      <c r="D17" s="358">
        <f t="shared" si="1"/>
        <v>0</v>
      </c>
      <c r="E17" s="91"/>
      <c r="F17" s="74">
        <f t="shared" si="0"/>
        <v>0</v>
      </c>
      <c r="G17" s="315"/>
      <c r="H17" s="316"/>
      <c r="I17" s="356">
        <f t="shared" si="2"/>
        <v>518.46</v>
      </c>
      <c r="J17" s="357">
        <f t="shared" si="3"/>
        <v>22</v>
      </c>
    </row>
    <row r="18" spans="1:10" ht="15" x14ac:dyDescent="0.25">
      <c r="A18" s="2"/>
      <c r="B18" s="90"/>
      <c r="C18" s="15"/>
      <c r="D18" s="358">
        <f t="shared" si="1"/>
        <v>0</v>
      </c>
      <c r="E18" s="91"/>
      <c r="F18" s="74">
        <f t="shared" si="0"/>
        <v>0</v>
      </c>
      <c r="G18" s="315"/>
      <c r="H18" s="316"/>
      <c r="I18" s="356">
        <f t="shared" si="2"/>
        <v>518.46</v>
      </c>
      <c r="J18" s="357">
        <f t="shared" si="3"/>
        <v>22</v>
      </c>
    </row>
    <row r="19" spans="1:10" ht="15" x14ac:dyDescent="0.25">
      <c r="A19" s="2"/>
      <c r="B19" s="90"/>
      <c r="C19" s="15"/>
      <c r="D19" s="358">
        <f t="shared" si="1"/>
        <v>0</v>
      </c>
      <c r="E19" s="91"/>
      <c r="F19" s="74">
        <f t="shared" si="0"/>
        <v>0</v>
      </c>
      <c r="G19" s="315"/>
      <c r="H19" s="316"/>
      <c r="I19" s="356">
        <f t="shared" si="2"/>
        <v>518.46</v>
      </c>
      <c r="J19" s="357">
        <f t="shared" si="3"/>
        <v>22</v>
      </c>
    </row>
    <row r="20" spans="1:10" ht="15" x14ac:dyDescent="0.25">
      <c r="A20" s="2"/>
      <c r="B20" s="90"/>
      <c r="C20" s="15"/>
      <c r="D20" s="358">
        <f t="shared" si="1"/>
        <v>0</v>
      </c>
      <c r="E20" s="86"/>
      <c r="F20" s="74">
        <f t="shared" si="0"/>
        <v>0</v>
      </c>
      <c r="G20" s="315"/>
      <c r="H20" s="316"/>
      <c r="I20" s="356">
        <f>I19-F20</f>
        <v>518.46</v>
      </c>
      <c r="J20" s="357">
        <f t="shared" si="3"/>
        <v>22</v>
      </c>
    </row>
    <row r="21" spans="1:10" ht="15" x14ac:dyDescent="0.25">
      <c r="A21" s="2"/>
      <c r="B21" s="90"/>
      <c r="C21" s="15"/>
      <c r="D21" s="358">
        <f t="shared" si="1"/>
        <v>0</v>
      </c>
      <c r="E21" s="86"/>
      <c r="F21" s="74">
        <f t="shared" si="0"/>
        <v>0</v>
      </c>
      <c r="G21" s="315"/>
      <c r="H21" s="316"/>
      <c r="I21" s="356">
        <f t="shared" ref="I21:I50" si="4">I20-F21</f>
        <v>518.46</v>
      </c>
      <c r="J21" s="357">
        <f t="shared" si="3"/>
        <v>22</v>
      </c>
    </row>
    <row r="22" spans="1:10" ht="15" x14ac:dyDescent="0.25">
      <c r="A22" s="2"/>
      <c r="B22" s="90"/>
      <c r="C22" s="15"/>
      <c r="D22" s="358">
        <f t="shared" si="1"/>
        <v>0</v>
      </c>
      <c r="E22" s="86"/>
      <c r="F22" s="74">
        <f t="shared" si="0"/>
        <v>0</v>
      </c>
      <c r="G22" s="315"/>
      <c r="H22" s="316"/>
      <c r="I22" s="356">
        <f t="shared" si="4"/>
        <v>518.46</v>
      </c>
      <c r="J22" s="357">
        <f t="shared" si="3"/>
        <v>22</v>
      </c>
    </row>
    <row r="23" spans="1:10" ht="15" x14ac:dyDescent="0.25">
      <c r="A23" s="2"/>
      <c r="B23" s="90"/>
      <c r="C23" s="15"/>
      <c r="D23" s="358">
        <f t="shared" si="1"/>
        <v>0</v>
      </c>
      <c r="E23" s="86"/>
      <c r="F23" s="74">
        <f t="shared" si="0"/>
        <v>0</v>
      </c>
      <c r="G23" s="315"/>
      <c r="H23" s="316"/>
      <c r="I23" s="356">
        <f t="shared" si="4"/>
        <v>518.46</v>
      </c>
      <c r="J23" s="357">
        <f t="shared" si="3"/>
        <v>22</v>
      </c>
    </row>
    <row r="24" spans="1:10" ht="15" x14ac:dyDescent="0.25">
      <c r="A24" s="2"/>
      <c r="B24" s="90"/>
      <c r="C24" s="15"/>
      <c r="D24" s="358">
        <f t="shared" si="1"/>
        <v>0</v>
      </c>
      <c r="E24" s="100"/>
      <c r="F24" s="74">
        <f t="shared" si="0"/>
        <v>0</v>
      </c>
      <c r="G24" s="315"/>
      <c r="H24" s="316"/>
      <c r="I24" s="356">
        <f t="shared" si="4"/>
        <v>518.46</v>
      </c>
      <c r="J24" s="357">
        <f t="shared" si="3"/>
        <v>22</v>
      </c>
    </row>
    <row r="25" spans="1:10" x14ac:dyDescent="0.25">
      <c r="A25" s="2"/>
      <c r="B25" s="90"/>
      <c r="C25" s="15"/>
      <c r="D25" s="358">
        <f t="shared" si="1"/>
        <v>0</v>
      </c>
      <c r="E25" s="412"/>
      <c r="F25" s="74">
        <f t="shared" si="0"/>
        <v>0</v>
      </c>
      <c r="G25" s="315"/>
      <c r="H25" s="316"/>
      <c r="I25" s="356">
        <f t="shared" si="4"/>
        <v>518.46</v>
      </c>
      <c r="J25" s="357">
        <f t="shared" si="3"/>
        <v>22</v>
      </c>
    </row>
    <row r="26" spans="1:10" x14ac:dyDescent="0.25">
      <c r="A26" s="2"/>
      <c r="B26" s="90"/>
      <c r="C26" s="15"/>
      <c r="D26" s="358">
        <f t="shared" si="1"/>
        <v>0</v>
      </c>
      <c r="E26" s="412"/>
      <c r="F26" s="74">
        <f t="shared" si="0"/>
        <v>0</v>
      </c>
      <c r="G26" s="315"/>
      <c r="H26" s="316"/>
      <c r="I26" s="356">
        <f t="shared" si="4"/>
        <v>518.46</v>
      </c>
      <c r="J26" s="357">
        <f t="shared" si="3"/>
        <v>22</v>
      </c>
    </row>
    <row r="27" spans="1:10" x14ac:dyDescent="0.25">
      <c r="A27" s="215"/>
      <c r="B27" s="90"/>
      <c r="C27" s="15"/>
      <c r="D27" s="358">
        <f t="shared" si="1"/>
        <v>0</v>
      </c>
      <c r="E27" s="412"/>
      <c r="F27" s="74">
        <f t="shared" si="0"/>
        <v>0</v>
      </c>
      <c r="G27" s="315"/>
      <c r="H27" s="316"/>
      <c r="I27" s="356">
        <f t="shared" si="4"/>
        <v>518.46</v>
      </c>
      <c r="J27" s="357">
        <f t="shared" si="3"/>
        <v>22</v>
      </c>
    </row>
    <row r="28" spans="1:10" x14ac:dyDescent="0.25">
      <c r="A28" s="215"/>
      <c r="B28" s="90"/>
      <c r="C28" s="15"/>
      <c r="D28" s="358">
        <f t="shared" si="1"/>
        <v>0</v>
      </c>
      <c r="E28" s="392"/>
      <c r="F28" s="74">
        <f t="shared" si="0"/>
        <v>0</v>
      </c>
      <c r="G28" s="315"/>
      <c r="H28" s="316"/>
      <c r="I28" s="356">
        <f t="shared" si="4"/>
        <v>518.46</v>
      </c>
      <c r="J28" s="357">
        <f t="shared" si="3"/>
        <v>22</v>
      </c>
    </row>
    <row r="29" spans="1:10" x14ac:dyDescent="0.25">
      <c r="A29" s="215"/>
      <c r="B29" s="90"/>
      <c r="C29" s="15"/>
      <c r="D29" s="358">
        <f t="shared" si="1"/>
        <v>0</v>
      </c>
      <c r="E29" s="392"/>
      <c r="F29" s="74">
        <f t="shared" si="0"/>
        <v>0</v>
      </c>
      <c r="G29" s="315"/>
      <c r="H29" s="316"/>
      <c r="I29" s="356">
        <f t="shared" si="4"/>
        <v>518.46</v>
      </c>
      <c r="J29" s="357">
        <f t="shared" si="3"/>
        <v>22</v>
      </c>
    </row>
    <row r="30" spans="1:10" x14ac:dyDescent="0.25">
      <c r="A30" s="215"/>
      <c r="B30" s="90"/>
      <c r="C30" s="15"/>
      <c r="D30" s="358">
        <f t="shared" si="1"/>
        <v>0</v>
      </c>
      <c r="E30" s="392"/>
      <c r="F30" s="74">
        <f t="shared" si="0"/>
        <v>0</v>
      </c>
      <c r="G30" s="315"/>
      <c r="H30" s="316"/>
      <c r="I30" s="356">
        <f t="shared" si="4"/>
        <v>518.46</v>
      </c>
      <c r="J30" s="357">
        <f t="shared" si="3"/>
        <v>22</v>
      </c>
    </row>
    <row r="31" spans="1:10" x14ac:dyDescent="0.25">
      <c r="A31" s="215"/>
      <c r="B31" s="90"/>
      <c r="C31" s="15"/>
      <c r="D31" s="358">
        <f t="shared" si="1"/>
        <v>0</v>
      </c>
      <c r="E31" s="392"/>
      <c r="F31" s="74">
        <f t="shared" si="0"/>
        <v>0</v>
      </c>
      <c r="G31" s="315"/>
      <c r="H31" s="316"/>
      <c r="I31" s="356">
        <f t="shared" si="4"/>
        <v>518.46</v>
      </c>
      <c r="J31" s="357">
        <f t="shared" si="3"/>
        <v>22</v>
      </c>
    </row>
    <row r="32" spans="1:10" x14ac:dyDescent="0.25">
      <c r="A32" s="2"/>
      <c r="B32" s="90"/>
      <c r="C32" s="313"/>
      <c r="D32" s="358">
        <f t="shared" si="1"/>
        <v>0</v>
      </c>
      <c r="E32" s="398"/>
      <c r="F32" s="314">
        <f t="shared" si="0"/>
        <v>0</v>
      </c>
      <c r="G32" s="315"/>
      <c r="H32" s="316"/>
      <c r="I32" s="356">
        <f t="shared" si="4"/>
        <v>518.46</v>
      </c>
      <c r="J32" s="357">
        <f t="shared" si="3"/>
        <v>22</v>
      </c>
    </row>
    <row r="33" spans="1:10" x14ac:dyDescent="0.25">
      <c r="A33" s="2"/>
      <c r="B33" s="90"/>
      <c r="C33" s="15"/>
      <c r="D33" s="358">
        <f t="shared" si="1"/>
        <v>0</v>
      </c>
      <c r="E33" s="393"/>
      <c r="F33" s="74">
        <f t="shared" si="0"/>
        <v>0</v>
      </c>
      <c r="G33" s="315"/>
      <c r="H33" s="316"/>
      <c r="I33" s="278">
        <f t="shared" si="4"/>
        <v>518.46</v>
      </c>
      <c r="J33" s="279">
        <f t="shared" si="3"/>
        <v>22</v>
      </c>
    </row>
    <row r="34" spans="1:10" x14ac:dyDescent="0.25">
      <c r="A34" s="2"/>
      <c r="B34" s="90"/>
      <c r="C34" s="15"/>
      <c r="D34" s="358">
        <f t="shared" si="1"/>
        <v>0</v>
      </c>
      <c r="E34" s="393"/>
      <c r="F34" s="74">
        <f t="shared" si="0"/>
        <v>0</v>
      </c>
      <c r="G34" s="315"/>
      <c r="H34" s="316"/>
      <c r="I34" s="278">
        <f t="shared" si="4"/>
        <v>518.46</v>
      </c>
      <c r="J34" s="279">
        <f t="shared" si="3"/>
        <v>22</v>
      </c>
    </row>
    <row r="35" spans="1:10" x14ac:dyDescent="0.25">
      <c r="A35" s="2"/>
      <c r="B35" s="90"/>
      <c r="C35" s="15"/>
      <c r="D35" s="358">
        <f t="shared" si="1"/>
        <v>0</v>
      </c>
      <c r="E35" s="393"/>
      <c r="F35" s="74">
        <f t="shared" si="0"/>
        <v>0</v>
      </c>
      <c r="G35" s="315"/>
      <c r="H35" s="316"/>
      <c r="I35" s="356">
        <f t="shared" si="4"/>
        <v>518.46</v>
      </c>
      <c r="J35" s="357">
        <f t="shared" si="3"/>
        <v>22</v>
      </c>
    </row>
    <row r="36" spans="1:10" x14ac:dyDescent="0.25">
      <c r="A36" s="2"/>
      <c r="B36" s="90"/>
      <c r="C36" s="15"/>
      <c r="D36" s="358">
        <f t="shared" si="1"/>
        <v>0</v>
      </c>
      <c r="E36" s="393"/>
      <c r="F36" s="74">
        <f t="shared" si="0"/>
        <v>0</v>
      </c>
      <c r="G36" s="315"/>
      <c r="H36" s="316"/>
      <c r="I36" s="356">
        <f t="shared" si="4"/>
        <v>518.46</v>
      </c>
      <c r="J36" s="357">
        <f t="shared" si="3"/>
        <v>22</v>
      </c>
    </row>
    <row r="37" spans="1:10" x14ac:dyDescent="0.25">
      <c r="A37" s="2"/>
      <c r="B37" s="90"/>
      <c r="C37" s="15"/>
      <c r="D37" s="358">
        <f t="shared" si="1"/>
        <v>0</v>
      </c>
      <c r="E37" s="393" t="s">
        <v>41</v>
      </c>
      <c r="F37" s="74">
        <f t="shared" si="0"/>
        <v>0</v>
      </c>
      <c r="G37" s="315"/>
      <c r="H37" s="316"/>
      <c r="I37" s="356">
        <f t="shared" si="4"/>
        <v>518.46</v>
      </c>
      <c r="J37" s="357">
        <f t="shared" si="3"/>
        <v>22</v>
      </c>
    </row>
    <row r="38" spans="1:10" x14ac:dyDescent="0.25">
      <c r="A38" s="2"/>
      <c r="B38" s="90"/>
      <c r="C38" s="15"/>
      <c r="D38" s="358">
        <f t="shared" si="1"/>
        <v>0</v>
      </c>
      <c r="E38" s="392"/>
      <c r="F38" s="74">
        <f t="shared" si="0"/>
        <v>0</v>
      </c>
      <c r="G38" s="315"/>
      <c r="H38" s="316"/>
      <c r="I38" s="356">
        <f t="shared" si="4"/>
        <v>518.46</v>
      </c>
      <c r="J38" s="357">
        <f t="shared" si="3"/>
        <v>22</v>
      </c>
    </row>
    <row r="39" spans="1:10" x14ac:dyDescent="0.25">
      <c r="A39" s="2"/>
      <c r="B39" s="90"/>
      <c r="C39" s="15"/>
      <c r="D39" s="358">
        <f t="shared" si="1"/>
        <v>0</v>
      </c>
      <c r="E39" s="393"/>
      <c r="F39" s="74">
        <f t="shared" si="0"/>
        <v>0</v>
      </c>
      <c r="G39" s="315"/>
      <c r="H39" s="316"/>
      <c r="I39" s="356">
        <f t="shared" si="4"/>
        <v>518.46</v>
      </c>
      <c r="J39" s="357">
        <f t="shared" si="3"/>
        <v>22</v>
      </c>
    </row>
    <row r="40" spans="1:10" x14ac:dyDescent="0.25">
      <c r="A40" s="2"/>
      <c r="B40" s="90"/>
      <c r="C40" s="15"/>
      <c r="D40" s="358">
        <f t="shared" si="1"/>
        <v>0</v>
      </c>
      <c r="E40" s="393"/>
      <c r="F40" s="74">
        <f t="shared" si="0"/>
        <v>0</v>
      </c>
      <c r="G40" s="315"/>
      <c r="H40" s="316"/>
      <c r="I40" s="356">
        <f t="shared" si="4"/>
        <v>518.46</v>
      </c>
      <c r="J40" s="357">
        <f t="shared" si="3"/>
        <v>22</v>
      </c>
    </row>
    <row r="41" spans="1:10" x14ac:dyDescent="0.25">
      <c r="A41" s="2"/>
      <c r="B41" s="90"/>
      <c r="C41" s="15"/>
      <c r="D41" s="358">
        <f t="shared" si="1"/>
        <v>0</v>
      </c>
      <c r="E41" s="393"/>
      <c r="F41" s="74">
        <f t="shared" si="0"/>
        <v>0</v>
      </c>
      <c r="G41" s="315"/>
      <c r="H41" s="316"/>
      <c r="I41" s="278">
        <f t="shared" si="4"/>
        <v>518.46</v>
      </c>
      <c r="J41" s="279">
        <f t="shared" si="3"/>
        <v>22</v>
      </c>
    </row>
    <row r="42" spans="1:10" x14ac:dyDescent="0.25">
      <c r="A42" s="2"/>
      <c r="B42" s="90"/>
      <c r="C42" s="15"/>
      <c r="D42" s="358">
        <f t="shared" si="1"/>
        <v>0</v>
      </c>
      <c r="E42" s="393"/>
      <c r="F42" s="74">
        <f t="shared" si="0"/>
        <v>0</v>
      </c>
      <c r="G42" s="75"/>
      <c r="H42" s="76"/>
      <c r="I42" s="278">
        <f t="shared" si="4"/>
        <v>518.46</v>
      </c>
      <c r="J42" s="279">
        <f t="shared" si="3"/>
        <v>22</v>
      </c>
    </row>
    <row r="43" spans="1:10" x14ac:dyDescent="0.25">
      <c r="A43" s="2"/>
      <c r="B43" s="90"/>
      <c r="C43" s="15"/>
      <c r="D43" s="358">
        <f t="shared" si="1"/>
        <v>0</v>
      </c>
      <c r="E43" s="393"/>
      <c r="F43" s="74">
        <f t="shared" si="0"/>
        <v>0</v>
      </c>
      <c r="G43" s="75"/>
      <c r="H43" s="76"/>
      <c r="I43" s="278">
        <f t="shared" si="4"/>
        <v>518.46</v>
      </c>
      <c r="J43" s="279">
        <f t="shared" si="3"/>
        <v>22</v>
      </c>
    </row>
    <row r="44" spans="1:10" x14ac:dyDescent="0.25">
      <c r="A44" s="2"/>
      <c r="B44" s="90"/>
      <c r="C44" s="15"/>
      <c r="D44" s="358">
        <f t="shared" si="1"/>
        <v>0</v>
      </c>
      <c r="E44" s="393"/>
      <c r="F44" s="74">
        <f t="shared" si="0"/>
        <v>0</v>
      </c>
      <c r="G44" s="75"/>
      <c r="H44" s="76"/>
      <c r="I44" s="278">
        <f t="shared" si="4"/>
        <v>518.46</v>
      </c>
      <c r="J44" s="279">
        <f t="shared" si="3"/>
        <v>22</v>
      </c>
    </row>
    <row r="45" spans="1:10" x14ac:dyDescent="0.25">
      <c r="A45" s="2"/>
      <c r="B45" s="90"/>
      <c r="C45" s="15"/>
      <c r="D45" s="358">
        <f t="shared" si="1"/>
        <v>0</v>
      </c>
      <c r="E45" s="393"/>
      <c r="F45" s="74">
        <f t="shared" si="0"/>
        <v>0</v>
      </c>
      <c r="G45" s="75"/>
      <c r="H45" s="76"/>
      <c r="I45" s="278">
        <f t="shared" si="4"/>
        <v>518.46</v>
      </c>
      <c r="J45" s="279">
        <f t="shared" si="3"/>
        <v>22</v>
      </c>
    </row>
    <row r="46" spans="1:10" x14ac:dyDescent="0.25">
      <c r="A46" s="2"/>
      <c r="B46" s="90"/>
      <c r="C46" s="15"/>
      <c r="D46" s="358">
        <f t="shared" si="1"/>
        <v>0</v>
      </c>
      <c r="E46" s="393"/>
      <c r="F46" s="74">
        <f t="shared" si="0"/>
        <v>0</v>
      </c>
      <c r="G46" s="75"/>
      <c r="H46" s="76"/>
      <c r="I46" s="278">
        <f t="shared" si="4"/>
        <v>518.46</v>
      </c>
      <c r="J46" s="279">
        <f t="shared" si="3"/>
        <v>22</v>
      </c>
    </row>
    <row r="47" spans="1:10" x14ac:dyDescent="0.25">
      <c r="A47" s="2"/>
      <c r="B47" s="90"/>
      <c r="C47" s="15"/>
      <c r="D47" s="358">
        <f t="shared" si="1"/>
        <v>0</v>
      </c>
      <c r="E47" s="393"/>
      <c r="F47" s="74">
        <f t="shared" si="0"/>
        <v>0</v>
      </c>
      <c r="G47" s="75"/>
      <c r="H47" s="76"/>
      <c r="I47" s="278">
        <f t="shared" si="4"/>
        <v>518.46</v>
      </c>
      <c r="J47" s="279">
        <f t="shared" si="3"/>
        <v>22</v>
      </c>
    </row>
    <row r="48" spans="1:10" x14ac:dyDescent="0.25">
      <c r="A48" s="2"/>
      <c r="B48" s="90"/>
      <c r="C48" s="15"/>
      <c r="D48" s="358">
        <f t="shared" si="1"/>
        <v>0</v>
      </c>
      <c r="E48" s="393"/>
      <c r="F48" s="74">
        <f t="shared" si="0"/>
        <v>0</v>
      </c>
      <c r="G48" s="75"/>
      <c r="H48" s="76"/>
      <c r="I48" s="278">
        <f t="shared" si="4"/>
        <v>518.46</v>
      </c>
      <c r="J48" s="279">
        <f t="shared" si="3"/>
        <v>22</v>
      </c>
    </row>
    <row r="49" spans="1:10" x14ac:dyDescent="0.25">
      <c r="A49" s="2"/>
      <c r="B49" s="90"/>
      <c r="C49" s="15"/>
      <c r="D49" s="358">
        <f t="shared" si="1"/>
        <v>0</v>
      </c>
      <c r="E49" s="393"/>
      <c r="F49" s="74">
        <f t="shared" si="0"/>
        <v>0</v>
      </c>
      <c r="G49" s="75"/>
      <c r="H49" s="76"/>
      <c r="I49" s="278">
        <f t="shared" si="4"/>
        <v>518.46</v>
      </c>
      <c r="J49" s="279">
        <f t="shared" si="3"/>
        <v>22</v>
      </c>
    </row>
    <row r="50" spans="1:10" x14ac:dyDescent="0.25">
      <c r="A50" s="2"/>
      <c r="B50" s="90"/>
      <c r="C50" s="15"/>
      <c r="D50" s="358">
        <f t="shared" si="1"/>
        <v>0</v>
      </c>
      <c r="E50" s="393"/>
      <c r="F50" s="74">
        <f t="shared" si="0"/>
        <v>0</v>
      </c>
      <c r="G50" s="75"/>
      <c r="H50" s="76"/>
      <c r="I50" s="278">
        <f t="shared" si="4"/>
        <v>518.46</v>
      </c>
      <c r="J50" s="279">
        <f t="shared" si="3"/>
        <v>22</v>
      </c>
    </row>
    <row r="51" spans="1:10" ht="14.4" thickBot="1" x14ac:dyDescent="0.3">
      <c r="A51" s="4"/>
      <c r="B51" s="90"/>
      <c r="C51" s="38"/>
      <c r="D51" s="358">
        <f t="shared" si="1"/>
        <v>0</v>
      </c>
      <c r="E51" s="404"/>
      <c r="F51" s="251">
        <f t="shared" si="0"/>
        <v>0</v>
      </c>
      <c r="G51" s="252"/>
      <c r="H51" s="238"/>
    </row>
    <row r="52" spans="1:10" ht="15.6" thickTop="1" thickBot="1" x14ac:dyDescent="0.35">
      <c r="C52" s="97">
        <f>SUM(C8:C51)</f>
        <v>13</v>
      </c>
      <c r="D52" s="358">
        <f t="shared" si="1"/>
        <v>0</v>
      </c>
      <c r="E52" s="39"/>
      <c r="F52" s="5">
        <f>SUM(F8:F51)</f>
        <v>300.86</v>
      </c>
    </row>
    <row r="53" spans="1:10" ht="15" thickBot="1" x14ac:dyDescent="0.35">
      <c r="A53" s="53"/>
      <c r="D53" s="358">
        <f t="shared" si="1"/>
        <v>0</v>
      </c>
      <c r="E53" s="73">
        <f>F4+F5+F6-+C52</f>
        <v>22</v>
      </c>
    </row>
    <row r="54" spans="1:10" ht="14.4" thickBot="1" x14ac:dyDescent="0.3">
      <c r="A54" s="129"/>
    </row>
    <row r="55" spans="1:10" ht="15" thickTop="1" thickBot="1" x14ac:dyDescent="0.3">
      <c r="A55" s="48"/>
      <c r="C55" s="1054" t="s">
        <v>11</v>
      </c>
      <c r="D55" s="1055"/>
      <c r="E55" s="159">
        <f>E5+E4+E6+-F52</f>
        <v>518.46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7980-7C6E-4C24-A885-5E7AB3BC56DE}">
  <sheetPr>
    <tabColor rgb="FF0070C0"/>
  </sheetPr>
  <dimension ref="A1:J55"/>
  <sheetViews>
    <sheetView workbookViewId="0">
      <selection activeCell="C11" sqref="C11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0" ht="45.75" customHeight="1" x14ac:dyDescent="0.65">
      <c r="A1" s="1025"/>
      <c r="B1" s="1025"/>
      <c r="C1" s="1025"/>
      <c r="D1" s="1025"/>
      <c r="E1" s="1025"/>
      <c r="F1" s="1025"/>
      <c r="G1" s="1025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17"/>
      <c r="D4" s="312"/>
      <c r="E4" s="413"/>
      <c r="F4" s="378"/>
    </row>
    <row r="5" spans="1:10" ht="15" customHeight="1" x14ac:dyDescent="0.3">
      <c r="A5" s="1050"/>
      <c r="B5" s="1052" t="s">
        <v>102</v>
      </c>
      <c r="C5" s="550"/>
      <c r="D5" s="375"/>
      <c r="E5" s="377"/>
      <c r="F5" s="378"/>
      <c r="G5" s="161">
        <f>F52</f>
        <v>0</v>
      </c>
      <c r="H5" s="63">
        <f>E4+E5+E6-G5</f>
        <v>0</v>
      </c>
    </row>
    <row r="6" spans="1:10" ht="16.2" thickBot="1" x14ac:dyDescent="0.35">
      <c r="A6" s="1051"/>
      <c r="B6" s="1053"/>
      <c r="C6" s="557"/>
      <c r="D6" s="556"/>
      <c r="E6" s="414"/>
      <c r="F6" s="380"/>
    </row>
    <row r="7" spans="1:10" ht="16.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276" t="s">
        <v>3</v>
      </c>
      <c r="J7" s="277" t="s">
        <v>4</v>
      </c>
    </row>
    <row r="8" spans="1:10" ht="15.75" thickTop="1" x14ac:dyDescent="0.25">
      <c r="A8" s="87" t="s">
        <v>32</v>
      </c>
      <c r="B8" s="90"/>
      <c r="C8" s="15"/>
      <c r="D8" s="358"/>
      <c r="E8" s="100"/>
      <c r="F8" s="314">
        <f t="shared" ref="F8:F51" si="0">D8</f>
        <v>0</v>
      </c>
      <c r="G8" s="315"/>
      <c r="H8" s="316"/>
      <c r="I8" s="356">
        <f>E5+E4-F8+E6</f>
        <v>0</v>
      </c>
      <c r="J8" s="279">
        <f>F4+F5+F6-C8</f>
        <v>0</v>
      </c>
    </row>
    <row r="9" spans="1:10" ht="15" x14ac:dyDescent="0.25">
      <c r="A9" s="241"/>
      <c r="B9" s="90"/>
      <c r="C9" s="15"/>
      <c r="D9" s="358">
        <f>C9*B9</f>
        <v>0</v>
      </c>
      <c r="E9" s="100"/>
      <c r="F9" s="314">
        <f t="shared" si="0"/>
        <v>0</v>
      </c>
      <c r="G9" s="315"/>
      <c r="H9" s="316"/>
      <c r="I9" s="356">
        <f>I8-F9</f>
        <v>0</v>
      </c>
      <c r="J9" s="279">
        <f>J8-C9</f>
        <v>0</v>
      </c>
    </row>
    <row r="10" spans="1:10" ht="15" x14ac:dyDescent="0.25">
      <c r="A10" s="227"/>
      <c r="B10" s="90"/>
      <c r="C10" s="15"/>
      <c r="D10" s="358">
        <f t="shared" ref="D10:D53" si="1">C10*B10</f>
        <v>0</v>
      </c>
      <c r="E10" s="86"/>
      <c r="F10" s="314">
        <f t="shared" si="0"/>
        <v>0</v>
      </c>
      <c r="G10" s="315"/>
      <c r="H10" s="316"/>
      <c r="I10" s="356">
        <f t="shared" ref="I10:I19" si="2">I9-F10</f>
        <v>0</v>
      </c>
      <c r="J10" s="279">
        <f t="shared" ref="J10:J50" si="3">J9-C10</f>
        <v>0</v>
      </c>
    </row>
    <row r="11" spans="1:10" ht="15" x14ac:dyDescent="0.25">
      <c r="A11" s="89" t="s">
        <v>33</v>
      </c>
      <c r="B11" s="90"/>
      <c r="C11" s="15"/>
      <c r="D11" s="358">
        <f t="shared" si="1"/>
        <v>0</v>
      </c>
      <c r="E11" s="86"/>
      <c r="F11" s="314">
        <f t="shared" si="0"/>
        <v>0</v>
      </c>
      <c r="G11" s="315"/>
      <c r="H11" s="316"/>
      <c r="I11" s="356">
        <f t="shared" si="2"/>
        <v>0</v>
      </c>
      <c r="J11" s="357">
        <f t="shared" si="3"/>
        <v>0</v>
      </c>
    </row>
    <row r="12" spans="1:10" ht="15" x14ac:dyDescent="0.25">
      <c r="A12" s="79"/>
      <c r="B12" s="90"/>
      <c r="C12" s="15"/>
      <c r="D12" s="358">
        <f t="shared" si="1"/>
        <v>0</v>
      </c>
      <c r="E12" s="86"/>
      <c r="F12" s="314">
        <f t="shared" si="0"/>
        <v>0</v>
      </c>
      <c r="G12" s="315"/>
      <c r="H12" s="316"/>
      <c r="I12" s="356">
        <f t="shared" si="2"/>
        <v>0</v>
      </c>
      <c r="J12" s="357">
        <f t="shared" si="3"/>
        <v>0</v>
      </c>
    </row>
    <row r="13" spans="1:10" ht="15" x14ac:dyDescent="0.25">
      <c r="A13" s="79"/>
      <c r="B13" s="90"/>
      <c r="C13" s="15"/>
      <c r="D13" s="358">
        <f t="shared" si="1"/>
        <v>0</v>
      </c>
      <c r="E13" s="86"/>
      <c r="F13" s="314">
        <f t="shared" si="0"/>
        <v>0</v>
      </c>
      <c r="G13" s="315"/>
      <c r="H13" s="316"/>
      <c r="I13" s="356">
        <f t="shared" si="2"/>
        <v>0</v>
      </c>
      <c r="J13" s="357">
        <f t="shared" si="3"/>
        <v>0</v>
      </c>
    </row>
    <row r="14" spans="1:10" ht="15" x14ac:dyDescent="0.25">
      <c r="B14" s="90"/>
      <c r="C14" s="313"/>
      <c r="D14" s="358">
        <f t="shared" si="1"/>
        <v>0</v>
      </c>
      <c r="E14" s="359"/>
      <c r="F14" s="314">
        <f t="shared" si="0"/>
        <v>0</v>
      </c>
      <c r="G14" s="315"/>
      <c r="H14" s="316"/>
      <c r="I14" s="356">
        <f t="shared" si="2"/>
        <v>0</v>
      </c>
      <c r="J14" s="357">
        <f t="shared" si="3"/>
        <v>0</v>
      </c>
    </row>
    <row r="15" spans="1:10" ht="15" x14ac:dyDescent="0.25">
      <c r="B15" s="90"/>
      <c r="C15" s="15"/>
      <c r="D15" s="358">
        <f t="shared" si="1"/>
        <v>0</v>
      </c>
      <c r="E15" s="91"/>
      <c r="F15" s="314">
        <f t="shared" si="0"/>
        <v>0</v>
      </c>
      <c r="G15" s="315"/>
      <c r="H15" s="316"/>
      <c r="I15" s="356">
        <f t="shared" si="2"/>
        <v>0</v>
      </c>
      <c r="J15" s="357">
        <f t="shared" si="3"/>
        <v>0</v>
      </c>
    </row>
    <row r="16" spans="1:10" ht="15" x14ac:dyDescent="0.25">
      <c r="A16" s="88"/>
      <c r="B16" s="90"/>
      <c r="C16" s="15"/>
      <c r="D16" s="358">
        <f t="shared" si="1"/>
        <v>0</v>
      </c>
      <c r="E16" s="91"/>
      <c r="F16" s="74">
        <f t="shared" si="0"/>
        <v>0</v>
      </c>
      <c r="G16" s="315"/>
      <c r="H16" s="316"/>
      <c r="I16" s="356">
        <f t="shared" si="2"/>
        <v>0</v>
      </c>
      <c r="J16" s="357">
        <f t="shared" si="3"/>
        <v>0</v>
      </c>
    </row>
    <row r="17" spans="1:10" ht="15" x14ac:dyDescent="0.25">
      <c r="A17" s="90"/>
      <c r="B17" s="90"/>
      <c r="C17" s="15"/>
      <c r="D17" s="358">
        <f t="shared" si="1"/>
        <v>0</v>
      </c>
      <c r="E17" s="91"/>
      <c r="F17" s="74">
        <f t="shared" si="0"/>
        <v>0</v>
      </c>
      <c r="G17" s="315"/>
      <c r="H17" s="316"/>
      <c r="I17" s="356">
        <f t="shared" si="2"/>
        <v>0</v>
      </c>
      <c r="J17" s="357">
        <f t="shared" si="3"/>
        <v>0</v>
      </c>
    </row>
    <row r="18" spans="1:10" ht="15" x14ac:dyDescent="0.25">
      <c r="A18" s="2"/>
      <c r="B18" s="90"/>
      <c r="C18" s="15"/>
      <c r="D18" s="358">
        <f t="shared" si="1"/>
        <v>0</v>
      </c>
      <c r="E18" s="91"/>
      <c r="F18" s="74">
        <f t="shared" si="0"/>
        <v>0</v>
      </c>
      <c r="G18" s="315"/>
      <c r="H18" s="316"/>
      <c r="I18" s="356">
        <f t="shared" si="2"/>
        <v>0</v>
      </c>
      <c r="J18" s="357">
        <f t="shared" si="3"/>
        <v>0</v>
      </c>
    </row>
    <row r="19" spans="1:10" ht="15" x14ac:dyDescent="0.25">
      <c r="A19" s="2"/>
      <c r="B19" s="90"/>
      <c r="C19" s="15"/>
      <c r="D19" s="358">
        <f t="shared" si="1"/>
        <v>0</v>
      </c>
      <c r="E19" s="91"/>
      <c r="F19" s="74">
        <f t="shared" si="0"/>
        <v>0</v>
      </c>
      <c r="G19" s="315"/>
      <c r="H19" s="316"/>
      <c r="I19" s="356">
        <f t="shared" si="2"/>
        <v>0</v>
      </c>
      <c r="J19" s="357">
        <f t="shared" si="3"/>
        <v>0</v>
      </c>
    </row>
    <row r="20" spans="1:10" ht="15" x14ac:dyDescent="0.25">
      <c r="A20" s="2"/>
      <c r="B20" s="90"/>
      <c r="C20" s="15"/>
      <c r="D20" s="358">
        <f t="shared" si="1"/>
        <v>0</v>
      </c>
      <c r="E20" s="86"/>
      <c r="F20" s="74">
        <f t="shared" si="0"/>
        <v>0</v>
      </c>
      <c r="G20" s="315"/>
      <c r="H20" s="316"/>
      <c r="I20" s="356">
        <f>I19-F20</f>
        <v>0</v>
      </c>
      <c r="J20" s="357">
        <f t="shared" si="3"/>
        <v>0</v>
      </c>
    </row>
    <row r="21" spans="1:10" ht="15" x14ac:dyDescent="0.25">
      <c r="A21" s="2"/>
      <c r="B21" s="90"/>
      <c r="C21" s="15"/>
      <c r="D21" s="358">
        <f t="shared" si="1"/>
        <v>0</v>
      </c>
      <c r="E21" s="86"/>
      <c r="F21" s="74">
        <f t="shared" si="0"/>
        <v>0</v>
      </c>
      <c r="G21" s="315"/>
      <c r="H21" s="316"/>
      <c r="I21" s="356">
        <f t="shared" ref="I21:I50" si="4">I20-F21</f>
        <v>0</v>
      </c>
      <c r="J21" s="357">
        <f t="shared" si="3"/>
        <v>0</v>
      </c>
    </row>
    <row r="22" spans="1:10" ht="15" x14ac:dyDescent="0.25">
      <c r="A22" s="2"/>
      <c r="B22" s="90"/>
      <c r="C22" s="15"/>
      <c r="D22" s="358">
        <f t="shared" si="1"/>
        <v>0</v>
      </c>
      <c r="E22" s="86"/>
      <c r="F22" s="74">
        <f t="shared" si="0"/>
        <v>0</v>
      </c>
      <c r="G22" s="315"/>
      <c r="H22" s="316"/>
      <c r="I22" s="356">
        <f t="shared" si="4"/>
        <v>0</v>
      </c>
      <c r="J22" s="357">
        <f t="shared" si="3"/>
        <v>0</v>
      </c>
    </row>
    <row r="23" spans="1:10" ht="15" x14ac:dyDescent="0.25">
      <c r="A23" s="2"/>
      <c r="B23" s="90"/>
      <c r="C23" s="15"/>
      <c r="D23" s="358">
        <f t="shared" si="1"/>
        <v>0</v>
      </c>
      <c r="E23" s="86"/>
      <c r="F23" s="74">
        <f t="shared" si="0"/>
        <v>0</v>
      </c>
      <c r="G23" s="315"/>
      <c r="H23" s="316"/>
      <c r="I23" s="356">
        <f t="shared" si="4"/>
        <v>0</v>
      </c>
      <c r="J23" s="357">
        <f t="shared" si="3"/>
        <v>0</v>
      </c>
    </row>
    <row r="24" spans="1:10" ht="15" x14ac:dyDescent="0.25">
      <c r="A24" s="2"/>
      <c r="B24" s="90"/>
      <c r="C24" s="15"/>
      <c r="D24" s="358">
        <f t="shared" si="1"/>
        <v>0</v>
      </c>
      <c r="E24" s="100"/>
      <c r="F24" s="74">
        <f t="shared" si="0"/>
        <v>0</v>
      </c>
      <c r="G24" s="315"/>
      <c r="H24" s="316"/>
      <c r="I24" s="356">
        <f t="shared" si="4"/>
        <v>0</v>
      </c>
      <c r="J24" s="357">
        <f t="shared" si="3"/>
        <v>0</v>
      </c>
    </row>
    <row r="25" spans="1:10" x14ac:dyDescent="0.25">
      <c r="A25" s="2"/>
      <c r="B25" s="90"/>
      <c r="C25" s="15"/>
      <c r="D25" s="358">
        <f t="shared" si="1"/>
        <v>0</v>
      </c>
      <c r="E25" s="412"/>
      <c r="F25" s="74">
        <f t="shared" si="0"/>
        <v>0</v>
      </c>
      <c r="G25" s="315"/>
      <c r="H25" s="316"/>
      <c r="I25" s="356">
        <f t="shared" si="4"/>
        <v>0</v>
      </c>
      <c r="J25" s="357">
        <f t="shared" si="3"/>
        <v>0</v>
      </c>
    </row>
    <row r="26" spans="1:10" x14ac:dyDescent="0.25">
      <c r="A26" s="2"/>
      <c r="B26" s="90"/>
      <c r="C26" s="15"/>
      <c r="D26" s="358">
        <f t="shared" si="1"/>
        <v>0</v>
      </c>
      <c r="E26" s="412"/>
      <c r="F26" s="74">
        <f t="shared" si="0"/>
        <v>0</v>
      </c>
      <c r="G26" s="315"/>
      <c r="H26" s="316"/>
      <c r="I26" s="356">
        <f t="shared" si="4"/>
        <v>0</v>
      </c>
      <c r="J26" s="357">
        <f t="shared" si="3"/>
        <v>0</v>
      </c>
    </row>
    <row r="27" spans="1:10" x14ac:dyDescent="0.25">
      <c r="A27" s="215"/>
      <c r="B27" s="90"/>
      <c r="C27" s="15"/>
      <c r="D27" s="358">
        <f t="shared" si="1"/>
        <v>0</v>
      </c>
      <c r="E27" s="412"/>
      <c r="F27" s="74">
        <f t="shared" si="0"/>
        <v>0</v>
      </c>
      <c r="G27" s="315"/>
      <c r="H27" s="316"/>
      <c r="I27" s="356">
        <f t="shared" si="4"/>
        <v>0</v>
      </c>
      <c r="J27" s="357">
        <f t="shared" si="3"/>
        <v>0</v>
      </c>
    </row>
    <row r="28" spans="1:10" x14ac:dyDescent="0.25">
      <c r="A28" s="215"/>
      <c r="B28" s="90"/>
      <c r="C28" s="15"/>
      <c r="D28" s="358">
        <f t="shared" si="1"/>
        <v>0</v>
      </c>
      <c r="E28" s="392"/>
      <c r="F28" s="74">
        <f t="shared" si="0"/>
        <v>0</v>
      </c>
      <c r="G28" s="315"/>
      <c r="H28" s="316"/>
      <c r="I28" s="356">
        <f t="shared" si="4"/>
        <v>0</v>
      </c>
      <c r="J28" s="357">
        <f t="shared" si="3"/>
        <v>0</v>
      </c>
    </row>
    <row r="29" spans="1:10" x14ac:dyDescent="0.25">
      <c r="A29" s="215"/>
      <c r="B29" s="90"/>
      <c r="C29" s="15"/>
      <c r="D29" s="358">
        <f t="shared" si="1"/>
        <v>0</v>
      </c>
      <c r="E29" s="392"/>
      <c r="F29" s="74">
        <f t="shared" si="0"/>
        <v>0</v>
      </c>
      <c r="G29" s="315"/>
      <c r="H29" s="316"/>
      <c r="I29" s="356">
        <f t="shared" si="4"/>
        <v>0</v>
      </c>
      <c r="J29" s="357">
        <f t="shared" si="3"/>
        <v>0</v>
      </c>
    </row>
    <row r="30" spans="1:10" x14ac:dyDescent="0.25">
      <c r="A30" s="215"/>
      <c r="B30" s="90"/>
      <c r="C30" s="15"/>
      <c r="D30" s="358">
        <f t="shared" si="1"/>
        <v>0</v>
      </c>
      <c r="E30" s="392"/>
      <c r="F30" s="74">
        <f t="shared" si="0"/>
        <v>0</v>
      </c>
      <c r="G30" s="315"/>
      <c r="H30" s="316"/>
      <c r="I30" s="356">
        <f t="shared" si="4"/>
        <v>0</v>
      </c>
      <c r="J30" s="357">
        <f t="shared" si="3"/>
        <v>0</v>
      </c>
    </row>
    <row r="31" spans="1:10" x14ac:dyDescent="0.25">
      <c r="A31" s="215"/>
      <c r="B31" s="90"/>
      <c r="C31" s="15"/>
      <c r="D31" s="358">
        <f t="shared" si="1"/>
        <v>0</v>
      </c>
      <c r="E31" s="392"/>
      <c r="F31" s="74">
        <f t="shared" si="0"/>
        <v>0</v>
      </c>
      <c r="G31" s="315"/>
      <c r="H31" s="316"/>
      <c r="I31" s="356">
        <f t="shared" si="4"/>
        <v>0</v>
      </c>
      <c r="J31" s="357">
        <f t="shared" si="3"/>
        <v>0</v>
      </c>
    </row>
    <row r="32" spans="1:10" x14ac:dyDescent="0.25">
      <c r="A32" s="2"/>
      <c r="B32" s="90"/>
      <c r="C32" s="313"/>
      <c r="D32" s="358">
        <f t="shared" si="1"/>
        <v>0</v>
      </c>
      <c r="E32" s="398"/>
      <c r="F32" s="314">
        <f t="shared" si="0"/>
        <v>0</v>
      </c>
      <c r="G32" s="315"/>
      <c r="H32" s="316"/>
      <c r="I32" s="356">
        <f t="shared" si="4"/>
        <v>0</v>
      </c>
      <c r="J32" s="357">
        <f t="shared" si="3"/>
        <v>0</v>
      </c>
    </row>
    <row r="33" spans="1:10" x14ac:dyDescent="0.25">
      <c r="A33" s="2"/>
      <c r="B33" s="90"/>
      <c r="C33" s="15"/>
      <c r="D33" s="358">
        <f t="shared" si="1"/>
        <v>0</v>
      </c>
      <c r="E33" s="393"/>
      <c r="F33" s="74">
        <f t="shared" si="0"/>
        <v>0</v>
      </c>
      <c r="G33" s="315"/>
      <c r="H33" s="316"/>
      <c r="I33" s="278">
        <f t="shared" si="4"/>
        <v>0</v>
      </c>
      <c r="J33" s="279">
        <f t="shared" si="3"/>
        <v>0</v>
      </c>
    </row>
    <row r="34" spans="1:10" x14ac:dyDescent="0.25">
      <c r="A34" s="2"/>
      <c r="B34" s="90"/>
      <c r="C34" s="15"/>
      <c r="D34" s="358">
        <f t="shared" si="1"/>
        <v>0</v>
      </c>
      <c r="E34" s="393"/>
      <c r="F34" s="74">
        <f t="shared" si="0"/>
        <v>0</v>
      </c>
      <c r="G34" s="315"/>
      <c r="H34" s="316"/>
      <c r="I34" s="278">
        <f t="shared" si="4"/>
        <v>0</v>
      </c>
      <c r="J34" s="279">
        <f t="shared" si="3"/>
        <v>0</v>
      </c>
    </row>
    <row r="35" spans="1:10" x14ac:dyDescent="0.25">
      <c r="A35" s="2"/>
      <c r="B35" s="90"/>
      <c r="C35" s="15"/>
      <c r="D35" s="358">
        <f t="shared" si="1"/>
        <v>0</v>
      </c>
      <c r="E35" s="393"/>
      <c r="F35" s="74">
        <f t="shared" si="0"/>
        <v>0</v>
      </c>
      <c r="G35" s="315"/>
      <c r="H35" s="316"/>
      <c r="I35" s="356">
        <f t="shared" si="4"/>
        <v>0</v>
      </c>
      <c r="J35" s="357">
        <f t="shared" si="3"/>
        <v>0</v>
      </c>
    </row>
    <row r="36" spans="1:10" x14ac:dyDescent="0.25">
      <c r="A36" s="2"/>
      <c r="B36" s="90"/>
      <c r="C36" s="15"/>
      <c r="D36" s="358">
        <f t="shared" si="1"/>
        <v>0</v>
      </c>
      <c r="E36" s="393"/>
      <c r="F36" s="74">
        <f t="shared" si="0"/>
        <v>0</v>
      </c>
      <c r="G36" s="315"/>
      <c r="H36" s="316"/>
      <c r="I36" s="356">
        <f t="shared" si="4"/>
        <v>0</v>
      </c>
      <c r="J36" s="357">
        <f t="shared" si="3"/>
        <v>0</v>
      </c>
    </row>
    <row r="37" spans="1:10" x14ac:dyDescent="0.25">
      <c r="A37" s="2"/>
      <c r="B37" s="90"/>
      <c r="C37" s="15"/>
      <c r="D37" s="358">
        <f t="shared" si="1"/>
        <v>0</v>
      </c>
      <c r="E37" s="393" t="s">
        <v>41</v>
      </c>
      <c r="F37" s="74">
        <f t="shared" si="0"/>
        <v>0</v>
      </c>
      <c r="G37" s="315"/>
      <c r="H37" s="316"/>
      <c r="I37" s="356">
        <f t="shared" si="4"/>
        <v>0</v>
      </c>
      <c r="J37" s="357">
        <f t="shared" si="3"/>
        <v>0</v>
      </c>
    </row>
    <row r="38" spans="1:10" x14ac:dyDescent="0.25">
      <c r="A38" s="2"/>
      <c r="B38" s="90"/>
      <c r="C38" s="15"/>
      <c r="D38" s="358">
        <f t="shared" si="1"/>
        <v>0</v>
      </c>
      <c r="E38" s="392"/>
      <c r="F38" s="74">
        <f t="shared" si="0"/>
        <v>0</v>
      </c>
      <c r="G38" s="315"/>
      <c r="H38" s="316"/>
      <c r="I38" s="356">
        <f t="shared" si="4"/>
        <v>0</v>
      </c>
      <c r="J38" s="357">
        <f t="shared" si="3"/>
        <v>0</v>
      </c>
    </row>
    <row r="39" spans="1:10" x14ac:dyDescent="0.25">
      <c r="A39" s="2"/>
      <c r="B39" s="90"/>
      <c r="C39" s="15"/>
      <c r="D39" s="358">
        <f t="shared" si="1"/>
        <v>0</v>
      </c>
      <c r="E39" s="393"/>
      <c r="F39" s="74">
        <f t="shared" si="0"/>
        <v>0</v>
      </c>
      <c r="G39" s="315"/>
      <c r="H39" s="316"/>
      <c r="I39" s="356">
        <f t="shared" si="4"/>
        <v>0</v>
      </c>
      <c r="J39" s="357">
        <f t="shared" si="3"/>
        <v>0</v>
      </c>
    </row>
    <row r="40" spans="1:10" x14ac:dyDescent="0.25">
      <c r="A40" s="2"/>
      <c r="B40" s="90"/>
      <c r="C40" s="15"/>
      <c r="D40" s="358">
        <f t="shared" si="1"/>
        <v>0</v>
      </c>
      <c r="E40" s="393"/>
      <c r="F40" s="74">
        <f t="shared" si="0"/>
        <v>0</v>
      </c>
      <c r="G40" s="315"/>
      <c r="H40" s="316"/>
      <c r="I40" s="356">
        <f t="shared" si="4"/>
        <v>0</v>
      </c>
      <c r="J40" s="357">
        <f t="shared" si="3"/>
        <v>0</v>
      </c>
    </row>
    <row r="41" spans="1:10" x14ac:dyDescent="0.25">
      <c r="A41" s="2"/>
      <c r="B41" s="90"/>
      <c r="C41" s="15"/>
      <c r="D41" s="358">
        <f t="shared" si="1"/>
        <v>0</v>
      </c>
      <c r="E41" s="393"/>
      <c r="F41" s="74">
        <f t="shared" si="0"/>
        <v>0</v>
      </c>
      <c r="G41" s="315"/>
      <c r="H41" s="316"/>
      <c r="I41" s="278">
        <f t="shared" si="4"/>
        <v>0</v>
      </c>
      <c r="J41" s="279">
        <f t="shared" si="3"/>
        <v>0</v>
      </c>
    </row>
    <row r="42" spans="1:10" x14ac:dyDescent="0.25">
      <c r="A42" s="2"/>
      <c r="B42" s="90"/>
      <c r="C42" s="15"/>
      <c r="D42" s="358">
        <f t="shared" si="1"/>
        <v>0</v>
      </c>
      <c r="E42" s="393"/>
      <c r="F42" s="74">
        <f t="shared" si="0"/>
        <v>0</v>
      </c>
      <c r="G42" s="75"/>
      <c r="H42" s="76"/>
      <c r="I42" s="278">
        <f t="shared" si="4"/>
        <v>0</v>
      </c>
      <c r="J42" s="279">
        <f t="shared" si="3"/>
        <v>0</v>
      </c>
    </row>
    <row r="43" spans="1:10" x14ac:dyDescent="0.25">
      <c r="A43" s="2"/>
      <c r="B43" s="90"/>
      <c r="C43" s="15"/>
      <c r="D43" s="358">
        <f t="shared" si="1"/>
        <v>0</v>
      </c>
      <c r="E43" s="393"/>
      <c r="F43" s="74">
        <f t="shared" si="0"/>
        <v>0</v>
      </c>
      <c r="G43" s="75"/>
      <c r="H43" s="76"/>
      <c r="I43" s="278">
        <f t="shared" si="4"/>
        <v>0</v>
      </c>
      <c r="J43" s="279">
        <f t="shared" si="3"/>
        <v>0</v>
      </c>
    </row>
    <row r="44" spans="1:10" x14ac:dyDescent="0.25">
      <c r="A44" s="2"/>
      <c r="B44" s="90"/>
      <c r="C44" s="15"/>
      <c r="D44" s="358">
        <f t="shared" si="1"/>
        <v>0</v>
      </c>
      <c r="E44" s="393"/>
      <c r="F44" s="74">
        <f t="shared" si="0"/>
        <v>0</v>
      </c>
      <c r="G44" s="75"/>
      <c r="H44" s="76"/>
      <c r="I44" s="278">
        <f t="shared" si="4"/>
        <v>0</v>
      </c>
      <c r="J44" s="279">
        <f t="shared" si="3"/>
        <v>0</v>
      </c>
    </row>
    <row r="45" spans="1:10" x14ac:dyDescent="0.25">
      <c r="A45" s="2"/>
      <c r="B45" s="90"/>
      <c r="C45" s="15"/>
      <c r="D45" s="358">
        <f t="shared" si="1"/>
        <v>0</v>
      </c>
      <c r="E45" s="393"/>
      <c r="F45" s="74">
        <f t="shared" si="0"/>
        <v>0</v>
      </c>
      <c r="G45" s="75"/>
      <c r="H45" s="76"/>
      <c r="I45" s="278">
        <f t="shared" si="4"/>
        <v>0</v>
      </c>
      <c r="J45" s="279">
        <f t="shared" si="3"/>
        <v>0</v>
      </c>
    </row>
    <row r="46" spans="1:10" x14ac:dyDescent="0.25">
      <c r="A46" s="2"/>
      <c r="B46" s="90"/>
      <c r="C46" s="15"/>
      <c r="D46" s="358">
        <f t="shared" si="1"/>
        <v>0</v>
      </c>
      <c r="E46" s="393"/>
      <c r="F46" s="74">
        <f t="shared" si="0"/>
        <v>0</v>
      </c>
      <c r="G46" s="75"/>
      <c r="H46" s="76"/>
      <c r="I46" s="278">
        <f t="shared" si="4"/>
        <v>0</v>
      </c>
      <c r="J46" s="279">
        <f t="shared" si="3"/>
        <v>0</v>
      </c>
    </row>
    <row r="47" spans="1:10" x14ac:dyDescent="0.25">
      <c r="A47" s="2"/>
      <c r="B47" s="90"/>
      <c r="C47" s="15"/>
      <c r="D47" s="358">
        <f t="shared" si="1"/>
        <v>0</v>
      </c>
      <c r="E47" s="393"/>
      <c r="F47" s="74">
        <f t="shared" si="0"/>
        <v>0</v>
      </c>
      <c r="G47" s="75"/>
      <c r="H47" s="76"/>
      <c r="I47" s="278">
        <f t="shared" si="4"/>
        <v>0</v>
      </c>
      <c r="J47" s="279">
        <f t="shared" si="3"/>
        <v>0</v>
      </c>
    </row>
    <row r="48" spans="1:10" x14ac:dyDescent="0.25">
      <c r="A48" s="2"/>
      <c r="B48" s="90"/>
      <c r="C48" s="15"/>
      <c r="D48" s="358">
        <f t="shared" si="1"/>
        <v>0</v>
      </c>
      <c r="E48" s="393"/>
      <c r="F48" s="74">
        <f t="shared" si="0"/>
        <v>0</v>
      </c>
      <c r="G48" s="75"/>
      <c r="H48" s="76"/>
      <c r="I48" s="278">
        <f t="shared" si="4"/>
        <v>0</v>
      </c>
      <c r="J48" s="279">
        <f t="shared" si="3"/>
        <v>0</v>
      </c>
    </row>
    <row r="49" spans="1:10" x14ac:dyDescent="0.25">
      <c r="A49" s="2"/>
      <c r="B49" s="90"/>
      <c r="C49" s="15"/>
      <c r="D49" s="358">
        <f t="shared" si="1"/>
        <v>0</v>
      </c>
      <c r="E49" s="393"/>
      <c r="F49" s="74">
        <f t="shared" si="0"/>
        <v>0</v>
      </c>
      <c r="G49" s="75"/>
      <c r="H49" s="76"/>
      <c r="I49" s="278">
        <f t="shared" si="4"/>
        <v>0</v>
      </c>
      <c r="J49" s="279">
        <f t="shared" si="3"/>
        <v>0</v>
      </c>
    </row>
    <row r="50" spans="1:10" x14ac:dyDescent="0.25">
      <c r="A50" s="2"/>
      <c r="B50" s="90"/>
      <c r="C50" s="15"/>
      <c r="D50" s="358">
        <f t="shared" si="1"/>
        <v>0</v>
      </c>
      <c r="E50" s="393"/>
      <c r="F50" s="74">
        <f t="shared" si="0"/>
        <v>0</v>
      </c>
      <c r="G50" s="75"/>
      <c r="H50" s="76"/>
      <c r="I50" s="278">
        <f t="shared" si="4"/>
        <v>0</v>
      </c>
      <c r="J50" s="279">
        <f t="shared" si="3"/>
        <v>0</v>
      </c>
    </row>
    <row r="51" spans="1:10" ht="14.4" thickBot="1" x14ac:dyDescent="0.3">
      <c r="A51" s="4"/>
      <c r="B51" s="90"/>
      <c r="C51" s="38"/>
      <c r="D51" s="358">
        <f t="shared" si="1"/>
        <v>0</v>
      </c>
      <c r="E51" s="404"/>
      <c r="F51" s="251">
        <f t="shared" si="0"/>
        <v>0</v>
      </c>
      <c r="G51" s="252"/>
      <c r="H51" s="238"/>
    </row>
    <row r="52" spans="1:10" ht="15.6" thickTop="1" thickBot="1" x14ac:dyDescent="0.35">
      <c r="C52" s="97">
        <f>SUM(C8:C51)</f>
        <v>0</v>
      </c>
      <c r="D52" s="358">
        <f t="shared" si="1"/>
        <v>0</v>
      </c>
      <c r="E52" s="39"/>
      <c r="F52" s="5">
        <f>SUM(F8:F51)</f>
        <v>0</v>
      </c>
    </row>
    <row r="53" spans="1:10" ht="15" thickBot="1" x14ac:dyDescent="0.35">
      <c r="A53" s="53"/>
      <c r="D53" s="358">
        <f t="shared" si="1"/>
        <v>0</v>
      </c>
      <c r="E53" s="73">
        <f>F4+F5+F6-+C52</f>
        <v>0</v>
      </c>
    </row>
    <row r="54" spans="1:10" ht="14.4" thickBot="1" x14ac:dyDescent="0.3">
      <c r="A54" s="129"/>
    </row>
    <row r="55" spans="1:10" ht="15" thickTop="1" thickBot="1" x14ac:dyDescent="0.3">
      <c r="A55" s="48"/>
      <c r="C55" s="1054" t="s">
        <v>11</v>
      </c>
      <c r="D55" s="1055"/>
      <c r="E55" s="159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F58"/>
  <sheetViews>
    <sheetView topLeftCell="W1" workbookViewId="0">
      <pane ySplit="8" topLeftCell="A22" activePane="bottomLeft" state="frozen"/>
      <selection pane="bottomLeft" activeCell="AD25" sqref="AD25"/>
    </sheetView>
  </sheetViews>
  <sheetFormatPr baseColWidth="10" defaultRowHeight="13.8" x14ac:dyDescent="0.25"/>
  <cols>
    <col min="1" max="1" width="25.33203125" bestFit="1" customWidth="1"/>
    <col min="2" max="2" width="18.5546875" bestFit="1" customWidth="1"/>
    <col min="9" max="9" width="14.33203125" bestFit="1" customWidth="1"/>
    <col min="12" max="12" width="25.33203125" bestFit="1" customWidth="1"/>
    <col min="13" max="13" width="18.5546875" bestFit="1" customWidth="1"/>
    <col min="20" max="20" width="14.33203125" bestFit="1" customWidth="1"/>
    <col min="23" max="23" width="25.33203125" bestFit="1" customWidth="1"/>
    <col min="24" max="24" width="18.5546875" bestFit="1" customWidth="1"/>
    <col min="31" max="31" width="14.33203125" bestFit="1" customWidth="1"/>
  </cols>
  <sheetData>
    <row r="1" spans="1:32" ht="40.5" x14ac:dyDescent="0.55000000000000004">
      <c r="A1" s="1041" t="s">
        <v>171</v>
      </c>
      <c r="B1" s="1041"/>
      <c r="C1" s="1041"/>
      <c r="D1" s="1041"/>
      <c r="E1" s="1041"/>
      <c r="F1" s="1041"/>
      <c r="G1" s="1041"/>
      <c r="H1" s="11">
        <v>1</v>
      </c>
      <c r="I1" s="142"/>
      <c r="J1" s="79"/>
      <c r="L1" s="1034" t="s">
        <v>162</v>
      </c>
      <c r="M1" s="1034"/>
      <c r="N1" s="1034"/>
      <c r="O1" s="1034"/>
      <c r="P1" s="1034"/>
      <c r="Q1" s="1034"/>
      <c r="R1" s="1034"/>
      <c r="S1" s="11">
        <v>2</v>
      </c>
      <c r="T1" s="142"/>
      <c r="U1" s="79"/>
      <c r="W1" s="1034" t="s">
        <v>162</v>
      </c>
      <c r="X1" s="1034"/>
      <c r="Y1" s="1034"/>
      <c r="Z1" s="1034"/>
      <c r="AA1" s="1034"/>
      <c r="AB1" s="1034"/>
      <c r="AC1" s="1034"/>
      <c r="AD1" s="11">
        <v>2</v>
      </c>
      <c r="AE1" s="142"/>
      <c r="AF1" s="79"/>
    </row>
    <row r="2" spans="1:32" ht="15.75" thickBot="1" x14ac:dyDescent="0.3">
      <c r="I2" s="142"/>
      <c r="J2" s="79"/>
      <c r="T2" s="142"/>
      <c r="U2" s="79"/>
      <c r="AE2" s="142"/>
      <c r="AF2" s="79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4"/>
      <c r="J3" s="79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34"/>
      <c r="U3" s="79"/>
      <c r="W3" s="8" t="s">
        <v>0</v>
      </c>
      <c r="X3" s="9" t="s">
        <v>1</v>
      </c>
      <c r="Y3" s="9" t="s">
        <v>13</v>
      </c>
      <c r="Z3" s="9" t="s">
        <v>2</v>
      </c>
      <c r="AA3" s="9" t="s">
        <v>3</v>
      </c>
      <c r="AB3" s="9" t="s">
        <v>4</v>
      </c>
      <c r="AC3" s="47" t="s">
        <v>12</v>
      </c>
      <c r="AD3" s="26" t="s">
        <v>11</v>
      </c>
      <c r="AE3" s="234"/>
      <c r="AF3" s="79"/>
    </row>
    <row r="4" spans="1:32" ht="15.75" thickTop="1" x14ac:dyDescent="0.25">
      <c r="B4" s="12"/>
      <c r="C4" s="138"/>
      <c r="D4" s="168"/>
      <c r="E4" s="113"/>
      <c r="F4" s="79"/>
      <c r="G4" s="79"/>
      <c r="I4" s="235"/>
      <c r="J4" s="79"/>
      <c r="M4" s="12"/>
      <c r="N4" s="138"/>
      <c r="O4" s="168"/>
      <c r="P4" s="113"/>
      <c r="Q4" s="79"/>
      <c r="R4" s="79"/>
      <c r="T4" s="235"/>
      <c r="U4" s="79"/>
      <c r="X4" s="12"/>
      <c r="Y4" s="138"/>
      <c r="Z4" s="168"/>
      <c r="AA4" s="113"/>
      <c r="AB4" s="79"/>
      <c r="AC4" s="79"/>
      <c r="AE4" s="235"/>
      <c r="AF4" s="79"/>
    </row>
    <row r="5" spans="1:32" ht="15" x14ac:dyDescent="0.25">
      <c r="A5" s="79" t="s">
        <v>101</v>
      </c>
      <c r="B5" s="511" t="s">
        <v>47</v>
      </c>
      <c r="C5" s="247">
        <v>45</v>
      </c>
      <c r="D5" s="168">
        <v>44120</v>
      </c>
      <c r="E5" s="113">
        <v>1003.34</v>
      </c>
      <c r="F5" s="79">
        <v>221</v>
      </c>
      <c r="G5" s="5">
        <f>F52</f>
        <v>1162.2399999999998</v>
      </c>
      <c r="H5" s="7">
        <f>E4+E5-G5+E6+E7</f>
        <v>2.5579538487363607E-13</v>
      </c>
      <c r="I5" s="235"/>
      <c r="J5" s="79"/>
      <c r="L5" s="79" t="s">
        <v>101</v>
      </c>
      <c r="M5" s="511" t="s">
        <v>47</v>
      </c>
      <c r="N5" s="247">
        <v>48</v>
      </c>
      <c r="O5" s="168">
        <v>44141</v>
      </c>
      <c r="P5" s="113">
        <v>1003.34</v>
      </c>
      <c r="Q5" s="79">
        <v>221</v>
      </c>
      <c r="R5" s="5">
        <f>Q52</f>
        <v>1003.3399999999999</v>
      </c>
      <c r="S5" s="7">
        <f>P4+P5-R5+P6+P7</f>
        <v>1.1368683772161603E-13</v>
      </c>
      <c r="T5" s="235"/>
      <c r="U5" s="79"/>
      <c r="W5" s="79" t="s">
        <v>101</v>
      </c>
      <c r="X5" s="511" t="s">
        <v>47</v>
      </c>
      <c r="Y5" s="247">
        <v>46</v>
      </c>
      <c r="Z5" s="168">
        <v>44145</v>
      </c>
      <c r="AA5" s="113">
        <v>1003.4</v>
      </c>
      <c r="AB5" s="79">
        <v>221</v>
      </c>
      <c r="AC5" s="5">
        <f>AB52</f>
        <v>1366.54</v>
      </c>
      <c r="AD5" s="7">
        <f>AA4+AA5-AC5+AA6+AA7</f>
        <v>3754.6400000000003</v>
      </c>
      <c r="AE5" s="235"/>
      <c r="AF5" s="79"/>
    </row>
    <row r="6" spans="1:32" ht="15" x14ac:dyDescent="0.25">
      <c r="B6" s="12"/>
      <c r="C6" s="247"/>
      <c r="D6" s="168"/>
      <c r="E6" s="113">
        <v>158.9</v>
      </c>
      <c r="F6" s="79">
        <v>35</v>
      </c>
      <c r="I6" s="236"/>
      <c r="J6" s="79"/>
      <c r="M6" s="12"/>
      <c r="N6" s="247"/>
      <c r="O6" s="168"/>
      <c r="P6" s="113"/>
      <c r="Q6" s="79"/>
      <c r="T6" s="236"/>
      <c r="U6" s="79"/>
      <c r="X6" s="12"/>
      <c r="Y6" s="247">
        <v>46</v>
      </c>
      <c r="Z6" s="168">
        <v>44160</v>
      </c>
      <c r="AA6" s="113">
        <v>4004.28</v>
      </c>
      <c r="AB6" s="79">
        <v>882</v>
      </c>
      <c r="AE6" s="236"/>
      <c r="AF6" s="79"/>
    </row>
    <row r="7" spans="1:32" ht="15.75" thickBot="1" x14ac:dyDescent="0.3">
      <c r="B7" s="12"/>
      <c r="C7" s="247"/>
      <c r="D7" s="168"/>
      <c r="E7" s="113"/>
      <c r="F7" s="79"/>
      <c r="I7" s="236"/>
      <c r="J7" s="79"/>
      <c r="M7" s="12"/>
      <c r="N7" s="247"/>
      <c r="O7" s="168"/>
      <c r="P7" s="113"/>
      <c r="Q7" s="79"/>
      <c r="T7" s="236"/>
      <c r="U7" s="79"/>
      <c r="X7" s="12"/>
      <c r="Y7" s="247"/>
      <c r="Z7" s="168"/>
      <c r="AA7" s="113">
        <v>113.5</v>
      </c>
      <c r="AB7" s="79">
        <v>25</v>
      </c>
      <c r="AE7" s="236"/>
      <c r="AF7" s="79"/>
    </row>
    <row r="8" spans="1:32" ht="16.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37" t="s">
        <v>11</v>
      </c>
      <c r="J8" s="79"/>
      <c r="M8" s="69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37" t="s">
        <v>11</v>
      </c>
      <c r="U8" s="79"/>
      <c r="X8" s="69" t="s">
        <v>7</v>
      </c>
      <c r="Y8" s="27" t="s">
        <v>8</v>
      </c>
      <c r="Z8" s="30" t="s">
        <v>3</v>
      </c>
      <c r="AA8" s="23" t="s">
        <v>2</v>
      </c>
      <c r="AB8" s="9" t="s">
        <v>9</v>
      </c>
      <c r="AC8" s="10" t="s">
        <v>16</v>
      </c>
      <c r="AD8" s="24"/>
      <c r="AE8" s="237" t="s">
        <v>11</v>
      </c>
      <c r="AF8" s="79"/>
    </row>
    <row r="9" spans="1:32" ht="15.75" thickTop="1" x14ac:dyDescent="0.25">
      <c r="A9" s="79"/>
      <c r="B9" s="146">
        <v>4.54</v>
      </c>
      <c r="C9" s="15">
        <v>40</v>
      </c>
      <c r="D9" s="74">
        <f t="shared" ref="D9:D31" si="0">C9*B9</f>
        <v>181.6</v>
      </c>
      <c r="E9" s="242">
        <v>44123</v>
      </c>
      <c r="F9" s="74">
        <f t="shared" ref="F9:F31" si="1">D9</f>
        <v>181.6</v>
      </c>
      <c r="G9" s="75" t="s">
        <v>132</v>
      </c>
      <c r="H9" s="76">
        <v>55</v>
      </c>
      <c r="I9" s="235">
        <f>E5+E4+E6+E7-F9</f>
        <v>980.64</v>
      </c>
      <c r="J9" s="79">
        <f>F5-C9+F6+F4+F7</f>
        <v>216</v>
      </c>
      <c r="L9" s="79"/>
      <c r="M9" s="146">
        <v>4.54</v>
      </c>
      <c r="N9" s="15">
        <v>41</v>
      </c>
      <c r="O9" s="74">
        <f t="shared" ref="O9:O31" si="2">N9*M9</f>
        <v>186.14000000000001</v>
      </c>
      <c r="P9" s="242">
        <v>44141</v>
      </c>
      <c r="Q9" s="74">
        <f t="shared" ref="Q9:Q31" si="3">O9</f>
        <v>186.14000000000001</v>
      </c>
      <c r="R9" s="75" t="s">
        <v>345</v>
      </c>
      <c r="S9" s="76">
        <v>55</v>
      </c>
      <c r="T9" s="235">
        <f>P5+P4+P6+P7-Q9</f>
        <v>817.2</v>
      </c>
      <c r="U9" s="79">
        <f>Q5-N9+Q6+Q4+Q7</f>
        <v>180</v>
      </c>
      <c r="W9" s="79"/>
      <c r="X9" s="146">
        <v>4.54</v>
      </c>
      <c r="Y9" s="15">
        <v>50</v>
      </c>
      <c r="Z9" s="74">
        <f t="shared" ref="Z9:Z31" si="4">Y9*X9</f>
        <v>227</v>
      </c>
      <c r="AA9" s="242">
        <v>44152</v>
      </c>
      <c r="AB9" s="74">
        <f t="shared" ref="AB9:AB31" si="5">Z9</f>
        <v>227</v>
      </c>
      <c r="AC9" s="75" t="s">
        <v>393</v>
      </c>
      <c r="AD9" s="76">
        <v>55</v>
      </c>
      <c r="AE9" s="235">
        <f>AA5+AA4+AA6+AA7-AB9</f>
        <v>4894.18</v>
      </c>
      <c r="AF9" s="79">
        <f>AB5-Y9+AB6+AB4+AB7</f>
        <v>1078</v>
      </c>
    </row>
    <row r="10" spans="1:32" ht="15" x14ac:dyDescent="0.25">
      <c r="B10" s="146">
        <v>4.54</v>
      </c>
      <c r="C10" s="15">
        <v>1</v>
      </c>
      <c r="D10" s="74">
        <f t="shared" si="0"/>
        <v>4.54</v>
      </c>
      <c r="E10" s="242">
        <v>44126</v>
      </c>
      <c r="F10" s="74">
        <f t="shared" si="1"/>
        <v>4.54</v>
      </c>
      <c r="G10" s="75" t="s">
        <v>136</v>
      </c>
      <c r="H10" s="76">
        <v>55</v>
      </c>
      <c r="I10" s="235">
        <f>I9-F10</f>
        <v>976.1</v>
      </c>
      <c r="J10" s="79">
        <f>J9-C10</f>
        <v>215</v>
      </c>
      <c r="M10" s="146">
        <v>4.54</v>
      </c>
      <c r="N10" s="15">
        <v>50</v>
      </c>
      <c r="O10" s="74">
        <f t="shared" si="2"/>
        <v>227</v>
      </c>
      <c r="P10" s="242">
        <v>44144</v>
      </c>
      <c r="Q10" s="74">
        <f t="shared" si="3"/>
        <v>227</v>
      </c>
      <c r="R10" s="75" t="s">
        <v>353</v>
      </c>
      <c r="S10" s="76">
        <v>55</v>
      </c>
      <c r="T10" s="235">
        <f>T9-Q10</f>
        <v>590.20000000000005</v>
      </c>
      <c r="U10" s="79">
        <f>U9-N10</f>
        <v>130</v>
      </c>
      <c r="X10" s="146">
        <v>4.54</v>
      </c>
      <c r="Y10" s="15">
        <v>1</v>
      </c>
      <c r="Z10" s="74">
        <f t="shared" si="4"/>
        <v>4.54</v>
      </c>
      <c r="AA10" s="242">
        <v>44153</v>
      </c>
      <c r="AB10" s="74">
        <f t="shared" si="5"/>
        <v>4.54</v>
      </c>
      <c r="AC10" s="75" t="s">
        <v>396</v>
      </c>
      <c r="AD10" s="76">
        <v>55</v>
      </c>
      <c r="AE10" s="235">
        <f>AE9-AB10</f>
        <v>4889.6400000000003</v>
      </c>
      <c r="AF10" s="79">
        <f>AF9-Y10</f>
        <v>1077</v>
      </c>
    </row>
    <row r="11" spans="1:32" ht="15" x14ac:dyDescent="0.25">
      <c r="A11" s="60" t="s">
        <v>32</v>
      </c>
      <c r="B11" s="146">
        <v>4.54</v>
      </c>
      <c r="C11" s="15">
        <v>1</v>
      </c>
      <c r="D11" s="74">
        <f t="shared" si="0"/>
        <v>4.54</v>
      </c>
      <c r="E11" s="242">
        <v>44126</v>
      </c>
      <c r="F11" s="74">
        <f t="shared" si="1"/>
        <v>4.54</v>
      </c>
      <c r="G11" s="315" t="s">
        <v>139</v>
      </c>
      <c r="H11" s="316">
        <v>55</v>
      </c>
      <c r="I11" s="331">
        <f t="shared" ref="I11:I50" si="6">I10-F11</f>
        <v>971.56000000000006</v>
      </c>
      <c r="J11" s="289">
        <f t="shared" ref="J11:J50" si="7">J10-C11</f>
        <v>214</v>
      </c>
      <c r="L11" s="60" t="s">
        <v>32</v>
      </c>
      <c r="M11" s="146">
        <v>4.54</v>
      </c>
      <c r="N11" s="15">
        <v>2</v>
      </c>
      <c r="O11" s="74">
        <f t="shared" si="2"/>
        <v>9.08</v>
      </c>
      <c r="P11" s="242">
        <v>44145</v>
      </c>
      <c r="Q11" s="74">
        <f t="shared" si="3"/>
        <v>9.08</v>
      </c>
      <c r="R11" s="315" t="s">
        <v>357</v>
      </c>
      <c r="S11" s="316">
        <v>55</v>
      </c>
      <c r="T11" s="331">
        <f t="shared" ref="T11:T50" si="8">T10-Q11</f>
        <v>581.12</v>
      </c>
      <c r="U11" s="289">
        <f t="shared" ref="U11:U50" si="9">U10-N11</f>
        <v>128</v>
      </c>
      <c r="W11" s="60" t="s">
        <v>32</v>
      </c>
      <c r="X11" s="146">
        <v>4.54</v>
      </c>
      <c r="Y11" s="15">
        <v>10</v>
      </c>
      <c r="Z11" s="74">
        <f t="shared" si="4"/>
        <v>45.4</v>
      </c>
      <c r="AA11" s="242">
        <v>44154</v>
      </c>
      <c r="AB11" s="74">
        <f t="shared" si="5"/>
        <v>45.4</v>
      </c>
      <c r="AC11" s="315" t="s">
        <v>403</v>
      </c>
      <c r="AD11" s="316">
        <v>55</v>
      </c>
      <c r="AE11" s="331">
        <f t="shared" ref="AE11:AE50" si="10">AE10-AB11</f>
        <v>4844.2400000000007</v>
      </c>
      <c r="AF11" s="289">
        <f t="shared" ref="AF11:AF50" si="11">AF10-Y11</f>
        <v>1067</v>
      </c>
    </row>
    <row r="12" spans="1:32" ht="15" x14ac:dyDescent="0.25">
      <c r="A12" s="92"/>
      <c r="B12" s="146">
        <v>4.54</v>
      </c>
      <c r="C12" s="15">
        <v>1</v>
      </c>
      <c r="D12" s="74">
        <f t="shared" si="0"/>
        <v>4.54</v>
      </c>
      <c r="E12" s="242">
        <v>44126</v>
      </c>
      <c r="F12" s="74">
        <f t="shared" si="1"/>
        <v>4.54</v>
      </c>
      <c r="G12" s="315" t="s">
        <v>140</v>
      </c>
      <c r="H12" s="316">
        <v>55</v>
      </c>
      <c r="I12" s="331">
        <f t="shared" si="6"/>
        <v>967.0200000000001</v>
      </c>
      <c r="J12" s="289">
        <f t="shared" si="7"/>
        <v>213</v>
      </c>
      <c r="L12" s="92"/>
      <c r="M12" s="146">
        <v>4.54</v>
      </c>
      <c r="N12" s="15">
        <v>50</v>
      </c>
      <c r="O12" s="74">
        <f t="shared" si="2"/>
        <v>227</v>
      </c>
      <c r="P12" s="242">
        <v>44147</v>
      </c>
      <c r="Q12" s="74">
        <f t="shared" si="3"/>
        <v>227</v>
      </c>
      <c r="R12" s="315" t="s">
        <v>363</v>
      </c>
      <c r="S12" s="316">
        <v>55</v>
      </c>
      <c r="T12" s="331">
        <f t="shared" si="8"/>
        <v>354.12</v>
      </c>
      <c r="U12" s="289">
        <f t="shared" si="9"/>
        <v>78</v>
      </c>
      <c r="W12" s="92"/>
      <c r="X12" s="146">
        <v>4.54</v>
      </c>
      <c r="Y12" s="15">
        <v>50</v>
      </c>
      <c r="Z12" s="74">
        <f t="shared" si="4"/>
        <v>227</v>
      </c>
      <c r="AA12" s="242">
        <v>44156</v>
      </c>
      <c r="AB12" s="74">
        <f t="shared" si="5"/>
        <v>227</v>
      </c>
      <c r="AC12" s="315" t="s">
        <v>410</v>
      </c>
      <c r="AD12" s="316">
        <v>55</v>
      </c>
      <c r="AE12" s="331">
        <f t="shared" si="10"/>
        <v>4617.2400000000007</v>
      </c>
      <c r="AF12" s="289">
        <f t="shared" si="11"/>
        <v>1017</v>
      </c>
    </row>
    <row r="13" spans="1:32" ht="15" x14ac:dyDescent="0.25">
      <c r="B13" s="146">
        <v>4.54</v>
      </c>
      <c r="C13" s="15">
        <v>40</v>
      </c>
      <c r="D13" s="74">
        <f t="shared" si="0"/>
        <v>181.6</v>
      </c>
      <c r="E13" s="242">
        <v>44127</v>
      </c>
      <c r="F13" s="74">
        <f t="shared" si="1"/>
        <v>181.6</v>
      </c>
      <c r="G13" s="315" t="s">
        <v>141</v>
      </c>
      <c r="H13" s="316">
        <v>55</v>
      </c>
      <c r="I13" s="331">
        <f t="shared" si="6"/>
        <v>785.42000000000007</v>
      </c>
      <c r="J13" s="289">
        <f t="shared" si="7"/>
        <v>173</v>
      </c>
      <c r="M13" s="146">
        <v>4.54</v>
      </c>
      <c r="N13" s="15">
        <v>10</v>
      </c>
      <c r="O13" s="74">
        <f t="shared" si="2"/>
        <v>45.4</v>
      </c>
      <c r="P13" s="242">
        <v>44149</v>
      </c>
      <c r="Q13" s="74">
        <f t="shared" si="3"/>
        <v>45.4</v>
      </c>
      <c r="R13" s="315" t="s">
        <v>381</v>
      </c>
      <c r="S13" s="316">
        <v>55</v>
      </c>
      <c r="T13" s="331">
        <f t="shared" si="8"/>
        <v>308.72000000000003</v>
      </c>
      <c r="U13" s="289">
        <f t="shared" si="9"/>
        <v>68</v>
      </c>
      <c r="X13" s="146">
        <v>4.54</v>
      </c>
      <c r="Y13" s="15">
        <v>2</v>
      </c>
      <c r="Z13" s="74">
        <f t="shared" si="4"/>
        <v>9.08</v>
      </c>
      <c r="AA13" s="242">
        <v>44159</v>
      </c>
      <c r="AB13" s="74">
        <f t="shared" si="5"/>
        <v>9.08</v>
      </c>
      <c r="AC13" s="315" t="s">
        <v>421</v>
      </c>
      <c r="AD13" s="316">
        <v>55</v>
      </c>
      <c r="AE13" s="331">
        <f t="shared" si="10"/>
        <v>4608.1600000000008</v>
      </c>
      <c r="AF13" s="289">
        <f t="shared" si="11"/>
        <v>1015</v>
      </c>
    </row>
    <row r="14" spans="1:32" ht="15" x14ac:dyDescent="0.25">
      <c r="A14" s="60" t="s">
        <v>33</v>
      </c>
      <c r="B14" s="146">
        <v>4.54</v>
      </c>
      <c r="C14" s="15">
        <v>50</v>
      </c>
      <c r="D14" s="74">
        <f t="shared" si="0"/>
        <v>227</v>
      </c>
      <c r="E14" s="242">
        <v>44130</v>
      </c>
      <c r="F14" s="74">
        <f t="shared" si="1"/>
        <v>227</v>
      </c>
      <c r="G14" s="315" t="s">
        <v>149</v>
      </c>
      <c r="H14" s="316">
        <v>55</v>
      </c>
      <c r="I14" s="331">
        <f t="shared" si="6"/>
        <v>558.42000000000007</v>
      </c>
      <c r="J14" s="289">
        <f t="shared" si="7"/>
        <v>123</v>
      </c>
      <c r="L14" s="60" t="s">
        <v>33</v>
      </c>
      <c r="M14" s="146">
        <v>4.54</v>
      </c>
      <c r="N14" s="15">
        <v>10</v>
      </c>
      <c r="O14" s="74">
        <f t="shared" si="2"/>
        <v>45.4</v>
      </c>
      <c r="P14" s="242">
        <v>44149</v>
      </c>
      <c r="Q14" s="74">
        <f t="shared" si="3"/>
        <v>45.4</v>
      </c>
      <c r="R14" s="315" t="s">
        <v>382</v>
      </c>
      <c r="S14" s="316">
        <v>55</v>
      </c>
      <c r="T14" s="331">
        <f t="shared" si="8"/>
        <v>263.32000000000005</v>
      </c>
      <c r="U14" s="289">
        <f t="shared" si="9"/>
        <v>58</v>
      </c>
      <c r="W14" s="60" t="s">
        <v>33</v>
      </c>
      <c r="X14" s="146">
        <v>4.54</v>
      </c>
      <c r="Y14" s="15">
        <v>2</v>
      </c>
      <c r="Z14" s="74">
        <f t="shared" si="4"/>
        <v>9.08</v>
      </c>
      <c r="AA14" s="242">
        <v>44162</v>
      </c>
      <c r="AB14" s="74">
        <f t="shared" si="5"/>
        <v>9.08</v>
      </c>
      <c r="AC14" s="315" t="s">
        <v>435</v>
      </c>
      <c r="AD14" s="316">
        <v>55</v>
      </c>
      <c r="AE14" s="331">
        <f t="shared" si="10"/>
        <v>4599.0800000000008</v>
      </c>
      <c r="AF14" s="289">
        <f t="shared" si="11"/>
        <v>1013</v>
      </c>
    </row>
    <row r="15" spans="1:32" ht="15" x14ac:dyDescent="0.25">
      <c r="B15" s="146">
        <v>4.54</v>
      </c>
      <c r="C15" s="15">
        <v>10</v>
      </c>
      <c r="D15" s="99">
        <f t="shared" si="0"/>
        <v>45.4</v>
      </c>
      <c r="E15" s="147">
        <v>44133</v>
      </c>
      <c r="F15" s="74">
        <f t="shared" si="1"/>
        <v>45.4</v>
      </c>
      <c r="G15" s="315" t="s">
        <v>152</v>
      </c>
      <c r="H15" s="316">
        <v>55</v>
      </c>
      <c r="I15" s="331">
        <f t="shared" si="6"/>
        <v>513.0200000000001</v>
      </c>
      <c r="J15" s="289">
        <f t="shared" si="7"/>
        <v>113</v>
      </c>
      <c r="M15" s="146">
        <v>4.54</v>
      </c>
      <c r="N15" s="15">
        <v>10</v>
      </c>
      <c r="O15" s="99">
        <f t="shared" si="2"/>
        <v>45.4</v>
      </c>
      <c r="P15" s="147">
        <v>44149</v>
      </c>
      <c r="Q15" s="74">
        <f t="shared" si="3"/>
        <v>45.4</v>
      </c>
      <c r="R15" s="315" t="s">
        <v>383</v>
      </c>
      <c r="S15" s="316">
        <v>55</v>
      </c>
      <c r="T15" s="331">
        <f t="shared" si="8"/>
        <v>217.92000000000004</v>
      </c>
      <c r="U15" s="289">
        <f t="shared" si="9"/>
        <v>48</v>
      </c>
      <c r="X15" s="146">
        <v>4.54</v>
      </c>
      <c r="Y15" s="15">
        <v>30</v>
      </c>
      <c r="Z15" s="99">
        <f t="shared" si="4"/>
        <v>136.19999999999999</v>
      </c>
      <c r="AA15" s="147">
        <v>44162</v>
      </c>
      <c r="AB15" s="74">
        <f t="shared" si="5"/>
        <v>136.19999999999999</v>
      </c>
      <c r="AC15" s="315" t="s">
        <v>439</v>
      </c>
      <c r="AD15" s="316">
        <v>55</v>
      </c>
      <c r="AE15" s="331">
        <f t="shared" si="10"/>
        <v>4462.880000000001</v>
      </c>
      <c r="AF15" s="289">
        <f t="shared" si="11"/>
        <v>983</v>
      </c>
    </row>
    <row r="16" spans="1:32" ht="15" x14ac:dyDescent="0.25">
      <c r="B16" s="146">
        <v>4.54</v>
      </c>
      <c r="C16" s="15">
        <v>50</v>
      </c>
      <c r="D16" s="99">
        <f t="shared" si="0"/>
        <v>227</v>
      </c>
      <c r="E16" s="242">
        <v>44134</v>
      </c>
      <c r="F16" s="74">
        <f t="shared" si="1"/>
        <v>227</v>
      </c>
      <c r="G16" s="315" t="s">
        <v>154</v>
      </c>
      <c r="H16" s="316">
        <v>55</v>
      </c>
      <c r="I16" s="331">
        <f t="shared" si="6"/>
        <v>286.0200000000001</v>
      </c>
      <c r="J16" s="289">
        <f t="shared" si="7"/>
        <v>63</v>
      </c>
      <c r="M16" s="146">
        <v>4.54</v>
      </c>
      <c r="N16" s="15">
        <v>20</v>
      </c>
      <c r="O16" s="99">
        <f t="shared" si="2"/>
        <v>90.8</v>
      </c>
      <c r="P16" s="242">
        <v>44149</v>
      </c>
      <c r="Q16" s="74">
        <f t="shared" si="3"/>
        <v>90.8</v>
      </c>
      <c r="R16" s="315" t="s">
        <v>385</v>
      </c>
      <c r="S16" s="316">
        <v>55</v>
      </c>
      <c r="T16" s="331">
        <f t="shared" si="8"/>
        <v>127.12000000000005</v>
      </c>
      <c r="U16" s="289">
        <f t="shared" si="9"/>
        <v>28</v>
      </c>
      <c r="X16" s="146">
        <v>4.54</v>
      </c>
      <c r="Y16" s="15">
        <v>10</v>
      </c>
      <c r="Z16" s="99">
        <f t="shared" si="4"/>
        <v>45.4</v>
      </c>
      <c r="AA16" s="242">
        <v>44163</v>
      </c>
      <c r="AB16" s="74">
        <f t="shared" si="5"/>
        <v>45.4</v>
      </c>
      <c r="AC16" s="315" t="s">
        <v>443</v>
      </c>
      <c r="AD16" s="316">
        <v>55</v>
      </c>
      <c r="AE16" s="331">
        <f t="shared" si="10"/>
        <v>4417.4800000000014</v>
      </c>
      <c r="AF16" s="289">
        <f t="shared" si="11"/>
        <v>973</v>
      </c>
    </row>
    <row r="17" spans="2:32" ht="15" x14ac:dyDescent="0.25">
      <c r="B17" s="146">
        <v>4.54</v>
      </c>
      <c r="C17" s="15">
        <v>2</v>
      </c>
      <c r="D17" s="99">
        <f t="shared" si="0"/>
        <v>9.08</v>
      </c>
      <c r="E17" s="242">
        <v>44134</v>
      </c>
      <c r="F17" s="74">
        <f t="shared" si="1"/>
        <v>9.08</v>
      </c>
      <c r="G17" s="315" t="s">
        <v>155</v>
      </c>
      <c r="H17" s="316">
        <v>55</v>
      </c>
      <c r="I17" s="331">
        <f t="shared" si="6"/>
        <v>276.94000000000011</v>
      </c>
      <c r="J17" s="289">
        <f t="shared" si="7"/>
        <v>61</v>
      </c>
      <c r="M17" s="146">
        <v>4.54</v>
      </c>
      <c r="N17" s="15">
        <v>2</v>
      </c>
      <c r="O17" s="99">
        <f t="shared" si="2"/>
        <v>9.08</v>
      </c>
      <c r="P17" s="242">
        <v>44152</v>
      </c>
      <c r="Q17" s="74">
        <f t="shared" si="3"/>
        <v>9.08</v>
      </c>
      <c r="R17" s="315" t="s">
        <v>390</v>
      </c>
      <c r="S17" s="316">
        <v>55</v>
      </c>
      <c r="T17" s="331">
        <f t="shared" si="8"/>
        <v>118.04000000000005</v>
      </c>
      <c r="U17" s="289">
        <f t="shared" si="9"/>
        <v>26</v>
      </c>
      <c r="X17" s="146">
        <v>4.54</v>
      </c>
      <c r="Y17" s="15">
        <v>50</v>
      </c>
      <c r="Z17" s="99">
        <f t="shared" si="4"/>
        <v>227</v>
      </c>
      <c r="AA17" s="242">
        <v>44166</v>
      </c>
      <c r="AB17" s="74">
        <f t="shared" si="5"/>
        <v>227</v>
      </c>
      <c r="AC17" s="315" t="s">
        <v>447</v>
      </c>
      <c r="AD17" s="316">
        <v>55</v>
      </c>
      <c r="AE17" s="331">
        <f t="shared" si="10"/>
        <v>4190.4800000000014</v>
      </c>
      <c r="AF17" s="289">
        <f t="shared" si="11"/>
        <v>923</v>
      </c>
    </row>
    <row r="18" spans="2:32" ht="15" x14ac:dyDescent="0.25">
      <c r="B18" s="146">
        <v>4.54</v>
      </c>
      <c r="C18" s="15">
        <v>50</v>
      </c>
      <c r="D18" s="812">
        <f t="shared" si="0"/>
        <v>227</v>
      </c>
      <c r="E18" s="813">
        <v>44139</v>
      </c>
      <c r="F18" s="617">
        <f t="shared" si="1"/>
        <v>227</v>
      </c>
      <c r="G18" s="618" t="s">
        <v>321</v>
      </c>
      <c r="H18" s="765">
        <v>55</v>
      </c>
      <c r="I18" s="331">
        <f t="shared" si="6"/>
        <v>49.940000000000111</v>
      </c>
      <c r="J18" s="289">
        <f t="shared" si="7"/>
        <v>11</v>
      </c>
      <c r="M18" s="146">
        <v>4.54</v>
      </c>
      <c r="N18" s="15">
        <v>1</v>
      </c>
      <c r="O18" s="99">
        <f t="shared" si="2"/>
        <v>4.54</v>
      </c>
      <c r="P18" s="242">
        <v>44152</v>
      </c>
      <c r="Q18" s="74">
        <f t="shared" si="3"/>
        <v>4.54</v>
      </c>
      <c r="R18" s="315" t="s">
        <v>392</v>
      </c>
      <c r="S18" s="316">
        <v>55</v>
      </c>
      <c r="T18" s="331">
        <f t="shared" si="8"/>
        <v>113.50000000000004</v>
      </c>
      <c r="U18" s="289">
        <f t="shared" si="9"/>
        <v>25</v>
      </c>
      <c r="X18" s="146">
        <v>4.54</v>
      </c>
      <c r="Y18" s="15">
        <v>2</v>
      </c>
      <c r="Z18" s="99">
        <f t="shared" si="4"/>
        <v>9.08</v>
      </c>
      <c r="AA18" s="242">
        <v>44166</v>
      </c>
      <c r="AB18" s="74">
        <f t="shared" si="5"/>
        <v>9.08</v>
      </c>
      <c r="AC18" s="315" t="s">
        <v>453</v>
      </c>
      <c r="AD18" s="316">
        <v>55</v>
      </c>
      <c r="AE18" s="331">
        <f t="shared" si="10"/>
        <v>4181.4000000000015</v>
      </c>
      <c r="AF18" s="289">
        <f t="shared" si="11"/>
        <v>921</v>
      </c>
    </row>
    <row r="19" spans="2:32" ht="15" x14ac:dyDescent="0.25">
      <c r="B19" s="146">
        <v>4.54</v>
      </c>
      <c r="C19" s="15">
        <v>1</v>
      </c>
      <c r="D19" s="812">
        <f t="shared" si="0"/>
        <v>4.54</v>
      </c>
      <c r="E19" s="813">
        <v>44140</v>
      </c>
      <c r="F19" s="617">
        <f t="shared" si="1"/>
        <v>4.54</v>
      </c>
      <c r="G19" s="618" t="s">
        <v>332</v>
      </c>
      <c r="H19" s="765">
        <v>55</v>
      </c>
      <c r="I19" s="331">
        <f t="shared" si="6"/>
        <v>45.400000000000112</v>
      </c>
      <c r="J19" s="289">
        <f t="shared" si="7"/>
        <v>10</v>
      </c>
      <c r="M19" s="146">
        <v>4.54</v>
      </c>
      <c r="N19" s="15"/>
      <c r="O19" s="99">
        <f t="shared" si="2"/>
        <v>0</v>
      </c>
      <c r="P19" s="242"/>
      <c r="Q19" s="74">
        <f t="shared" si="3"/>
        <v>0</v>
      </c>
      <c r="R19" s="315"/>
      <c r="S19" s="316"/>
      <c r="T19" s="331">
        <f t="shared" si="8"/>
        <v>113.50000000000004</v>
      </c>
      <c r="U19" s="289">
        <f t="shared" si="9"/>
        <v>25</v>
      </c>
      <c r="X19" s="146">
        <v>4.54</v>
      </c>
      <c r="Y19" s="15">
        <v>3</v>
      </c>
      <c r="Z19" s="99">
        <f t="shared" si="4"/>
        <v>13.620000000000001</v>
      </c>
      <c r="AA19" s="242">
        <v>44168</v>
      </c>
      <c r="AB19" s="74">
        <f t="shared" si="5"/>
        <v>13.620000000000001</v>
      </c>
      <c r="AC19" s="315" t="s">
        <v>483</v>
      </c>
      <c r="AD19" s="316">
        <v>55</v>
      </c>
      <c r="AE19" s="331">
        <f t="shared" si="10"/>
        <v>4167.7800000000016</v>
      </c>
      <c r="AF19" s="289">
        <f t="shared" si="11"/>
        <v>918</v>
      </c>
    </row>
    <row r="20" spans="2:32" ht="15" x14ac:dyDescent="0.25">
      <c r="B20" s="146">
        <v>4.54</v>
      </c>
      <c r="C20" s="15">
        <v>1</v>
      </c>
      <c r="D20" s="812">
        <f t="shared" si="0"/>
        <v>4.54</v>
      </c>
      <c r="E20" s="813">
        <v>44141</v>
      </c>
      <c r="F20" s="617">
        <f t="shared" si="1"/>
        <v>4.54</v>
      </c>
      <c r="G20" s="775" t="s">
        <v>336</v>
      </c>
      <c r="H20" s="776">
        <v>55</v>
      </c>
      <c r="I20" s="235">
        <f t="shared" si="6"/>
        <v>40.860000000000113</v>
      </c>
      <c r="J20" s="79">
        <f t="shared" si="7"/>
        <v>9</v>
      </c>
      <c r="M20" s="146">
        <v>4.54</v>
      </c>
      <c r="N20" s="15"/>
      <c r="O20" s="99">
        <f t="shared" si="2"/>
        <v>0</v>
      </c>
      <c r="P20" s="242"/>
      <c r="Q20" s="74">
        <f t="shared" si="3"/>
        <v>0</v>
      </c>
      <c r="R20" s="75"/>
      <c r="S20" s="76"/>
      <c r="T20" s="235">
        <f t="shared" si="8"/>
        <v>113.50000000000004</v>
      </c>
      <c r="U20" s="79">
        <f t="shared" si="9"/>
        <v>25</v>
      </c>
      <c r="X20" s="146">
        <v>4.54</v>
      </c>
      <c r="Y20" s="15">
        <v>10</v>
      </c>
      <c r="Z20" s="99">
        <f t="shared" si="4"/>
        <v>45.4</v>
      </c>
      <c r="AA20" s="242">
        <v>44168</v>
      </c>
      <c r="AB20" s="74">
        <f t="shared" si="5"/>
        <v>45.4</v>
      </c>
      <c r="AC20" s="75" t="s">
        <v>485</v>
      </c>
      <c r="AD20" s="76">
        <v>55</v>
      </c>
      <c r="AE20" s="235">
        <f t="shared" si="10"/>
        <v>4122.3800000000019</v>
      </c>
      <c r="AF20" s="79">
        <f t="shared" si="11"/>
        <v>908</v>
      </c>
    </row>
    <row r="21" spans="2:32" ht="15" x14ac:dyDescent="0.25">
      <c r="B21" s="146">
        <v>4.54</v>
      </c>
      <c r="C21" s="15">
        <v>9</v>
      </c>
      <c r="D21" s="812">
        <f t="shared" si="0"/>
        <v>40.86</v>
      </c>
      <c r="E21" s="813">
        <v>44141</v>
      </c>
      <c r="F21" s="617">
        <f t="shared" si="1"/>
        <v>40.86</v>
      </c>
      <c r="G21" s="775" t="s">
        <v>337</v>
      </c>
      <c r="H21" s="776">
        <v>55</v>
      </c>
      <c r="I21" s="235">
        <f t="shared" si="6"/>
        <v>1.1368683772161603E-13</v>
      </c>
      <c r="J21" s="79">
        <f t="shared" si="7"/>
        <v>0</v>
      </c>
      <c r="M21" s="146">
        <v>4.54</v>
      </c>
      <c r="N21" s="15">
        <v>25</v>
      </c>
      <c r="O21" s="99">
        <f t="shared" si="2"/>
        <v>113.5</v>
      </c>
      <c r="P21" s="242"/>
      <c r="Q21" s="74">
        <f t="shared" si="3"/>
        <v>113.5</v>
      </c>
      <c r="R21" s="913"/>
      <c r="S21" s="915"/>
      <c r="T21" s="916">
        <f t="shared" si="8"/>
        <v>0</v>
      </c>
      <c r="U21" s="917">
        <f t="shared" si="9"/>
        <v>0</v>
      </c>
      <c r="X21" s="146">
        <v>4.54</v>
      </c>
      <c r="Y21" s="15">
        <v>1</v>
      </c>
      <c r="Z21" s="99">
        <f t="shared" si="4"/>
        <v>4.54</v>
      </c>
      <c r="AA21" s="242">
        <v>44169</v>
      </c>
      <c r="AB21" s="74">
        <f t="shared" si="5"/>
        <v>4.54</v>
      </c>
      <c r="AC21" s="75" t="s">
        <v>497</v>
      </c>
      <c r="AD21" s="76">
        <v>55</v>
      </c>
      <c r="AE21" s="235">
        <f t="shared" si="10"/>
        <v>4117.840000000002</v>
      </c>
      <c r="AF21" s="79">
        <f t="shared" si="11"/>
        <v>907</v>
      </c>
    </row>
    <row r="22" spans="2:32" ht="15" x14ac:dyDescent="0.25">
      <c r="B22" s="146">
        <v>4.54</v>
      </c>
      <c r="C22" s="15"/>
      <c r="D22" s="812">
        <f t="shared" si="0"/>
        <v>0</v>
      </c>
      <c r="E22" s="813"/>
      <c r="F22" s="617">
        <f t="shared" si="1"/>
        <v>0</v>
      </c>
      <c r="G22" s="864"/>
      <c r="H22" s="865"/>
      <c r="I22" s="916">
        <f t="shared" si="6"/>
        <v>1.1368683772161603E-13</v>
      </c>
      <c r="J22" s="917">
        <f t="shared" si="7"/>
        <v>0</v>
      </c>
      <c r="M22" s="146">
        <v>4.54</v>
      </c>
      <c r="N22" s="15"/>
      <c r="O22" s="99">
        <f t="shared" si="2"/>
        <v>0</v>
      </c>
      <c r="P22" s="242"/>
      <c r="Q22" s="74">
        <f t="shared" si="3"/>
        <v>0</v>
      </c>
      <c r="R22" s="913"/>
      <c r="S22" s="915"/>
      <c r="T22" s="916">
        <f t="shared" si="8"/>
        <v>0</v>
      </c>
      <c r="U22" s="917">
        <f t="shared" si="9"/>
        <v>0</v>
      </c>
      <c r="X22" s="146">
        <v>4.54</v>
      </c>
      <c r="Y22" s="15">
        <v>40</v>
      </c>
      <c r="Z22" s="99">
        <f t="shared" si="4"/>
        <v>181.6</v>
      </c>
      <c r="AA22" s="242">
        <v>44170</v>
      </c>
      <c r="AB22" s="74">
        <f t="shared" si="5"/>
        <v>181.6</v>
      </c>
      <c r="AC22" s="75" t="s">
        <v>498</v>
      </c>
      <c r="AD22" s="76">
        <v>55</v>
      </c>
      <c r="AE22" s="235">
        <f t="shared" si="10"/>
        <v>3936.2400000000021</v>
      </c>
      <c r="AF22" s="79">
        <f t="shared" si="11"/>
        <v>867</v>
      </c>
    </row>
    <row r="23" spans="2:32" ht="15" x14ac:dyDescent="0.25">
      <c r="B23" s="146">
        <v>4.54</v>
      </c>
      <c r="C23" s="15"/>
      <c r="D23" s="812">
        <f t="shared" si="0"/>
        <v>0</v>
      </c>
      <c r="E23" s="813"/>
      <c r="F23" s="617">
        <f t="shared" si="1"/>
        <v>0</v>
      </c>
      <c r="G23" s="864"/>
      <c r="H23" s="865"/>
      <c r="I23" s="916">
        <f t="shared" si="6"/>
        <v>1.1368683772161603E-13</v>
      </c>
      <c r="J23" s="917">
        <f t="shared" si="7"/>
        <v>0</v>
      </c>
      <c r="M23" s="146">
        <v>4.54</v>
      </c>
      <c r="N23" s="15"/>
      <c r="O23" s="99">
        <f t="shared" si="2"/>
        <v>0</v>
      </c>
      <c r="P23" s="242"/>
      <c r="Q23" s="74">
        <f t="shared" si="3"/>
        <v>0</v>
      </c>
      <c r="R23" s="913"/>
      <c r="S23" s="915"/>
      <c r="T23" s="916">
        <f t="shared" si="8"/>
        <v>0</v>
      </c>
      <c r="U23" s="917">
        <f t="shared" si="9"/>
        <v>0</v>
      </c>
      <c r="X23" s="146">
        <v>4.54</v>
      </c>
      <c r="Y23" s="15">
        <v>10</v>
      </c>
      <c r="Z23" s="99">
        <f t="shared" si="4"/>
        <v>45.4</v>
      </c>
      <c r="AA23" s="242">
        <v>44170</v>
      </c>
      <c r="AB23" s="74">
        <f t="shared" si="5"/>
        <v>45.4</v>
      </c>
      <c r="AC23" s="75" t="s">
        <v>503</v>
      </c>
      <c r="AD23" s="76">
        <v>55</v>
      </c>
      <c r="AE23" s="235">
        <f t="shared" si="10"/>
        <v>3890.840000000002</v>
      </c>
      <c r="AF23" s="79">
        <f t="shared" si="11"/>
        <v>857</v>
      </c>
    </row>
    <row r="24" spans="2:32" ht="15" x14ac:dyDescent="0.25">
      <c r="B24" s="146">
        <v>4.54</v>
      </c>
      <c r="C24" s="15"/>
      <c r="D24" s="812">
        <f t="shared" si="0"/>
        <v>0</v>
      </c>
      <c r="E24" s="813"/>
      <c r="F24" s="617">
        <f t="shared" si="1"/>
        <v>0</v>
      </c>
      <c r="G24" s="864"/>
      <c r="H24" s="865"/>
      <c r="I24" s="916">
        <f t="shared" si="6"/>
        <v>1.1368683772161603E-13</v>
      </c>
      <c r="J24" s="917">
        <f t="shared" si="7"/>
        <v>0</v>
      </c>
      <c r="M24" s="146">
        <v>4.54</v>
      </c>
      <c r="N24" s="15"/>
      <c r="O24" s="99">
        <f t="shared" si="2"/>
        <v>0</v>
      </c>
      <c r="P24" s="242"/>
      <c r="Q24" s="74">
        <f t="shared" si="3"/>
        <v>0</v>
      </c>
      <c r="R24" s="75"/>
      <c r="S24" s="76"/>
      <c r="T24" s="235">
        <f t="shared" si="8"/>
        <v>0</v>
      </c>
      <c r="U24" s="79">
        <f t="shared" si="9"/>
        <v>0</v>
      </c>
      <c r="X24" s="146">
        <v>4.54</v>
      </c>
      <c r="Y24" s="15">
        <v>30</v>
      </c>
      <c r="Z24" s="99">
        <f t="shared" si="4"/>
        <v>136.19999999999999</v>
      </c>
      <c r="AA24" s="242">
        <v>44172</v>
      </c>
      <c r="AB24" s="74">
        <f t="shared" si="5"/>
        <v>136.19999999999999</v>
      </c>
      <c r="AC24" s="75" t="s">
        <v>505</v>
      </c>
      <c r="AD24" s="76">
        <v>55</v>
      </c>
      <c r="AE24" s="235">
        <f t="shared" si="10"/>
        <v>3754.6400000000021</v>
      </c>
      <c r="AF24" s="79">
        <f t="shared" si="11"/>
        <v>827</v>
      </c>
    </row>
    <row r="25" spans="2:32" ht="15" x14ac:dyDescent="0.25">
      <c r="B25" s="146">
        <v>4.54</v>
      </c>
      <c r="C25" s="15"/>
      <c r="D25" s="812">
        <f t="shared" si="0"/>
        <v>0</v>
      </c>
      <c r="E25" s="813"/>
      <c r="F25" s="617">
        <f t="shared" si="1"/>
        <v>0</v>
      </c>
      <c r="G25" s="864"/>
      <c r="H25" s="865"/>
      <c r="I25" s="916">
        <f t="shared" si="6"/>
        <v>1.1368683772161603E-13</v>
      </c>
      <c r="J25" s="917">
        <f t="shared" si="7"/>
        <v>0</v>
      </c>
      <c r="M25" s="146">
        <v>4.54</v>
      </c>
      <c r="N25" s="15"/>
      <c r="O25" s="99">
        <f t="shared" si="2"/>
        <v>0</v>
      </c>
      <c r="P25" s="242"/>
      <c r="Q25" s="74">
        <f t="shared" si="3"/>
        <v>0</v>
      </c>
      <c r="R25" s="75"/>
      <c r="S25" s="76"/>
      <c r="T25" s="235">
        <f t="shared" si="8"/>
        <v>0</v>
      </c>
      <c r="U25" s="79">
        <f t="shared" si="9"/>
        <v>0</v>
      </c>
      <c r="X25" s="146">
        <v>4.54</v>
      </c>
      <c r="Y25" s="15"/>
      <c r="Z25" s="99">
        <f t="shared" si="4"/>
        <v>0</v>
      </c>
      <c r="AA25" s="242"/>
      <c r="AB25" s="74">
        <f t="shared" si="5"/>
        <v>0</v>
      </c>
      <c r="AC25" s="75"/>
      <c r="AD25" s="76"/>
      <c r="AE25" s="235">
        <f t="shared" si="10"/>
        <v>3754.6400000000021</v>
      </c>
      <c r="AF25" s="79">
        <f t="shared" si="11"/>
        <v>827</v>
      </c>
    </row>
    <row r="26" spans="2:32" ht="15" x14ac:dyDescent="0.25">
      <c r="B26" s="146">
        <v>4.54</v>
      </c>
      <c r="C26" s="15"/>
      <c r="D26" s="812">
        <f t="shared" si="0"/>
        <v>0</v>
      </c>
      <c r="E26" s="813"/>
      <c r="F26" s="617">
        <f t="shared" si="1"/>
        <v>0</v>
      </c>
      <c r="G26" s="775"/>
      <c r="H26" s="776"/>
      <c r="I26" s="235">
        <f t="shared" si="6"/>
        <v>1.1368683772161603E-13</v>
      </c>
      <c r="J26" s="79">
        <f t="shared" si="7"/>
        <v>0</v>
      </c>
      <c r="M26" s="146">
        <v>4.54</v>
      </c>
      <c r="N26" s="15"/>
      <c r="O26" s="99">
        <f t="shared" si="2"/>
        <v>0</v>
      </c>
      <c r="P26" s="242"/>
      <c r="Q26" s="74">
        <f t="shared" si="3"/>
        <v>0</v>
      </c>
      <c r="R26" s="75"/>
      <c r="S26" s="76"/>
      <c r="T26" s="235">
        <f t="shared" si="8"/>
        <v>0</v>
      </c>
      <c r="U26" s="79">
        <f t="shared" si="9"/>
        <v>0</v>
      </c>
      <c r="X26" s="146">
        <v>4.54</v>
      </c>
      <c r="Y26" s="15"/>
      <c r="Z26" s="99">
        <f t="shared" si="4"/>
        <v>0</v>
      </c>
      <c r="AA26" s="242"/>
      <c r="AB26" s="74">
        <f t="shared" si="5"/>
        <v>0</v>
      </c>
      <c r="AC26" s="75"/>
      <c r="AD26" s="76"/>
      <c r="AE26" s="235">
        <f t="shared" si="10"/>
        <v>3754.6400000000021</v>
      </c>
      <c r="AF26" s="79">
        <f t="shared" si="11"/>
        <v>827</v>
      </c>
    </row>
    <row r="27" spans="2:32" ht="15" x14ac:dyDescent="0.25">
      <c r="B27" s="146">
        <v>4.54</v>
      </c>
      <c r="C27" s="15"/>
      <c r="D27" s="812">
        <f t="shared" si="0"/>
        <v>0</v>
      </c>
      <c r="E27" s="813"/>
      <c r="F27" s="617">
        <f t="shared" si="1"/>
        <v>0</v>
      </c>
      <c r="G27" s="775"/>
      <c r="H27" s="776"/>
      <c r="I27" s="235">
        <f t="shared" si="6"/>
        <v>1.1368683772161603E-13</v>
      </c>
      <c r="J27" s="79">
        <f t="shared" si="7"/>
        <v>0</v>
      </c>
      <c r="M27" s="146">
        <v>4.54</v>
      </c>
      <c r="N27" s="15"/>
      <c r="O27" s="99">
        <f t="shared" si="2"/>
        <v>0</v>
      </c>
      <c r="P27" s="242"/>
      <c r="Q27" s="74">
        <f t="shared" si="3"/>
        <v>0</v>
      </c>
      <c r="R27" s="75"/>
      <c r="S27" s="76"/>
      <c r="T27" s="235">
        <f t="shared" si="8"/>
        <v>0</v>
      </c>
      <c r="U27" s="79">
        <f t="shared" si="9"/>
        <v>0</v>
      </c>
      <c r="X27" s="146">
        <v>4.54</v>
      </c>
      <c r="Y27" s="15"/>
      <c r="Z27" s="99">
        <f t="shared" si="4"/>
        <v>0</v>
      </c>
      <c r="AA27" s="242"/>
      <c r="AB27" s="74">
        <f t="shared" si="5"/>
        <v>0</v>
      </c>
      <c r="AC27" s="75"/>
      <c r="AD27" s="76"/>
      <c r="AE27" s="235">
        <f t="shared" si="10"/>
        <v>3754.6400000000021</v>
      </c>
      <c r="AF27" s="79">
        <f t="shared" si="11"/>
        <v>827</v>
      </c>
    </row>
    <row r="28" spans="2:32" ht="15" x14ac:dyDescent="0.25">
      <c r="B28" s="146">
        <v>4.54</v>
      </c>
      <c r="C28" s="15"/>
      <c r="D28" s="812">
        <f t="shared" si="0"/>
        <v>0</v>
      </c>
      <c r="E28" s="813"/>
      <c r="F28" s="617">
        <f t="shared" si="1"/>
        <v>0</v>
      </c>
      <c r="G28" s="775"/>
      <c r="H28" s="776"/>
      <c r="I28" s="235">
        <f t="shared" si="6"/>
        <v>1.1368683772161603E-13</v>
      </c>
      <c r="J28" s="79">
        <f t="shared" si="7"/>
        <v>0</v>
      </c>
      <c r="M28" s="146">
        <v>4.54</v>
      </c>
      <c r="N28" s="15"/>
      <c r="O28" s="99">
        <f t="shared" si="2"/>
        <v>0</v>
      </c>
      <c r="P28" s="242"/>
      <c r="Q28" s="74">
        <f t="shared" si="3"/>
        <v>0</v>
      </c>
      <c r="R28" s="75"/>
      <c r="S28" s="76"/>
      <c r="T28" s="235">
        <f t="shared" si="8"/>
        <v>0</v>
      </c>
      <c r="U28" s="79">
        <f t="shared" si="9"/>
        <v>0</v>
      </c>
      <c r="X28" s="146">
        <v>4.54</v>
      </c>
      <c r="Y28" s="15"/>
      <c r="Z28" s="99">
        <f t="shared" si="4"/>
        <v>0</v>
      </c>
      <c r="AA28" s="242"/>
      <c r="AB28" s="74">
        <f t="shared" si="5"/>
        <v>0</v>
      </c>
      <c r="AC28" s="75"/>
      <c r="AD28" s="76"/>
      <c r="AE28" s="235">
        <f t="shared" si="10"/>
        <v>3754.6400000000021</v>
      </c>
      <c r="AF28" s="79">
        <f t="shared" si="11"/>
        <v>827</v>
      </c>
    </row>
    <row r="29" spans="2:32" ht="15" x14ac:dyDescent="0.25">
      <c r="B29" s="146">
        <v>4.54</v>
      </c>
      <c r="C29" s="15"/>
      <c r="D29" s="812">
        <f t="shared" si="0"/>
        <v>0</v>
      </c>
      <c r="E29" s="813"/>
      <c r="F29" s="617">
        <f t="shared" si="1"/>
        <v>0</v>
      </c>
      <c r="G29" s="775"/>
      <c r="H29" s="776"/>
      <c r="I29" s="235">
        <f t="shared" si="6"/>
        <v>1.1368683772161603E-13</v>
      </c>
      <c r="J29" s="79">
        <f t="shared" si="7"/>
        <v>0</v>
      </c>
      <c r="M29" s="146">
        <v>4.54</v>
      </c>
      <c r="N29" s="15"/>
      <c r="O29" s="99">
        <f t="shared" si="2"/>
        <v>0</v>
      </c>
      <c r="P29" s="242"/>
      <c r="Q29" s="74">
        <f t="shared" si="3"/>
        <v>0</v>
      </c>
      <c r="R29" s="75"/>
      <c r="S29" s="76"/>
      <c r="T29" s="235">
        <f t="shared" si="8"/>
        <v>0</v>
      </c>
      <c r="U29" s="79">
        <f t="shared" si="9"/>
        <v>0</v>
      </c>
      <c r="X29" s="146">
        <v>4.54</v>
      </c>
      <c r="Y29" s="15"/>
      <c r="Z29" s="99">
        <f t="shared" si="4"/>
        <v>0</v>
      </c>
      <c r="AA29" s="242"/>
      <c r="AB29" s="74">
        <f t="shared" si="5"/>
        <v>0</v>
      </c>
      <c r="AC29" s="75"/>
      <c r="AD29" s="76"/>
      <c r="AE29" s="235">
        <f t="shared" si="10"/>
        <v>3754.6400000000021</v>
      </c>
      <c r="AF29" s="79">
        <f t="shared" si="11"/>
        <v>827</v>
      </c>
    </row>
    <row r="30" spans="2:32" ht="15" x14ac:dyDescent="0.25">
      <c r="B30" s="146">
        <v>4.54</v>
      </c>
      <c r="C30" s="15"/>
      <c r="D30" s="812">
        <f t="shared" si="0"/>
        <v>0</v>
      </c>
      <c r="E30" s="813"/>
      <c r="F30" s="617">
        <f t="shared" si="1"/>
        <v>0</v>
      </c>
      <c r="G30" s="775"/>
      <c r="H30" s="776"/>
      <c r="I30" s="235">
        <f t="shared" si="6"/>
        <v>1.1368683772161603E-13</v>
      </c>
      <c r="J30" s="79">
        <f t="shared" si="7"/>
        <v>0</v>
      </c>
      <c r="M30" s="146">
        <v>4.54</v>
      </c>
      <c r="N30" s="15"/>
      <c r="O30" s="99">
        <f t="shared" si="2"/>
        <v>0</v>
      </c>
      <c r="P30" s="242"/>
      <c r="Q30" s="74">
        <f t="shared" si="3"/>
        <v>0</v>
      </c>
      <c r="R30" s="75"/>
      <c r="S30" s="76"/>
      <c r="T30" s="235">
        <f t="shared" si="8"/>
        <v>0</v>
      </c>
      <c r="U30" s="79">
        <f t="shared" si="9"/>
        <v>0</v>
      </c>
      <c r="X30" s="146">
        <v>4.54</v>
      </c>
      <c r="Y30" s="15"/>
      <c r="Z30" s="99">
        <f t="shared" si="4"/>
        <v>0</v>
      </c>
      <c r="AA30" s="242"/>
      <c r="AB30" s="74">
        <f t="shared" si="5"/>
        <v>0</v>
      </c>
      <c r="AC30" s="75"/>
      <c r="AD30" s="76"/>
      <c r="AE30" s="235">
        <f t="shared" si="10"/>
        <v>3754.6400000000021</v>
      </c>
      <c r="AF30" s="79">
        <f t="shared" si="11"/>
        <v>827</v>
      </c>
    </row>
    <row r="31" spans="2:32" ht="15" x14ac:dyDescent="0.25">
      <c r="B31" s="146">
        <v>4.54</v>
      </c>
      <c r="C31" s="15"/>
      <c r="D31" s="812">
        <f t="shared" si="0"/>
        <v>0</v>
      </c>
      <c r="E31" s="813"/>
      <c r="F31" s="617">
        <f t="shared" si="1"/>
        <v>0</v>
      </c>
      <c r="G31" s="775"/>
      <c r="H31" s="776"/>
      <c r="I31" s="235">
        <f t="shared" si="6"/>
        <v>1.1368683772161603E-13</v>
      </c>
      <c r="J31" s="79">
        <f t="shared" si="7"/>
        <v>0</v>
      </c>
      <c r="M31" s="146">
        <v>4.54</v>
      </c>
      <c r="N31" s="15"/>
      <c r="O31" s="99">
        <f t="shared" si="2"/>
        <v>0</v>
      </c>
      <c r="P31" s="242"/>
      <c r="Q31" s="74">
        <f t="shared" si="3"/>
        <v>0</v>
      </c>
      <c r="R31" s="75"/>
      <c r="S31" s="76"/>
      <c r="T31" s="235">
        <f t="shared" si="8"/>
        <v>0</v>
      </c>
      <c r="U31" s="79">
        <f t="shared" si="9"/>
        <v>0</v>
      </c>
      <c r="X31" s="146">
        <v>4.54</v>
      </c>
      <c r="Y31" s="15"/>
      <c r="Z31" s="99">
        <f t="shared" si="4"/>
        <v>0</v>
      </c>
      <c r="AA31" s="242"/>
      <c r="AB31" s="74">
        <f t="shared" si="5"/>
        <v>0</v>
      </c>
      <c r="AC31" s="75"/>
      <c r="AD31" s="76"/>
      <c r="AE31" s="235">
        <f t="shared" si="10"/>
        <v>3754.6400000000021</v>
      </c>
      <c r="AF31" s="79">
        <f t="shared" si="11"/>
        <v>827</v>
      </c>
    </row>
    <row r="32" spans="2:32" ht="15" x14ac:dyDescent="0.25">
      <c r="B32" s="146">
        <v>4.54</v>
      </c>
      <c r="C32" s="15"/>
      <c r="D32" s="812">
        <f>C32*B32</f>
        <v>0</v>
      </c>
      <c r="E32" s="813"/>
      <c r="F32" s="617">
        <f>D32</f>
        <v>0</v>
      </c>
      <c r="G32" s="775"/>
      <c r="H32" s="776"/>
      <c r="I32" s="235">
        <f t="shared" si="6"/>
        <v>1.1368683772161603E-13</v>
      </c>
      <c r="J32" s="79">
        <f t="shared" si="7"/>
        <v>0</v>
      </c>
      <c r="M32" s="146">
        <v>4.54</v>
      </c>
      <c r="N32" s="15"/>
      <c r="O32" s="99">
        <f>N32*M32</f>
        <v>0</v>
      </c>
      <c r="P32" s="242"/>
      <c r="Q32" s="74">
        <f>O32</f>
        <v>0</v>
      </c>
      <c r="R32" s="75"/>
      <c r="S32" s="76"/>
      <c r="T32" s="235">
        <f t="shared" si="8"/>
        <v>0</v>
      </c>
      <c r="U32" s="79">
        <f t="shared" si="9"/>
        <v>0</v>
      </c>
      <c r="X32" s="146">
        <v>4.54</v>
      </c>
      <c r="Y32" s="15"/>
      <c r="Z32" s="99">
        <f>Y32*X32</f>
        <v>0</v>
      </c>
      <c r="AA32" s="242"/>
      <c r="AB32" s="74">
        <f>Z32</f>
        <v>0</v>
      </c>
      <c r="AC32" s="75"/>
      <c r="AD32" s="76"/>
      <c r="AE32" s="235">
        <f t="shared" si="10"/>
        <v>3754.6400000000021</v>
      </c>
      <c r="AF32" s="79">
        <f t="shared" si="11"/>
        <v>827</v>
      </c>
    </row>
    <row r="33" spans="1:32" ht="15" x14ac:dyDescent="0.25">
      <c r="B33" s="146">
        <v>4.54</v>
      </c>
      <c r="C33" s="15"/>
      <c r="D33" s="812">
        <f>C33*B33</f>
        <v>0</v>
      </c>
      <c r="E33" s="814"/>
      <c r="F33" s="617">
        <f>D33</f>
        <v>0</v>
      </c>
      <c r="G33" s="775"/>
      <c r="H33" s="776"/>
      <c r="I33" s="235">
        <f t="shared" si="6"/>
        <v>1.1368683772161603E-13</v>
      </c>
      <c r="J33" s="79">
        <f t="shared" si="7"/>
        <v>0</v>
      </c>
      <c r="M33" s="146">
        <v>4.54</v>
      </c>
      <c r="N33" s="15"/>
      <c r="O33" s="99">
        <f>N33*M33</f>
        <v>0</v>
      </c>
      <c r="P33" s="749"/>
      <c r="Q33" s="74">
        <f>O33</f>
        <v>0</v>
      </c>
      <c r="R33" s="75"/>
      <c r="S33" s="76"/>
      <c r="T33" s="235">
        <f t="shared" si="8"/>
        <v>0</v>
      </c>
      <c r="U33" s="79">
        <f t="shared" si="9"/>
        <v>0</v>
      </c>
      <c r="X33" s="146">
        <v>4.54</v>
      </c>
      <c r="Y33" s="15"/>
      <c r="Z33" s="99">
        <f>Y33*X33</f>
        <v>0</v>
      </c>
      <c r="AA33" s="749"/>
      <c r="AB33" s="74">
        <f>Z33</f>
        <v>0</v>
      </c>
      <c r="AC33" s="75"/>
      <c r="AD33" s="76"/>
      <c r="AE33" s="235">
        <f t="shared" si="10"/>
        <v>3754.6400000000021</v>
      </c>
      <c r="AF33" s="79">
        <f t="shared" si="11"/>
        <v>827</v>
      </c>
    </row>
    <row r="34" spans="1:32" ht="15" x14ac:dyDescent="0.25">
      <c r="B34" s="146">
        <v>4.54</v>
      </c>
      <c r="C34" s="15"/>
      <c r="D34" s="812">
        <f t="shared" ref="D34:D51" si="12">C34*B34</f>
        <v>0</v>
      </c>
      <c r="E34" s="815"/>
      <c r="F34" s="617">
        <f t="shared" ref="F34:F51" si="13">D34</f>
        <v>0</v>
      </c>
      <c r="G34" s="775"/>
      <c r="H34" s="776"/>
      <c r="I34" s="235">
        <f t="shared" si="6"/>
        <v>1.1368683772161603E-13</v>
      </c>
      <c r="J34" s="79">
        <f t="shared" si="7"/>
        <v>0</v>
      </c>
      <c r="M34" s="146">
        <v>4.54</v>
      </c>
      <c r="N34" s="15"/>
      <c r="O34" s="99">
        <f t="shared" ref="O34:O51" si="14">N34*M34</f>
        <v>0</v>
      </c>
      <c r="P34" s="147"/>
      <c r="Q34" s="74">
        <f t="shared" ref="Q34:Q51" si="15">O34</f>
        <v>0</v>
      </c>
      <c r="R34" s="75"/>
      <c r="S34" s="76"/>
      <c r="T34" s="235">
        <f t="shared" si="8"/>
        <v>0</v>
      </c>
      <c r="U34" s="79">
        <f t="shared" si="9"/>
        <v>0</v>
      </c>
      <c r="X34" s="146">
        <v>4.54</v>
      </c>
      <c r="Y34" s="15"/>
      <c r="Z34" s="99">
        <f t="shared" ref="Z34:Z51" si="16">Y34*X34</f>
        <v>0</v>
      </c>
      <c r="AA34" s="147"/>
      <c r="AB34" s="74">
        <f t="shared" ref="AB34:AB51" si="17">Z34</f>
        <v>0</v>
      </c>
      <c r="AC34" s="75"/>
      <c r="AD34" s="76"/>
      <c r="AE34" s="235">
        <f t="shared" si="10"/>
        <v>3754.6400000000021</v>
      </c>
      <c r="AF34" s="79">
        <f t="shared" si="11"/>
        <v>827</v>
      </c>
    </row>
    <row r="35" spans="1:32" ht="15" x14ac:dyDescent="0.25">
      <c r="B35" s="146">
        <v>4.54</v>
      </c>
      <c r="C35" s="15"/>
      <c r="D35" s="812">
        <f t="shared" si="12"/>
        <v>0</v>
      </c>
      <c r="E35" s="815"/>
      <c r="F35" s="617">
        <f t="shared" si="13"/>
        <v>0</v>
      </c>
      <c r="G35" s="775"/>
      <c r="H35" s="776"/>
      <c r="I35" s="235">
        <f t="shared" si="6"/>
        <v>1.1368683772161603E-13</v>
      </c>
      <c r="J35" s="79">
        <f t="shared" si="7"/>
        <v>0</v>
      </c>
      <c r="M35" s="146">
        <v>4.54</v>
      </c>
      <c r="N35" s="15"/>
      <c r="O35" s="99">
        <f t="shared" si="14"/>
        <v>0</v>
      </c>
      <c r="P35" s="147"/>
      <c r="Q35" s="74">
        <f t="shared" si="15"/>
        <v>0</v>
      </c>
      <c r="R35" s="75"/>
      <c r="S35" s="76"/>
      <c r="T35" s="235">
        <f t="shared" si="8"/>
        <v>0</v>
      </c>
      <c r="U35" s="79">
        <f t="shared" si="9"/>
        <v>0</v>
      </c>
      <c r="X35" s="146">
        <v>4.54</v>
      </c>
      <c r="Y35" s="15"/>
      <c r="Z35" s="99">
        <f t="shared" si="16"/>
        <v>0</v>
      </c>
      <c r="AA35" s="147"/>
      <c r="AB35" s="74">
        <f t="shared" si="17"/>
        <v>0</v>
      </c>
      <c r="AC35" s="75"/>
      <c r="AD35" s="76"/>
      <c r="AE35" s="235">
        <f t="shared" si="10"/>
        <v>3754.6400000000021</v>
      </c>
      <c r="AF35" s="79">
        <f t="shared" si="11"/>
        <v>827</v>
      </c>
    </row>
    <row r="36" spans="1:32" ht="15" x14ac:dyDescent="0.25">
      <c r="A36" s="82"/>
      <c r="B36" s="146">
        <v>4.54</v>
      </c>
      <c r="C36" s="15"/>
      <c r="D36" s="812">
        <f t="shared" si="12"/>
        <v>0</v>
      </c>
      <c r="E36" s="815"/>
      <c r="F36" s="617">
        <f t="shared" si="13"/>
        <v>0</v>
      </c>
      <c r="G36" s="775"/>
      <c r="H36" s="776"/>
      <c r="I36" s="235">
        <f t="shared" si="6"/>
        <v>1.1368683772161603E-13</v>
      </c>
      <c r="J36" s="79">
        <f t="shared" si="7"/>
        <v>0</v>
      </c>
      <c r="L36" s="82"/>
      <c r="M36" s="146">
        <v>4.54</v>
      </c>
      <c r="N36" s="15"/>
      <c r="O36" s="99">
        <f t="shared" si="14"/>
        <v>0</v>
      </c>
      <c r="P36" s="147"/>
      <c r="Q36" s="74">
        <f t="shared" si="15"/>
        <v>0</v>
      </c>
      <c r="R36" s="75"/>
      <c r="S36" s="76"/>
      <c r="T36" s="235">
        <f t="shared" si="8"/>
        <v>0</v>
      </c>
      <c r="U36" s="79">
        <f t="shared" si="9"/>
        <v>0</v>
      </c>
      <c r="W36" s="82"/>
      <c r="X36" s="146">
        <v>4.54</v>
      </c>
      <c r="Y36" s="15"/>
      <c r="Z36" s="99">
        <f t="shared" si="16"/>
        <v>0</v>
      </c>
      <c r="AA36" s="147"/>
      <c r="AB36" s="74">
        <f t="shared" si="17"/>
        <v>0</v>
      </c>
      <c r="AC36" s="75"/>
      <c r="AD36" s="76"/>
      <c r="AE36" s="235">
        <f t="shared" si="10"/>
        <v>3754.6400000000021</v>
      </c>
      <c r="AF36" s="79">
        <f t="shared" si="11"/>
        <v>827</v>
      </c>
    </row>
    <row r="37" spans="1:32" ht="15" x14ac:dyDescent="0.25">
      <c r="B37" s="146">
        <v>4.54</v>
      </c>
      <c r="C37" s="15"/>
      <c r="D37" s="812">
        <f t="shared" si="12"/>
        <v>0</v>
      </c>
      <c r="E37" s="815"/>
      <c r="F37" s="617">
        <f t="shared" si="13"/>
        <v>0</v>
      </c>
      <c r="G37" s="775"/>
      <c r="H37" s="776"/>
      <c r="I37" s="235">
        <f t="shared" si="6"/>
        <v>1.1368683772161603E-13</v>
      </c>
      <c r="J37" s="79">
        <f t="shared" si="7"/>
        <v>0</v>
      </c>
      <c r="M37" s="146">
        <v>4.54</v>
      </c>
      <c r="N37" s="15"/>
      <c r="O37" s="99">
        <f t="shared" si="14"/>
        <v>0</v>
      </c>
      <c r="P37" s="147"/>
      <c r="Q37" s="74">
        <f t="shared" si="15"/>
        <v>0</v>
      </c>
      <c r="R37" s="75"/>
      <c r="S37" s="76"/>
      <c r="T37" s="235">
        <f t="shared" si="8"/>
        <v>0</v>
      </c>
      <c r="U37" s="79">
        <f t="shared" si="9"/>
        <v>0</v>
      </c>
      <c r="X37" s="146">
        <v>4.54</v>
      </c>
      <c r="Y37" s="15"/>
      <c r="Z37" s="99">
        <f t="shared" si="16"/>
        <v>0</v>
      </c>
      <c r="AA37" s="147"/>
      <c r="AB37" s="74">
        <f t="shared" si="17"/>
        <v>0</v>
      </c>
      <c r="AC37" s="75"/>
      <c r="AD37" s="76"/>
      <c r="AE37" s="235">
        <f t="shared" si="10"/>
        <v>3754.6400000000021</v>
      </c>
      <c r="AF37" s="79">
        <f t="shared" si="11"/>
        <v>827</v>
      </c>
    </row>
    <row r="38" spans="1:32" ht="15" x14ac:dyDescent="0.25">
      <c r="B38" s="146">
        <v>4.54</v>
      </c>
      <c r="C38" s="15"/>
      <c r="D38" s="617">
        <f t="shared" si="12"/>
        <v>0</v>
      </c>
      <c r="E38" s="813"/>
      <c r="F38" s="617">
        <f t="shared" si="13"/>
        <v>0</v>
      </c>
      <c r="G38" s="775"/>
      <c r="H38" s="776"/>
      <c r="I38" s="235">
        <f t="shared" si="6"/>
        <v>1.1368683772161603E-13</v>
      </c>
      <c r="J38" s="79">
        <f t="shared" si="7"/>
        <v>0</v>
      </c>
      <c r="M38" s="146">
        <v>4.54</v>
      </c>
      <c r="N38" s="15"/>
      <c r="O38" s="74">
        <f t="shared" si="14"/>
        <v>0</v>
      </c>
      <c r="P38" s="242"/>
      <c r="Q38" s="74">
        <f t="shared" si="15"/>
        <v>0</v>
      </c>
      <c r="R38" s="75"/>
      <c r="S38" s="76"/>
      <c r="T38" s="235">
        <f t="shared" si="8"/>
        <v>0</v>
      </c>
      <c r="U38" s="79">
        <f t="shared" si="9"/>
        <v>0</v>
      </c>
      <c r="X38" s="146">
        <v>4.54</v>
      </c>
      <c r="Y38" s="15"/>
      <c r="Z38" s="74">
        <f t="shared" si="16"/>
        <v>0</v>
      </c>
      <c r="AA38" s="242"/>
      <c r="AB38" s="74">
        <f t="shared" si="17"/>
        <v>0</v>
      </c>
      <c r="AC38" s="75"/>
      <c r="AD38" s="76"/>
      <c r="AE38" s="235">
        <f t="shared" si="10"/>
        <v>3754.6400000000021</v>
      </c>
      <c r="AF38" s="79">
        <f t="shared" si="11"/>
        <v>827</v>
      </c>
    </row>
    <row r="39" spans="1:32" ht="15" x14ac:dyDescent="0.25">
      <c r="B39" s="146">
        <v>4.54</v>
      </c>
      <c r="C39" s="15"/>
      <c r="D39" s="617">
        <f t="shared" si="12"/>
        <v>0</v>
      </c>
      <c r="E39" s="813"/>
      <c r="F39" s="617">
        <f t="shared" si="13"/>
        <v>0</v>
      </c>
      <c r="G39" s="775"/>
      <c r="H39" s="776"/>
      <c r="I39" s="235">
        <f t="shared" si="6"/>
        <v>1.1368683772161603E-13</v>
      </c>
      <c r="J39" s="79">
        <f t="shared" si="7"/>
        <v>0</v>
      </c>
      <c r="M39" s="146">
        <v>4.54</v>
      </c>
      <c r="N39" s="15"/>
      <c r="O39" s="74">
        <f t="shared" si="14"/>
        <v>0</v>
      </c>
      <c r="P39" s="242"/>
      <c r="Q39" s="74">
        <f t="shared" si="15"/>
        <v>0</v>
      </c>
      <c r="R39" s="75"/>
      <c r="S39" s="76"/>
      <c r="T39" s="235">
        <f t="shared" si="8"/>
        <v>0</v>
      </c>
      <c r="U39" s="79">
        <f t="shared" si="9"/>
        <v>0</v>
      </c>
      <c r="X39" s="146">
        <v>4.54</v>
      </c>
      <c r="Y39" s="15"/>
      <c r="Z39" s="74">
        <f t="shared" si="16"/>
        <v>0</v>
      </c>
      <c r="AA39" s="242"/>
      <c r="AB39" s="74">
        <f t="shared" si="17"/>
        <v>0</v>
      </c>
      <c r="AC39" s="75"/>
      <c r="AD39" s="76"/>
      <c r="AE39" s="235">
        <f t="shared" si="10"/>
        <v>3754.6400000000021</v>
      </c>
      <c r="AF39" s="79">
        <f t="shared" si="11"/>
        <v>827</v>
      </c>
    </row>
    <row r="40" spans="1:32" ht="15" x14ac:dyDescent="0.25">
      <c r="B40" s="146">
        <v>4.54</v>
      </c>
      <c r="C40" s="15"/>
      <c r="D40" s="617">
        <f t="shared" si="12"/>
        <v>0</v>
      </c>
      <c r="E40" s="813"/>
      <c r="F40" s="617">
        <f t="shared" si="13"/>
        <v>0</v>
      </c>
      <c r="G40" s="775"/>
      <c r="H40" s="776"/>
      <c r="I40" s="235">
        <f t="shared" si="6"/>
        <v>1.1368683772161603E-13</v>
      </c>
      <c r="J40" s="79">
        <f t="shared" si="7"/>
        <v>0</v>
      </c>
      <c r="M40" s="146">
        <v>4.54</v>
      </c>
      <c r="N40" s="15"/>
      <c r="O40" s="74">
        <f t="shared" si="14"/>
        <v>0</v>
      </c>
      <c r="P40" s="242"/>
      <c r="Q40" s="74">
        <f t="shared" si="15"/>
        <v>0</v>
      </c>
      <c r="R40" s="75"/>
      <c r="S40" s="76"/>
      <c r="T40" s="235">
        <f t="shared" si="8"/>
        <v>0</v>
      </c>
      <c r="U40" s="79">
        <f t="shared" si="9"/>
        <v>0</v>
      </c>
      <c r="X40" s="146">
        <v>4.54</v>
      </c>
      <c r="Y40" s="15"/>
      <c r="Z40" s="74">
        <f t="shared" si="16"/>
        <v>0</v>
      </c>
      <c r="AA40" s="242"/>
      <c r="AB40" s="74">
        <f t="shared" si="17"/>
        <v>0</v>
      </c>
      <c r="AC40" s="75"/>
      <c r="AD40" s="76"/>
      <c r="AE40" s="235">
        <f t="shared" si="10"/>
        <v>3754.6400000000021</v>
      </c>
      <c r="AF40" s="79">
        <f t="shared" si="11"/>
        <v>827</v>
      </c>
    </row>
    <row r="41" spans="1:32" ht="15" x14ac:dyDescent="0.25">
      <c r="B41" s="146">
        <v>4.54</v>
      </c>
      <c r="C41" s="15"/>
      <c r="D41" s="617">
        <f t="shared" si="12"/>
        <v>0</v>
      </c>
      <c r="E41" s="813"/>
      <c r="F41" s="617">
        <f t="shared" si="13"/>
        <v>0</v>
      </c>
      <c r="G41" s="775"/>
      <c r="H41" s="776"/>
      <c r="I41" s="235">
        <f t="shared" si="6"/>
        <v>1.1368683772161603E-13</v>
      </c>
      <c r="J41" s="79">
        <f t="shared" si="7"/>
        <v>0</v>
      </c>
      <c r="M41" s="146">
        <v>4.54</v>
      </c>
      <c r="N41" s="15"/>
      <c r="O41" s="74">
        <f t="shared" si="14"/>
        <v>0</v>
      </c>
      <c r="P41" s="242"/>
      <c r="Q41" s="74">
        <f t="shared" si="15"/>
        <v>0</v>
      </c>
      <c r="R41" s="75"/>
      <c r="S41" s="76"/>
      <c r="T41" s="235">
        <f t="shared" si="8"/>
        <v>0</v>
      </c>
      <c r="U41" s="79">
        <f t="shared" si="9"/>
        <v>0</v>
      </c>
      <c r="X41" s="146">
        <v>4.54</v>
      </c>
      <c r="Y41" s="15"/>
      <c r="Z41" s="74">
        <f t="shared" si="16"/>
        <v>0</v>
      </c>
      <c r="AA41" s="242"/>
      <c r="AB41" s="74">
        <f t="shared" si="17"/>
        <v>0</v>
      </c>
      <c r="AC41" s="75"/>
      <c r="AD41" s="76"/>
      <c r="AE41" s="235">
        <f t="shared" si="10"/>
        <v>3754.6400000000021</v>
      </c>
      <c r="AF41" s="79">
        <f t="shared" si="11"/>
        <v>827</v>
      </c>
    </row>
    <row r="42" spans="1:32" ht="15" x14ac:dyDescent="0.25">
      <c r="B42" s="146">
        <v>4.54</v>
      </c>
      <c r="C42" s="15"/>
      <c r="D42" s="617">
        <f t="shared" si="12"/>
        <v>0</v>
      </c>
      <c r="E42" s="813"/>
      <c r="F42" s="617">
        <f t="shared" si="13"/>
        <v>0</v>
      </c>
      <c r="G42" s="775"/>
      <c r="H42" s="776"/>
      <c r="I42" s="235">
        <f t="shared" si="6"/>
        <v>1.1368683772161603E-13</v>
      </c>
      <c r="J42" s="79">
        <f t="shared" si="7"/>
        <v>0</v>
      </c>
      <c r="M42" s="146">
        <v>4.54</v>
      </c>
      <c r="N42" s="15"/>
      <c r="O42" s="74">
        <f t="shared" si="14"/>
        <v>0</v>
      </c>
      <c r="P42" s="242"/>
      <c r="Q42" s="74">
        <f t="shared" si="15"/>
        <v>0</v>
      </c>
      <c r="R42" s="75"/>
      <c r="S42" s="76"/>
      <c r="T42" s="235">
        <f t="shared" si="8"/>
        <v>0</v>
      </c>
      <c r="U42" s="79">
        <f t="shared" si="9"/>
        <v>0</v>
      </c>
      <c r="X42" s="146">
        <v>4.54</v>
      </c>
      <c r="Y42" s="15"/>
      <c r="Z42" s="74">
        <f t="shared" si="16"/>
        <v>0</v>
      </c>
      <c r="AA42" s="242"/>
      <c r="AB42" s="74">
        <f t="shared" si="17"/>
        <v>0</v>
      </c>
      <c r="AC42" s="75"/>
      <c r="AD42" s="76"/>
      <c r="AE42" s="235">
        <f t="shared" si="10"/>
        <v>3754.6400000000021</v>
      </c>
      <c r="AF42" s="79">
        <f t="shared" si="11"/>
        <v>827</v>
      </c>
    </row>
    <row r="43" spans="1:32" ht="15" x14ac:dyDescent="0.25">
      <c r="B43" s="146">
        <v>4.54</v>
      </c>
      <c r="C43" s="15"/>
      <c r="D43" s="617">
        <f t="shared" si="12"/>
        <v>0</v>
      </c>
      <c r="E43" s="813"/>
      <c r="F43" s="617">
        <f t="shared" si="13"/>
        <v>0</v>
      </c>
      <c r="G43" s="775"/>
      <c r="H43" s="776"/>
      <c r="I43" s="235">
        <f t="shared" si="6"/>
        <v>1.1368683772161603E-13</v>
      </c>
      <c r="J43" s="79">
        <f t="shared" si="7"/>
        <v>0</v>
      </c>
      <c r="M43" s="146">
        <v>4.54</v>
      </c>
      <c r="N43" s="15"/>
      <c r="O43" s="74">
        <f t="shared" si="14"/>
        <v>0</v>
      </c>
      <c r="P43" s="242"/>
      <c r="Q43" s="74">
        <f t="shared" si="15"/>
        <v>0</v>
      </c>
      <c r="R43" s="75"/>
      <c r="S43" s="76"/>
      <c r="T43" s="235">
        <f t="shared" si="8"/>
        <v>0</v>
      </c>
      <c r="U43" s="79">
        <f t="shared" si="9"/>
        <v>0</v>
      </c>
      <c r="X43" s="146">
        <v>4.54</v>
      </c>
      <c r="Y43" s="15"/>
      <c r="Z43" s="74">
        <f t="shared" si="16"/>
        <v>0</v>
      </c>
      <c r="AA43" s="242"/>
      <c r="AB43" s="74">
        <f t="shared" si="17"/>
        <v>0</v>
      </c>
      <c r="AC43" s="75"/>
      <c r="AD43" s="76"/>
      <c r="AE43" s="235">
        <f t="shared" si="10"/>
        <v>3754.6400000000021</v>
      </c>
      <c r="AF43" s="79">
        <f t="shared" si="11"/>
        <v>827</v>
      </c>
    </row>
    <row r="44" spans="1:32" ht="15" x14ac:dyDescent="0.25">
      <c r="B44" s="146">
        <v>4.54</v>
      </c>
      <c r="C44" s="15"/>
      <c r="D44" s="617">
        <f t="shared" si="12"/>
        <v>0</v>
      </c>
      <c r="E44" s="813"/>
      <c r="F44" s="617">
        <f t="shared" si="13"/>
        <v>0</v>
      </c>
      <c r="G44" s="775"/>
      <c r="H44" s="776"/>
      <c r="I44" s="235">
        <f t="shared" si="6"/>
        <v>1.1368683772161603E-13</v>
      </c>
      <c r="J44" s="79">
        <f t="shared" si="7"/>
        <v>0</v>
      </c>
      <c r="M44" s="146">
        <v>4.54</v>
      </c>
      <c r="N44" s="15"/>
      <c r="O44" s="74">
        <f t="shared" si="14"/>
        <v>0</v>
      </c>
      <c r="P44" s="242"/>
      <c r="Q44" s="74">
        <f t="shared" si="15"/>
        <v>0</v>
      </c>
      <c r="R44" s="75"/>
      <c r="S44" s="76"/>
      <c r="T44" s="235">
        <f t="shared" si="8"/>
        <v>0</v>
      </c>
      <c r="U44" s="79">
        <f t="shared" si="9"/>
        <v>0</v>
      </c>
      <c r="X44" s="146">
        <v>4.54</v>
      </c>
      <c r="Y44" s="15"/>
      <c r="Z44" s="74">
        <f t="shared" si="16"/>
        <v>0</v>
      </c>
      <c r="AA44" s="242"/>
      <c r="AB44" s="74">
        <f t="shared" si="17"/>
        <v>0</v>
      </c>
      <c r="AC44" s="75"/>
      <c r="AD44" s="76"/>
      <c r="AE44" s="235">
        <f t="shared" si="10"/>
        <v>3754.6400000000021</v>
      </c>
      <c r="AF44" s="79">
        <f t="shared" si="11"/>
        <v>827</v>
      </c>
    </row>
    <row r="45" spans="1:32" ht="15" x14ac:dyDescent="0.25">
      <c r="B45" s="146">
        <v>4.54</v>
      </c>
      <c r="C45" s="15"/>
      <c r="D45" s="617">
        <f t="shared" si="12"/>
        <v>0</v>
      </c>
      <c r="E45" s="813"/>
      <c r="F45" s="617">
        <f t="shared" si="13"/>
        <v>0</v>
      </c>
      <c r="G45" s="775"/>
      <c r="H45" s="776"/>
      <c r="I45" s="235">
        <f t="shared" si="6"/>
        <v>1.1368683772161603E-13</v>
      </c>
      <c r="J45" s="79">
        <f t="shared" si="7"/>
        <v>0</v>
      </c>
      <c r="M45" s="146">
        <v>4.54</v>
      </c>
      <c r="N45" s="15"/>
      <c r="O45" s="74">
        <f t="shared" si="14"/>
        <v>0</v>
      </c>
      <c r="P45" s="242"/>
      <c r="Q45" s="74">
        <f t="shared" si="15"/>
        <v>0</v>
      </c>
      <c r="R45" s="75"/>
      <c r="S45" s="76"/>
      <c r="T45" s="235">
        <f t="shared" si="8"/>
        <v>0</v>
      </c>
      <c r="U45" s="79">
        <f t="shared" si="9"/>
        <v>0</v>
      </c>
      <c r="X45" s="146">
        <v>4.54</v>
      </c>
      <c r="Y45" s="15"/>
      <c r="Z45" s="74">
        <f t="shared" si="16"/>
        <v>0</v>
      </c>
      <c r="AA45" s="242"/>
      <c r="AB45" s="74">
        <f t="shared" si="17"/>
        <v>0</v>
      </c>
      <c r="AC45" s="75"/>
      <c r="AD45" s="76"/>
      <c r="AE45" s="235">
        <f t="shared" si="10"/>
        <v>3754.6400000000021</v>
      </c>
      <c r="AF45" s="79">
        <f t="shared" si="11"/>
        <v>827</v>
      </c>
    </row>
    <row r="46" spans="1:32" ht="15" x14ac:dyDescent="0.25">
      <c r="B46" s="146">
        <v>4.54</v>
      </c>
      <c r="C46" s="15"/>
      <c r="D46" s="74">
        <f t="shared" si="12"/>
        <v>0</v>
      </c>
      <c r="E46" s="242"/>
      <c r="F46" s="74">
        <f t="shared" si="13"/>
        <v>0</v>
      </c>
      <c r="G46" s="75"/>
      <c r="H46" s="76"/>
      <c r="I46" s="235">
        <f t="shared" si="6"/>
        <v>1.1368683772161603E-13</v>
      </c>
      <c r="J46" s="79">
        <f t="shared" si="7"/>
        <v>0</v>
      </c>
      <c r="M46" s="146">
        <v>4.54</v>
      </c>
      <c r="N46" s="15"/>
      <c r="O46" s="74">
        <f t="shared" si="14"/>
        <v>0</v>
      </c>
      <c r="P46" s="242"/>
      <c r="Q46" s="74">
        <f t="shared" si="15"/>
        <v>0</v>
      </c>
      <c r="R46" s="75"/>
      <c r="S46" s="76"/>
      <c r="T46" s="235">
        <f t="shared" si="8"/>
        <v>0</v>
      </c>
      <c r="U46" s="79">
        <f t="shared" si="9"/>
        <v>0</v>
      </c>
      <c r="X46" s="146">
        <v>4.54</v>
      </c>
      <c r="Y46" s="15"/>
      <c r="Z46" s="74">
        <f t="shared" si="16"/>
        <v>0</v>
      </c>
      <c r="AA46" s="242"/>
      <c r="AB46" s="74">
        <f t="shared" si="17"/>
        <v>0</v>
      </c>
      <c r="AC46" s="75"/>
      <c r="AD46" s="76"/>
      <c r="AE46" s="235">
        <f t="shared" si="10"/>
        <v>3754.6400000000021</v>
      </c>
      <c r="AF46" s="79">
        <f t="shared" si="11"/>
        <v>827</v>
      </c>
    </row>
    <row r="47" spans="1:32" ht="15" x14ac:dyDescent="0.25">
      <c r="B47" s="146">
        <v>4.54</v>
      </c>
      <c r="C47" s="15"/>
      <c r="D47" s="74">
        <f t="shared" si="12"/>
        <v>0</v>
      </c>
      <c r="E47" s="242"/>
      <c r="F47" s="74">
        <f t="shared" si="13"/>
        <v>0</v>
      </c>
      <c r="G47" s="75"/>
      <c r="H47" s="76"/>
      <c r="I47" s="235">
        <f t="shared" si="6"/>
        <v>1.1368683772161603E-13</v>
      </c>
      <c r="J47" s="79">
        <f t="shared" si="7"/>
        <v>0</v>
      </c>
      <c r="M47" s="146">
        <v>4.54</v>
      </c>
      <c r="N47" s="15"/>
      <c r="O47" s="74">
        <f t="shared" si="14"/>
        <v>0</v>
      </c>
      <c r="P47" s="242"/>
      <c r="Q47" s="74">
        <f t="shared" si="15"/>
        <v>0</v>
      </c>
      <c r="R47" s="75"/>
      <c r="S47" s="76"/>
      <c r="T47" s="235">
        <f t="shared" si="8"/>
        <v>0</v>
      </c>
      <c r="U47" s="79">
        <f t="shared" si="9"/>
        <v>0</v>
      </c>
      <c r="X47" s="146">
        <v>4.54</v>
      </c>
      <c r="Y47" s="15"/>
      <c r="Z47" s="74">
        <f t="shared" si="16"/>
        <v>0</v>
      </c>
      <c r="AA47" s="242"/>
      <c r="AB47" s="74">
        <f t="shared" si="17"/>
        <v>0</v>
      </c>
      <c r="AC47" s="75"/>
      <c r="AD47" s="76"/>
      <c r="AE47" s="235">
        <f t="shared" si="10"/>
        <v>3754.6400000000021</v>
      </c>
      <c r="AF47" s="79">
        <f t="shared" si="11"/>
        <v>827</v>
      </c>
    </row>
    <row r="48" spans="1:32" ht="15" x14ac:dyDescent="0.25">
      <c r="B48" s="146">
        <v>4.54</v>
      </c>
      <c r="C48" s="15"/>
      <c r="D48" s="74">
        <f t="shared" si="12"/>
        <v>0</v>
      </c>
      <c r="E48" s="242"/>
      <c r="F48" s="74">
        <f t="shared" si="13"/>
        <v>0</v>
      </c>
      <c r="G48" s="75"/>
      <c r="H48" s="76"/>
      <c r="I48" s="235">
        <f t="shared" si="6"/>
        <v>1.1368683772161603E-13</v>
      </c>
      <c r="J48" s="79">
        <f t="shared" si="7"/>
        <v>0</v>
      </c>
      <c r="M48" s="146">
        <v>4.54</v>
      </c>
      <c r="N48" s="15"/>
      <c r="O48" s="74">
        <f t="shared" si="14"/>
        <v>0</v>
      </c>
      <c r="P48" s="242"/>
      <c r="Q48" s="74">
        <f t="shared" si="15"/>
        <v>0</v>
      </c>
      <c r="R48" s="75"/>
      <c r="S48" s="76"/>
      <c r="T48" s="235">
        <f t="shared" si="8"/>
        <v>0</v>
      </c>
      <c r="U48" s="79">
        <f t="shared" si="9"/>
        <v>0</v>
      </c>
      <c r="X48" s="146">
        <v>4.54</v>
      </c>
      <c r="Y48" s="15"/>
      <c r="Z48" s="74">
        <f t="shared" si="16"/>
        <v>0</v>
      </c>
      <c r="AA48" s="242"/>
      <c r="AB48" s="74">
        <f t="shared" si="17"/>
        <v>0</v>
      </c>
      <c r="AC48" s="75"/>
      <c r="AD48" s="76"/>
      <c r="AE48" s="235">
        <f t="shared" si="10"/>
        <v>3754.6400000000021</v>
      </c>
      <c r="AF48" s="79">
        <f t="shared" si="11"/>
        <v>827</v>
      </c>
    </row>
    <row r="49" spans="2:32" x14ac:dyDescent="0.25">
      <c r="B49" s="146">
        <v>4.54</v>
      </c>
      <c r="C49" s="15"/>
      <c r="D49" s="74">
        <f t="shared" si="12"/>
        <v>0</v>
      </c>
      <c r="E49" s="242"/>
      <c r="F49" s="74">
        <f t="shared" si="13"/>
        <v>0</v>
      </c>
      <c r="G49" s="75"/>
      <c r="H49" s="76"/>
      <c r="I49" s="235">
        <f t="shared" si="6"/>
        <v>1.1368683772161603E-13</v>
      </c>
      <c r="J49" s="79">
        <f t="shared" si="7"/>
        <v>0</v>
      </c>
      <c r="M49" s="146">
        <v>4.54</v>
      </c>
      <c r="N49" s="15"/>
      <c r="O49" s="74">
        <f t="shared" si="14"/>
        <v>0</v>
      </c>
      <c r="P49" s="242"/>
      <c r="Q49" s="74">
        <f t="shared" si="15"/>
        <v>0</v>
      </c>
      <c r="R49" s="75"/>
      <c r="S49" s="76"/>
      <c r="T49" s="235">
        <f t="shared" si="8"/>
        <v>0</v>
      </c>
      <c r="U49" s="79">
        <f t="shared" si="9"/>
        <v>0</v>
      </c>
      <c r="X49" s="146">
        <v>4.54</v>
      </c>
      <c r="Y49" s="15"/>
      <c r="Z49" s="74">
        <f t="shared" si="16"/>
        <v>0</v>
      </c>
      <c r="AA49" s="242"/>
      <c r="AB49" s="74">
        <f t="shared" si="17"/>
        <v>0</v>
      </c>
      <c r="AC49" s="75"/>
      <c r="AD49" s="76"/>
      <c r="AE49" s="235">
        <f t="shared" si="10"/>
        <v>3754.6400000000021</v>
      </c>
      <c r="AF49" s="79">
        <f t="shared" si="11"/>
        <v>827</v>
      </c>
    </row>
    <row r="50" spans="2:32" x14ac:dyDescent="0.25">
      <c r="B50" s="146">
        <v>4.54</v>
      </c>
      <c r="C50" s="15"/>
      <c r="D50" s="74">
        <f t="shared" si="12"/>
        <v>0</v>
      </c>
      <c r="E50" s="242"/>
      <c r="F50" s="74">
        <f t="shared" si="13"/>
        <v>0</v>
      </c>
      <c r="G50" s="75"/>
      <c r="H50" s="76"/>
      <c r="I50" s="235">
        <f t="shared" si="6"/>
        <v>1.1368683772161603E-13</v>
      </c>
      <c r="J50" s="79">
        <f t="shared" si="7"/>
        <v>0</v>
      </c>
      <c r="M50" s="146">
        <v>4.54</v>
      </c>
      <c r="N50" s="15"/>
      <c r="O50" s="74">
        <f t="shared" si="14"/>
        <v>0</v>
      </c>
      <c r="P50" s="242"/>
      <c r="Q50" s="74">
        <f t="shared" si="15"/>
        <v>0</v>
      </c>
      <c r="R50" s="75"/>
      <c r="S50" s="76"/>
      <c r="T50" s="235">
        <f t="shared" si="8"/>
        <v>0</v>
      </c>
      <c r="U50" s="79">
        <f t="shared" si="9"/>
        <v>0</v>
      </c>
      <c r="X50" s="146">
        <v>4.54</v>
      </c>
      <c r="Y50" s="15"/>
      <c r="Z50" s="74">
        <f t="shared" si="16"/>
        <v>0</v>
      </c>
      <c r="AA50" s="242"/>
      <c r="AB50" s="74">
        <f t="shared" si="17"/>
        <v>0</v>
      </c>
      <c r="AC50" s="75"/>
      <c r="AD50" s="76"/>
      <c r="AE50" s="235">
        <f t="shared" si="10"/>
        <v>3754.6400000000021</v>
      </c>
      <c r="AF50" s="79">
        <f t="shared" si="11"/>
        <v>827</v>
      </c>
    </row>
    <row r="51" spans="2:32" ht="14.4" thickBot="1" x14ac:dyDescent="0.3">
      <c r="B51" s="146">
        <v>4.54</v>
      </c>
      <c r="C51" s="38"/>
      <c r="D51" s="169">
        <f t="shared" si="12"/>
        <v>0</v>
      </c>
      <c r="E51" s="244"/>
      <c r="F51" s="169">
        <f t="shared" si="13"/>
        <v>0</v>
      </c>
      <c r="G51" s="152"/>
      <c r="H51" s="245"/>
      <c r="I51" s="142"/>
      <c r="J51" s="79"/>
      <c r="M51" s="146">
        <v>4.54</v>
      </c>
      <c r="N51" s="38"/>
      <c r="O51" s="169">
        <f t="shared" si="14"/>
        <v>0</v>
      </c>
      <c r="P51" s="244"/>
      <c r="Q51" s="169">
        <f t="shared" si="15"/>
        <v>0</v>
      </c>
      <c r="R51" s="152"/>
      <c r="S51" s="245"/>
      <c r="T51" s="142"/>
      <c r="U51" s="79"/>
      <c r="X51" s="146">
        <v>4.54</v>
      </c>
      <c r="Y51" s="38"/>
      <c r="Z51" s="169">
        <f t="shared" si="16"/>
        <v>0</v>
      </c>
      <c r="AA51" s="244"/>
      <c r="AB51" s="169">
        <f t="shared" si="17"/>
        <v>0</v>
      </c>
      <c r="AC51" s="152"/>
      <c r="AD51" s="245"/>
      <c r="AE51" s="142"/>
      <c r="AF51" s="79"/>
    </row>
    <row r="52" spans="2:32" ht="14.4" thickTop="1" x14ac:dyDescent="0.25">
      <c r="C52" s="15">
        <f>SUM(C9:C51)</f>
        <v>256</v>
      </c>
      <c r="D52" s="6">
        <f>SUM(D9:D51)</f>
        <v>1162.2399999999998</v>
      </c>
      <c r="E52" s="13"/>
      <c r="F52" s="6">
        <f>SUM(F9:F51)</f>
        <v>1162.2399999999998</v>
      </c>
      <c r="G52" s="31"/>
      <c r="H52" s="17"/>
      <c r="I52" s="142"/>
      <c r="J52" s="79"/>
      <c r="N52" s="15">
        <f>SUM(N9:N51)</f>
        <v>221</v>
      </c>
      <c r="O52" s="6">
        <f>SUM(O9:O51)</f>
        <v>1003.3399999999999</v>
      </c>
      <c r="P52" s="13"/>
      <c r="Q52" s="6">
        <f>SUM(Q9:Q51)</f>
        <v>1003.3399999999999</v>
      </c>
      <c r="R52" s="31"/>
      <c r="S52" s="17"/>
      <c r="T52" s="142"/>
      <c r="U52" s="79"/>
      <c r="Y52" s="15">
        <f>SUM(Y9:Y51)</f>
        <v>301</v>
      </c>
      <c r="Z52" s="6">
        <f>SUM(Z9:Z51)</f>
        <v>1366.54</v>
      </c>
      <c r="AA52" s="13"/>
      <c r="AB52" s="6">
        <f>SUM(AB9:AB51)</f>
        <v>1366.54</v>
      </c>
      <c r="AC52" s="31"/>
      <c r="AD52" s="17"/>
      <c r="AE52" s="142"/>
      <c r="AF52" s="79"/>
    </row>
    <row r="53" spans="2:32" ht="14.4" thickBot="1" x14ac:dyDescent="0.3">
      <c r="C53" s="15"/>
      <c r="D53" s="6"/>
      <c r="E53" s="13"/>
      <c r="F53" s="6"/>
      <c r="G53" s="31"/>
      <c r="H53" s="17"/>
      <c r="I53" s="142"/>
      <c r="J53" s="79"/>
      <c r="N53" s="15"/>
      <c r="O53" s="6"/>
      <c r="P53" s="13"/>
      <c r="Q53" s="6"/>
      <c r="R53" s="31"/>
      <c r="S53" s="17"/>
      <c r="T53" s="142"/>
      <c r="U53" s="79"/>
      <c r="Y53" s="15"/>
      <c r="Z53" s="6"/>
      <c r="AA53" s="13"/>
      <c r="AB53" s="6"/>
      <c r="AC53" s="31"/>
      <c r="AD53" s="17"/>
      <c r="AE53" s="142"/>
      <c r="AF53" s="79"/>
    </row>
    <row r="54" spans="2:32" ht="14.4" x14ac:dyDescent="0.3">
      <c r="C54" s="52" t="s">
        <v>4</v>
      </c>
      <c r="D54" s="261">
        <f>F4+F5-C52+F6+F7</f>
        <v>0</v>
      </c>
      <c r="E54" s="41"/>
      <c r="F54" s="6"/>
      <c r="G54" s="31"/>
      <c r="H54" s="17"/>
      <c r="I54" s="142"/>
      <c r="J54" s="79"/>
      <c r="N54" s="52" t="s">
        <v>4</v>
      </c>
      <c r="O54" s="261">
        <f>Q4+Q5-N52+Q6+Q7</f>
        <v>0</v>
      </c>
      <c r="P54" s="41"/>
      <c r="Q54" s="6"/>
      <c r="R54" s="31"/>
      <c r="S54" s="17"/>
      <c r="T54" s="142"/>
      <c r="U54" s="79"/>
      <c r="Y54" s="52" t="s">
        <v>4</v>
      </c>
      <c r="Z54" s="261">
        <f>AB4+AB5-Y52+AB6+AB7</f>
        <v>827</v>
      </c>
      <c r="AA54" s="41"/>
      <c r="AB54" s="6"/>
      <c r="AC54" s="31"/>
      <c r="AD54" s="17"/>
      <c r="AE54" s="142"/>
      <c r="AF54" s="79"/>
    </row>
    <row r="55" spans="2:32" ht="14.4" x14ac:dyDescent="0.3">
      <c r="C55" s="1057" t="s">
        <v>19</v>
      </c>
      <c r="D55" s="1058"/>
      <c r="E55" s="40">
        <f>E4+E5-F52+E6+E7</f>
        <v>2.5579538487363607E-13</v>
      </c>
      <c r="F55" s="6"/>
      <c r="G55" s="6"/>
      <c r="H55" s="17"/>
      <c r="I55" s="142"/>
      <c r="J55" s="79"/>
      <c r="N55" s="1057" t="s">
        <v>19</v>
      </c>
      <c r="O55" s="1058"/>
      <c r="P55" s="40">
        <f>P4+P5-Q52+P6+P7</f>
        <v>1.1368683772161603E-13</v>
      </c>
      <c r="Q55" s="6"/>
      <c r="R55" s="6"/>
      <c r="S55" s="17"/>
      <c r="T55" s="142"/>
      <c r="U55" s="79"/>
      <c r="Y55" s="1057" t="s">
        <v>19</v>
      </c>
      <c r="Z55" s="1058"/>
      <c r="AA55" s="40">
        <f>AA4+AA5-AB52+AA6+AA7</f>
        <v>3754.6400000000003</v>
      </c>
      <c r="AB55" s="6"/>
      <c r="AC55" s="6"/>
      <c r="AD55" s="17"/>
      <c r="AE55" s="142"/>
      <c r="AF55" s="79"/>
    </row>
    <row r="56" spans="2:32" ht="15" thickBot="1" x14ac:dyDescent="0.35">
      <c r="C56" s="45"/>
      <c r="D56" s="44"/>
      <c r="E56" s="42"/>
      <c r="F56" s="6"/>
      <c r="G56" s="31"/>
      <c r="H56" s="17"/>
      <c r="I56" s="142"/>
      <c r="J56" s="79"/>
      <c r="N56" s="45"/>
      <c r="O56" s="44"/>
      <c r="P56" s="42"/>
      <c r="Q56" s="6"/>
      <c r="R56" s="31"/>
      <c r="S56" s="17"/>
      <c r="T56" s="142"/>
      <c r="U56" s="79"/>
      <c r="Y56" s="45"/>
      <c r="Z56" s="44"/>
      <c r="AA56" s="42"/>
      <c r="AB56" s="6"/>
      <c r="AC56" s="31"/>
      <c r="AD56" s="17"/>
      <c r="AE56" s="142"/>
      <c r="AF56" s="79"/>
    </row>
    <row r="57" spans="2:32" x14ac:dyDescent="0.25">
      <c r="C57" s="15"/>
      <c r="D57" s="6"/>
      <c r="E57" s="13"/>
      <c r="F57" s="6"/>
      <c r="G57" s="31"/>
      <c r="H57" s="17"/>
      <c r="I57" s="142"/>
      <c r="J57" s="79"/>
      <c r="N57" s="15"/>
      <c r="O57" s="6"/>
      <c r="P57" s="13"/>
      <c r="Q57" s="6"/>
      <c r="R57" s="31"/>
      <c r="S57" s="17"/>
      <c r="T57" s="142"/>
      <c r="U57" s="79"/>
      <c r="Y57" s="15"/>
      <c r="Z57" s="6"/>
      <c r="AA57" s="13"/>
      <c r="AB57" s="6"/>
      <c r="AC57" s="31"/>
      <c r="AD57" s="17"/>
      <c r="AE57" s="142"/>
      <c r="AF57" s="79"/>
    </row>
    <row r="58" spans="2:32" x14ac:dyDescent="0.25">
      <c r="I58" s="142"/>
      <c r="J58" s="79"/>
      <c r="T58" s="142"/>
      <c r="U58" s="79"/>
      <c r="AE58" s="142"/>
      <c r="AF58" s="79"/>
    </row>
  </sheetData>
  <mergeCells count="6">
    <mergeCell ref="A1:G1"/>
    <mergeCell ref="C55:D55"/>
    <mergeCell ref="L1:R1"/>
    <mergeCell ref="N55:O55"/>
    <mergeCell ref="W1:AC1"/>
    <mergeCell ref="Y55:Z55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E92"/>
  <sheetViews>
    <sheetView topLeftCell="JD1" zoomScaleNormal="100" workbookViewId="0">
      <selection activeCell="JD1" sqref="JD1"/>
    </sheetView>
  </sheetViews>
  <sheetFormatPr baseColWidth="10" defaultColWidth="11.44140625" defaultRowHeight="15.6" x14ac:dyDescent="0.3"/>
  <cols>
    <col min="1" max="1" width="6.88671875" style="150" customWidth="1"/>
    <col min="2" max="2" width="26" style="82" customWidth="1"/>
    <col min="3" max="3" width="17.6640625" style="82" customWidth="1"/>
    <col min="4" max="4" width="13.44140625" style="82" bestFit="1" customWidth="1"/>
    <col min="5" max="5" width="11.44140625" style="148"/>
    <col min="6" max="6" width="11.44140625" style="113"/>
    <col min="7" max="8" width="11.44140625" style="82"/>
    <col min="9" max="9" width="11" style="82" customWidth="1"/>
    <col min="10" max="10" width="11.44140625" style="82"/>
    <col min="11" max="11" width="31.33203125" style="82" bestFit="1" customWidth="1"/>
    <col min="12" max="12" width="17.44140625" style="82" customWidth="1"/>
    <col min="13" max="13" width="15.5546875" style="82" bestFit="1" customWidth="1"/>
    <col min="14" max="14" width="11.33203125" style="82" customWidth="1"/>
    <col min="15" max="16" width="11.44140625" style="82"/>
    <col min="17" max="17" width="11.88671875" style="82" bestFit="1" customWidth="1"/>
    <col min="18" max="20" width="11.44140625" style="82"/>
    <col min="21" max="21" width="28.5546875" style="82" bestFit="1" customWidth="1"/>
    <col min="22" max="22" width="17.44140625" style="82" bestFit="1" customWidth="1"/>
    <col min="23" max="23" width="13.6640625" style="82" customWidth="1"/>
    <col min="24" max="24" width="11.33203125" style="82" customWidth="1"/>
    <col min="25" max="28" width="11.44140625" style="82"/>
    <col min="29" max="29" width="13.88671875" style="870" bestFit="1" customWidth="1"/>
    <col min="30" max="30" width="11.44140625" style="82"/>
    <col min="31" max="31" width="31.33203125" style="82" bestFit="1" customWidth="1"/>
    <col min="32" max="32" width="19" style="82" customWidth="1"/>
    <col min="33" max="33" width="12.88671875" style="82" customWidth="1"/>
    <col min="34" max="35" width="11.44140625" style="82"/>
    <col min="36" max="36" width="10.44140625" style="82" customWidth="1"/>
    <col min="37" max="37" width="12.88671875" style="82" bestFit="1" customWidth="1"/>
    <col min="38" max="38" width="11.44140625" style="82"/>
    <col min="39" max="39" width="12.6640625" style="82" bestFit="1" customWidth="1"/>
    <col min="40" max="40" width="11.44140625" style="82"/>
    <col min="41" max="41" width="31.5546875" style="82" customWidth="1"/>
    <col min="42" max="42" width="19.109375" style="82" customWidth="1"/>
    <col min="43" max="43" width="14.33203125" style="82" customWidth="1"/>
    <col min="44" max="44" width="13.6640625" style="82" customWidth="1"/>
    <col min="45" max="45" width="13.33203125" style="82" customWidth="1"/>
    <col min="46" max="46" width="11.6640625" style="82" customWidth="1"/>
    <col min="47" max="47" width="13.88671875" style="82" customWidth="1"/>
    <col min="48" max="48" width="11.5546875" style="82" customWidth="1"/>
    <col min="49" max="49" width="12.88671875" style="82" customWidth="1"/>
    <col min="50" max="50" width="28.33203125" style="82" customWidth="1"/>
    <col min="51" max="51" width="16.33203125" style="102" bestFit="1" customWidth="1"/>
    <col min="52" max="52" width="14.44140625" style="82" bestFit="1" customWidth="1"/>
    <col min="53" max="55" width="11.44140625" style="82" customWidth="1"/>
    <col min="56" max="56" width="12.88671875" style="82" bestFit="1" customWidth="1"/>
    <col min="57" max="57" width="14.5546875" style="82" customWidth="1"/>
    <col min="58" max="58" width="11.44140625" style="82" customWidth="1"/>
    <col min="59" max="59" width="28.6640625" style="82" customWidth="1"/>
    <col min="60" max="60" width="16.33203125" style="82" bestFit="1" customWidth="1"/>
    <col min="61" max="61" width="14.33203125" style="82" bestFit="1" customWidth="1"/>
    <col min="62" max="62" width="11.5546875" style="82" customWidth="1"/>
    <col min="63" max="63" width="12.5546875" style="82" customWidth="1"/>
    <col min="64" max="64" width="12" style="82" customWidth="1"/>
    <col min="65" max="65" width="12.88671875" style="82" bestFit="1" customWidth="1"/>
    <col min="66" max="66" width="9.5546875" style="82" bestFit="1" customWidth="1"/>
    <col min="67" max="67" width="11.44140625" style="82"/>
    <col min="68" max="68" width="28.5546875" style="82" bestFit="1" customWidth="1"/>
    <col min="69" max="69" width="18.44140625" style="82" customWidth="1"/>
    <col min="70" max="70" width="13.5546875" style="82" customWidth="1"/>
    <col min="71" max="73" width="11.44140625" style="82"/>
    <col min="74" max="74" width="12.88671875" style="82" bestFit="1" customWidth="1"/>
    <col min="75" max="75" width="11.44140625" style="82"/>
    <col min="76" max="76" width="13.88671875" style="870" bestFit="1" customWidth="1"/>
    <col min="77" max="77" width="31" style="82" customWidth="1"/>
    <col min="78" max="78" width="18.44140625" style="82" customWidth="1"/>
    <col min="79" max="79" width="15" style="82" customWidth="1"/>
    <col min="80" max="81" width="11.5546875" style="82" customWidth="1"/>
    <col min="82" max="82" width="11.44140625" style="82"/>
    <col min="83" max="83" width="12.88671875" style="82" bestFit="1" customWidth="1"/>
    <col min="84" max="84" width="11.44140625" style="82"/>
    <col min="85" max="85" width="14.6640625" style="870" customWidth="1"/>
    <col min="86" max="86" width="11.44140625" style="870"/>
    <col min="87" max="87" width="28.5546875" style="82" bestFit="1" customWidth="1"/>
    <col min="88" max="88" width="18.44140625" style="82" customWidth="1"/>
    <col min="89" max="89" width="15" style="82" customWidth="1"/>
    <col min="90" max="90" width="14.88671875" style="82" bestFit="1" customWidth="1"/>
    <col min="91" max="91" width="11.44140625" style="82"/>
    <col min="92" max="92" width="14.44140625" style="82" bestFit="1" customWidth="1"/>
    <col min="93" max="93" width="13.5546875" style="82" bestFit="1" customWidth="1"/>
    <col min="94" max="94" width="11.44140625" style="82"/>
    <col min="95" max="95" width="13.88671875" style="870" bestFit="1" customWidth="1"/>
    <col min="96" max="96" width="11.44140625" style="82"/>
    <col min="97" max="97" width="28.5546875" style="82" bestFit="1" customWidth="1"/>
    <col min="98" max="98" width="18.44140625" style="82" customWidth="1"/>
    <col min="99" max="99" width="13.33203125" style="82" bestFit="1" customWidth="1"/>
    <col min="100" max="102" width="11.44140625" style="82"/>
    <col min="103" max="103" width="12.88671875" style="82" bestFit="1" customWidth="1"/>
    <col min="104" max="104" width="11.44140625" style="82"/>
    <col min="105" max="105" width="14.88671875" style="870" customWidth="1"/>
    <col min="106" max="106" width="11.44140625" style="82"/>
    <col min="107" max="107" width="27.88671875" style="82" customWidth="1"/>
    <col min="108" max="108" width="19.6640625" style="82" customWidth="1"/>
    <col min="109" max="109" width="13.5546875" style="82" customWidth="1"/>
    <col min="110" max="110" width="11.44140625" style="82" customWidth="1"/>
    <col min="111" max="111" width="12" style="82" customWidth="1"/>
    <col min="112" max="112" width="10.5546875" style="82" bestFit="1" customWidth="1"/>
    <col min="113" max="113" width="12.88671875" style="82" bestFit="1" customWidth="1"/>
    <col min="114" max="114" width="9.5546875" style="82" bestFit="1" customWidth="1"/>
    <col min="115" max="115" width="14.6640625" style="870" customWidth="1"/>
    <col min="116" max="116" width="11.44140625" style="82"/>
    <col min="117" max="117" width="33" style="82" customWidth="1"/>
    <col min="118" max="118" width="18.44140625" style="82" customWidth="1"/>
    <col min="119" max="119" width="13.33203125" style="82" bestFit="1" customWidth="1"/>
    <col min="120" max="120" width="11.44140625" style="82"/>
    <col min="121" max="121" width="13" style="82" bestFit="1" customWidth="1"/>
    <col min="122" max="122" width="11.44140625" style="82"/>
    <col min="123" max="123" width="13.5546875" style="82" bestFit="1" customWidth="1"/>
    <col min="124" max="124" width="11.44140625" style="82"/>
    <col min="125" max="125" width="17.88671875" style="870" customWidth="1"/>
    <col min="126" max="126" width="11.44140625" style="82"/>
    <col min="127" max="127" width="29.109375" style="82" bestFit="1" customWidth="1"/>
    <col min="128" max="128" width="18.33203125" style="82" customWidth="1"/>
    <col min="129" max="129" width="13.6640625" style="82" bestFit="1" customWidth="1"/>
    <col min="130" max="130" width="11.44140625" style="82"/>
    <col min="131" max="131" width="13" style="82" bestFit="1" customWidth="1"/>
    <col min="132" max="132" width="11.44140625" style="82"/>
    <col min="133" max="133" width="13.5546875" style="82" bestFit="1" customWidth="1"/>
    <col min="134" max="134" width="11.44140625" style="82"/>
    <col min="135" max="135" width="15" style="870" customWidth="1"/>
    <col min="136" max="136" width="11.44140625" style="82"/>
    <col min="137" max="137" width="31.33203125" style="82" bestFit="1" customWidth="1"/>
    <col min="138" max="138" width="19.6640625" style="82" customWidth="1"/>
    <col min="139" max="139" width="12.88671875" style="82" customWidth="1"/>
    <col min="140" max="143" width="11.33203125" style="82" customWidth="1"/>
    <col min="144" max="144" width="11.44140625" style="82"/>
    <col min="145" max="145" width="16" style="870" customWidth="1"/>
    <col min="146" max="146" width="11.44140625" style="82"/>
    <col min="147" max="147" width="28.5546875" style="82" bestFit="1" customWidth="1"/>
    <col min="148" max="148" width="19.6640625" style="82" customWidth="1"/>
    <col min="149" max="149" width="13.33203125" style="82" bestFit="1" customWidth="1"/>
    <col min="150" max="153" width="11.33203125" style="82" customWidth="1"/>
    <col min="154" max="154" width="11.44140625" style="82"/>
    <col min="155" max="155" width="15.5546875" style="870" customWidth="1"/>
    <col min="156" max="156" width="11.44140625" style="82"/>
    <col min="157" max="157" width="31" style="82" customWidth="1"/>
    <col min="158" max="158" width="18.44140625" style="82" customWidth="1"/>
    <col min="159" max="159" width="13.33203125" style="82" bestFit="1" customWidth="1"/>
    <col min="160" max="162" width="11.44140625" style="82"/>
    <col min="163" max="163" width="12.88671875" style="82" bestFit="1" customWidth="1"/>
    <col min="164" max="164" width="11.44140625" style="82"/>
    <col min="165" max="165" width="15.5546875" style="870" customWidth="1"/>
    <col min="166" max="166" width="11.44140625" style="82"/>
    <col min="167" max="167" width="30.44140625" style="82" bestFit="1" customWidth="1"/>
    <col min="168" max="168" width="18.44140625" style="82" customWidth="1"/>
    <col min="169" max="169" width="13.33203125" style="82" bestFit="1" customWidth="1"/>
    <col min="170" max="172" width="11.44140625" style="82"/>
    <col min="173" max="173" width="12.88671875" style="82" bestFit="1" customWidth="1"/>
    <col min="174" max="174" width="11.44140625" style="82"/>
    <col min="175" max="175" width="15.109375" style="870" customWidth="1"/>
    <col min="176" max="176" width="11.44140625" style="82"/>
    <col min="177" max="177" width="27.33203125" style="82" customWidth="1"/>
    <col min="178" max="178" width="18.5546875" style="82" customWidth="1"/>
    <col min="179" max="179" width="14.44140625" style="82" bestFit="1" customWidth="1"/>
    <col min="180" max="182" width="11.44140625" style="82"/>
    <col min="183" max="183" width="12.88671875" style="82" bestFit="1" customWidth="1"/>
    <col min="184" max="184" width="11.44140625" style="82"/>
    <col min="185" max="185" width="16" style="870" customWidth="1"/>
    <col min="186" max="186" width="11.44140625" style="82"/>
    <col min="187" max="187" width="28.5546875" style="82" bestFit="1" customWidth="1"/>
    <col min="188" max="188" width="18.44140625" style="82" customWidth="1"/>
    <col min="189" max="189" width="13.44140625" style="82" customWidth="1"/>
    <col min="190" max="192" width="11.44140625" style="82"/>
    <col min="193" max="193" width="12.88671875" style="82" bestFit="1" customWidth="1"/>
    <col min="194" max="194" width="11.44140625" style="82"/>
    <col min="195" max="195" width="16" style="870" customWidth="1"/>
    <col min="196" max="196" width="11.44140625" style="82"/>
    <col min="197" max="197" width="31.33203125" style="82" bestFit="1" customWidth="1"/>
    <col min="198" max="198" width="18.109375" style="82" customWidth="1"/>
    <col min="199" max="199" width="14.44140625" style="82" bestFit="1" customWidth="1"/>
    <col min="200" max="202" width="11.44140625" style="82"/>
    <col min="203" max="203" width="13" style="82" bestFit="1" customWidth="1"/>
    <col min="204" max="204" width="11.44140625" style="82"/>
    <col min="205" max="205" width="16.5546875" style="870" customWidth="1"/>
    <col min="206" max="206" width="11.44140625" style="82"/>
    <col min="207" max="207" width="28.5546875" style="82" bestFit="1" customWidth="1"/>
    <col min="208" max="208" width="18.5546875" style="82" customWidth="1"/>
    <col min="209" max="209" width="13.33203125" style="82" bestFit="1" customWidth="1"/>
    <col min="210" max="214" width="11.44140625" style="82"/>
    <col min="215" max="215" width="17.33203125" style="870" customWidth="1"/>
    <col min="216" max="216" width="11.44140625" style="82"/>
    <col min="217" max="217" width="31.33203125" style="82" bestFit="1" customWidth="1"/>
    <col min="218" max="218" width="17.6640625" style="82" bestFit="1" customWidth="1"/>
    <col min="219" max="219" width="14.44140625" style="82" bestFit="1" customWidth="1"/>
    <col min="220" max="220" width="11.33203125" style="82" customWidth="1"/>
    <col min="221" max="224" width="11.44140625" style="82"/>
    <col min="225" max="225" width="15.109375" style="870" customWidth="1"/>
    <col min="226" max="226" width="11.44140625" style="82"/>
    <col min="227" max="227" width="29.109375" style="82" bestFit="1" customWidth="1"/>
    <col min="228" max="228" width="18.6640625" style="82" customWidth="1"/>
    <col min="229" max="229" width="12.88671875" style="82" customWidth="1"/>
    <col min="230" max="230" width="11.33203125" style="82" customWidth="1"/>
    <col min="231" max="234" width="11.44140625" style="82"/>
    <col min="235" max="235" width="14.88671875" style="870" customWidth="1"/>
    <col min="236" max="236" width="11.44140625" style="82"/>
    <col min="237" max="237" width="28.5546875" style="82" bestFit="1" customWidth="1"/>
    <col min="238" max="238" width="16.33203125" style="82" bestFit="1" customWidth="1"/>
    <col min="239" max="239" width="15.5546875" style="82" bestFit="1" customWidth="1"/>
    <col min="240" max="240" width="11.33203125" style="82" customWidth="1"/>
    <col min="241" max="244" width="11.44140625" style="82"/>
    <col min="245" max="245" width="16.33203125" style="870" customWidth="1"/>
    <col min="246" max="246" width="11.44140625" style="82"/>
    <col min="247" max="247" width="28.5546875" style="82" bestFit="1" customWidth="1"/>
    <col min="248" max="248" width="16.33203125" style="82" bestFit="1" customWidth="1"/>
    <col min="249" max="249" width="15.5546875" style="82" bestFit="1" customWidth="1"/>
    <col min="250" max="250" width="11.33203125" style="82" customWidth="1"/>
    <col min="251" max="254" width="11.44140625" style="82"/>
    <col min="255" max="255" width="15" style="870" customWidth="1"/>
    <col min="256" max="256" width="12.5546875" style="82" customWidth="1"/>
    <col min="257" max="257" width="32.44140625" style="82" customWidth="1"/>
    <col min="258" max="258" width="18.33203125" style="82" customWidth="1"/>
    <col min="259" max="259" width="14.44140625" style="82" bestFit="1" customWidth="1"/>
    <col min="260" max="261" width="11.5546875" style="82" customWidth="1"/>
    <col min="262" max="262" width="9.44140625" style="82" customWidth="1"/>
    <col min="263" max="263" width="11.5546875" style="82" customWidth="1"/>
    <col min="264" max="264" width="9.5546875" style="82" bestFit="1" customWidth="1"/>
    <col min="265" max="265" width="16.33203125" style="870" customWidth="1"/>
    <col min="266" max="266" width="10.5546875" style="82" customWidth="1"/>
    <col min="267" max="267" width="33.44140625" style="82" bestFit="1" customWidth="1"/>
    <col min="268" max="268" width="17.6640625" style="82" bestFit="1" customWidth="1"/>
    <col min="269" max="269" width="14.44140625" style="82" bestFit="1" customWidth="1"/>
    <col min="270" max="270" width="11.33203125" style="82" bestFit="1" customWidth="1"/>
    <col min="271" max="271" width="11.44140625" style="82" customWidth="1"/>
    <col min="272" max="272" width="10.5546875" style="82" bestFit="1" customWidth="1"/>
    <col min="273" max="273" width="12.88671875" style="82" bestFit="1" customWidth="1"/>
    <col min="274" max="274" width="9.5546875" style="82" bestFit="1" customWidth="1"/>
    <col min="275" max="275" width="15.6640625" style="870" customWidth="1"/>
    <col min="276" max="276" width="13.33203125" style="82" customWidth="1"/>
    <col min="277" max="277" width="31.33203125" style="82" bestFit="1" customWidth="1"/>
    <col min="278" max="278" width="18" style="82" customWidth="1"/>
    <col min="279" max="279" width="14.6640625" style="82" customWidth="1"/>
    <col min="280" max="280" width="11.44140625" style="82" customWidth="1"/>
    <col min="281" max="281" width="11.5546875" style="82" customWidth="1"/>
    <col min="282" max="282" width="10.5546875" style="82" bestFit="1" customWidth="1"/>
    <col min="283" max="283" width="11.88671875" style="82" bestFit="1" customWidth="1"/>
    <col min="284" max="284" width="11.44140625" style="82" customWidth="1"/>
    <col min="285" max="285" width="16.5546875" style="870" customWidth="1"/>
    <col min="286" max="286" width="8.5546875" style="82" customWidth="1"/>
    <col min="287" max="287" width="29.109375" style="82" bestFit="1" customWidth="1"/>
    <col min="288" max="288" width="18.33203125" style="82" customWidth="1"/>
    <col min="289" max="289" width="14.44140625" style="82" bestFit="1" customWidth="1"/>
    <col min="290" max="290" width="12" style="82" customWidth="1"/>
    <col min="291" max="291" width="12.44140625" style="82" customWidth="1"/>
    <col min="292" max="292" width="10.5546875" style="82" bestFit="1" customWidth="1"/>
    <col min="293" max="293" width="12.88671875" style="82" bestFit="1" customWidth="1"/>
    <col min="294" max="294" width="9.5546875" style="82" bestFit="1" customWidth="1"/>
    <col min="295" max="295" width="15.5546875" style="870" customWidth="1"/>
    <col min="296" max="296" width="10" style="82" customWidth="1"/>
    <col min="297" max="297" width="30" style="82" bestFit="1" customWidth="1"/>
    <col min="298" max="298" width="18.44140625" style="82" customWidth="1"/>
    <col min="299" max="299" width="14" style="82" customWidth="1"/>
    <col min="300" max="300" width="11.33203125" style="82" bestFit="1" customWidth="1"/>
    <col min="301" max="301" width="11.44140625" style="82" customWidth="1"/>
    <col min="302" max="302" width="10.5546875" style="82" bestFit="1" customWidth="1"/>
    <col min="303" max="303" width="12.88671875" style="82" bestFit="1" customWidth="1"/>
    <col min="304" max="304" width="9.5546875" style="82" bestFit="1" customWidth="1"/>
    <col min="305" max="305" width="18.88671875" style="870" customWidth="1"/>
    <col min="306" max="306" width="12.44140625" style="82" customWidth="1"/>
    <col min="307" max="307" width="31.33203125" style="82" bestFit="1" customWidth="1"/>
    <col min="308" max="308" width="17.6640625" style="82" bestFit="1" customWidth="1"/>
    <col min="309" max="309" width="14.109375" style="82" customWidth="1"/>
    <col min="310" max="310" width="12.33203125" style="82" customWidth="1"/>
    <col min="311" max="311" width="11.5546875" style="82" customWidth="1"/>
    <col min="312" max="312" width="10.5546875" style="82" bestFit="1" customWidth="1"/>
    <col min="313" max="313" width="12.88671875" style="82" bestFit="1" customWidth="1"/>
    <col min="314" max="314" width="9.5546875" style="82" bestFit="1" customWidth="1"/>
    <col min="315" max="315" width="16.44140625" style="870" customWidth="1"/>
    <col min="316" max="316" width="11.109375" style="82" customWidth="1"/>
    <col min="317" max="317" width="28.5546875" style="82" bestFit="1" customWidth="1"/>
    <col min="318" max="318" width="16.33203125" style="82" bestFit="1" customWidth="1"/>
    <col min="319" max="319" width="12.5546875" style="82" customWidth="1"/>
    <col min="320" max="320" width="11.109375" style="82" bestFit="1" customWidth="1"/>
    <col min="321" max="321" width="11.6640625" style="82" customWidth="1"/>
    <col min="322" max="322" width="10.5546875" style="82" bestFit="1" customWidth="1"/>
    <col min="323" max="323" width="12.88671875" style="82" bestFit="1" customWidth="1"/>
    <col min="324" max="324" width="9.5546875" style="82" bestFit="1" customWidth="1"/>
    <col min="325" max="325" width="15.33203125" style="870" customWidth="1"/>
    <col min="326" max="326" width="12.44140625" style="82" customWidth="1"/>
    <col min="327" max="327" width="31.33203125" style="82" bestFit="1" customWidth="1"/>
    <col min="328" max="328" width="18" style="82" customWidth="1"/>
    <col min="329" max="329" width="13.33203125" style="82" customWidth="1"/>
    <col min="330" max="330" width="11.88671875" style="82" customWidth="1"/>
    <col min="331" max="331" width="11.5546875" style="82" customWidth="1"/>
    <col min="332" max="332" width="10.5546875" style="82" bestFit="1" customWidth="1"/>
    <col min="333" max="333" width="12.88671875" style="82" bestFit="1" customWidth="1"/>
    <col min="334" max="334" width="9.5546875" style="82" bestFit="1" customWidth="1"/>
    <col min="335" max="335" width="11.44140625" style="82" customWidth="1"/>
    <col min="336" max="336" width="27.88671875" style="82" bestFit="1" customWidth="1"/>
    <col min="337" max="337" width="18.5546875" style="82" customWidth="1"/>
    <col min="338" max="338" width="13.33203125" style="82" bestFit="1" customWidth="1"/>
    <col min="339" max="339" width="11" style="82" bestFit="1" customWidth="1"/>
    <col min="340" max="340" width="11.44140625" style="82" customWidth="1"/>
    <col min="341" max="341" width="10.5546875" style="82" bestFit="1" customWidth="1"/>
    <col min="342" max="342" width="12.88671875" style="82" bestFit="1" customWidth="1"/>
    <col min="343" max="343" width="9.5546875" style="82" bestFit="1" customWidth="1"/>
    <col min="344" max="344" width="11" style="82" customWidth="1"/>
    <col min="345" max="345" width="28.5546875" style="82" bestFit="1" customWidth="1"/>
    <col min="346" max="346" width="18.33203125" style="82" customWidth="1"/>
    <col min="347" max="347" width="13.33203125" style="82" bestFit="1" customWidth="1"/>
    <col min="348" max="353" width="11.44140625" style="82"/>
    <col min="354" max="354" width="31.33203125" style="82" bestFit="1" customWidth="1"/>
    <col min="355" max="355" width="17.6640625" style="82" bestFit="1" customWidth="1"/>
    <col min="356" max="356" width="13.33203125" style="82" bestFit="1" customWidth="1"/>
    <col min="357" max="362" width="11.44140625" style="82"/>
    <col min="363" max="363" width="28.5546875" style="82" bestFit="1" customWidth="1"/>
    <col min="364" max="364" width="17.6640625" style="82" bestFit="1" customWidth="1"/>
    <col min="365" max="365" width="12.33203125" style="82" bestFit="1" customWidth="1"/>
    <col min="366" max="368" width="11.44140625" style="82"/>
    <col min="369" max="369" width="11.88671875" style="82" bestFit="1" customWidth="1"/>
    <col min="370" max="371" width="11.44140625" style="82"/>
    <col min="372" max="372" width="28.5546875" style="82" bestFit="1" customWidth="1"/>
    <col min="373" max="373" width="17.6640625" style="82" bestFit="1" customWidth="1"/>
    <col min="374" max="374" width="13" style="82" customWidth="1"/>
    <col min="375" max="380" width="11.44140625" style="82"/>
    <col min="381" max="381" width="28.5546875" style="82" bestFit="1" customWidth="1"/>
    <col min="382" max="382" width="16.33203125" style="82" bestFit="1" customWidth="1"/>
    <col min="383" max="383" width="13.33203125" style="82" bestFit="1" customWidth="1"/>
    <col min="384" max="386" width="11.44140625" style="82"/>
    <col min="387" max="387" width="11.88671875" style="82" bestFit="1" customWidth="1"/>
    <col min="388" max="389" width="11.44140625" style="82"/>
    <col min="390" max="390" width="28.5546875" style="82" bestFit="1" customWidth="1"/>
    <col min="391" max="391" width="16.33203125" style="82" bestFit="1" customWidth="1"/>
    <col min="392" max="392" width="11.44140625" style="82"/>
    <col min="393" max="393" width="11.33203125" style="82" customWidth="1"/>
    <col min="394" max="398" width="11.44140625" style="82"/>
    <col min="399" max="399" width="28.5546875" style="82" bestFit="1" customWidth="1"/>
    <col min="400" max="400" width="17" style="82" customWidth="1"/>
    <col min="401" max="401" width="11.44140625" style="82"/>
    <col min="402" max="402" width="11.33203125" style="82" customWidth="1"/>
    <col min="403" max="404" width="11.44140625" style="82"/>
    <col min="405" max="405" width="13.5546875" style="82" bestFit="1" customWidth="1"/>
    <col min="406" max="407" width="11.44140625" style="82"/>
    <col min="408" max="408" width="28.5546875" style="82" bestFit="1" customWidth="1"/>
    <col min="409" max="409" width="17.6640625" style="82" bestFit="1" customWidth="1"/>
    <col min="410" max="410" width="12.33203125" style="82" bestFit="1" customWidth="1"/>
    <col min="411" max="411" width="11.33203125" style="82" customWidth="1"/>
    <col min="412" max="416" width="11.44140625" style="82"/>
    <col min="417" max="417" width="25.33203125" style="82" bestFit="1" customWidth="1"/>
    <col min="418" max="418" width="16.33203125" style="82" bestFit="1" customWidth="1"/>
    <col min="419" max="419" width="11.44140625" style="82"/>
    <col min="420" max="420" width="11.33203125" style="82" customWidth="1"/>
    <col min="421" max="422" width="11.44140625" style="82"/>
    <col min="423" max="423" width="11.88671875" style="82" bestFit="1" customWidth="1"/>
    <col min="424" max="425" width="11.44140625" style="82"/>
    <col min="426" max="426" width="28.5546875" style="82" bestFit="1" customWidth="1"/>
    <col min="427" max="427" width="16.33203125" style="82" bestFit="1" customWidth="1"/>
    <col min="428" max="428" width="11.44140625" style="82"/>
    <col min="429" max="429" width="11.33203125" style="82" customWidth="1"/>
    <col min="430" max="434" width="11.44140625" style="82"/>
    <col min="435" max="435" width="25.33203125" style="82" bestFit="1" customWidth="1"/>
    <col min="436" max="436" width="16.33203125" style="82" bestFit="1" customWidth="1"/>
    <col min="437" max="437" width="11.44140625" style="82"/>
    <col min="438" max="438" width="11.33203125" style="82" customWidth="1"/>
    <col min="439" max="443" width="11.44140625" style="82"/>
    <col min="444" max="444" width="25.33203125" style="82" bestFit="1" customWidth="1"/>
    <col min="445" max="445" width="16.33203125" style="82" bestFit="1" customWidth="1"/>
    <col min="446" max="446" width="14.44140625" style="82" customWidth="1"/>
    <col min="447" max="447" width="11.33203125" style="82" customWidth="1"/>
    <col min="448" max="452" width="11.44140625" style="82"/>
    <col min="453" max="453" width="25.33203125" style="82" bestFit="1" customWidth="1"/>
    <col min="454" max="454" width="17.6640625" style="82" bestFit="1" customWidth="1"/>
    <col min="455" max="455" width="11.44140625" style="82"/>
    <col min="456" max="456" width="11.33203125" style="82" customWidth="1"/>
    <col min="457" max="461" width="11.44140625" style="82"/>
    <col min="462" max="462" width="25.33203125" style="82" bestFit="1" customWidth="1"/>
    <col min="463" max="463" width="16.33203125" style="82" bestFit="1" customWidth="1"/>
    <col min="464" max="464" width="11.44140625" style="82"/>
    <col min="465" max="465" width="11.33203125" style="82" customWidth="1"/>
    <col min="466" max="470" width="11.44140625" style="82"/>
    <col min="471" max="471" width="25.33203125" style="82" bestFit="1" customWidth="1"/>
    <col min="472" max="472" width="16.33203125" style="82" bestFit="1" customWidth="1"/>
    <col min="473" max="473" width="11.44140625" style="82"/>
    <col min="474" max="474" width="11.33203125" style="82" customWidth="1"/>
    <col min="475" max="479" width="11.44140625" style="82"/>
    <col min="480" max="480" width="25.33203125" style="82" bestFit="1" customWidth="1"/>
    <col min="481" max="481" width="17.6640625" style="82" bestFit="1" customWidth="1"/>
    <col min="482" max="482" width="11.44140625" style="82"/>
    <col min="483" max="483" width="11.33203125" style="82" customWidth="1"/>
    <col min="484" max="485" width="11.44140625" style="82"/>
    <col min="486" max="486" width="11.88671875" style="82" bestFit="1" customWidth="1"/>
    <col min="487" max="488" width="11.44140625" style="82"/>
    <col min="489" max="489" width="26.6640625" style="82" customWidth="1"/>
    <col min="490" max="490" width="16.33203125" style="82" bestFit="1" customWidth="1"/>
    <col min="491" max="491" width="11.44140625" style="82"/>
    <col min="492" max="492" width="11.33203125" style="82" customWidth="1"/>
    <col min="493" max="497" width="11.44140625" style="82"/>
    <col min="498" max="498" width="25.33203125" style="82" bestFit="1" customWidth="1"/>
    <col min="499" max="499" width="16.33203125" style="82" bestFit="1" customWidth="1"/>
    <col min="500" max="500" width="11.44140625" style="82"/>
    <col min="501" max="501" width="11.33203125" style="82" customWidth="1"/>
    <col min="502" max="506" width="11.44140625" style="82"/>
    <col min="507" max="507" width="25.33203125" style="82" bestFit="1" customWidth="1"/>
    <col min="508" max="508" width="16.33203125" style="82" bestFit="1" customWidth="1"/>
    <col min="509" max="509" width="11.44140625" style="82"/>
    <col min="510" max="510" width="11.33203125" style="82" customWidth="1"/>
    <col min="511" max="515" width="11.44140625" style="82"/>
    <col min="516" max="516" width="28.5546875" style="82" bestFit="1" customWidth="1"/>
    <col min="517" max="517" width="16.33203125" style="82" bestFit="1" customWidth="1"/>
    <col min="518" max="518" width="11.44140625" style="82"/>
    <col min="519" max="519" width="11.33203125" style="82" customWidth="1"/>
    <col min="520" max="524" width="11.44140625" style="82"/>
    <col min="525" max="525" width="25.33203125" style="82" bestFit="1" customWidth="1"/>
    <col min="526" max="526" width="16.33203125" style="82" bestFit="1" customWidth="1"/>
    <col min="527" max="527" width="11.44140625" style="82"/>
    <col min="528" max="528" width="11.33203125" style="82" customWidth="1"/>
    <col min="529" max="533" width="11.44140625" style="82"/>
    <col min="534" max="534" width="25.33203125" style="82" bestFit="1" customWidth="1"/>
    <col min="535" max="535" width="16.33203125" style="82" bestFit="1" customWidth="1"/>
    <col min="536" max="536" width="11.44140625" style="82"/>
    <col min="537" max="537" width="11.33203125" style="82" customWidth="1"/>
    <col min="538" max="542" width="11.44140625" style="82"/>
    <col min="543" max="543" width="28.5546875" style="82" bestFit="1" customWidth="1"/>
    <col min="544" max="544" width="16.33203125" style="82" bestFit="1" customWidth="1"/>
    <col min="545" max="545" width="11.44140625" style="82"/>
    <col min="546" max="546" width="11.33203125" style="82" customWidth="1"/>
    <col min="547" max="551" width="11.44140625" style="82"/>
    <col min="552" max="552" width="25.33203125" style="82" bestFit="1" customWidth="1"/>
    <col min="553" max="553" width="16.33203125" style="82" bestFit="1" customWidth="1"/>
    <col min="554" max="554" width="11.44140625" style="82"/>
    <col min="555" max="555" width="11.33203125" style="82" customWidth="1"/>
    <col min="556" max="560" width="11.44140625" style="82"/>
    <col min="561" max="561" width="28.44140625" style="82" customWidth="1"/>
    <col min="562" max="562" width="16.33203125" style="82" bestFit="1" customWidth="1"/>
    <col min="563" max="563" width="11.44140625" style="82"/>
    <col min="564" max="564" width="11.33203125" style="82" customWidth="1"/>
    <col min="565" max="569" width="11.44140625" style="82"/>
    <col min="570" max="570" width="25.33203125" style="82" bestFit="1" customWidth="1"/>
    <col min="571" max="571" width="16.33203125" style="82" bestFit="1" customWidth="1"/>
    <col min="572" max="572" width="11.44140625" style="82"/>
    <col min="573" max="573" width="11.33203125" style="82" customWidth="1"/>
    <col min="574" max="578" width="11.44140625" style="82"/>
    <col min="579" max="579" width="25.33203125" style="82" bestFit="1" customWidth="1"/>
    <col min="580" max="580" width="16.33203125" style="82" bestFit="1" customWidth="1"/>
    <col min="581" max="581" width="11.44140625" style="82"/>
    <col min="582" max="582" width="11.33203125" style="82" customWidth="1"/>
    <col min="583" max="587" width="11.44140625" style="82"/>
    <col min="588" max="588" width="25.33203125" style="82" bestFit="1" customWidth="1"/>
    <col min="589" max="589" width="16.33203125" style="82" bestFit="1" customWidth="1"/>
    <col min="590" max="590" width="11.44140625" style="82"/>
    <col min="591" max="591" width="11.33203125" style="82" customWidth="1"/>
    <col min="592" max="596" width="11.44140625" style="82"/>
    <col min="597" max="597" width="25.33203125" style="82" bestFit="1" customWidth="1"/>
    <col min="598" max="598" width="16.33203125" style="82" bestFit="1" customWidth="1"/>
    <col min="599" max="599" width="11.44140625" style="82"/>
    <col min="600" max="600" width="11.33203125" style="82" customWidth="1"/>
    <col min="601" max="605" width="11.44140625" style="82"/>
    <col min="606" max="606" width="25.33203125" style="82" bestFit="1" customWidth="1"/>
    <col min="607" max="607" width="16.33203125" style="82" bestFit="1" customWidth="1"/>
    <col min="608" max="608" width="11.44140625" style="82"/>
    <col min="609" max="609" width="11.33203125" style="82" customWidth="1"/>
    <col min="610" max="614" width="11.44140625" style="82"/>
    <col min="615" max="615" width="25.33203125" style="82" bestFit="1" customWidth="1"/>
    <col min="616" max="616" width="16.33203125" style="82" bestFit="1" customWidth="1"/>
    <col min="617" max="617" width="11.44140625" style="82"/>
    <col min="618" max="618" width="11.33203125" style="82" customWidth="1"/>
    <col min="619" max="623" width="11.44140625" style="82"/>
    <col min="624" max="624" width="25.33203125" style="82" bestFit="1" customWidth="1"/>
    <col min="625" max="625" width="16.33203125" style="82" bestFit="1" customWidth="1"/>
    <col min="626" max="626" width="11.44140625" style="82"/>
    <col min="627" max="627" width="11.33203125" style="82" customWidth="1"/>
    <col min="628" max="632" width="11.44140625" style="82"/>
    <col min="633" max="633" width="25.33203125" style="82" bestFit="1" customWidth="1"/>
    <col min="634" max="634" width="16.33203125" style="82" bestFit="1" customWidth="1"/>
    <col min="635" max="635" width="11.44140625" style="82"/>
    <col min="636" max="636" width="11.33203125" style="82" customWidth="1"/>
    <col min="637" max="641" width="11.44140625" style="82"/>
    <col min="642" max="642" width="29.44140625" style="82" customWidth="1"/>
    <col min="643" max="643" width="16.33203125" style="82" bestFit="1" customWidth="1"/>
    <col min="644" max="644" width="11.44140625" style="82"/>
    <col min="645" max="645" width="11.33203125" style="82" customWidth="1"/>
    <col min="646" max="650" width="11.44140625" style="82"/>
    <col min="651" max="651" width="25.33203125" style="82" bestFit="1" customWidth="1"/>
    <col min="652" max="652" width="16.33203125" style="82" bestFit="1" customWidth="1"/>
    <col min="653" max="653" width="11.44140625" style="82"/>
    <col min="654" max="654" width="11.33203125" style="82" customWidth="1"/>
    <col min="655" max="659" width="11.44140625" style="82"/>
    <col min="660" max="660" width="25.33203125" style="82" bestFit="1" customWidth="1"/>
    <col min="661" max="661" width="16.33203125" style="82" bestFit="1" customWidth="1"/>
    <col min="662" max="662" width="11.44140625" style="82"/>
    <col min="663" max="663" width="11.33203125" style="82" customWidth="1"/>
    <col min="664" max="668" width="11.44140625" style="82"/>
    <col min="669" max="669" width="25.33203125" style="82" bestFit="1" customWidth="1"/>
    <col min="670" max="670" width="16.33203125" style="82" bestFit="1" customWidth="1"/>
    <col min="671" max="671" width="11.44140625" style="82"/>
    <col min="672" max="672" width="11.33203125" style="82" customWidth="1"/>
    <col min="673" max="677" width="11.44140625" style="82"/>
    <col min="678" max="678" width="25.33203125" style="82" bestFit="1" customWidth="1"/>
    <col min="679" max="679" width="16.33203125" style="82" bestFit="1" customWidth="1"/>
    <col min="680" max="680" width="11.44140625" style="82"/>
    <col min="681" max="681" width="11.33203125" style="82" customWidth="1"/>
    <col min="682" max="686" width="11.44140625" style="82"/>
    <col min="687" max="687" width="25.33203125" style="82" bestFit="1" customWidth="1"/>
    <col min="688" max="688" width="16.33203125" style="82" bestFit="1" customWidth="1"/>
    <col min="689" max="689" width="11.44140625" style="82"/>
    <col min="690" max="690" width="11.33203125" style="82" customWidth="1"/>
    <col min="691" max="695" width="11.44140625" style="82"/>
    <col min="696" max="696" width="25.33203125" style="82" bestFit="1" customWidth="1"/>
    <col min="697" max="697" width="16.33203125" style="82" bestFit="1" customWidth="1"/>
    <col min="698" max="698" width="11.44140625" style="82"/>
    <col min="699" max="699" width="11.33203125" style="82" customWidth="1"/>
    <col min="700" max="704" width="11.44140625" style="82"/>
    <col min="705" max="705" width="25.33203125" style="82" bestFit="1" customWidth="1"/>
    <col min="706" max="706" width="16.33203125" style="82" bestFit="1" customWidth="1"/>
    <col min="707" max="707" width="11.44140625" style="82"/>
    <col min="708" max="708" width="11.33203125" style="82" customWidth="1"/>
    <col min="709" max="713" width="11.44140625" style="82"/>
    <col min="714" max="714" width="25.33203125" style="82" bestFit="1" customWidth="1"/>
    <col min="715" max="715" width="16.33203125" style="82" bestFit="1" customWidth="1"/>
    <col min="716" max="716" width="11.44140625" style="82"/>
    <col min="717" max="717" width="11.33203125" style="82" customWidth="1"/>
    <col min="718" max="722" width="11.44140625" style="82"/>
    <col min="723" max="723" width="25.33203125" style="82" bestFit="1" customWidth="1"/>
    <col min="724" max="724" width="16.33203125" style="82" bestFit="1" customWidth="1"/>
    <col min="725" max="725" width="11.44140625" style="82"/>
    <col min="726" max="726" width="11.33203125" style="82" customWidth="1"/>
    <col min="727" max="731" width="11.44140625" style="82"/>
    <col min="732" max="732" width="25.33203125" style="82" bestFit="1" customWidth="1"/>
    <col min="733" max="733" width="16.33203125" style="82" bestFit="1" customWidth="1"/>
    <col min="734" max="734" width="11.44140625" style="82"/>
    <col min="735" max="735" width="11.33203125" style="82" customWidth="1"/>
    <col min="736" max="740" width="11.44140625" style="82"/>
    <col min="741" max="741" width="25.33203125" style="82" bestFit="1" customWidth="1"/>
    <col min="742" max="742" width="16.33203125" style="82" bestFit="1" customWidth="1"/>
    <col min="743" max="743" width="11.44140625" style="82"/>
    <col min="744" max="744" width="11.33203125" style="82" customWidth="1"/>
    <col min="745" max="749" width="11.44140625" style="82"/>
    <col min="750" max="750" width="25.33203125" style="82" bestFit="1" customWidth="1"/>
    <col min="751" max="751" width="16.33203125" style="82" bestFit="1" customWidth="1"/>
    <col min="752" max="752" width="11.44140625" style="82"/>
    <col min="753" max="753" width="11.33203125" style="82" customWidth="1"/>
    <col min="754" max="758" width="11.44140625" style="82"/>
    <col min="759" max="759" width="25.33203125" style="82" bestFit="1" customWidth="1"/>
    <col min="760" max="760" width="16.33203125" style="82" bestFit="1" customWidth="1"/>
    <col min="761" max="761" width="11.44140625" style="82"/>
    <col min="762" max="762" width="11.33203125" style="82" customWidth="1"/>
    <col min="763" max="767" width="11.44140625" style="82"/>
    <col min="768" max="768" width="25.33203125" style="82" bestFit="1" customWidth="1"/>
    <col min="769" max="769" width="16.33203125" style="82" bestFit="1" customWidth="1"/>
    <col min="770" max="770" width="11.44140625" style="82"/>
    <col min="771" max="771" width="11.33203125" style="82" customWidth="1"/>
    <col min="772" max="776" width="11.44140625" style="82"/>
    <col min="777" max="777" width="25.33203125" style="82" bestFit="1" customWidth="1"/>
    <col min="778" max="778" width="16.33203125" style="82" bestFit="1" customWidth="1"/>
    <col min="779" max="779" width="11.44140625" style="82"/>
    <col min="780" max="780" width="11.33203125" style="82" customWidth="1"/>
    <col min="781" max="785" width="11.44140625" style="82"/>
    <col min="786" max="786" width="25.33203125" style="82" bestFit="1" customWidth="1"/>
    <col min="787" max="787" width="16.33203125" style="82" bestFit="1" customWidth="1"/>
    <col min="788" max="788" width="11.44140625" style="82"/>
    <col min="789" max="789" width="11.33203125" style="82" customWidth="1"/>
    <col min="790" max="794" width="11.44140625" style="82"/>
    <col min="795" max="795" width="25.33203125" style="82" bestFit="1" customWidth="1"/>
    <col min="796" max="796" width="16.33203125" style="82" bestFit="1" customWidth="1"/>
    <col min="797" max="797" width="11.44140625" style="82"/>
    <col min="798" max="798" width="11.33203125" style="82" customWidth="1"/>
    <col min="799" max="803" width="11.44140625" style="82"/>
    <col min="804" max="804" width="25.33203125" style="82" bestFit="1" customWidth="1"/>
    <col min="805" max="805" width="16.33203125" style="82" bestFit="1" customWidth="1"/>
    <col min="806" max="806" width="11.44140625" style="82"/>
    <col min="807" max="807" width="11.33203125" style="82" customWidth="1"/>
    <col min="808" max="16384" width="11.44140625" style="82"/>
  </cols>
  <sheetData>
    <row r="1" spans="1:811" ht="36.75" customHeight="1" thickBot="1" x14ac:dyDescent="0.7">
      <c r="B1" s="433" t="s">
        <v>35</v>
      </c>
      <c r="C1" s="434"/>
      <c r="D1" s="434"/>
      <c r="E1" s="422"/>
      <c r="F1" s="435"/>
      <c r="G1" s="436"/>
      <c r="H1" s="436"/>
      <c r="I1" s="436"/>
      <c r="K1" s="1027" t="s">
        <v>167</v>
      </c>
      <c r="L1" s="1027"/>
      <c r="M1" s="1027"/>
      <c r="N1" s="1027"/>
      <c r="O1" s="1027"/>
      <c r="P1" s="1027"/>
      <c r="Q1" s="1027"/>
      <c r="R1" s="437">
        <f>I1+1</f>
        <v>1</v>
      </c>
      <c r="S1" s="437"/>
      <c r="U1" s="1025" t="str">
        <f>K1</f>
        <v>ENTRADA DEL MES DE   NOVIEMBRE       2020</v>
      </c>
      <c r="V1" s="1025"/>
      <c r="W1" s="1025"/>
      <c r="X1" s="1025"/>
      <c r="Y1" s="1025"/>
      <c r="Z1" s="1025"/>
      <c r="AA1" s="1025"/>
      <c r="AB1" s="437">
        <f>R1+1</f>
        <v>2</v>
      </c>
      <c r="AC1" s="895"/>
      <c r="AE1" s="1025" t="str">
        <f>U1</f>
        <v>ENTRADA DEL MES DE   NOVIEMBRE       2020</v>
      </c>
      <c r="AF1" s="1025"/>
      <c r="AG1" s="1025"/>
      <c r="AH1" s="1025"/>
      <c r="AI1" s="1025"/>
      <c r="AJ1" s="1025"/>
      <c r="AK1" s="1025"/>
      <c r="AL1" s="437">
        <f>AB1+1</f>
        <v>3</v>
      </c>
      <c r="AM1" s="437"/>
      <c r="AO1" s="1025" t="str">
        <f>AE1</f>
        <v>ENTRADA DEL MES DE   NOVIEMBRE       2020</v>
      </c>
      <c r="AP1" s="1025"/>
      <c r="AQ1" s="1025"/>
      <c r="AR1" s="1025"/>
      <c r="AS1" s="1025"/>
      <c r="AT1" s="1025"/>
      <c r="AU1" s="1025"/>
      <c r="AV1" s="437">
        <f>AL1+1</f>
        <v>4</v>
      </c>
      <c r="AX1" s="1025" t="str">
        <f>AO1</f>
        <v>ENTRADA DEL MES DE   NOVIEMBRE       2020</v>
      </c>
      <c r="AY1" s="1025"/>
      <c r="AZ1" s="1025"/>
      <c r="BA1" s="1025"/>
      <c r="BB1" s="1025"/>
      <c r="BC1" s="1025"/>
      <c r="BD1" s="1025"/>
      <c r="BE1" s="437">
        <f>AV1+1</f>
        <v>5</v>
      </c>
      <c r="BG1" s="1025" t="str">
        <f>AX1</f>
        <v>ENTRADA DEL MES DE   NOVIEMBRE       2020</v>
      </c>
      <c r="BH1" s="1025"/>
      <c r="BI1" s="1025"/>
      <c r="BJ1" s="1025"/>
      <c r="BK1" s="1025"/>
      <c r="BL1" s="1025"/>
      <c r="BM1" s="1025"/>
      <c r="BN1" s="437">
        <f>BE1+1</f>
        <v>6</v>
      </c>
      <c r="BP1" s="1025" t="str">
        <f>BG1</f>
        <v>ENTRADA DEL MES DE   NOVIEMBRE       2020</v>
      </c>
      <c r="BQ1" s="1025"/>
      <c r="BR1" s="1025"/>
      <c r="BS1" s="1025"/>
      <c r="BT1" s="1025"/>
      <c r="BU1" s="1025"/>
      <c r="BV1" s="1025"/>
      <c r="BW1" s="437">
        <f>BN1+1</f>
        <v>7</v>
      </c>
      <c r="BY1" s="1025" t="str">
        <f>BP1</f>
        <v>ENTRADA DEL MES DE   NOVIEMBRE       2020</v>
      </c>
      <c r="BZ1" s="1025"/>
      <c r="CA1" s="1025"/>
      <c r="CB1" s="1025"/>
      <c r="CC1" s="1025"/>
      <c r="CD1" s="1025"/>
      <c r="CE1" s="1025"/>
      <c r="CF1" s="437">
        <f>BW1+1</f>
        <v>8</v>
      </c>
      <c r="CI1" s="1025" t="str">
        <f>BY1</f>
        <v>ENTRADA DEL MES DE   NOVIEMBRE       2020</v>
      </c>
      <c r="CJ1" s="1025"/>
      <c r="CK1" s="1025"/>
      <c r="CL1" s="1025"/>
      <c r="CM1" s="1025"/>
      <c r="CN1" s="1025"/>
      <c r="CO1" s="1025"/>
      <c r="CP1" s="437">
        <f>CF1+1</f>
        <v>9</v>
      </c>
      <c r="CQ1" s="895"/>
      <c r="CS1" s="1025" t="str">
        <f>CI1</f>
        <v>ENTRADA DEL MES DE   NOVIEMBRE       2020</v>
      </c>
      <c r="CT1" s="1025"/>
      <c r="CU1" s="1025"/>
      <c r="CV1" s="1025"/>
      <c r="CW1" s="1025"/>
      <c r="CX1" s="1025"/>
      <c r="CY1" s="1025"/>
      <c r="CZ1" s="437">
        <f>CP1+1</f>
        <v>10</v>
      </c>
      <c r="DA1" s="895"/>
      <c r="DC1" s="1025" t="str">
        <f>CS1</f>
        <v>ENTRADA DEL MES DE   NOVIEMBRE       2020</v>
      </c>
      <c r="DD1" s="1025"/>
      <c r="DE1" s="1025"/>
      <c r="DF1" s="1025"/>
      <c r="DG1" s="1025"/>
      <c r="DH1" s="1025"/>
      <c r="DI1" s="1025"/>
      <c r="DJ1" s="437">
        <f>CZ1+1</f>
        <v>11</v>
      </c>
      <c r="DK1" s="895"/>
      <c r="DM1" s="1025" t="str">
        <f>DC1</f>
        <v>ENTRADA DEL MES DE   NOVIEMBRE       2020</v>
      </c>
      <c r="DN1" s="1025"/>
      <c r="DO1" s="1025"/>
      <c r="DP1" s="1025"/>
      <c r="DQ1" s="1025"/>
      <c r="DR1" s="1025"/>
      <c r="DS1" s="1025"/>
      <c r="DT1" s="437">
        <f>DJ1+1</f>
        <v>12</v>
      </c>
      <c r="DW1" s="1025" t="str">
        <f>DM1</f>
        <v>ENTRADA DEL MES DE   NOVIEMBRE       2020</v>
      </c>
      <c r="DX1" s="1025"/>
      <c r="DY1" s="1025"/>
      <c r="DZ1" s="1025"/>
      <c r="EA1" s="1025"/>
      <c r="EB1" s="1025"/>
      <c r="EC1" s="1025"/>
      <c r="ED1" s="437">
        <f>DT1+1</f>
        <v>13</v>
      </c>
      <c r="EE1" s="895"/>
      <c r="EG1" s="1025" t="str">
        <f>DW1</f>
        <v>ENTRADA DEL MES DE   NOVIEMBRE       2020</v>
      </c>
      <c r="EH1" s="1025"/>
      <c r="EI1" s="1025"/>
      <c r="EJ1" s="1025"/>
      <c r="EK1" s="1025"/>
      <c r="EL1" s="1025"/>
      <c r="EM1" s="1025"/>
      <c r="EN1" s="437">
        <f>ED1+1</f>
        <v>14</v>
      </c>
      <c r="EO1" s="895"/>
      <c r="EQ1" s="1025" t="str">
        <f>EG1</f>
        <v>ENTRADA DEL MES DE   NOVIEMBRE       2020</v>
      </c>
      <c r="ER1" s="1025"/>
      <c r="ES1" s="1025"/>
      <c r="ET1" s="1025"/>
      <c r="EU1" s="1025"/>
      <c r="EV1" s="1025"/>
      <c r="EW1" s="1025"/>
      <c r="EX1" s="437">
        <f>EN1+1</f>
        <v>15</v>
      </c>
      <c r="EY1" s="895"/>
      <c r="FA1" s="1025" t="str">
        <f>EQ1</f>
        <v>ENTRADA DEL MES DE   NOVIEMBRE       2020</v>
      </c>
      <c r="FB1" s="1025"/>
      <c r="FC1" s="1025"/>
      <c r="FD1" s="1025"/>
      <c r="FE1" s="1025"/>
      <c r="FF1" s="1025"/>
      <c r="FG1" s="1025"/>
      <c r="FH1" s="437">
        <f>EX1+1</f>
        <v>16</v>
      </c>
      <c r="FI1" s="895"/>
      <c r="FK1" s="1025" t="str">
        <f>FA1</f>
        <v>ENTRADA DEL MES DE   NOVIEMBRE       2020</v>
      </c>
      <c r="FL1" s="1025"/>
      <c r="FM1" s="1025"/>
      <c r="FN1" s="1025"/>
      <c r="FO1" s="1025"/>
      <c r="FP1" s="1025"/>
      <c r="FQ1" s="1025"/>
      <c r="FR1" s="437">
        <f>FH1+1</f>
        <v>17</v>
      </c>
      <c r="FS1" s="895"/>
      <c r="FU1" s="1025" t="str">
        <f>FK1</f>
        <v>ENTRADA DEL MES DE   NOVIEMBRE       2020</v>
      </c>
      <c r="FV1" s="1025"/>
      <c r="FW1" s="1025"/>
      <c r="FX1" s="1025"/>
      <c r="FY1" s="1025"/>
      <c r="FZ1" s="1025"/>
      <c r="GA1" s="1025"/>
      <c r="GB1" s="437">
        <f>FR1+1</f>
        <v>18</v>
      </c>
      <c r="GC1" s="895"/>
      <c r="GD1" s="82" t="s">
        <v>37</v>
      </c>
      <c r="GE1" s="1025" t="str">
        <f>FU1</f>
        <v>ENTRADA DEL MES DE   NOVIEMBRE       2020</v>
      </c>
      <c r="GF1" s="1025"/>
      <c r="GG1" s="1025"/>
      <c r="GH1" s="1025"/>
      <c r="GI1" s="1025"/>
      <c r="GJ1" s="1025"/>
      <c r="GK1" s="1025"/>
      <c r="GL1" s="437">
        <f>GB1+1</f>
        <v>19</v>
      </c>
      <c r="GM1" s="895"/>
      <c r="GO1" s="1025" t="str">
        <f>GE1</f>
        <v>ENTRADA DEL MES DE   NOVIEMBRE       2020</v>
      </c>
      <c r="GP1" s="1025"/>
      <c r="GQ1" s="1025"/>
      <c r="GR1" s="1025"/>
      <c r="GS1" s="1025"/>
      <c r="GT1" s="1025"/>
      <c r="GU1" s="1025"/>
      <c r="GV1" s="437">
        <f>GL1+1</f>
        <v>20</v>
      </c>
      <c r="GW1" s="895"/>
      <c r="GY1" s="1025" t="str">
        <f>GO1</f>
        <v>ENTRADA DEL MES DE   NOVIEMBRE       2020</v>
      </c>
      <c r="GZ1" s="1025"/>
      <c r="HA1" s="1025"/>
      <c r="HB1" s="1025"/>
      <c r="HC1" s="1025"/>
      <c r="HD1" s="1025"/>
      <c r="HE1" s="1025"/>
      <c r="HF1" s="437">
        <f>GV1+1</f>
        <v>21</v>
      </c>
      <c r="HG1" s="895"/>
      <c r="HI1" s="1025" t="str">
        <f>GY1</f>
        <v>ENTRADA DEL MES DE   NOVIEMBRE       2020</v>
      </c>
      <c r="HJ1" s="1025"/>
      <c r="HK1" s="1025"/>
      <c r="HL1" s="1025"/>
      <c r="HM1" s="1025"/>
      <c r="HN1" s="1025"/>
      <c r="HO1" s="1025"/>
      <c r="HP1" s="437">
        <f>HF1+1</f>
        <v>22</v>
      </c>
      <c r="HQ1" s="895"/>
      <c r="HS1" s="1025" t="str">
        <f>HI1</f>
        <v>ENTRADA DEL MES DE   NOVIEMBRE       2020</v>
      </c>
      <c r="HT1" s="1025"/>
      <c r="HU1" s="1025"/>
      <c r="HV1" s="1025"/>
      <c r="HW1" s="1025"/>
      <c r="HX1" s="1025"/>
      <c r="HY1" s="1025"/>
      <c r="HZ1" s="437">
        <f>HP1+1</f>
        <v>23</v>
      </c>
      <c r="IA1" s="895"/>
      <c r="IC1" s="1025" t="str">
        <f>HS1</f>
        <v>ENTRADA DEL MES DE   NOVIEMBRE       2020</v>
      </c>
      <c r="ID1" s="1025"/>
      <c r="IE1" s="1025"/>
      <c r="IF1" s="1025"/>
      <c r="IG1" s="1025"/>
      <c r="IH1" s="1025"/>
      <c r="II1" s="1025"/>
      <c r="IJ1" s="437">
        <f>HZ1+1</f>
        <v>24</v>
      </c>
      <c r="IK1" s="895"/>
      <c r="IM1" s="1025" t="str">
        <f>IC1</f>
        <v>ENTRADA DEL MES DE   NOVIEMBRE       2020</v>
      </c>
      <c r="IN1" s="1025"/>
      <c r="IO1" s="1025"/>
      <c r="IP1" s="1025"/>
      <c r="IQ1" s="1025"/>
      <c r="IR1" s="1025"/>
      <c r="IS1" s="1025"/>
      <c r="IT1" s="437">
        <f>IJ1+1</f>
        <v>25</v>
      </c>
      <c r="IU1" s="895"/>
      <c r="IW1" s="1025" t="str">
        <f>IM1</f>
        <v>ENTRADA DEL MES DE   NOVIEMBRE       2020</v>
      </c>
      <c r="IX1" s="1025"/>
      <c r="IY1" s="1025"/>
      <c r="IZ1" s="1025"/>
      <c r="JA1" s="1025"/>
      <c r="JB1" s="1025"/>
      <c r="JC1" s="1025"/>
      <c r="JD1" s="437">
        <f>IT1+1</f>
        <v>26</v>
      </c>
      <c r="JE1" s="895"/>
      <c r="JG1" s="1033" t="str">
        <f>IW1</f>
        <v>ENTRADA DEL MES DE   NOVIEMBRE       2020</v>
      </c>
      <c r="JH1" s="1033"/>
      <c r="JI1" s="1033"/>
      <c r="JJ1" s="1033"/>
      <c r="JK1" s="1033"/>
      <c r="JL1" s="1033"/>
      <c r="JM1" s="1033"/>
      <c r="JN1" s="437">
        <f>JD1+1</f>
        <v>27</v>
      </c>
      <c r="JO1" s="895"/>
      <c r="JQ1" s="1025" t="str">
        <f>JG1</f>
        <v>ENTRADA DEL MES DE   NOVIEMBRE       2020</v>
      </c>
      <c r="JR1" s="1025"/>
      <c r="JS1" s="1025"/>
      <c r="JT1" s="1025"/>
      <c r="JU1" s="1025"/>
      <c r="JV1" s="1025"/>
      <c r="JW1" s="1025"/>
      <c r="JX1" s="437">
        <f>JN1+1</f>
        <v>28</v>
      </c>
      <c r="JY1" s="895"/>
      <c r="KA1" s="1025" t="str">
        <f>JQ1</f>
        <v>ENTRADA DEL MES DE   NOVIEMBRE       2020</v>
      </c>
      <c r="KB1" s="1025"/>
      <c r="KC1" s="1025"/>
      <c r="KD1" s="1025"/>
      <c r="KE1" s="1025"/>
      <c r="KF1" s="1025"/>
      <c r="KG1" s="1025"/>
      <c r="KH1" s="437">
        <f>JX1+1</f>
        <v>29</v>
      </c>
      <c r="KI1" s="895"/>
      <c r="KK1" s="1025" t="str">
        <f>KA1</f>
        <v>ENTRADA DEL MES DE   NOVIEMBRE       2020</v>
      </c>
      <c r="KL1" s="1025"/>
      <c r="KM1" s="1025"/>
      <c r="KN1" s="1025"/>
      <c r="KO1" s="1025"/>
      <c r="KP1" s="1025"/>
      <c r="KQ1" s="1025"/>
      <c r="KR1" s="437">
        <f>KH1+1</f>
        <v>30</v>
      </c>
      <c r="KS1" s="895"/>
      <c r="KU1" s="1025" t="str">
        <f>KK1</f>
        <v>ENTRADA DEL MES DE   NOVIEMBRE       2020</v>
      </c>
      <c r="KV1" s="1025"/>
      <c r="KW1" s="1025"/>
      <c r="KX1" s="1025"/>
      <c r="KY1" s="1025"/>
      <c r="KZ1" s="1025"/>
      <c r="LA1" s="1025"/>
      <c r="LB1" s="437">
        <f>KR1+1</f>
        <v>31</v>
      </c>
      <c r="LC1" s="895"/>
      <c r="LE1" s="1025" t="str">
        <f>KU1</f>
        <v>ENTRADA DEL MES DE   NOVIEMBRE       2020</v>
      </c>
      <c r="LF1" s="1025"/>
      <c r="LG1" s="1025"/>
      <c r="LH1" s="1025"/>
      <c r="LI1" s="1025"/>
      <c r="LJ1" s="1025"/>
      <c r="LK1" s="1025"/>
      <c r="LL1" s="437">
        <f>LB1+1</f>
        <v>32</v>
      </c>
      <c r="LM1" s="895"/>
      <c r="LO1" s="1025" t="str">
        <f>LE1</f>
        <v>ENTRADA DEL MES DE   NOVIEMBRE       2020</v>
      </c>
      <c r="LP1" s="1025"/>
      <c r="LQ1" s="1025"/>
      <c r="LR1" s="1025"/>
      <c r="LS1" s="1025"/>
      <c r="LT1" s="1025"/>
      <c r="LU1" s="1025"/>
      <c r="LV1" s="437">
        <f>LL1+1</f>
        <v>33</v>
      </c>
      <c r="LX1" s="1025" t="str">
        <f>LO1</f>
        <v>ENTRADA DEL MES DE   NOVIEMBRE       2020</v>
      </c>
      <c r="LY1" s="1025"/>
      <c r="LZ1" s="1025"/>
      <c r="MA1" s="1025"/>
      <c r="MB1" s="1025"/>
      <c r="MC1" s="1025"/>
      <c r="MD1" s="1025"/>
      <c r="ME1" s="437">
        <f>LV1+1</f>
        <v>34</v>
      </c>
      <c r="MG1" s="1025" t="str">
        <f>LX1</f>
        <v>ENTRADA DEL MES DE   NOVIEMBRE       2020</v>
      </c>
      <c r="MH1" s="1025"/>
      <c r="MI1" s="1025"/>
      <c r="MJ1" s="1025"/>
      <c r="MK1" s="1025"/>
      <c r="ML1" s="1025"/>
      <c r="MM1" s="1025"/>
      <c r="MN1" s="437">
        <f>ME1+1</f>
        <v>35</v>
      </c>
      <c r="MP1" s="1025" t="str">
        <f>MG1</f>
        <v>ENTRADA DEL MES DE   NOVIEMBRE       2020</v>
      </c>
      <c r="MQ1" s="1025"/>
      <c r="MR1" s="1025"/>
      <c r="MS1" s="1025"/>
      <c r="MT1" s="1025"/>
      <c r="MU1" s="1025"/>
      <c r="MV1" s="1025"/>
      <c r="MW1" s="437">
        <f>MN1+1</f>
        <v>36</v>
      </c>
      <c r="MY1" s="1025" t="str">
        <f>MP1</f>
        <v>ENTRADA DEL MES DE   NOVIEMBRE       2020</v>
      </c>
      <c r="MZ1" s="1025"/>
      <c r="NA1" s="1025"/>
      <c r="NB1" s="1025"/>
      <c r="NC1" s="1025"/>
      <c r="ND1" s="1025"/>
      <c r="NE1" s="1025"/>
      <c r="NF1" s="437">
        <f>MW1+1</f>
        <v>37</v>
      </c>
      <c r="NH1" s="1025" t="str">
        <f>MY1</f>
        <v>ENTRADA DEL MES DE   NOVIEMBRE       2020</v>
      </c>
      <c r="NI1" s="1025"/>
      <c r="NJ1" s="1025"/>
      <c r="NK1" s="1025"/>
      <c r="NL1" s="1025"/>
      <c r="NM1" s="1025"/>
      <c r="NN1" s="1025"/>
      <c r="NO1" s="437">
        <f>NF1+1</f>
        <v>38</v>
      </c>
      <c r="NQ1" s="1025" t="str">
        <f>NH1</f>
        <v>ENTRADA DEL MES DE   NOVIEMBRE       2020</v>
      </c>
      <c r="NR1" s="1025"/>
      <c r="NS1" s="1025"/>
      <c r="NT1" s="1025"/>
      <c r="NU1" s="1025"/>
      <c r="NV1" s="1025"/>
      <c r="NW1" s="1025"/>
      <c r="NX1" s="437">
        <f>NO1+1</f>
        <v>39</v>
      </c>
      <c r="NZ1" s="1025" t="str">
        <f>NQ1</f>
        <v>ENTRADA DEL MES DE   NOVIEMBRE       2020</v>
      </c>
      <c r="OA1" s="1025"/>
      <c r="OB1" s="1025"/>
      <c r="OC1" s="1025"/>
      <c r="OD1" s="1025"/>
      <c r="OE1" s="1025"/>
      <c r="OF1" s="1025"/>
      <c r="OG1" s="437">
        <f>NX1+1</f>
        <v>40</v>
      </c>
      <c r="OI1" s="1025" t="str">
        <f>NZ1</f>
        <v>ENTRADA DEL MES DE   NOVIEMBRE       2020</v>
      </c>
      <c r="OJ1" s="1025"/>
      <c r="OK1" s="1025"/>
      <c r="OL1" s="1025"/>
      <c r="OM1" s="1025"/>
      <c r="ON1" s="1025"/>
      <c r="OO1" s="1025"/>
      <c r="OP1" s="437">
        <f>OG1+1</f>
        <v>41</v>
      </c>
      <c r="OR1" s="1025" t="str">
        <f>OI1</f>
        <v>ENTRADA DEL MES DE   NOVIEMBRE       2020</v>
      </c>
      <c r="OS1" s="1025"/>
      <c r="OT1" s="1025"/>
      <c r="OU1" s="1025"/>
      <c r="OV1" s="1025"/>
      <c r="OW1" s="1025"/>
      <c r="OX1" s="1025"/>
      <c r="OY1" s="437">
        <f>OP1+1</f>
        <v>42</v>
      </c>
      <c r="PA1" s="1025" t="str">
        <f>OR1</f>
        <v>ENTRADA DEL MES DE   NOVIEMBRE       2020</v>
      </c>
      <c r="PB1" s="1025"/>
      <c r="PC1" s="1025"/>
      <c r="PD1" s="1025"/>
      <c r="PE1" s="1025"/>
      <c r="PF1" s="1025"/>
      <c r="PG1" s="1025"/>
      <c r="PH1" s="437">
        <f>OY1+1</f>
        <v>43</v>
      </c>
      <c r="PJ1" s="1025" t="str">
        <f>PA1</f>
        <v>ENTRADA DEL MES DE   NOVIEMBRE       2020</v>
      </c>
      <c r="PK1" s="1025"/>
      <c r="PL1" s="1025"/>
      <c r="PM1" s="1025"/>
      <c r="PN1" s="1025"/>
      <c r="PO1" s="1025"/>
      <c r="PP1" s="1025"/>
      <c r="PQ1" s="437">
        <f>PH1+1</f>
        <v>44</v>
      </c>
      <c r="PS1" s="1025" t="str">
        <f>PJ1</f>
        <v>ENTRADA DEL MES DE   NOVIEMBRE       2020</v>
      </c>
      <c r="PT1" s="1025"/>
      <c r="PU1" s="1025"/>
      <c r="PV1" s="1025"/>
      <c r="PW1" s="1025"/>
      <c r="PX1" s="1025"/>
      <c r="PY1" s="1025"/>
      <c r="PZ1" s="437">
        <f>PQ1+1</f>
        <v>45</v>
      </c>
      <c r="QB1" s="1025" t="str">
        <f>PS1</f>
        <v>ENTRADA DEL MES DE   NOVIEMBRE       2020</v>
      </c>
      <c r="QC1" s="1025"/>
      <c r="QD1" s="1025"/>
      <c r="QE1" s="1025"/>
      <c r="QF1" s="1025"/>
      <c r="QG1" s="1025"/>
      <c r="QH1" s="1025"/>
      <c r="QI1" s="437">
        <f>PZ1+1</f>
        <v>46</v>
      </c>
      <c r="QK1" s="1025" t="str">
        <f>QB1</f>
        <v>ENTRADA DEL MES DE   NOVIEMBRE       2020</v>
      </c>
      <c r="QL1" s="1025"/>
      <c r="QM1" s="1025"/>
      <c r="QN1" s="1025"/>
      <c r="QO1" s="1025"/>
      <c r="QP1" s="1025"/>
      <c r="QQ1" s="1025"/>
      <c r="QR1" s="437">
        <f>QI1+1</f>
        <v>47</v>
      </c>
      <c r="QT1" s="1025" t="str">
        <f>QK1</f>
        <v>ENTRADA DEL MES DE   NOVIEMBRE       2020</v>
      </c>
      <c r="QU1" s="1025"/>
      <c r="QV1" s="1025"/>
      <c r="QW1" s="1025"/>
      <c r="QX1" s="1025"/>
      <c r="QY1" s="1025"/>
      <c r="QZ1" s="1025"/>
      <c r="RA1" s="437">
        <f>QR1+1</f>
        <v>48</v>
      </c>
      <c r="RC1" s="1025" t="str">
        <f>QT1</f>
        <v>ENTRADA DEL MES DE   NOVIEMBRE       2020</v>
      </c>
      <c r="RD1" s="1025"/>
      <c r="RE1" s="1025"/>
      <c r="RF1" s="1025"/>
      <c r="RG1" s="1025"/>
      <c r="RH1" s="1025"/>
      <c r="RI1" s="1025"/>
      <c r="RJ1" s="437">
        <f>RA1+1</f>
        <v>49</v>
      </c>
      <c r="RL1" s="1025" t="str">
        <f>RC1</f>
        <v>ENTRADA DEL MES DE   NOVIEMBRE       2020</v>
      </c>
      <c r="RM1" s="1025"/>
      <c r="RN1" s="1025"/>
      <c r="RO1" s="1025"/>
      <c r="RP1" s="1025"/>
      <c r="RQ1" s="1025"/>
      <c r="RR1" s="1025"/>
      <c r="RS1" s="437">
        <f>RJ1+1</f>
        <v>50</v>
      </c>
      <c r="RU1" s="1025" t="str">
        <f>RL1</f>
        <v>ENTRADA DEL MES DE   NOVIEMBRE       2020</v>
      </c>
      <c r="RV1" s="1025"/>
      <c r="RW1" s="1025"/>
      <c r="RX1" s="1025"/>
      <c r="RY1" s="1025"/>
      <c r="RZ1" s="1025"/>
      <c r="SA1" s="1025"/>
      <c r="SB1" s="437">
        <f>RS1+1</f>
        <v>51</v>
      </c>
      <c r="SD1" s="1025" t="str">
        <f>RU1</f>
        <v>ENTRADA DEL MES DE   NOVIEMBRE       2020</v>
      </c>
      <c r="SE1" s="1025"/>
      <c r="SF1" s="1025"/>
      <c r="SG1" s="1025"/>
      <c r="SH1" s="1025"/>
      <c r="SI1" s="1025"/>
      <c r="SJ1" s="1025"/>
      <c r="SK1" s="437">
        <f>SB1+1</f>
        <v>52</v>
      </c>
      <c r="SM1" s="1025" t="str">
        <f>SD1</f>
        <v>ENTRADA DEL MES DE   NOVIEMBRE       2020</v>
      </c>
      <c r="SN1" s="1025"/>
      <c r="SO1" s="1025"/>
      <c r="SP1" s="1025"/>
      <c r="SQ1" s="1025"/>
      <c r="SR1" s="1025"/>
      <c r="SS1" s="1025"/>
      <c r="ST1" s="437">
        <f>SK1+1</f>
        <v>53</v>
      </c>
      <c r="SV1" s="1025" t="str">
        <f>SM1</f>
        <v>ENTRADA DEL MES DE   NOVIEMBRE       2020</v>
      </c>
      <c r="SW1" s="1025"/>
      <c r="SX1" s="1025"/>
      <c r="SY1" s="1025"/>
      <c r="SZ1" s="1025"/>
      <c r="TA1" s="1025"/>
      <c r="TB1" s="1025"/>
      <c r="TC1" s="437">
        <f>ST1+1</f>
        <v>54</v>
      </c>
      <c r="TE1" s="1025" t="str">
        <f>SV1</f>
        <v>ENTRADA DEL MES DE   NOVIEMBRE       2020</v>
      </c>
      <c r="TF1" s="1025"/>
      <c r="TG1" s="1025"/>
      <c r="TH1" s="1025"/>
      <c r="TI1" s="1025"/>
      <c r="TJ1" s="1025"/>
      <c r="TK1" s="1025"/>
      <c r="TL1" s="437">
        <f>TC1+1</f>
        <v>55</v>
      </c>
      <c r="TN1" s="1025" t="str">
        <f>TE1</f>
        <v>ENTRADA DEL MES DE   NOVIEMBRE       2020</v>
      </c>
      <c r="TO1" s="1025"/>
      <c r="TP1" s="1025"/>
      <c r="TQ1" s="1025"/>
      <c r="TR1" s="1025"/>
      <c r="TS1" s="1025"/>
      <c r="TT1" s="1025"/>
      <c r="TU1" s="437">
        <f>TL1+1</f>
        <v>56</v>
      </c>
      <c r="TW1" s="1025" t="str">
        <f>TN1</f>
        <v>ENTRADA DEL MES DE   NOVIEMBRE       2020</v>
      </c>
      <c r="TX1" s="1025"/>
      <c r="TY1" s="1025"/>
      <c r="TZ1" s="1025"/>
      <c r="UA1" s="1025"/>
      <c r="UB1" s="1025"/>
      <c r="UC1" s="1025"/>
      <c r="UD1" s="437">
        <f>TU1+1</f>
        <v>57</v>
      </c>
      <c r="UF1" s="1025" t="str">
        <f>TW1</f>
        <v>ENTRADA DEL MES DE   NOVIEMBRE       2020</v>
      </c>
      <c r="UG1" s="1025"/>
      <c r="UH1" s="1025"/>
      <c r="UI1" s="1025"/>
      <c r="UJ1" s="1025"/>
      <c r="UK1" s="1025"/>
      <c r="UL1" s="1025"/>
      <c r="UM1" s="437">
        <f>UD1+1</f>
        <v>58</v>
      </c>
      <c r="UO1" s="1025" t="str">
        <f>UF1</f>
        <v>ENTRADA DEL MES DE   NOVIEMBRE       2020</v>
      </c>
      <c r="UP1" s="1025"/>
      <c r="UQ1" s="1025"/>
      <c r="UR1" s="1025"/>
      <c r="US1" s="1025"/>
      <c r="UT1" s="1025"/>
      <c r="UU1" s="1025"/>
      <c r="UV1" s="437">
        <f>UM1+1</f>
        <v>59</v>
      </c>
      <c r="UX1" s="1025" t="str">
        <f>UO1</f>
        <v>ENTRADA DEL MES DE   NOVIEMBRE       2020</v>
      </c>
      <c r="UY1" s="1025"/>
      <c r="UZ1" s="1025"/>
      <c r="VA1" s="1025"/>
      <c r="VB1" s="1025"/>
      <c r="VC1" s="1025"/>
      <c r="VD1" s="1025"/>
      <c r="VE1" s="437">
        <f>UV1+1</f>
        <v>60</v>
      </c>
      <c r="VG1" s="1025" t="str">
        <f>UX1</f>
        <v>ENTRADA DEL MES DE   NOVIEMBRE       2020</v>
      </c>
      <c r="VH1" s="1025"/>
      <c r="VI1" s="1025"/>
      <c r="VJ1" s="1025"/>
      <c r="VK1" s="1025"/>
      <c r="VL1" s="1025"/>
      <c r="VM1" s="1025"/>
      <c r="VN1" s="437">
        <f>VE1+1</f>
        <v>61</v>
      </c>
      <c r="VP1" s="1025" t="str">
        <f>VG1</f>
        <v>ENTRADA DEL MES DE   NOVIEMBRE       2020</v>
      </c>
      <c r="VQ1" s="1025"/>
      <c r="VR1" s="1025"/>
      <c r="VS1" s="1025"/>
      <c r="VT1" s="1025"/>
      <c r="VU1" s="1025"/>
      <c r="VV1" s="1025"/>
      <c r="VW1" s="437">
        <f>VN1+1</f>
        <v>62</v>
      </c>
      <c r="VY1" s="1025" t="str">
        <f>VP1</f>
        <v>ENTRADA DEL MES DE   NOVIEMBRE       2020</v>
      </c>
      <c r="VZ1" s="1025"/>
      <c r="WA1" s="1025"/>
      <c r="WB1" s="1025"/>
      <c r="WC1" s="1025"/>
      <c r="WD1" s="1025"/>
      <c r="WE1" s="1025"/>
      <c r="WF1" s="437">
        <f>VW1+1</f>
        <v>63</v>
      </c>
      <c r="WH1" s="1025" t="str">
        <f>VY1</f>
        <v>ENTRADA DEL MES DE   NOVIEMBRE       2020</v>
      </c>
      <c r="WI1" s="1025"/>
      <c r="WJ1" s="1025"/>
      <c r="WK1" s="1025"/>
      <c r="WL1" s="1025"/>
      <c r="WM1" s="1025"/>
      <c r="WN1" s="1025"/>
      <c r="WO1" s="437">
        <f>WF1+1</f>
        <v>64</v>
      </c>
      <c r="WQ1" s="1025" t="str">
        <f>WH1</f>
        <v>ENTRADA DEL MES DE   NOVIEMBRE       2020</v>
      </c>
      <c r="WR1" s="1025"/>
      <c r="WS1" s="1025"/>
      <c r="WT1" s="1025"/>
      <c r="WU1" s="1025"/>
      <c r="WV1" s="1025"/>
      <c r="WW1" s="1025"/>
      <c r="WX1" s="437">
        <f>WO1+1</f>
        <v>65</v>
      </c>
      <c r="WZ1" s="1025" t="str">
        <f>WQ1</f>
        <v>ENTRADA DEL MES DE   NOVIEMBRE       2020</v>
      </c>
      <c r="XA1" s="1025"/>
      <c r="XB1" s="1025"/>
      <c r="XC1" s="1025"/>
      <c r="XD1" s="1025"/>
      <c r="XE1" s="1025"/>
      <c r="XF1" s="1025"/>
      <c r="XG1" s="437">
        <f>WX1+1</f>
        <v>66</v>
      </c>
      <c r="XI1" s="1025" t="str">
        <f>WZ1</f>
        <v>ENTRADA DEL MES DE   NOVIEMBRE       2020</v>
      </c>
      <c r="XJ1" s="1025"/>
      <c r="XK1" s="1025"/>
      <c r="XL1" s="1025"/>
      <c r="XM1" s="1025"/>
      <c r="XN1" s="1025"/>
      <c r="XO1" s="1025"/>
      <c r="XP1" s="437">
        <f>XG1+1</f>
        <v>67</v>
      </c>
      <c r="XR1" s="1025" t="str">
        <f>XI1</f>
        <v>ENTRADA DEL MES DE   NOVIEMBRE       2020</v>
      </c>
      <c r="XS1" s="1025"/>
      <c r="XT1" s="1025"/>
      <c r="XU1" s="1025"/>
      <c r="XV1" s="1025"/>
      <c r="XW1" s="1025"/>
      <c r="XX1" s="1025"/>
      <c r="XY1" s="437">
        <f>XP1+1</f>
        <v>68</v>
      </c>
      <c r="YA1" s="1025" t="str">
        <f>XR1</f>
        <v>ENTRADA DEL MES DE   NOVIEMBRE       2020</v>
      </c>
      <c r="YB1" s="1025"/>
      <c r="YC1" s="1025"/>
      <c r="YD1" s="1025"/>
      <c r="YE1" s="1025"/>
      <c r="YF1" s="1025"/>
      <c r="YG1" s="1025"/>
      <c r="YH1" s="437">
        <f>XY1+1</f>
        <v>69</v>
      </c>
      <c r="YJ1" s="1025" t="str">
        <f>YA1</f>
        <v>ENTRADA DEL MES DE   NOVIEMBRE       2020</v>
      </c>
      <c r="YK1" s="1025"/>
      <c r="YL1" s="1025"/>
      <c r="YM1" s="1025"/>
      <c r="YN1" s="1025"/>
      <c r="YO1" s="1025"/>
      <c r="YP1" s="1025"/>
      <c r="YQ1" s="437">
        <f>YH1+1</f>
        <v>70</v>
      </c>
      <c r="YS1" s="1025" t="str">
        <f>YJ1</f>
        <v>ENTRADA DEL MES DE   NOVIEMBRE       2020</v>
      </c>
      <c r="YT1" s="1025"/>
      <c r="YU1" s="1025"/>
      <c r="YV1" s="1025"/>
      <c r="YW1" s="1025"/>
      <c r="YX1" s="1025"/>
      <c r="YY1" s="1025"/>
      <c r="YZ1" s="437">
        <f>YQ1+1</f>
        <v>71</v>
      </c>
      <c r="ZB1" s="1025" t="str">
        <f>YS1</f>
        <v>ENTRADA DEL MES DE   NOVIEMBRE       2020</v>
      </c>
      <c r="ZC1" s="1025"/>
      <c r="ZD1" s="1025"/>
      <c r="ZE1" s="1025"/>
      <c r="ZF1" s="1025"/>
      <c r="ZG1" s="1025"/>
      <c r="ZH1" s="1025"/>
      <c r="ZI1" s="437">
        <f>YZ1+1</f>
        <v>72</v>
      </c>
      <c r="ZK1" s="1025" t="str">
        <f>ZB1</f>
        <v>ENTRADA DEL MES DE   NOVIEMBRE       2020</v>
      </c>
      <c r="ZL1" s="1025"/>
      <c r="ZM1" s="1025"/>
      <c r="ZN1" s="1025"/>
      <c r="ZO1" s="1025"/>
      <c r="ZP1" s="1025"/>
      <c r="ZQ1" s="1025"/>
      <c r="ZR1" s="437">
        <f>ZI1+1</f>
        <v>73</v>
      </c>
      <c r="ZT1" s="1025" t="str">
        <f>ZK1</f>
        <v>ENTRADA DEL MES DE   NOVIEMBRE       2020</v>
      </c>
      <c r="ZU1" s="1025"/>
      <c r="ZV1" s="1025"/>
      <c r="ZW1" s="1025"/>
      <c r="ZX1" s="1025"/>
      <c r="ZY1" s="1025"/>
      <c r="ZZ1" s="1025"/>
      <c r="AAA1" s="437">
        <f>ZR1+1</f>
        <v>74</v>
      </c>
      <c r="AAC1" s="1025" t="str">
        <f>ZT1</f>
        <v>ENTRADA DEL MES DE   NOVIEMBRE       2020</v>
      </c>
      <c r="AAD1" s="1025"/>
      <c r="AAE1" s="1025"/>
      <c r="AAF1" s="1025"/>
      <c r="AAG1" s="1025"/>
      <c r="AAH1" s="1025"/>
      <c r="AAI1" s="1025"/>
      <c r="AAJ1" s="437">
        <f>AAA1+1</f>
        <v>75</v>
      </c>
      <c r="AAL1" s="1025" t="str">
        <f>AAC1</f>
        <v>ENTRADA DEL MES DE   NOVIEMBRE       2020</v>
      </c>
      <c r="AAM1" s="1025"/>
      <c r="AAN1" s="1025"/>
      <c r="AAO1" s="1025"/>
      <c r="AAP1" s="1025"/>
      <c r="AAQ1" s="1025"/>
      <c r="AAR1" s="1025"/>
      <c r="AAS1" s="437">
        <f>AAJ1+1</f>
        <v>76</v>
      </c>
      <c r="AAU1" s="1025" t="str">
        <f>AAL1</f>
        <v>ENTRADA DEL MES DE   NOVIEMBRE       2020</v>
      </c>
      <c r="AAV1" s="1025"/>
      <c r="AAW1" s="1025"/>
      <c r="AAX1" s="1025"/>
      <c r="AAY1" s="1025"/>
      <c r="AAZ1" s="1025"/>
      <c r="ABA1" s="1025"/>
      <c r="ABB1" s="437">
        <f>AAS1+1</f>
        <v>77</v>
      </c>
      <c r="ABD1" s="1025" t="str">
        <f>AAU1</f>
        <v>ENTRADA DEL MES DE   NOVIEMBRE       2020</v>
      </c>
      <c r="ABE1" s="1025"/>
      <c r="ABF1" s="1025"/>
      <c r="ABG1" s="1025"/>
      <c r="ABH1" s="1025"/>
      <c r="ABI1" s="1025"/>
      <c r="ABJ1" s="1025"/>
      <c r="ABK1" s="437">
        <f>ABB1+1</f>
        <v>78</v>
      </c>
      <c r="ABM1" s="1025" t="str">
        <f>ABD1</f>
        <v>ENTRADA DEL MES DE   NOVIEMBRE       2020</v>
      </c>
      <c r="ABN1" s="1025"/>
      <c r="ABO1" s="1025"/>
      <c r="ABP1" s="1025"/>
      <c r="ABQ1" s="1025"/>
      <c r="ABR1" s="1025"/>
      <c r="ABS1" s="1025"/>
      <c r="ABT1" s="437">
        <f>ABK1+1</f>
        <v>79</v>
      </c>
      <c r="ABV1" s="1025" t="str">
        <f>ABM1</f>
        <v>ENTRADA DEL MES DE   NOVIEMBRE       2020</v>
      </c>
      <c r="ABW1" s="1025"/>
      <c r="ABX1" s="1025"/>
      <c r="ABY1" s="1025"/>
      <c r="ABZ1" s="1025"/>
      <c r="ACA1" s="1025"/>
      <c r="ACB1" s="1025"/>
      <c r="ACC1" s="437">
        <f>ABT1+1</f>
        <v>80</v>
      </c>
      <c r="ACE1" s="1025" t="str">
        <f>ABV1</f>
        <v>ENTRADA DEL MES DE   NOVIEMBRE       2020</v>
      </c>
      <c r="ACF1" s="1025"/>
      <c r="ACG1" s="1025"/>
      <c r="ACH1" s="1025"/>
      <c r="ACI1" s="1025"/>
      <c r="ACJ1" s="1025"/>
      <c r="ACK1" s="1025"/>
      <c r="ACL1" s="437">
        <f>ACC1+1</f>
        <v>81</v>
      </c>
      <c r="ACN1" s="1025" t="str">
        <f>ACE1</f>
        <v>ENTRADA DEL MES DE   NOVIEMBRE       2020</v>
      </c>
      <c r="ACO1" s="1025"/>
      <c r="ACP1" s="1025"/>
      <c r="ACQ1" s="1025"/>
      <c r="ACR1" s="1025"/>
      <c r="ACS1" s="1025"/>
      <c r="ACT1" s="1025"/>
      <c r="ACU1" s="437">
        <f>ACL1+1</f>
        <v>82</v>
      </c>
      <c r="ACW1" s="1025" t="str">
        <f>ACN1</f>
        <v>ENTRADA DEL MES DE   NOVIEMBRE       2020</v>
      </c>
      <c r="ACX1" s="1025"/>
      <c r="ACY1" s="1025"/>
      <c r="ACZ1" s="1025"/>
      <c r="ADA1" s="1025"/>
      <c r="ADB1" s="1025"/>
      <c r="ADC1" s="1025"/>
      <c r="ADD1" s="437">
        <f>ACU1+1</f>
        <v>83</v>
      </c>
      <c r="ADF1" s="1025" t="str">
        <f>ACW1</f>
        <v>ENTRADA DEL MES DE   NOVIEMBRE       2020</v>
      </c>
      <c r="ADG1" s="1025"/>
      <c r="ADH1" s="1025"/>
      <c r="ADI1" s="1025"/>
      <c r="ADJ1" s="1025"/>
      <c r="ADK1" s="1025"/>
      <c r="ADL1" s="1025"/>
      <c r="ADM1" s="437">
        <f>ADD1+1</f>
        <v>84</v>
      </c>
      <c r="ADO1" s="1025" t="str">
        <f>ADF1</f>
        <v>ENTRADA DEL MES DE   NOVIEMBRE       2020</v>
      </c>
      <c r="ADP1" s="1025"/>
      <c r="ADQ1" s="1025"/>
      <c r="ADR1" s="1025"/>
      <c r="ADS1" s="1025"/>
      <c r="ADT1" s="1025"/>
      <c r="ADU1" s="1025"/>
      <c r="ADV1" s="437">
        <f>ADM1+1</f>
        <v>85</v>
      </c>
      <c r="ADX1" s="1025" t="str">
        <f>ADO1</f>
        <v>ENTRADA DEL MES DE   NOVIEMBRE       2020</v>
      </c>
      <c r="ADY1" s="1025"/>
      <c r="ADZ1" s="1025"/>
      <c r="AEA1" s="1025"/>
      <c r="AEB1" s="1025"/>
      <c r="AEC1" s="1025"/>
      <c r="AED1" s="1025"/>
      <c r="AEE1" s="437">
        <f>ADV1+1</f>
        <v>86</v>
      </c>
    </row>
    <row r="2" spans="1:811" ht="16.8" thickTop="1" thickBot="1" x14ac:dyDescent="0.35">
      <c r="A2" s="438" t="s">
        <v>14</v>
      </c>
      <c r="B2" s="439" t="s">
        <v>0</v>
      </c>
      <c r="C2" s="440" t="s">
        <v>10</v>
      </c>
      <c r="D2" s="441"/>
      <c r="E2" s="423" t="s">
        <v>25</v>
      </c>
      <c r="F2" s="442" t="s">
        <v>3</v>
      </c>
      <c r="G2" s="443" t="s">
        <v>8</v>
      </c>
      <c r="H2" s="444" t="s">
        <v>5</v>
      </c>
      <c r="I2" s="439" t="s">
        <v>6</v>
      </c>
      <c r="BY2" s="82" t="s">
        <v>41</v>
      </c>
      <c r="QA2" s="82">
        <v>0</v>
      </c>
    </row>
    <row r="3" spans="1:811" ht="16.8" thickTop="1" thickBot="1" x14ac:dyDescent="0.35">
      <c r="D3" s="110"/>
      <c r="F3" s="93"/>
      <c r="G3" s="79"/>
      <c r="H3" s="49"/>
      <c r="I3" s="113">
        <v>0</v>
      </c>
      <c r="K3" s="78" t="s">
        <v>0</v>
      </c>
      <c r="L3" s="78" t="s">
        <v>1</v>
      </c>
      <c r="M3" s="78"/>
      <c r="N3" s="78" t="s">
        <v>2</v>
      </c>
      <c r="O3" s="78" t="s">
        <v>3</v>
      </c>
      <c r="P3" s="78" t="s">
        <v>4</v>
      </c>
      <c r="Q3" s="445" t="s">
        <v>20</v>
      </c>
      <c r="R3" s="446" t="s">
        <v>6</v>
      </c>
      <c r="S3" s="868"/>
      <c r="U3" s="78" t="s">
        <v>0</v>
      </c>
      <c r="V3" s="78" t="s">
        <v>1</v>
      </c>
      <c r="W3" s="78"/>
      <c r="X3" s="78" t="s">
        <v>2</v>
      </c>
      <c r="Y3" s="78" t="s">
        <v>3</v>
      </c>
      <c r="Z3" s="78" t="s">
        <v>4</v>
      </c>
      <c r="AA3" s="445" t="s">
        <v>20</v>
      </c>
      <c r="AB3" s="446" t="s">
        <v>6</v>
      </c>
      <c r="AC3" s="896"/>
      <c r="AE3" s="78" t="s">
        <v>0</v>
      </c>
      <c r="AF3" s="78" t="s">
        <v>1</v>
      </c>
      <c r="AG3" s="78"/>
      <c r="AH3" s="78" t="s">
        <v>2</v>
      </c>
      <c r="AI3" s="78" t="s">
        <v>3</v>
      </c>
      <c r="AJ3" s="78" t="s">
        <v>4</v>
      </c>
      <c r="AK3" s="445" t="s">
        <v>20</v>
      </c>
      <c r="AL3" s="446" t="s">
        <v>6</v>
      </c>
      <c r="AM3" s="868"/>
      <c r="AO3" s="78" t="s">
        <v>0</v>
      </c>
      <c r="AP3" s="78" t="s">
        <v>1</v>
      </c>
      <c r="AQ3" s="78"/>
      <c r="AR3" s="78" t="s">
        <v>2</v>
      </c>
      <c r="AS3" s="78" t="s">
        <v>3</v>
      </c>
      <c r="AT3" s="78" t="s">
        <v>4</v>
      </c>
      <c r="AU3" s="445" t="s">
        <v>20</v>
      </c>
      <c r="AV3" s="446" t="s">
        <v>6</v>
      </c>
      <c r="AX3" s="78" t="s">
        <v>0</v>
      </c>
      <c r="AY3" s="126" t="s">
        <v>1</v>
      </c>
      <c r="AZ3" s="78"/>
      <c r="BA3" s="78" t="s">
        <v>2</v>
      </c>
      <c r="BB3" s="78" t="s">
        <v>3</v>
      </c>
      <c r="BC3" s="78" t="s">
        <v>4</v>
      </c>
      <c r="BD3" s="445" t="s">
        <v>20</v>
      </c>
      <c r="BE3" s="446" t="s">
        <v>6</v>
      </c>
      <c r="BG3" s="78" t="s">
        <v>0</v>
      </c>
      <c r="BH3" s="78" t="s">
        <v>1</v>
      </c>
      <c r="BI3" s="78"/>
      <c r="BJ3" s="78" t="s">
        <v>2</v>
      </c>
      <c r="BK3" s="78" t="s">
        <v>3</v>
      </c>
      <c r="BL3" s="78" t="s">
        <v>4</v>
      </c>
      <c r="BM3" s="445" t="s">
        <v>20</v>
      </c>
      <c r="BN3" s="446" t="s">
        <v>6</v>
      </c>
      <c r="BP3" s="78" t="s">
        <v>0</v>
      </c>
      <c r="BQ3" s="78" t="s">
        <v>1</v>
      </c>
      <c r="BR3" s="78"/>
      <c r="BS3" s="78" t="s">
        <v>2</v>
      </c>
      <c r="BT3" s="78" t="s">
        <v>3</v>
      </c>
      <c r="BU3" s="78" t="s">
        <v>4</v>
      </c>
      <c r="BV3" s="445" t="s">
        <v>20</v>
      </c>
      <c r="BW3" s="446" t="s">
        <v>6</v>
      </c>
      <c r="BY3" s="78" t="s">
        <v>0</v>
      </c>
      <c r="BZ3" s="78" t="s">
        <v>1</v>
      </c>
      <c r="CA3" s="78"/>
      <c r="CB3" s="78" t="s">
        <v>2</v>
      </c>
      <c r="CC3" s="78" t="s">
        <v>3</v>
      </c>
      <c r="CD3" s="78" t="s">
        <v>4</v>
      </c>
      <c r="CE3" s="445" t="s">
        <v>20</v>
      </c>
      <c r="CF3" s="446" t="s">
        <v>6</v>
      </c>
      <c r="CI3" s="78" t="s">
        <v>0</v>
      </c>
      <c r="CJ3" s="78" t="s">
        <v>1</v>
      </c>
      <c r="CK3" s="78"/>
      <c r="CL3" s="78" t="s">
        <v>2</v>
      </c>
      <c r="CM3" s="78" t="s">
        <v>3</v>
      </c>
      <c r="CN3" s="78" t="s">
        <v>4</v>
      </c>
      <c r="CO3" s="445" t="s">
        <v>20</v>
      </c>
      <c r="CP3" s="446" t="s">
        <v>6</v>
      </c>
      <c r="CQ3" s="896"/>
      <c r="CS3" s="78" t="s">
        <v>0</v>
      </c>
      <c r="CT3" s="78" t="s">
        <v>1</v>
      </c>
      <c r="CU3" s="78"/>
      <c r="CV3" s="78" t="s">
        <v>2</v>
      </c>
      <c r="CW3" s="78" t="s">
        <v>3</v>
      </c>
      <c r="CX3" s="78" t="s">
        <v>4</v>
      </c>
      <c r="CY3" s="445" t="s">
        <v>20</v>
      </c>
      <c r="CZ3" s="446" t="s">
        <v>6</v>
      </c>
      <c r="DA3" s="896"/>
      <c r="DC3" s="78" t="s">
        <v>0</v>
      </c>
      <c r="DD3" s="78" t="s">
        <v>1</v>
      </c>
      <c r="DE3" s="78"/>
      <c r="DF3" s="78" t="s">
        <v>2</v>
      </c>
      <c r="DG3" s="78" t="s">
        <v>3</v>
      </c>
      <c r="DH3" s="78" t="s">
        <v>4</v>
      </c>
      <c r="DI3" s="445" t="s">
        <v>20</v>
      </c>
      <c r="DJ3" s="446" t="s">
        <v>6</v>
      </c>
      <c r="DK3" s="896"/>
      <c r="DM3" s="78" t="s">
        <v>0</v>
      </c>
      <c r="DN3" s="78" t="s">
        <v>1</v>
      </c>
      <c r="DO3" s="78"/>
      <c r="DP3" s="78" t="s">
        <v>2</v>
      </c>
      <c r="DQ3" s="78" t="s">
        <v>3</v>
      </c>
      <c r="DR3" s="78" t="s">
        <v>4</v>
      </c>
      <c r="DS3" s="445" t="s">
        <v>20</v>
      </c>
      <c r="DT3" s="446" t="s">
        <v>6</v>
      </c>
      <c r="DW3" s="78" t="s">
        <v>0</v>
      </c>
      <c r="DX3" s="78" t="s">
        <v>1</v>
      </c>
      <c r="DY3" s="78"/>
      <c r="DZ3" s="78" t="s">
        <v>2</v>
      </c>
      <c r="EA3" s="78" t="s">
        <v>3</v>
      </c>
      <c r="EB3" s="78" t="s">
        <v>4</v>
      </c>
      <c r="EC3" s="445" t="s">
        <v>20</v>
      </c>
      <c r="ED3" s="446" t="s">
        <v>6</v>
      </c>
      <c r="EE3" s="896"/>
      <c r="EG3" s="78" t="s">
        <v>0</v>
      </c>
      <c r="EH3" s="78" t="s">
        <v>1</v>
      </c>
      <c r="EI3" s="78"/>
      <c r="EJ3" s="78" t="s">
        <v>2</v>
      </c>
      <c r="EK3" s="78" t="s">
        <v>3</v>
      </c>
      <c r="EL3" s="78" t="s">
        <v>4</v>
      </c>
      <c r="EM3" s="445" t="s">
        <v>20</v>
      </c>
      <c r="EN3" s="446" t="s">
        <v>6</v>
      </c>
      <c r="EO3" s="896"/>
      <c r="EQ3" s="78" t="s">
        <v>0</v>
      </c>
      <c r="ER3" s="78" t="s">
        <v>1</v>
      </c>
      <c r="ES3" s="78"/>
      <c r="ET3" s="78" t="s">
        <v>2</v>
      </c>
      <c r="EU3" s="78" t="s">
        <v>3</v>
      </c>
      <c r="EV3" s="78" t="s">
        <v>4</v>
      </c>
      <c r="EW3" s="445" t="s">
        <v>20</v>
      </c>
      <c r="EX3" s="446" t="s">
        <v>6</v>
      </c>
      <c r="EY3" s="896"/>
      <c r="FA3" s="78" t="s">
        <v>0</v>
      </c>
      <c r="FB3" s="78" t="s">
        <v>1</v>
      </c>
      <c r="FC3" s="78"/>
      <c r="FD3" s="78" t="s">
        <v>2</v>
      </c>
      <c r="FE3" s="78" t="s">
        <v>3</v>
      </c>
      <c r="FF3" s="78" t="s">
        <v>4</v>
      </c>
      <c r="FG3" s="445" t="s">
        <v>20</v>
      </c>
      <c r="FH3" s="446" t="s">
        <v>6</v>
      </c>
      <c r="FI3" s="896"/>
      <c r="FK3" s="78" t="s">
        <v>0</v>
      </c>
      <c r="FL3" s="78" t="s">
        <v>1</v>
      </c>
      <c r="FM3" s="78"/>
      <c r="FN3" s="78" t="s">
        <v>2</v>
      </c>
      <c r="FO3" s="78" t="s">
        <v>3</v>
      </c>
      <c r="FP3" s="78" t="s">
        <v>4</v>
      </c>
      <c r="FQ3" s="445" t="s">
        <v>20</v>
      </c>
      <c r="FR3" s="446" t="s">
        <v>6</v>
      </c>
      <c r="FS3" s="896"/>
      <c r="FU3" s="78" t="s">
        <v>0</v>
      </c>
      <c r="FV3" s="78" t="s">
        <v>1</v>
      </c>
      <c r="FW3" s="78"/>
      <c r="FX3" s="78" t="s">
        <v>2</v>
      </c>
      <c r="FY3" s="78" t="s">
        <v>3</v>
      </c>
      <c r="FZ3" s="78" t="s">
        <v>4</v>
      </c>
      <c r="GA3" s="445" t="s">
        <v>20</v>
      </c>
      <c r="GB3" s="446" t="s">
        <v>6</v>
      </c>
      <c r="GC3" s="896"/>
      <c r="GE3" s="78" t="s">
        <v>0</v>
      </c>
      <c r="GF3" s="78" t="s">
        <v>1</v>
      </c>
      <c r="GG3" s="78"/>
      <c r="GH3" s="78" t="s">
        <v>2</v>
      </c>
      <c r="GI3" s="78" t="s">
        <v>3</v>
      </c>
      <c r="GJ3" s="78" t="s">
        <v>4</v>
      </c>
      <c r="GK3" s="445" t="s">
        <v>20</v>
      </c>
      <c r="GL3" s="446" t="s">
        <v>6</v>
      </c>
      <c r="GM3" s="896"/>
      <c r="GO3" s="78" t="s">
        <v>0</v>
      </c>
      <c r="GP3" s="78" t="s">
        <v>1</v>
      </c>
      <c r="GQ3" s="78"/>
      <c r="GR3" s="78" t="s">
        <v>2</v>
      </c>
      <c r="GS3" s="78" t="s">
        <v>3</v>
      </c>
      <c r="GT3" s="78" t="s">
        <v>4</v>
      </c>
      <c r="GU3" s="445" t="s">
        <v>20</v>
      </c>
      <c r="GV3" s="446" t="s">
        <v>6</v>
      </c>
      <c r="GW3" s="896"/>
      <c r="GY3" s="78" t="s">
        <v>0</v>
      </c>
      <c r="GZ3" s="78" t="s">
        <v>1</v>
      </c>
      <c r="HA3" s="78"/>
      <c r="HB3" s="78" t="s">
        <v>2</v>
      </c>
      <c r="HC3" s="78" t="s">
        <v>3</v>
      </c>
      <c r="HD3" s="78" t="s">
        <v>4</v>
      </c>
      <c r="HE3" s="447" t="s">
        <v>20</v>
      </c>
      <c r="HF3" s="446" t="s">
        <v>6</v>
      </c>
      <c r="HG3" s="896"/>
      <c r="HI3" s="78" t="s">
        <v>0</v>
      </c>
      <c r="HJ3" s="78" t="s">
        <v>1</v>
      </c>
      <c r="HK3" s="78"/>
      <c r="HL3" s="78" t="s">
        <v>2</v>
      </c>
      <c r="HM3" s="78" t="s">
        <v>3</v>
      </c>
      <c r="HN3" s="78" t="s">
        <v>4</v>
      </c>
      <c r="HO3" s="445" t="s">
        <v>20</v>
      </c>
      <c r="HP3" s="446" t="s">
        <v>6</v>
      </c>
      <c r="HQ3" s="896"/>
      <c r="HS3" s="78" t="s">
        <v>0</v>
      </c>
      <c r="HT3" s="78" t="s">
        <v>1</v>
      </c>
      <c r="HU3" s="78"/>
      <c r="HV3" s="78" t="s">
        <v>2</v>
      </c>
      <c r="HW3" s="78" t="s">
        <v>3</v>
      </c>
      <c r="HX3" s="78" t="s">
        <v>4</v>
      </c>
      <c r="HY3" s="445" t="s">
        <v>20</v>
      </c>
      <c r="HZ3" s="446" t="s">
        <v>6</v>
      </c>
      <c r="IA3" s="896"/>
      <c r="IC3" s="78" t="s">
        <v>0</v>
      </c>
      <c r="ID3" s="78" t="s">
        <v>1</v>
      </c>
      <c r="IE3" s="78"/>
      <c r="IF3" s="78" t="s">
        <v>2</v>
      </c>
      <c r="IG3" s="78" t="s">
        <v>3</v>
      </c>
      <c r="IH3" s="78" t="s">
        <v>4</v>
      </c>
      <c r="II3" s="445" t="s">
        <v>20</v>
      </c>
      <c r="IJ3" s="446" t="s">
        <v>6</v>
      </c>
      <c r="IK3" s="896"/>
      <c r="IM3" s="78" t="s">
        <v>0</v>
      </c>
      <c r="IN3" s="78" t="s">
        <v>1</v>
      </c>
      <c r="IO3" s="78"/>
      <c r="IP3" s="78" t="s">
        <v>2</v>
      </c>
      <c r="IQ3" s="78" t="s">
        <v>3</v>
      </c>
      <c r="IR3" s="78" t="s">
        <v>4</v>
      </c>
      <c r="IS3" s="445" t="s">
        <v>20</v>
      </c>
      <c r="IT3" s="446" t="s">
        <v>6</v>
      </c>
      <c r="IU3" s="896"/>
      <c r="IW3" s="78" t="s">
        <v>0</v>
      </c>
      <c r="IX3" s="78" t="s">
        <v>1</v>
      </c>
      <c r="IY3" s="78"/>
      <c r="IZ3" s="78" t="s">
        <v>2</v>
      </c>
      <c r="JA3" s="78" t="s">
        <v>3</v>
      </c>
      <c r="JB3" s="78" t="s">
        <v>4</v>
      </c>
      <c r="JC3" s="445" t="s">
        <v>20</v>
      </c>
      <c r="JD3" s="446" t="s">
        <v>6</v>
      </c>
      <c r="JE3" s="896"/>
      <c r="JG3" s="78" t="s">
        <v>0</v>
      </c>
      <c r="JH3" s="78" t="s">
        <v>1</v>
      </c>
      <c r="JI3" s="78"/>
      <c r="JJ3" s="78" t="s">
        <v>2</v>
      </c>
      <c r="JK3" s="78" t="s">
        <v>3</v>
      </c>
      <c r="JL3" s="78" t="s">
        <v>4</v>
      </c>
      <c r="JM3" s="445" t="s">
        <v>20</v>
      </c>
      <c r="JN3" s="446" t="s">
        <v>6</v>
      </c>
      <c r="JO3" s="896"/>
      <c r="JQ3" s="78" t="s">
        <v>0</v>
      </c>
      <c r="JR3" s="78" t="s">
        <v>1</v>
      </c>
      <c r="JS3" s="78"/>
      <c r="JT3" s="78" t="s">
        <v>2</v>
      </c>
      <c r="JU3" s="78" t="s">
        <v>3</v>
      </c>
      <c r="JV3" s="78" t="s">
        <v>4</v>
      </c>
      <c r="JW3" s="447" t="s">
        <v>20</v>
      </c>
      <c r="JX3" s="446" t="s">
        <v>6</v>
      </c>
      <c r="JY3" s="896"/>
      <c r="KA3" s="78" t="s">
        <v>0</v>
      </c>
      <c r="KB3" s="78" t="s">
        <v>1</v>
      </c>
      <c r="KC3" s="78"/>
      <c r="KD3" s="78" t="s">
        <v>2</v>
      </c>
      <c r="KE3" s="78" t="s">
        <v>3</v>
      </c>
      <c r="KF3" s="78" t="s">
        <v>4</v>
      </c>
      <c r="KG3" s="445" t="s">
        <v>20</v>
      </c>
      <c r="KH3" s="446" t="s">
        <v>6</v>
      </c>
      <c r="KI3" s="896"/>
      <c r="KK3" s="78" t="s">
        <v>0</v>
      </c>
      <c r="KL3" s="78" t="s">
        <v>1</v>
      </c>
      <c r="KM3" s="78"/>
      <c r="KN3" s="78" t="s">
        <v>2</v>
      </c>
      <c r="KO3" s="78" t="s">
        <v>3</v>
      </c>
      <c r="KP3" s="78" t="s">
        <v>4</v>
      </c>
      <c r="KQ3" s="445" t="s">
        <v>20</v>
      </c>
      <c r="KR3" s="446" t="s">
        <v>6</v>
      </c>
      <c r="KS3" s="896"/>
      <c r="KU3" s="78" t="s">
        <v>0</v>
      </c>
      <c r="KV3" s="78" t="s">
        <v>1</v>
      </c>
      <c r="KW3" s="78"/>
      <c r="KX3" s="78" t="s">
        <v>2</v>
      </c>
      <c r="KY3" s="78" t="s">
        <v>3</v>
      </c>
      <c r="KZ3" s="78" t="s">
        <v>4</v>
      </c>
      <c r="LA3" s="445" t="s">
        <v>20</v>
      </c>
      <c r="LB3" s="446" t="s">
        <v>6</v>
      </c>
      <c r="LC3" s="896"/>
      <c r="LE3" s="78" t="s">
        <v>0</v>
      </c>
      <c r="LF3" s="78" t="s">
        <v>1</v>
      </c>
      <c r="LG3" s="78"/>
      <c r="LH3" s="78" t="s">
        <v>2</v>
      </c>
      <c r="LI3" s="78" t="s">
        <v>3</v>
      </c>
      <c r="LJ3" s="78" t="s">
        <v>4</v>
      </c>
      <c r="LK3" s="445" t="s">
        <v>20</v>
      </c>
      <c r="LL3" s="446" t="s">
        <v>6</v>
      </c>
      <c r="LM3" s="896"/>
      <c r="LO3" s="78" t="s">
        <v>0</v>
      </c>
      <c r="LP3" s="78" t="s">
        <v>1</v>
      </c>
      <c r="LQ3" s="78"/>
      <c r="LR3" s="78" t="s">
        <v>2</v>
      </c>
      <c r="LS3" s="78" t="s">
        <v>3</v>
      </c>
      <c r="LT3" s="78" t="s">
        <v>4</v>
      </c>
      <c r="LU3" s="445" t="s">
        <v>20</v>
      </c>
      <c r="LV3" s="446" t="s">
        <v>6</v>
      </c>
      <c r="LX3" s="78" t="s">
        <v>0</v>
      </c>
      <c r="LY3" s="78" t="s">
        <v>1</v>
      </c>
      <c r="LZ3" s="78"/>
      <c r="MA3" s="78" t="s">
        <v>2</v>
      </c>
      <c r="MB3" s="78" t="s">
        <v>3</v>
      </c>
      <c r="MC3" s="78" t="s">
        <v>4</v>
      </c>
      <c r="MD3" s="445" t="s">
        <v>20</v>
      </c>
      <c r="ME3" s="446" t="s">
        <v>6</v>
      </c>
      <c r="MG3" s="78" t="s">
        <v>0</v>
      </c>
      <c r="MH3" s="78" t="s">
        <v>1</v>
      </c>
      <c r="MI3" s="78"/>
      <c r="MJ3" s="78" t="s">
        <v>2</v>
      </c>
      <c r="MK3" s="78" t="s">
        <v>3</v>
      </c>
      <c r="ML3" s="78" t="s">
        <v>4</v>
      </c>
      <c r="MM3" s="445" t="s">
        <v>20</v>
      </c>
      <c r="MN3" s="446" t="s">
        <v>6</v>
      </c>
      <c r="MP3" s="78" t="s">
        <v>0</v>
      </c>
      <c r="MQ3" s="78" t="s">
        <v>1</v>
      </c>
      <c r="MR3" s="78"/>
      <c r="MS3" s="78" t="s">
        <v>2</v>
      </c>
      <c r="MT3" s="78" t="s">
        <v>3</v>
      </c>
      <c r="MU3" s="78" t="s">
        <v>4</v>
      </c>
      <c r="MV3" s="445" t="s">
        <v>20</v>
      </c>
      <c r="MW3" s="446" t="s">
        <v>6</v>
      </c>
      <c r="MY3" s="78" t="s">
        <v>0</v>
      </c>
      <c r="MZ3" s="78" t="s">
        <v>1</v>
      </c>
      <c r="NA3" s="78"/>
      <c r="NB3" s="78" t="s">
        <v>2</v>
      </c>
      <c r="NC3" s="78" t="s">
        <v>3</v>
      </c>
      <c r="ND3" s="78" t="s">
        <v>4</v>
      </c>
      <c r="NE3" s="445" t="s">
        <v>20</v>
      </c>
      <c r="NF3" s="446" t="s">
        <v>6</v>
      </c>
      <c r="NH3" s="78" t="s">
        <v>0</v>
      </c>
      <c r="NI3" s="78" t="s">
        <v>1</v>
      </c>
      <c r="NJ3" s="78"/>
      <c r="NK3" s="78" t="s">
        <v>2</v>
      </c>
      <c r="NL3" s="78" t="s">
        <v>3</v>
      </c>
      <c r="NM3" s="78" t="s">
        <v>4</v>
      </c>
      <c r="NN3" s="445" t="s">
        <v>20</v>
      </c>
      <c r="NO3" s="446" t="s">
        <v>6</v>
      </c>
      <c r="NQ3" s="78" t="s">
        <v>0</v>
      </c>
      <c r="NR3" s="78" t="s">
        <v>1</v>
      </c>
      <c r="NS3" s="78"/>
      <c r="NT3" s="78" t="s">
        <v>2</v>
      </c>
      <c r="NU3" s="78" t="s">
        <v>3</v>
      </c>
      <c r="NV3" s="78" t="s">
        <v>4</v>
      </c>
      <c r="NW3" s="445" t="s">
        <v>20</v>
      </c>
      <c r="NX3" s="446" t="s">
        <v>6</v>
      </c>
      <c r="NZ3" s="78" t="s">
        <v>0</v>
      </c>
      <c r="OA3" s="78" t="s">
        <v>1</v>
      </c>
      <c r="OB3" s="78"/>
      <c r="OC3" s="78" t="s">
        <v>2</v>
      </c>
      <c r="OD3" s="78" t="s">
        <v>3</v>
      </c>
      <c r="OE3" s="78" t="s">
        <v>4</v>
      </c>
      <c r="OF3" s="445" t="s">
        <v>20</v>
      </c>
      <c r="OG3" s="446" t="s">
        <v>6</v>
      </c>
      <c r="OI3" s="78" t="s">
        <v>0</v>
      </c>
      <c r="OJ3" s="78" t="s">
        <v>1</v>
      </c>
      <c r="OK3" s="78"/>
      <c r="OL3" s="78" t="s">
        <v>2</v>
      </c>
      <c r="OM3" s="78" t="s">
        <v>3</v>
      </c>
      <c r="ON3" s="78" t="s">
        <v>4</v>
      </c>
      <c r="OO3" s="445" t="s">
        <v>20</v>
      </c>
      <c r="OP3" s="446" t="s">
        <v>6</v>
      </c>
      <c r="OR3" s="78" t="s">
        <v>0</v>
      </c>
      <c r="OS3" s="78" t="s">
        <v>1</v>
      </c>
      <c r="OT3" s="78"/>
      <c r="OU3" s="78" t="s">
        <v>2</v>
      </c>
      <c r="OV3" s="78" t="s">
        <v>3</v>
      </c>
      <c r="OW3" s="78" t="s">
        <v>4</v>
      </c>
      <c r="OX3" s="445" t="s">
        <v>20</v>
      </c>
      <c r="OY3" s="446" t="s">
        <v>6</v>
      </c>
      <c r="PA3" s="78" t="s">
        <v>0</v>
      </c>
      <c r="PB3" s="78" t="s">
        <v>1</v>
      </c>
      <c r="PC3" s="78"/>
      <c r="PD3" s="78" t="s">
        <v>2</v>
      </c>
      <c r="PE3" s="78" t="s">
        <v>3</v>
      </c>
      <c r="PF3" s="78" t="s">
        <v>4</v>
      </c>
      <c r="PG3" s="445" t="s">
        <v>20</v>
      </c>
      <c r="PH3" s="446" t="s">
        <v>6</v>
      </c>
      <c r="PJ3" s="78" t="s">
        <v>0</v>
      </c>
      <c r="PK3" s="78" t="s">
        <v>1</v>
      </c>
      <c r="PL3" s="78"/>
      <c r="PM3" s="78" t="s">
        <v>2</v>
      </c>
      <c r="PN3" s="78" t="s">
        <v>3</v>
      </c>
      <c r="PO3" s="78" t="s">
        <v>4</v>
      </c>
      <c r="PP3" s="445" t="s">
        <v>20</v>
      </c>
      <c r="PQ3" s="446" t="s">
        <v>6</v>
      </c>
      <c r="PS3" s="78" t="s">
        <v>0</v>
      </c>
      <c r="PT3" s="78" t="s">
        <v>1</v>
      </c>
      <c r="PU3" s="78"/>
      <c r="PV3" s="78" t="s">
        <v>2</v>
      </c>
      <c r="PW3" s="78" t="s">
        <v>3</v>
      </c>
      <c r="PX3" s="78" t="s">
        <v>4</v>
      </c>
      <c r="PY3" s="445" t="s">
        <v>20</v>
      </c>
      <c r="PZ3" s="446" t="s">
        <v>6</v>
      </c>
      <c r="QB3" s="78" t="s">
        <v>0</v>
      </c>
      <c r="QC3" s="78" t="s">
        <v>1</v>
      </c>
      <c r="QD3" s="78"/>
      <c r="QE3" s="78" t="s">
        <v>2</v>
      </c>
      <c r="QF3" s="78" t="s">
        <v>3</v>
      </c>
      <c r="QG3" s="78" t="s">
        <v>4</v>
      </c>
      <c r="QH3" s="445" t="s">
        <v>20</v>
      </c>
      <c r="QI3" s="446" t="s">
        <v>6</v>
      </c>
      <c r="QK3" s="78" t="s">
        <v>0</v>
      </c>
      <c r="QL3" s="78" t="s">
        <v>1</v>
      </c>
      <c r="QM3" s="78"/>
      <c r="QN3" s="78" t="s">
        <v>2</v>
      </c>
      <c r="QO3" s="78" t="s">
        <v>3</v>
      </c>
      <c r="QP3" s="78" t="s">
        <v>4</v>
      </c>
      <c r="QQ3" s="445" t="s">
        <v>20</v>
      </c>
      <c r="QR3" s="446" t="s">
        <v>6</v>
      </c>
      <c r="QT3" s="78" t="s">
        <v>0</v>
      </c>
      <c r="QU3" s="78" t="s">
        <v>1</v>
      </c>
      <c r="QV3" s="78"/>
      <c r="QW3" s="78" t="s">
        <v>2</v>
      </c>
      <c r="QX3" s="78" t="s">
        <v>3</v>
      </c>
      <c r="QY3" s="78" t="s">
        <v>4</v>
      </c>
      <c r="QZ3" s="445" t="s">
        <v>20</v>
      </c>
      <c r="RA3" s="446" t="s">
        <v>6</v>
      </c>
      <c r="RC3" s="78" t="s">
        <v>0</v>
      </c>
      <c r="RD3" s="78" t="s">
        <v>1</v>
      </c>
      <c r="RE3" s="78"/>
      <c r="RF3" s="78" t="s">
        <v>2</v>
      </c>
      <c r="RG3" s="78" t="s">
        <v>3</v>
      </c>
      <c r="RH3" s="78" t="s">
        <v>4</v>
      </c>
      <c r="RI3" s="445" t="s">
        <v>20</v>
      </c>
      <c r="RJ3" s="446" t="s">
        <v>6</v>
      </c>
      <c r="RL3" s="78" t="s">
        <v>0</v>
      </c>
      <c r="RM3" s="78" t="s">
        <v>1</v>
      </c>
      <c r="RN3" s="78"/>
      <c r="RO3" s="78" t="s">
        <v>2</v>
      </c>
      <c r="RP3" s="78" t="s">
        <v>3</v>
      </c>
      <c r="RQ3" s="78" t="s">
        <v>4</v>
      </c>
      <c r="RR3" s="445" t="s">
        <v>20</v>
      </c>
      <c r="RS3" s="446" t="s">
        <v>6</v>
      </c>
      <c r="RU3" s="78" t="s">
        <v>0</v>
      </c>
      <c r="RV3" s="78" t="s">
        <v>1</v>
      </c>
      <c r="RW3" s="78"/>
      <c r="RX3" s="78" t="s">
        <v>2</v>
      </c>
      <c r="RY3" s="78" t="s">
        <v>3</v>
      </c>
      <c r="RZ3" s="78" t="s">
        <v>4</v>
      </c>
      <c r="SA3" s="445" t="s">
        <v>20</v>
      </c>
      <c r="SB3" s="446" t="s">
        <v>6</v>
      </c>
      <c r="SD3" s="78" t="s">
        <v>0</v>
      </c>
      <c r="SE3" s="78" t="s">
        <v>1</v>
      </c>
      <c r="SF3" s="78"/>
      <c r="SG3" s="78" t="s">
        <v>2</v>
      </c>
      <c r="SH3" s="78" t="s">
        <v>3</v>
      </c>
      <c r="SI3" s="78" t="s">
        <v>4</v>
      </c>
      <c r="SJ3" s="445" t="s">
        <v>20</v>
      </c>
      <c r="SK3" s="446" t="s">
        <v>6</v>
      </c>
      <c r="SM3" s="78" t="s">
        <v>0</v>
      </c>
      <c r="SN3" s="78" t="s">
        <v>1</v>
      </c>
      <c r="SO3" s="78"/>
      <c r="SP3" s="78" t="s">
        <v>2</v>
      </c>
      <c r="SQ3" s="78" t="s">
        <v>3</v>
      </c>
      <c r="SR3" s="78" t="s">
        <v>4</v>
      </c>
      <c r="SS3" s="445" t="s">
        <v>20</v>
      </c>
      <c r="ST3" s="446" t="s">
        <v>6</v>
      </c>
      <c r="SV3" s="78" t="s">
        <v>0</v>
      </c>
      <c r="SW3" s="78" t="s">
        <v>1</v>
      </c>
      <c r="SX3" s="78"/>
      <c r="SY3" s="78" t="s">
        <v>2</v>
      </c>
      <c r="SZ3" s="78" t="s">
        <v>3</v>
      </c>
      <c r="TA3" s="78" t="s">
        <v>4</v>
      </c>
      <c r="TB3" s="445" t="s">
        <v>20</v>
      </c>
      <c r="TC3" s="446" t="s">
        <v>6</v>
      </c>
      <c r="TE3" s="78" t="s">
        <v>0</v>
      </c>
      <c r="TF3" s="78" t="s">
        <v>1</v>
      </c>
      <c r="TG3" s="78"/>
      <c r="TH3" s="78" t="s">
        <v>2</v>
      </c>
      <c r="TI3" s="78" t="s">
        <v>3</v>
      </c>
      <c r="TJ3" s="78" t="s">
        <v>4</v>
      </c>
      <c r="TK3" s="445" t="s">
        <v>20</v>
      </c>
      <c r="TL3" s="446" t="s">
        <v>6</v>
      </c>
      <c r="TN3" s="78" t="s">
        <v>0</v>
      </c>
      <c r="TO3" s="78" t="s">
        <v>1</v>
      </c>
      <c r="TP3" s="78"/>
      <c r="TQ3" s="78" t="s">
        <v>2</v>
      </c>
      <c r="TR3" s="78" t="s">
        <v>3</v>
      </c>
      <c r="TS3" s="78" t="s">
        <v>4</v>
      </c>
      <c r="TT3" s="445" t="s">
        <v>20</v>
      </c>
      <c r="TU3" s="446" t="s">
        <v>6</v>
      </c>
      <c r="TW3" s="78" t="s">
        <v>0</v>
      </c>
      <c r="TX3" s="78" t="s">
        <v>1</v>
      </c>
      <c r="TY3" s="78"/>
      <c r="TZ3" s="78" t="s">
        <v>2</v>
      </c>
      <c r="UA3" s="78" t="s">
        <v>3</v>
      </c>
      <c r="UB3" s="78" t="s">
        <v>4</v>
      </c>
      <c r="UC3" s="445" t="s">
        <v>20</v>
      </c>
      <c r="UD3" s="446" t="s">
        <v>6</v>
      </c>
      <c r="UF3" s="78" t="s">
        <v>0</v>
      </c>
      <c r="UG3" s="78" t="s">
        <v>1</v>
      </c>
      <c r="UH3" s="78"/>
      <c r="UI3" s="78" t="s">
        <v>2</v>
      </c>
      <c r="UJ3" s="78" t="s">
        <v>3</v>
      </c>
      <c r="UK3" s="78" t="s">
        <v>4</v>
      </c>
      <c r="UL3" s="445" t="s">
        <v>20</v>
      </c>
      <c r="UM3" s="446" t="s">
        <v>6</v>
      </c>
      <c r="UO3" s="78" t="s">
        <v>0</v>
      </c>
      <c r="UP3" s="78" t="s">
        <v>1</v>
      </c>
      <c r="UQ3" s="78"/>
      <c r="UR3" s="78" t="s">
        <v>2</v>
      </c>
      <c r="US3" s="78" t="s">
        <v>3</v>
      </c>
      <c r="UT3" s="78" t="s">
        <v>4</v>
      </c>
      <c r="UU3" s="445" t="s">
        <v>20</v>
      </c>
      <c r="UV3" s="446" t="s">
        <v>6</v>
      </c>
      <c r="UX3" s="78" t="s">
        <v>0</v>
      </c>
      <c r="UY3" s="78" t="s">
        <v>1</v>
      </c>
      <c r="UZ3" s="78"/>
      <c r="VA3" s="78" t="s">
        <v>2</v>
      </c>
      <c r="VB3" s="78" t="s">
        <v>3</v>
      </c>
      <c r="VC3" s="78" t="s">
        <v>4</v>
      </c>
      <c r="VD3" s="445" t="s">
        <v>20</v>
      </c>
      <c r="VE3" s="446" t="s">
        <v>6</v>
      </c>
      <c r="VG3" s="78" t="s">
        <v>0</v>
      </c>
      <c r="VH3" s="78" t="s">
        <v>1</v>
      </c>
      <c r="VI3" s="78"/>
      <c r="VJ3" s="78" t="s">
        <v>2</v>
      </c>
      <c r="VK3" s="78" t="s">
        <v>3</v>
      </c>
      <c r="VL3" s="78" t="s">
        <v>4</v>
      </c>
      <c r="VM3" s="445" t="s">
        <v>20</v>
      </c>
      <c r="VN3" s="446" t="s">
        <v>6</v>
      </c>
      <c r="VP3" s="78" t="s">
        <v>0</v>
      </c>
      <c r="VQ3" s="78" t="s">
        <v>1</v>
      </c>
      <c r="VR3" s="78"/>
      <c r="VS3" s="78" t="s">
        <v>2</v>
      </c>
      <c r="VT3" s="78" t="s">
        <v>3</v>
      </c>
      <c r="VU3" s="78" t="s">
        <v>4</v>
      </c>
      <c r="VV3" s="445" t="s">
        <v>20</v>
      </c>
      <c r="VW3" s="446" t="s">
        <v>6</v>
      </c>
      <c r="VY3" s="78" t="s">
        <v>0</v>
      </c>
      <c r="VZ3" s="78" t="s">
        <v>1</v>
      </c>
      <c r="WA3" s="78"/>
      <c r="WB3" s="78" t="s">
        <v>2</v>
      </c>
      <c r="WC3" s="78" t="s">
        <v>3</v>
      </c>
      <c r="WD3" s="78" t="s">
        <v>4</v>
      </c>
      <c r="WE3" s="445" t="s">
        <v>20</v>
      </c>
      <c r="WF3" s="446" t="s">
        <v>6</v>
      </c>
      <c r="WH3" s="78" t="s">
        <v>0</v>
      </c>
      <c r="WI3" s="78" t="s">
        <v>1</v>
      </c>
      <c r="WJ3" s="78"/>
      <c r="WK3" s="78" t="s">
        <v>2</v>
      </c>
      <c r="WL3" s="78" t="s">
        <v>3</v>
      </c>
      <c r="WM3" s="78" t="s">
        <v>4</v>
      </c>
      <c r="WN3" s="445" t="s">
        <v>20</v>
      </c>
      <c r="WO3" s="446" t="s">
        <v>6</v>
      </c>
      <c r="WQ3" s="78" t="s">
        <v>0</v>
      </c>
      <c r="WR3" s="78" t="s">
        <v>1</v>
      </c>
      <c r="WS3" s="78"/>
      <c r="WT3" s="78" t="s">
        <v>2</v>
      </c>
      <c r="WU3" s="78" t="s">
        <v>3</v>
      </c>
      <c r="WV3" s="78" t="s">
        <v>4</v>
      </c>
      <c r="WW3" s="445" t="s">
        <v>20</v>
      </c>
      <c r="WX3" s="446" t="s">
        <v>6</v>
      </c>
      <c r="WZ3" s="78" t="s">
        <v>0</v>
      </c>
      <c r="XA3" s="78" t="s">
        <v>1</v>
      </c>
      <c r="XB3" s="78"/>
      <c r="XC3" s="78" t="s">
        <v>2</v>
      </c>
      <c r="XD3" s="78" t="s">
        <v>3</v>
      </c>
      <c r="XE3" s="78" t="s">
        <v>4</v>
      </c>
      <c r="XF3" s="445" t="s">
        <v>20</v>
      </c>
      <c r="XG3" s="446" t="s">
        <v>6</v>
      </c>
      <c r="XI3" s="78" t="s">
        <v>0</v>
      </c>
      <c r="XJ3" s="78" t="s">
        <v>1</v>
      </c>
      <c r="XK3" s="78"/>
      <c r="XL3" s="78" t="s">
        <v>2</v>
      </c>
      <c r="XM3" s="78" t="s">
        <v>3</v>
      </c>
      <c r="XN3" s="78" t="s">
        <v>4</v>
      </c>
      <c r="XO3" s="445" t="s">
        <v>20</v>
      </c>
      <c r="XP3" s="446" t="s">
        <v>6</v>
      </c>
      <c r="XR3" s="78" t="s">
        <v>0</v>
      </c>
      <c r="XS3" s="78" t="s">
        <v>1</v>
      </c>
      <c r="XT3" s="78"/>
      <c r="XU3" s="78" t="s">
        <v>2</v>
      </c>
      <c r="XV3" s="78" t="s">
        <v>3</v>
      </c>
      <c r="XW3" s="78" t="s">
        <v>4</v>
      </c>
      <c r="XX3" s="445" t="s">
        <v>20</v>
      </c>
      <c r="XY3" s="446" t="s">
        <v>6</v>
      </c>
      <c r="YA3" s="78" t="s">
        <v>0</v>
      </c>
      <c r="YB3" s="78" t="s">
        <v>1</v>
      </c>
      <c r="YC3" s="78"/>
      <c r="YD3" s="78" t="s">
        <v>2</v>
      </c>
      <c r="YE3" s="78" t="s">
        <v>3</v>
      </c>
      <c r="YF3" s="78" t="s">
        <v>4</v>
      </c>
      <c r="YG3" s="445" t="s">
        <v>20</v>
      </c>
      <c r="YH3" s="446" t="s">
        <v>6</v>
      </c>
      <c r="YJ3" s="78" t="s">
        <v>0</v>
      </c>
      <c r="YK3" s="78" t="s">
        <v>1</v>
      </c>
      <c r="YL3" s="78"/>
      <c r="YM3" s="78" t="s">
        <v>2</v>
      </c>
      <c r="YN3" s="78" t="s">
        <v>3</v>
      </c>
      <c r="YO3" s="78" t="s">
        <v>4</v>
      </c>
      <c r="YP3" s="445" t="s">
        <v>20</v>
      </c>
      <c r="YQ3" s="446" t="s">
        <v>6</v>
      </c>
      <c r="YS3" s="78" t="s">
        <v>0</v>
      </c>
      <c r="YT3" s="78" t="s">
        <v>1</v>
      </c>
      <c r="YU3" s="78"/>
      <c r="YV3" s="78" t="s">
        <v>2</v>
      </c>
      <c r="YW3" s="78" t="s">
        <v>3</v>
      </c>
      <c r="YX3" s="78" t="s">
        <v>4</v>
      </c>
      <c r="YY3" s="445" t="s">
        <v>20</v>
      </c>
      <c r="YZ3" s="446" t="s">
        <v>6</v>
      </c>
      <c r="ZB3" s="78" t="s">
        <v>0</v>
      </c>
      <c r="ZC3" s="78" t="s">
        <v>1</v>
      </c>
      <c r="ZD3" s="78"/>
      <c r="ZE3" s="78" t="s">
        <v>2</v>
      </c>
      <c r="ZF3" s="78" t="s">
        <v>3</v>
      </c>
      <c r="ZG3" s="78" t="s">
        <v>4</v>
      </c>
      <c r="ZH3" s="445" t="s">
        <v>20</v>
      </c>
      <c r="ZI3" s="446" t="s">
        <v>6</v>
      </c>
      <c r="ZK3" s="78" t="s">
        <v>0</v>
      </c>
      <c r="ZL3" s="78" t="s">
        <v>1</v>
      </c>
      <c r="ZM3" s="78"/>
      <c r="ZN3" s="78" t="s">
        <v>2</v>
      </c>
      <c r="ZO3" s="78" t="s">
        <v>3</v>
      </c>
      <c r="ZP3" s="78" t="s">
        <v>4</v>
      </c>
      <c r="ZQ3" s="445" t="s">
        <v>20</v>
      </c>
      <c r="ZR3" s="446" t="s">
        <v>6</v>
      </c>
      <c r="ZT3" s="78" t="s">
        <v>0</v>
      </c>
      <c r="ZU3" s="78" t="s">
        <v>1</v>
      </c>
      <c r="ZV3" s="78"/>
      <c r="ZW3" s="78" t="s">
        <v>2</v>
      </c>
      <c r="ZX3" s="78" t="s">
        <v>3</v>
      </c>
      <c r="ZY3" s="78" t="s">
        <v>4</v>
      </c>
      <c r="ZZ3" s="445" t="s">
        <v>20</v>
      </c>
      <c r="AAA3" s="446" t="s">
        <v>6</v>
      </c>
      <c r="AAC3" s="78" t="s">
        <v>0</v>
      </c>
      <c r="AAD3" s="78" t="s">
        <v>1</v>
      </c>
      <c r="AAE3" s="78"/>
      <c r="AAF3" s="78" t="s">
        <v>2</v>
      </c>
      <c r="AAG3" s="78" t="s">
        <v>3</v>
      </c>
      <c r="AAH3" s="78" t="s">
        <v>4</v>
      </c>
      <c r="AAI3" s="445" t="s">
        <v>20</v>
      </c>
      <c r="AAJ3" s="446" t="s">
        <v>6</v>
      </c>
      <c r="AAL3" s="78" t="s">
        <v>0</v>
      </c>
      <c r="AAM3" s="78" t="s">
        <v>1</v>
      </c>
      <c r="AAN3" s="78"/>
      <c r="AAO3" s="78" t="s">
        <v>2</v>
      </c>
      <c r="AAP3" s="78" t="s">
        <v>3</v>
      </c>
      <c r="AAQ3" s="78" t="s">
        <v>4</v>
      </c>
      <c r="AAR3" s="445" t="s">
        <v>20</v>
      </c>
      <c r="AAS3" s="446" t="s">
        <v>6</v>
      </c>
      <c r="AAU3" s="78" t="s">
        <v>0</v>
      </c>
      <c r="AAV3" s="78" t="s">
        <v>1</v>
      </c>
      <c r="AAW3" s="78"/>
      <c r="AAX3" s="78" t="s">
        <v>2</v>
      </c>
      <c r="AAY3" s="78" t="s">
        <v>3</v>
      </c>
      <c r="AAZ3" s="78" t="s">
        <v>4</v>
      </c>
      <c r="ABA3" s="445" t="s">
        <v>20</v>
      </c>
      <c r="ABB3" s="446" t="s">
        <v>6</v>
      </c>
      <c r="ABD3" s="78" t="s">
        <v>0</v>
      </c>
      <c r="ABE3" s="78" t="s">
        <v>1</v>
      </c>
      <c r="ABF3" s="78"/>
      <c r="ABG3" s="78" t="s">
        <v>2</v>
      </c>
      <c r="ABH3" s="78" t="s">
        <v>3</v>
      </c>
      <c r="ABI3" s="78" t="s">
        <v>4</v>
      </c>
      <c r="ABJ3" s="445" t="s">
        <v>20</v>
      </c>
      <c r="ABK3" s="446" t="s">
        <v>6</v>
      </c>
      <c r="ABM3" s="78" t="s">
        <v>0</v>
      </c>
      <c r="ABN3" s="78" t="s">
        <v>1</v>
      </c>
      <c r="ABO3" s="78"/>
      <c r="ABP3" s="78" t="s">
        <v>2</v>
      </c>
      <c r="ABQ3" s="78" t="s">
        <v>3</v>
      </c>
      <c r="ABR3" s="78" t="s">
        <v>4</v>
      </c>
      <c r="ABS3" s="445" t="s">
        <v>20</v>
      </c>
      <c r="ABT3" s="446" t="s">
        <v>6</v>
      </c>
      <c r="ABV3" s="78" t="s">
        <v>0</v>
      </c>
      <c r="ABW3" s="78" t="s">
        <v>1</v>
      </c>
      <c r="ABX3" s="78"/>
      <c r="ABY3" s="78" t="s">
        <v>2</v>
      </c>
      <c r="ABZ3" s="78" t="s">
        <v>3</v>
      </c>
      <c r="ACA3" s="78" t="s">
        <v>4</v>
      </c>
      <c r="ACB3" s="445" t="s">
        <v>20</v>
      </c>
      <c r="ACC3" s="446" t="s">
        <v>6</v>
      </c>
      <c r="ACE3" s="78" t="s">
        <v>0</v>
      </c>
      <c r="ACF3" s="78" t="s">
        <v>1</v>
      </c>
      <c r="ACG3" s="78"/>
      <c r="ACH3" s="78" t="s">
        <v>2</v>
      </c>
      <c r="ACI3" s="78" t="s">
        <v>3</v>
      </c>
      <c r="ACJ3" s="78" t="s">
        <v>4</v>
      </c>
      <c r="ACK3" s="445" t="s">
        <v>20</v>
      </c>
      <c r="ACL3" s="446" t="s">
        <v>6</v>
      </c>
      <c r="ACN3" s="78" t="s">
        <v>0</v>
      </c>
      <c r="ACO3" s="78" t="s">
        <v>1</v>
      </c>
      <c r="ACP3" s="78"/>
      <c r="ACQ3" s="78" t="s">
        <v>2</v>
      </c>
      <c r="ACR3" s="78" t="s">
        <v>3</v>
      </c>
      <c r="ACS3" s="78" t="s">
        <v>4</v>
      </c>
      <c r="ACT3" s="445" t="s">
        <v>20</v>
      </c>
      <c r="ACU3" s="446" t="s">
        <v>6</v>
      </c>
      <c r="ACW3" s="78" t="s">
        <v>0</v>
      </c>
      <c r="ACX3" s="78" t="s">
        <v>1</v>
      </c>
      <c r="ACY3" s="78"/>
      <c r="ACZ3" s="78" t="s">
        <v>2</v>
      </c>
      <c r="ADA3" s="78" t="s">
        <v>3</v>
      </c>
      <c r="ADB3" s="78" t="s">
        <v>4</v>
      </c>
      <c r="ADC3" s="445" t="s">
        <v>20</v>
      </c>
      <c r="ADD3" s="446" t="s">
        <v>6</v>
      </c>
      <c r="ADF3" s="78" t="s">
        <v>0</v>
      </c>
      <c r="ADG3" s="78" t="s">
        <v>1</v>
      </c>
      <c r="ADH3" s="78"/>
      <c r="ADI3" s="78" t="s">
        <v>2</v>
      </c>
      <c r="ADJ3" s="78" t="s">
        <v>3</v>
      </c>
      <c r="ADK3" s="78" t="s">
        <v>4</v>
      </c>
      <c r="ADL3" s="445" t="s">
        <v>20</v>
      </c>
      <c r="ADM3" s="446" t="s">
        <v>6</v>
      </c>
      <c r="ADO3" s="78" t="s">
        <v>0</v>
      </c>
      <c r="ADP3" s="78" t="s">
        <v>1</v>
      </c>
      <c r="ADQ3" s="78"/>
      <c r="ADR3" s="78" t="s">
        <v>2</v>
      </c>
      <c r="ADS3" s="78" t="s">
        <v>3</v>
      </c>
      <c r="ADT3" s="78" t="s">
        <v>4</v>
      </c>
      <c r="ADU3" s="445" t="s">
        <v>20</v>
      </c>
      <c r="ADV3" s="446" t="s">
        <v>6</v>
      </c>
      <c r="ADX3" s="78" t="s">
        <v>0</v>
      </c>
      <c r="ADY3" s="78" t="s">
        <v>1</v>
      </c>
      <c r="ADZ3" s="78"/>
      <c r="AEA3" s="78" t="s">
        <v>2</v>
      </c>
      <c r="AEB3" s="78" t="s">
        <v>3</v>
      </c>
      <c r="AEC3" s="78" t="s">
        <v>4</v>
      </c>
      <c r="AED3" s="445" t="s">
        <v>20</v>
      </c>
      <c r="AEE3" s="446" t="s">
        <v>6</v>
      </c>
    </row>
    <row r="4" spans="1:811" ht="16.5" customHeight="1" thickTop="1" x14ac:dyDescent="0.3">
      <c r="A4" s="150">
        <v>1</v>
      </c>
      <c r="B4" s="288" t="str">
        <f>K5</f>
        <v>SMITHFIELD FRESH MEAT</v>
      </c>
      <c r="C4" s="288" t="str">
        <f t="shared" ref="C4:I4" si="0">L5</f>
        <v>Smithfield</v>
      </c>
      <c r="D4" s="290" t="str">
        <f t="shared" si="0"/>
        <v>PED. 57218609</v>
      </c>
      <c r="E4" s="148">
        <f t="shared" si="0"/>
        <v>44139</v>
      </c>
      <c r="F4" s="93">
        <f t="shared" si="0"/>
        <v>17221.62</v>
      </c>
      <c r="G4" s="79">
        <f t="shared" si="0"/>
        <v>20</v>
      </c>
      <c r="H4" s="49">
        <f t="shared" si="0"/>
        <v>17253.97</v>
      </c>
      <c r="I4" s="113">
        <f t="shared" si="0"/>
        <v>-32.350000000002183</v>
      </c>
      <c r="L4" s="82" t="s">
        <v>23</v>
      </c>
      <c r="Q4" s="431"/>
      <c r="V4" s="82" t="s">
        <v>23</v>
      </c>
      <c r="AA4" s="431"/>
      <c r="AF4" s="82" t="s">
        <v>23</v>
      </c>
      <c r="AK4" s="431"/>
      <c r="AP4" s="82" t="s">
        <v>23</v>
      </c>
      <c r="AU4" s="79"/>
      <c r="AY4" s="79" t="s">
        <v>23</v>
      </c>
      <c r="BD4" s="431"/>
      <c r="BH4" s="82" t="s">
        <v>23</v>
      </c>
      <c r="BM4" s="79"/>
      <c r="BQ4" s="82" t="s">
        <v>23</v>
      </c>
      <c r="BV4" s="431"/>
      <c r="BZ4" s="82" t="s">
        <v>23</v>
      </c>
      <c r="CE4" s="431"/>
      <c r="CJ4" s="82" t="s">
        <v>23</v>
      </c>
      <c r="CO4" s="79"/>
      <c r="CT4" s="82" t="s">
        <v>23</v>
      </c>
      <c r="CY4" s="431"/>
      <c r="DD4" s="82" t="s">
        <v>23</v>
      </c>
      <c r="DI4" s="431"/>
      <c r="DN4" s="82" t="s">
        <v>23</v>
      </c>
      <c r="DS4" s="431"/>
      <c r="DX4" s="82" t="s">
        <v>23</v>
      </c>
      <c r="EC4" s="136"/>
      <c r="EH4" s="82" t="s">
        <v>23</v>
      </c>
      <c r="EM4" s="136"/>
      <c r="ER4" s="82" t="s">
        <v>89</v>
      </c>
      <c r="EW4" s="79"/>
      <c r="FB4" s="79" t="s">
        <v>23</v>
      </c>
      <c r="FE4" s="102"/>
      <c r="FF4" s="142"/>
      <c r="FG4" s="431"/>
      <c r="FL4" s="82" t="s">
        <v>23</v>
      </c>
      <c r="FQ4" s="79"/>
      <c r="FV4" s="82" t="s">
        <v>23</v>
      </c>
      <c r="GA4" s="79"/>
      <c r="GB4" s="167"/>
      <c r="GC4" s="931"/>
      <c r="GF4" s="82" t="s">
        <v>23</v>
      </c>
      <c r="GK4" s="431"/>
      <c r="GP4" s="82" t="s">
        <v>23</v>
      </c>
      <c r="GU4" s="431"/>
      <c r="GZ4" s="82" t="s">
        <v>23</v>
      </c>
      <c r="HE4" s="431"/>
      <c r="HF4" s="79"/>
      <c r="HG4" s="934"/>
      <c r="HJ4" s="82" t="s">
        <v>23</v>
      </c>
      <c r="HO4" s="431"/>
      <c r="HT4" s="82" t="s">
        <v>23</v>
      </c>
      <c r="HY4" s="431"/>
      <c r="IB4" s="82" t="s">
        <v>49</v>
      </c>
      <c r="IC4" s="82" t="s">
        <v>37</v>
      </c>
      <c r="ID4" s="82" t="s">
        <v>23</v>
      </c>
      <c r="II4" s="431"/>
      <c r="IN4" s="82" t="s">
        <v>23</v>
      </c>
      <c r="IS4" s="431"/>
      <c r="IX4" s="82" t="s">
        <v>23</v>
      </c>
      <c r="JC4" s="431"/>
      <c r="JD4" s="113"/>
      <c r="JH4" s="82" t="s">
        <v>23</v>
      </c>
      <c r="JM4" s="366"/>
      <c r="JR4" s="82" t="s">
        <v>23</v>
      </c>
      <c r="JU4" s="82" t="s">
        <v>51</v>
      </c>
      <c r="JW4" s="431"/>
      <c r="JX4" s="167"/>
      <c r="JY4" s="931"/>
      <c r="KB4" s="82" t="s">
        <v>23</v>
      </c>
      <c r="KG4" s="431"/>
      <c r="KK4" s="79"/>
      <c r="KL4" s="79" t="s">
        <v>23</v>
      </c>
      <c r="KQ4" s="79"/>
      <c r="KR4" s="140"/>
      <c r="KS4" s="976"/>
      <c r="KV4" s="82" t="s">
        <v>23</v>
      </c>
      <c r="KX4" s="147"/>
      <c r="LA4" s="233"/>
      <c r="LF4" s="82" t="s">
        <v>23</v>
      </c>
      <c r="LK4" s="431"/>
      <c r="LL4" s="113"/>
      <c r="LP4" s="82" t="s">
        <v>23</v>
      </c>
      <c r="LU4" s="431"/>
      <c r="LY4" s="82" t="s">
        <v>23</v>
      </c>
      <c r="MD4" s="431"/>
      <c r="MH4" s="82" t="s">
        <v>23</v>
      </c>
      <c r="MM4" s="431"/>
      <c r="MQ4" s="82" t="s">
        <v>23</v>
      </c>
      <c r="MV4" s="431"/>
      <c r="MZ4" s="82" t="s">
        <v>23</v>
      </c>
      <c r="NE4" s="431"/>
      <c r="NI4" s="82" t="s">
        <v>23</v>
      </c>
      <c r="NN4" s="431"/>
      <c r="NR4" s="82" t="s">
        <v>23</v>
      </c>
      <c r="NW4" s="431"/>
      <c r="OA4" s="82" t="s">
        <v>23</v>
      </c>
      <c r="OF4" s="233"/>
      <c r="OJ4" s="82" t="s">
        <v>23</v>
      </c>
      <c r="OO4" s="431"/>
      <c r="OS4" s="82" t="s">
        <v>23</v>
      </c>
      <c r="OX4" s="431"/>
      <c r="PB4" s="82" t="s">
        <v>23</v>
      </c>
      <c r="PG4" s="431"/>
      <c r="PK4" s="82" t="s">
        <v>23</v>
      </c>
      <c r="PP4" s="431"/>
      <c r="PT4" s="82" t="s">
        <v>23</v>
      </c>
      <c r="PY4" s="431"/>
      <c r="QC4" s="82" t="s">
        <v>23</v>
      </c>
      <c r="QH4" s="431"/>
      <c r="QL4" s="82" t="s">
        <v>23</v>
      </c>
      <c r="QQ4" s="431"/>
      <c r="QU4" s="82" t="s">
        <v>23</v>
      </c>
      <c r="QZ4" s="431"/>
      <c r="RD4" s="82" t="s">
        <v>23</v>
      </c>
      <c r="RI4" s="431"/>
      <c r="RM4" s="82" t="s">
        <v>23</v>
      </c>
      <c r="RR4" s="431"/>
      <c r="RV4" s="82" t="s">
        <v>23</v>
      </c>
      <c r="SA4" s="431"/>
      <c r="SE4" s="82" t="s">
        <v>23</v>
      </c>
      <c r="SJ4" s="431"/>
      <c r="SN4" s="82" t="s">
        <v>23</v>
      </c>
      <c r="SS4" s="431"/>
      <c r="SW4" s="82" t="s">
        <v>23</v>
      </c>
      <c r="TB4" s="431"/>
      <c r="TF4" s="82" t="s">
        <v>23</v>
      </c>
      <c r="TK4" s="431"/>
      <c r="TO4" s="82" t="s">
        <v>23</v>
      </c>
      <c r="TT4" s="431"/>
      <c r="TX4" s="82" t="s">
        <v>23</v>
      </c>
      <c r="UC4" s="431"/>
      <c r="UG4" s="82" t="s">
        <v>23</v>
      </c>
      <c r="UL4" s="431"/>
      <c r="UP4" s="82" t="s">
        <v>23</v>
      </c>
      <c r="UU4" s="431"/>
      <c r="UY4" s="82" t="s">
        <v>23</v>
      </c>
      <c r="VD4" s="431"/>
      <c r="VH4" s="82" t="s">
        <v>23</v>
      </c>
      <c r="VM4" s="431"/>
      <c r="VQ4" s="82" t="s">
        <v>23</v>
      </c>
      <c r="VV4" s="431"/>
      <c r="VZ4" s="82" t="s">
        <v>23</v>
      </c>
      <c r="WE4" s="431"/>
      <c r="WI4" s="82" t="s">
        <v>23</v>
      </c>
      <c r="WN4" s="431"/>
      <c r="WR4" s="82" t="s">
        <v>23</v>
      </c>
      <c r="WW4" s="431"/>
      <c r="XA4" s="82" t="s">
        <v>23</v>
      </c>
      <c r="XF4" s="431"/>
      <c r="XJ4" s="82" t="s">
        <v>23</v>
      </c>
      <c r="XO4" s="431"/>
      <c r="XS4" s="82" t="s">
        <v>23</v>
      </c>
      <c r="XX4" s="431"/>
      <c r="YB4" s="82" t="s">
        <v>23</v>
      </c>
      <c r="YG4" s="431"/>
      <c r="YK4" s="82" t="s">
        <v>23</v>
      </c>
      <c r="YP4" s="431"/>
      <c r="YT4" s="82" t="s">
        <v>23</v>
      </c>
      <c r="YY4" s="431"/>
      <c r="ZC4" s="82" t="s">
        <v>23</v>
      </c>
      <c r="ZH4" s="431"/>
      <c r="ZL4" s="82" t="s">
        <v>23</v>
      </c>
      <c r="ZQ4" s="431"/>
      <c r="ZU4" s="82" t="s">
        <v>23</v>
      </c>
      <c r="ZZ4" s="431"/>
      <c r="AAD4" s="82" t="s">
        <v>23</v>
      </c>
      <c r="AAI4" s="431"/>
      <c r="AAM4" s="82" t="s">
        <v>23</v>
      </c>
      <c r="AAR4" s="431"/>
      <c r="AAV4" s="82" t="s">
        <v>23</v>
      </c>
      <c r="ABA4" s="431"/>
      <c r="ABE4" s="82" t="s">
        <v>23</v>
      </c>
      <c r="ABJ4" s="431"/>
      <c r="ABN4" s="82" t="s">
        <v>23</v>
      </c>
      <c r="ABS4" s="431"/>
      <c r="ABW4" s="82" t="s">
        <v>23</v>
      </c>
      <c r="ACB4" s="431"/>
      <c r="ACF4" s="82" t="s">
        <v>23</v>
      </c>
      <c r="ACK4" s="431"/>
      <c r="ACO4" s="82" t="s">
        <v>23</v>
      </c>
      <c r="ACT4" s="431"/>
      <c r="ACX4" s="82" t="s">
        <v>23</v>
      </c>
      <c r="ADC4" s="431"/>
      <c r="ADG4" s="82" t="s">
        <v>23</v>
      </c>
      <c r="ADL4" s="431"/>
      <c r="ADP4" s="82" t="s">
        <v>23</v>
      </c>
      <c r="ADU4" s="431"/>
      <c r="ADY4" s="82" t="s">
        <v>23</v>
      </c>
      <c r="AED4" s="431"/>
    </row>
    <row r="5" spans="1:811" ht="15.75" customHeight="1" x14ac:dyDescent="0.3">
      <c r="A5" s="150">
        <v>2</v>
      </c>
      <c r="B5" s="288" t="str">
        <f t="shared" ref="B5:I5" si="1">U5</f>
        <v>SEABOARD FOODS</v>
      </c>
      <c r="C5" s="288" t="str">
        <f t="shared" si="1"/>
        <v>Seaboard</v>
      </c>
      <c r="D5" s="290" t="str">
        <f t="shared" si="1"/>
        <v>PED. 57258910</v>
      </c>
      <c r="E5" s="148">
        <f t="shared" si="1"/>
        <v>44140</v>
      </c>
      <c r="F5" s="93">
        <f t="shared" si="1"/>
        <v>18069.73</v>
      </c>
      <c r="G5" s="79">
        <f t="shared" si="1"/>
        <v>21</v>
      </c>
      <c r="H5" s="49">
        <f t="shared" si="1"/>
        <v>18146.2</v>
      </c>
      <c r="I5" s="113">
        <f t="shared" si="1"/>
        <v>-76.470000000001164</v>
      </c>
      <c r="K5" s="288" t="s">
        <v>178</v>
      </c>
      <c r="L5" s="809" t="s">
        <v>179</v>
      </c>
      <c r="M5" s="289" t="s">
        <v>180</v>
      </c>
      <c r="N5" s="291">
        <v>44139</v>
      </c>
      <c r="O5" s="292">
        <v>17221.62</v>
      </c>
      <c r="P5" s="289">
        <v>20</v>
      </c>
      <c r="Q5" s="893">
        <v>17253.97</v>
      </c>
      <c r="R5" s="151">
        <f>O5-Q5</f>
        <v>-32.350000000002183</v>
      </c>
      <c r="S5" s="151"/>
      <c r="T5" s="288"/>
      <c r="U5" s="1026" t="s">
        <v>183</v>
      </c>
      <c r="V5" s="810" t="s">
        <v>184</v>
      </c>
      <c r="W5" s="293" t="s">
        <v>185</v>
      </c>
      <c r="X5" s="294">
        <v>44140</v>
      </c>
      <c r="Y5" s="292">
        <v>18069.73</v>
      </c>
      <c r="Z5" s="289">
        <v>21</v>
      </c>
      <c r="AA5" s="320">
        <v>18146.2</v>
      </c>
      <c r="AB5" s="151">
        <f>Y5-AA5</f>
        <v>-76.470000000001164</v>
      </c>
      <c r="AC5" s="897"/>
      <c r="AD5" s="288"/>
      <c r="AE5" s="288" t="s">
        <v>183</v>
      </c>
      <c r="AF5" s="810" t="s">
        <v>184</v>
      </c>
      <c r="AG5" s="293" t="s">
        <v>186</v>
      </c>
      <c r="AH5" s="291">
        <v>44140</v>
      </c>
      <c r="AI5" s="292">
        <v>18897.84</v>
      </c>
      <c r="AJ5" s="289">
        <v>21</v>
      </c>
      <c r="AK5" s="893">
        <v>19053</v>
      </c>
      <c r="AL5" s="151">
        <f>AI5-AK5</f>
        <v>-155.15999999999985</v>
      </c>
      <c r="AM5" s="151"/>
      <c r="AN5" s="288"/>
      <c r="AO5" s="288" t="s">
        <v>193</v>
      </c>
      <c r="AP5" s="810" t="s">
        <v>184</v>
      </c>
      <c r="AQ5" s="293" t="s">
        <v>187</v>
      </c>
      <c r="AR5" s="291">
        <v>44141</v>
      </c>
      <c r="AS5" s="292">
        <v>18980.03</v>
      </c>
      <c r="AT5" s="289">
        <v>21</v>
      </c>
      <c r="AU5" s="893">
        <v>19099.8</v>
      </c>
      <c r="AV5" s="151">
        <f>AS5-AU5</f>
        <v>-119.77000000000044</v>
      </c>
      <c r="AW5" s="288"/>
      <c r="AX5" s="296" t="s">
        <v>183</v>
      </c>
      <c r="AY5" s="811" t="s">
        <v>184</v>
      </c>
      <c r="AZ5" s="290" t="s">
        <v>188</v>
      </c>
      <c r="BA5" s="291">
        <v>44141</v>
      </c>
      <c r="BB5" s="292">
        <v>18848.72</v>
      </c>
      <c r="BC5" s="289">
        <v>21</v>
      </c>
      <c r="BD5" s="893">
        <v>18900.5</v>
      </c>
      <c r="BE5" s="151">
        <f>BB5-BD5</f>
        <v>-51.779999999998836</v>
      </c>
      <c r="BF5" s="288"/>
      <c r="BG5" s="288" t="s">
        <v>183</v>
      </c>
      <c r="BH5" s="811" t="s">
        <v>184</v>
      </c>
      <c r="BI5" s="290" t="s">
        <v>189</v>
      </c>
      <c r="BJ5" s="291">
        <v>44141</v>
      </c>
      <c r="BK5" s="292">
        <v>18552.259999999998</v>
      </c>
      <c r="BL5" s="289">
        <v>21</v>
      </c>
      <c r="BM5" s="893">
        <v>18658.3</v>
      </c>
      <c r="BN5" s="151">
        <f>BK5-BM5</f>
        <v>-106.04000000000087</v>
      </c>
      <c r="BO5" s="288"/>
      <c r="BP5" s="390" t="s">
        <v>209</v>
      </c>
      <c r="BQ5" s="920" t="s">
        <v>179</v>
      </c>
      <c r="BR5" s="293" t="s">
        <v>210</v>
      </c>
      <c r="BS5" s="294">
        <v>44145</v>
      </c>
      <c r="BT5" s="292">
        <v>17400.62</v>
      </c>
      <c r="BU5" s="289">
        <v>20</v>
      </c>
      <c r="BV5" s="287">
        <v>17522.900000000001</v>
      </c>
      <c r="BW5" s="151">
        <f>BT5-BV5</f>
        <v>-122.28000000000247</v>
      </c>
      <c r="BX5" s="388"/>
      <c r="BY5" s="296" t="s">
        <v>183</v>
      </c>
      <c r="BZ5" s="811" t="s">
        <v>184</v>
      </c>
      <c r="CA5" s="290" t="s">
        <v>214</v>
      </c>
      <c r="CB5" s="294">
        <v>44145</v>
      </c>
      <c r="CC5" s="292">
        <v>18910.12</v>
      </c>
      <c r="CD5" s="289">
        <v>21</v>
      </c>
      <c r="CE5" s="893">
        <v>18922.400000000001</v>
      </c>
      <c r="CF5" s="151">
        <f>CC5-CE5</f>
        <v>-12.280000000002474</v>
      </c>
      <c r="CG5" s="388"/>
      <c r="CH5" s="388"/>
      <c r="CI5" s="1026" t="s">
        <v>215</v>
      </c>
      <c r="CJ5" s="837" t="s">
        <v>216</v>
      </c>
      <c r="CK5" s="290" t="s">
        <v>217</v>
      </c>
      <c r="CL5" s="294">
        <v>44146</v>
      </c>
      <c r="CM5" s="292">
        <v>18738.080000000002</v>
      </c>
      <c r="CN5" s="289">
        <v>20</v>
      </c>
      <c r="CO5" s="893">
        <v>18804.48</v>
      </c>
      <c r="CP5" s="151">
        <f>CM5-CO5</f>
        <v>-66.399999999997817</v>
      </c>
      <c r="CQ5" s="897"/>
      <c r="CR5" s="288"/>
      <c r="CS5" s="1026" t="s">
        <v>183</v>
      </c>
      <c r="CT5" s="810" t="s">
        <v>219</v>
      </c>
      <c r="CU5" s="290" t="s">
        <v>220</v>
      </c>
      <c r="CV5" s="294">
        <v>44148</v>
      </c>
      <c r="CW5" s="292">
        <v>18912.96</v>
      </c>
      <c r="CX5" s="289">
        <v>21</v>
      </c>
      <c r="CY5" s="893">
        <v>18949.5</v>
      </c>
      <c r="CZ5" s="151">
        <f>CW5-CY5</f>
        <v>-36.540000000000873</v>
      </c>
      <c r="DA5" s="897"/>
      <c r="DB5" s="288"/>
      <c r="DC5" s="288" t="s">
        <v>183</v>
      </c>
      <c r="DD5" s="811" t="s">
        <v>184</v>
      </c>
      <c r="DE5" s="293" t="s">
        <v>221</v>
      </c>
      <c r="DF5" s="294">
        <v>44148</v>
      </c>
      <c r="DG5" s="292">
        <v>18824.259999999998</v>
      </c>
      <c r="DH5" s="289">
        <v>21</v>
      </c>
      <c r="DI5" s="893">
        <v>18896.900000000001</v>
      </c>
      <c r="DJ5" s="151">
        <f>DG5-DI5</f>
        <v>-72.640000000003056</v>
      </c>
      <c r="DK5" s="897"/>
      <c r="DL5" s="288"/>
      <c r="DM5" s="288" t="s">
        <v>183</v>
      </c>
      <c r="DN5" s="838" t="s">
        <v>184</v>
      </c>
      <c r="DO5" s="293" t="s">
        <v>222</v>
      </c>
      <c r="DP5" s="294">
        <v>44148</v>
      </c>
      <c r="DQ5" s="292">
        <v>18731.509999999998</v>
      </c>
      <c r="DR5" s="289">
        <v>21</v>
      </c>
      <c r="DS5" s="893">
        <v>18850.599999999999</v>
      </c>
      <c r="DT5" s="151">
        <f>DQ5-DS5</f>
        <v>-119.09000000000015</v>
      </c>
      <c r="DU5" s="388"/>
      <c r="DV5" s="288"/>
      <c r="DW5" s="288" t="s">
        <v>178</v>
      </c>
      <c r="DX5" s="809" t="s">
        <v>179</v>
      </c>
      <c r="DY5" s="293" t="s">
        <v>223</v>
      </c>
      <c r="DZ5" s="294">
        <v>44150</v>
      </c>
      <c r="EA5" s="292">
        <v>16469.419999999998</v>
      </c>
      <c r="EB5" s="289">
        <v>20</v>
      </c>
      <c r="EC5" s="893">
        <v>16741.060000000001</v>
      </c>
      <c r="ED5" s="151">
        <f>EA5-EC5</f>
        <v>-271.64000000000306</v>
      </c>
      <c r="EE5" s="897"/>
      <c r="EF5" s="288" t="s">
        <v>54</v>
      </c>
      <c r="EG5" s="288" t="s">
        <v>183</v>
      </c>
      <c r="EH5" s="810" t="s">
        <v>184</v>
      </c>
      <c r="EI5" s="293" t="s">
        <v>225</v>
      </c>
      <c r="EJ5" s="294">
        <v>44154</v>
      </c>
      <c r="EK5" s="292">
        <v>18548.990000000002</v>
      </c>
      <c r="EL5" s="289">
        <v>21</v>
      </c>
      <c r="EM5" s="893">
        <v>18612.8</v>
      </c>
      <c r="EN5" s="151">
        <f>EK5-EM5</f>
        <v>-63.809999999997672</v>
      </c>
      <c r="EO5" s="897"/>
      <c r="EP5" s="288"/>
      <c r="EQ5" s="288" t="s">
        <v>183</v>
      </c>
      <c r="ER5" s="810" t="s">
        <v>184</v>
      </c>
      <c r="ES5" s="293" t="s">
        <v>226</v>
      </c>
      <c r="ET5" s="294">
        <v>44154</v>
      </c>
      <c r="EU5" s="292">
        <v>18634.07</v>
      </c>
      <c r="EV5" s="289">
        <v>21</v>
      </c>
      <c r="EW5" s="320">
        <v>18807.3</v>
      </c>
      <c r="EX5" s="151">
        <f>EU5-EW5</f>
        <v>-173.22999999999956</v>
      </c>
      <c r="EY5" s="897"/>
      <c r="EZ5" s="288"/>
      <c r="FA5" s="288" t="s">
        <v>183</v>
      </c>
      <c r="FB5" s="810" t="s">
        <v>184</v>
      </c>
      <c r="FC5" s="293" t="s">
        <v>227</v>
      </c>
      <c r="FD5" s="294">
        <v>44154</v>
      </c>
      <c r="FE5" s="292">
        <v>18555.38</v>
      </c>
      <c r="FF5" s="289">
        <v>21</v>
      </c>
      <c r="FG5" s="929">
        <v>18673.8</v>
      </c>
      <c r="FH5" s="151">
        <f>FE5-FG5</f>
        <v>-118.41999999999825</v>
      </c>
      <c r="FI5" s="897"/>
      <c r="FJ5" s="288"/>
      <c r="FK5" s="706" t="s">
        <v>275</v>
      </c>
      <c r="FL5" s="810" t="s">
        <v>184</v>
      </c>
      <c r="FM5" s="293" t="s">
        <v>276</v>
      </c>
      <c r="FN5" s="294">
        <v>44156</v>
      </c>
      <c r="FO5" s="292">
        <v>18623.54</v>
      </c>
      <c r="FP5" s="289">
        <v>21</v>
      </c>
      <c r="FQ5" s="893">
        <v>18644</v>
      </c>
      <c r="FR5" s="151">
        <f>FO5-FQ5</f>
        <v>-20.459999999999127</v>
      </c>
      <c r="FS5" s="897"/>
      <c r="FT5" s="288"/>
      <c r="FU5" s="1026" t="s">
        <v>183</v>
      </c>
      <c r="FV5" s="810" t="s">
        <v>184</v>
      </c>
      <c r="FW5" s="295" t="s">
        <v>277</v>
      </c>
      <c r="FX5" s="294">
        <v>44156</v>
      </c>
      <c r="FY5" s="292">
        <v>18302.099999999999</v>
      </c>
      <c r="FZ5" s="289">
        <v>21</v>
      </c>
      <c r="GA5" s="893">
        <v>18408.2</v>
      </c>
      <c r="GB5" s="151">
        <f>FY5-GA5</f>
        <v>-106.10000000000218</v>
      </c>
      <c r="GC5" s="897"/>
      <c r="GD5" s="288"/>
      <c r="GE5" s="288" t="s">
        <v>183</v>
      </c>
      <c r="GF5" s="810" t="s">
        <v>184</v>
      </c>
      <c r="GG5" s="293" t="s">
        <v>278</v>
      </c>
      <c r="GH5" s="291">
        <v>44159</v>
      </c>
      <c r="GI5" s="292">
        <v>18720.79</v>
      </c>
      <c r="GJ5" s="289">
        <v>21</v>
      </c>
      <c r="GK5" s="893">
        <v>18793.599999999999</v>
      </c>
      <c r="GL5" s="151">
        <f>GI5-GK5</f>
        <v>-72.809999999997672</v>
      </c>
      <c r="GM5" s="897"/>
      <c r="GN5" s="288"/>
      <c r="GO5" s="288" t="s">
        <v>178</v>
      </c>
      <c r="GP5" s="809" t="s">
        <v>179</v>
      </c>
      <c r="GQ5" s="289" t="s">
        <v>279</v>
      </c>
      <c r="GR5" s="291">
        <v>44159</v>
      </c>
      <c r="GS5" s="292">
        <v>17166.22</v>
      </c>
      <c r="GT5" s="289">
        <v>20</v>
      </c>
      <c r="GU5" s="893">
        <v>17405.45</v>
      </c>
      <c r="GV5" s="151">
        <f>GS5-GU5</f>
        <v>-239.22999999999956</v>
      </c>
      <c r="GW5" s="897"/>
      <c r="GX5" s="288"/>
      <c r="GY5" s="288" t="s">
        <v>215</v>
      </c>
      <c r="GZ5" s="848" t="s">
        <v>216</v>
      </c>
      <c r="HA5" s="293" t="s">
        <v>280</v>
      </c>
      <c r="HB5" s="291">
        <v>44160</v>
      </c>
      <c r="HC5" s="292">
        <v>18825.080000000002</v>
      </c>
      <c r="HD5" s="289">
        <v>20</v>
      </c>
      <c r="HE5" s="893">
        <v>18916.53</v>
      </c>
      <c r="HF5" s="151">
        <f>HC5-HE5</f>
        <v>-91.44999999999709</v>
      </c>
      <c r="HG5" s="897"/>
      <c r="HH5" s="288"/>
      <c r="HI5" s="288" t="s">
        <v>183</v>
      </c>
      <c r="HJ5" s="810" t="s">
        <v>184</v>
      </c>
      <c r="HK5" s="293" t="s">
        <v>281</v>
      </c>
      <c r="HL5" s="294">
        <v>44161</v>
      </c>
      <c r="HM5" s="292">
        <v>18593.84</v>
      </c>
      <c r="HN5" s="289">
        <v>21</v>
      </c>
      <c r="HO5" s="929">
        <v>18619.400000000001</v>
      </c>
      <c r="HP5" s="151">
        <f>HM5-HO5</f>
        <v>-25.56000000000131</v>
      </c>
      <c r="HQ5" s="897"/>
      <c r="HR5" s="288"/>
      <c r="HS5" s="288" t="s">
        <v>183</v>
      </c>
      <c r="HT5" s="810" t="s">
        <v>184</v>
      </c>
      <c r="HU5" s="293" t="s">
        <v>282</v>
      </c>
      <c r="HV5" s="294">
        <v>44162</v>
      </c>
      <c r="HW5" s="292">
        <v>18858.560000000001</v>
      </c>
      <c r="HX5" s="289">
        <v>21</v>
      </c>
      <c r="HY5" s="893">
        <v>18979.599999999999</v>
      </c>
      <c r="HZ5" s="151">
        <f>HW5-HY5</f>
        <v>-121.03999999999724</v>
      </c>
      <c r="IA5" s="897"/>
      <c r="IB5" s="288"/>
      <c r="IC5" s="1032" t="s">
        <v>183</v>
      </c>
      <c r="ID5" s="850" t="s">
        <v>184</v>
      </c>
      <c r="IE5" s="295" t="s">
        <v>283</v>
      </c>
      <c r="IF5" s="291">
        <v>44162</v>
      </c>
      <c r="IG5" s="292">
        <v>18899.03</v>
      </c>
      <c r="IH5" s="289">
        <v>21</v>
      </c>
      <c r="II5" s="893">
        <v>18933.2</v>
      </c>
      <c r="IJ5" s="151">
        <f>IG5-II5</f>
        <v>-34.170000000001892</v>
      </c>
      <c r="IK5" s="897"/>
      <c r="IL5" s="288"/>
      <c r="IM5" s="288" t="s">
        <v>183</v>
      </c>
      <c r="IN5" s="810" t="s">
        <v>184</v>
      </c>
      <c r="IO5" s="295" t="s">
        <v>448</v>
      </c>
      <c r="IP5" s="294">
        <v>44166</v>
      </c>
      <c r="IQ5" s="292">
        <v>18834.400000000001</v>
      </c>
      <c r="IR5" s="289">
        <v>21</v>
      </c>
      <c r="IS5" s="893">
        <v>18847.8</v>
      </c>
      <c r="IT5" s="151">
        <f>IQ5-IS5</f>
        <v>-13.399999999997817</v>
      </c>
      <c r="IU5" s="897"/>
      <c r="IV5" s="288"/>
      <c r="IW5" s="762" t="s">
        <v>178</v>
      </c>
      <c r="IX5" s="939" t="s">
        <v>179</v>
      </c>
      <c r="IY5" s="293" t="s">
        <v>458</v>
      </c>
      <c r="IZ5" s="294">
        <v>44167</v>
      </c>
      <c r="JA5" s="292">
        <v>16846.62</v>
      </c>
      <c r="JB5" s="289">
        <v>20</v>
      </c>
      <c r="JC5" s="929">
        <v>17121.53</v>
      </c>
      <c r="JD5" s="151">
        <f>JA5-JC5</f>
        <v>-274.90999999999985</v>
      </c>
      <c r="JE5" s="897"/>
      <c r="JF5" s="288"/>
      <c r="JG5" s="1026" t="s">
        <v>178</v>
      </c>
      <c r="JH5" s="809" t="s">
        <v>179</v>
      </c>
      <c r="JI5" s="295" t="s">
        <v>459</v>
      </c>
      <c r="JJ5" s="294">
        <v>44167</v>
      </c>
      <c r="JK5" s="292">
        <v>17407.419999999998</v>
      </c>
      <c r="JL5" s="289">
        <v>20</v>
      </c>
      <c r="JM5" s="893">
        <v>17520.18</v>
      </c>
      <c r="JN5" s="151">
        <f>JK5-JM5</f>
        <v>-112.76000000000204</v>
      </c>
      <c r="JO5" s="897"/>
      <c r="JP5" s="288"/>
      <c r="JQ5" s="288" t="s">
        <v>183</v>
      </c>
      <c r="JR5" s="810" t="s">
        <v>184</v>
      </c>
      <c r="JS5" s="290" t="s">
        <v>460</v>
      </c>
      <c r="JT5" s="291">
        <v>44168</v>
      </c>
      <c r="JU5" s="292">
        <v>18625.52</v>
      </c>
      <c r="JV5" s="289">
        <v>21</v>
      </c>
      <c r="JW5" s="893">
        <v>18697.099999999999</v>
      </c>
      <c r="JX5" s="151">
        <f>JU5-JW5</f>
        <v>-71.579999999998108</v>
      </c>
      <c r="JY5" s="897"/>
      <c r="JZ5" s="288"/>
      <c r="KA5" s="288" t="s">
        <v>461</v>
      </c>
      <c r="KB5" s="810" t="s">
        <v>184</v>
      </c>
      <c r="KC5" s="293" t="s">
        <v>462</v>
      </c>
      <c r="KD5" s="291">
        <v>44168</v>
      </c>
      <c r="KE5" s="292">
        <v>18882.39</v>
      </c>
      <c r="KF5" s="289">
        <v>21</v>
      </c>
      <c r="KG5" s="893">
        <v>18975.099999999999</v>
      </c>
      <c r="KH5" s="151">
        <f>KE5-KG5</f>
        <v>-92.709999999999127</v>
      </c>
      <c r="KI5" s="897"/>
      <c r="KJ5" s="288"/>
      <c r="KK5" s="296" t="s">
        <v>463</v>
      </c>
      <c r="KL5" s="848" t="s">
        <v>216</v>
      </c>
      <c r="KM5" s="290" t="s">
        <v>464</v>
      </c>
      <c r="KN5" s="291">
        <v>44169</v>
      </c>
      <c r="KO5" s="292">
        <v>18448.28</v>
      </c>
      <c r="KP5" s="289">
        <v>20</v>
      </c>
      <c r="KQ5" s="893">
        <v>18657.64</v>
      </c>
      <c r="KR5" s="151">
        <f>KO5-KQ5</f>
        <v>-209.36000000000058</v>
      </c>
      <c r="KS5" s="897"/>
      <c r="KT5" s="288" t="s">
        <v>41</v>
      </c>
      <c r="KU5" s="288" t="s">
        <v>183</v>
      </c>
      <c r="KV5" s="810" t="s">
        <v>184</v>
      </c>
      <c r="KW5" s="293" t="s">
        <v>465</v>
      </c>
      <c r="KX5" s="294">
        <v>44169</v>
      </c>
      <c r="KY5" s="292">
        <v>18589.689999999999</v>
      </c>
      <c r="KZ5" s="289">
        <v>21</v>
      </c>
      <c r="LA5" s="893">
        <v>18621.099999999999</v>
      </c>
      <c r="LB5" s="151">
        <f>KY5-LA5</f>
        <v>-31.409999999999854</v>
      </c>
      <c r="LC5" s="897"/>
      <c r="LE5" s="288" t="s">
        <v>183</v>
      </c>
      <c r="LF5" s="810" t="s">
        <v>184</v>
      </c>
      <c r="LG5" s="290" t="s">
        <v>466</v>
      </c>
      <c r="LH5" s="294">
        <v>44169</v>
      </c>
      <c r="LI5" s="292">
        <v>18427.349999999999</v>
      </c>
      <c r="LJ5" s="289">
        <v>21</v>
      </c>
      <c r="LK5" s="893">
        <v>18481.5</v>
      </c>
      <c r="LL5" s="151">
        <f>LI5-LK5</f>
        <v>-54.150000000001455</v>
      </c>
      <c r="LM5" s="897"/>
      <c r="LN5" s="82" t="s">
        <v>41</v>
      </c>
      <c r="LO5" s="288"/>
      <c r="LP5" s="289"/>
      <c r="LQ5" s="290"/>
      <c r="LR5" s="291"/>
      <c r="LS5" s="292"/>
      <c r="LT5" s="289"/>
      <c r="LU5" s="287"/>
      <c r="LV5" s="151">
        <f>LS5-LU5</f>
        <v>0</v>
      </c>
      <c r="LX5" s="288"/>
      <c r="LY5" s="289"/>
      <c r="LZ5" s="290"/>
      <c r="MA5" s="291"/>
      <c r="MB5" s="292"/>
      <c r="MC5" s="289"/>
      <c r="MD5" s="287"/>
      <c r="ME5" s="151">
        <f>MB5-MD5</f>
        <v>0</v>
      </c>
      <c r="MG5" s="288"/>
      <c r="MH5" s="289"/>
      <c r="MI5" s="293"/>
      <c r="MJ5" s="291"/>
      <c r="MK5" s="292"/>
      <c r="ML5" s="289"/>
      <c r="MM5" s="287"/>
      <c r="MN5" s="151">
        <f>MK5-MM5</f>
        <v>0</v>
      </c>
      <c r="MP5" s="288"/>
      <c r="MQ5" s="289"/>
      <c r="MR5" s="293"/>
      <c r="MS5" s="291"/>
      <c r="MT5" s="292"/>
      <c r="MU5" s="289"/>
      <c r="MV5" s="287"/>
      <c r="MW5" s="151">
        <f>MT5-MV5</f>
        <v>0</v>
      </c>
      <c r="MY5" s="288"/>
      <c r="MZ5" s="289"/>
      <c r="NA5" s="290"/>
      <c r="NB5" s="291"/>
      <c r="NC5" s="292"/>
      <c r="ND5" s="289"/>
      <c r="NE5" s="287"/>
      <c r="NF5" s="151">
        <f>NC5-NE5</f>
        <v>0</v>
      </c>
      <c r="NH5" s="420"/>
      <c r="NI5" s="289"/>
      <c r="NJ5" s="290"/>
      <c r="NK5" s="291"/>
      <c r="NL5" s="292"/>
      <c r="NM5" s="289"/>
      <c r="NN5" s="287"/>
      <c r="NO5" s="151">
        <f>NL5-NN5</f>
        <v>0</v>
      </c>
      <c r="NQ5" s="288"/>
      <c r="NR5" s="289"/>
      <c r="NS5" s="293"/>
      <c r="NT5" s="291"/>
      <c r="NU5" s="292"/>
      <c r="NV5" s="289"/>
      <c r="NW5" s="287"/>
      <c r="NX5" s="151">
        <f>NU5-NW5</f>
        <v>0</v>
      </c>
      <c r="NZ5" s="288"/>
      <c r="OA5" s="289"/>
      <c r="OB5" s="290"/>
      <c r="OC5" s="291"/>
      <c r="OD5" s="292"/>
      <c r="OE5" s="289"/>
      <c r="OF5" s="287"/>
      <c r="OG5" s="151">
        <f>OD5-OF5</f>
        <v>0</v>
      </c>
      <c r="OI5" s="288"/>
      <c r="OJ5" s="289"/>
      <c r="OK5" s="290"/>
      <c r="OL5" s="294"/>
      <c r="OM5" s="292"/>
      <c r="ON5" s="289"/>
      <c r="OO5" s="287"/>
      <c r="OP5" s="151">
        <f>OM5-OO5</f>
        <v>0</v>
      </c>
      <c r="OR5" s="288"/>
      <c r="OS5" s="289"/>
      <c r="OT5" s="293"/>
      <c r="OU5" s="291"/>
      <c r="OV5" s="292"/>
      <c r="OW5" s="289"/>
      <c r="OX5" s="287"/>
      <c r="OY5" s="151">
        <f>OV5-OX5</f>
        <v>0</v>
      </c>
      <c r="PA5" s="288"/>
      <c r="PB5" s="289"/>
      <c r="PC5" s="290"/>
      <c r="PD5" s="294"/>
      <c r="PE5" s="292"/>
      <c r="PF5" s="289"/>
      <c r="PG5" s="287"/>
      <c r="PH5" s="151">
        <f>PE5-PG5</f>
        <v>0</v>
      </c>
      <c r="PJ5" s="288"/>
      <c r="PK5" s="289"/>
      <c r="PL5" s="290"/>
      <c r="PM5" s="291"/>
      <c r="PN5" s="292"/>
      <c r="PO5" s="289"/>
      <c r="PP5" s="287"/>
      <c r="PQ5" s="151">
        <f>PN5-PP5</f>
        <v>0</v>
      </c>
      <c r="PS5" s="288"/>
      <c r="PT5" s="289"/>
      <c r="PU5" s="290"/>
      <c r="PV5" s="294"/>
      <c r="PW5" s="292"/>
      <c r="PX5" s="289"/>
      <c r="PY5" s="287"/>
      <c r="PZ5" s="151">
        <f>PW5-PY5</f>
        <v>0</v>
      </c>
      <c r="QB5" s="288"/>
      <c r="QC5" s="289"/>
      <c r="QD5" s="293"/>
      <c r="QE5" s="294"/>
      <c r="QF5" s="292"/>
      <c r="QG5" s="289"/>
      <c r="QH5" s="287"/>
      <c r="QI5" s="151">
        <f>QF5-QH5</f>
        <v>0</v>
      </c>
      <c r="QK5" s="288"/>
      <c r="QL5" s="289"/>
      <c r="QM5" s="290"/>
      <c r="QN5" s="294"/>
      <c r="QO5" s="292"/>
      <c r="QP5" s="289"/>
      <c r="QQ5" s="287"/>
      <c r="QR5" s="151">
        <f>QO5-QQ5</f>
        <v>0</v>
      </c>
      <c r="QT5" s="288"/>
      <c r="QU5" s="419"/>
      <c r="QV5" s="290"/>
      <c r="QW5" s="291"/>
      <c r="QX5" s="292"/>
      <c r="QY5" s="289"/>
      <c r="QZ5" s="287"/>
      <c r="RA5" s="151">
        <f>QX5-QZ5</f>
        <v>0</v>
      </c>
      <c r="RC5" s="288"/>
      <c r="RD5" s="419"/>
      <c r="RE5" s="290"/>
      <c r="RF5" s="294"/>
      <c r="RG5" s="292"/>
      <c r="RH5" s="289"/>
      <c r="RI5" s="287"/>
      <c r="RJ5" s="151">
        <f>RG5-RI5</f>
        <v>0</v>
      </c>
      <c r="RM5" s="213"/>
      <c r="RN5" s="110"/>
      <c r="RO5" s="147"/>
      <c r="RP5" s="93"/>
      <c r="RQ5" s="79"/>
      <c r="RR5" s="49"/>
      <c r="RS5" s="151">
        <f>RP5-RR5</f>
        <v>0</v>
      </c>
      <c r="RU5" s="141"/>
      <c r="RV5" s="213"/>
      <c r="RW5" s="110"/>
      <c r="RX5" s="147"/>
      <c r="RY5" s="93"/>
      <c r="RZ5" s="79"/>
      <c r="SA5" s="49"/>
      <c r="SB5" s="151">
        <f>RY5-SA5</f>
        <v>0</v>
      </c>
      <c r="SD5" s="141"/>
      <c r="SE5" s="272"/>
      <c r="SF5" s="110"/>
      <c r="SG5" s="147"/>
      <c r="SH5" s="93"/>
      <c r="SI5" s="79"/>
      <c r="SJ5" s="49"/>
      <c r="SK5" s="151">
        <f>SH5-SJ5</f>
        <v>0</v>
      </c>
      <c r="SM5" s="141"/>
      <c r="SN5" s="213"/>
      <c r="SO5" s="110"/>
      <c r="SP5" s="148"/>
      <c r="SQ5" s="93"/>
      <c r="SR5" s="79"/>
      <c r="SS5" s="49"/>
      <c r="ST5" s="151">
        <f>SQ5-SS5</f>
        <v>0</v>
      </c>
      <c r="SW5" s="213"/>
      <c r="SX5" s="110"/>
      <c r="SY5" s="147"/>
      <c r="SZ5" s="93"/>
      <c r="TA5" s="79"/>
      <c r="TB5" s="49"/>
      <c r="TC5" s="151">
        <f>SZ5-TB5</f>
        <v>0</v>
      </c>
      <c r="TF5" s="195"/>
      <c r="TG5" s="110"/>
      <c r="TH5" s="148"/>
      <c r="TI5" s="93"/>
      <c r="TJ5" s="79"/>
      <c r="TK5" s="49"/>
      <c r="TL5" s="151">
        <f>TI5-TK5</f>
        <v>0</v>
      </c>
      <c r="TO5" s="213"/>
      <c r="TP5" s="110"/>
      <c r="TQ5" s="147"/>
      <c r="TR5" s="93"/>
      <c r="TS5" s="79"/>
      <c r="TT5" s="49"/>
      <c r="TU5" s="151">
        <f>TR5-TT5</f>
        <v>0</v>
      </c>
      <c r="TX5" s="195"/>
      <c r="TY5" s="110"/>
      <c r="TZ5" s="148"/>
      <c r="UA5" s="93"/>
      <c r="UB5" s="79"/>
      <c r="UC5" s="49"/>
      <c r="UD5" s="151">
        <f>UA5-UC5</f>
        <v>0</v>
      </c>
      <c r="UF5" s="141"/>
      <c r="UG5" s="195"/>
      <c r="UH5" s="110"/>
      <c r="UI5" s="147"/>
      <c r="UJ5" s="93"/>
      <c r="UK5" s="79"/>
      <c r="UL5" s="49"/>
      <c r="UM5" s="151">
        <f>UJ5-UL5</f>
        <v>0</v>
      </c>
      <c r="UP5" s="195"/>
      <c r="UQ5" s="110"/>
      <c r="UR5" s="147"/>
      <c r="US5" s="93"/>
      <c r="UT5" s="79"/>
      <c r="UU5" s="49"/>
      <c r="UV5" s="151">
        <f>US5-UU5</f>
        <v>0</v>
      </c>
      <c r="UY5" s="195"/>
      <c r="UZ5" s="110"/>
      <c r="VA5" s="147"/>
      <c r="VB5" s="93"/>
      <c r="VC5" s="79"/>
      <c r="VD5" s="49"/>
      <c r="VE5" s="151">
        <f>VB5-VD5</f>
        <v>0</v>
      </c>
      <c r="VH5" s="195"/>
      <c r="VI5" s="110"/>
      <c r="VJ5" s="147"/>
      <c r="VK5" s="93"/>
      <c r="VL5" s="79"/>
      <c r="VM5" s="49"/>
      <c r="VN5" s="151">
        <f>VK5-VM5</f>
        <v>0</v>
      </c>
      <c r="VQ5" s="195"/>
      <c r="VR5" s="110"/>
      <c r="VS5" s="147"/>
      <c r="VT5" s="93"/>
      <c r="VU5" s="79"/>
      <c r="VV5" s="49"/>
      <c r="VW5" s="151">
        <f>VT5-VV5</f>
        <v>0</v>
      </c>
      <c r="VZ5" s="195"/>
      <c r="WA5" s="110"/>
      <c r="WB5" s="147"/>
      <c r="WC5" s="93"/>
      <c r="WD5" s="79"/>
      <c r="WE5" s="49"/>
      <c r="WF5" s="151">
        <f>WC5-WE5</f>
        <v>0</v>
      </c>
      <c r="WH5" s="141"/>
      <c r="WI5" s="195"/>
      <c r="WJ5" s="110"/>
      <c r="WK5" s="147"/>
      <c r="WL5" s="93"/>
      <c r="WM5" s="79"/>
      <c r="WN5" s="49"/>
      <c r="WO5" s="151">
        <f>WL5-WN5</f>
        <v>0</v>
      </c>
      <c r="WR5" s="195"/>
      <c r="WS5" s="110"/>
      <c r="WT5" s="147"/>
      <c r="WU5" s="93"/>
      <c r="WV5" s="79"/>
      <c r="WW5" s="49"/>
      <c r="WX5" s="151">
        <f>WU5-WW5</f>
        <v>0</v>
      </c>
      <c r="XA5" s="195"/>
      <c r="XB5" s="110"/>
      <c r="XC5" s="147"/>
      <c r="XD5" s="93"/>
      <c r="XE5" s="79"/>
      <c r="XF5" s="49"/>
      <c r="XG5" s="151">
        <f>XD5-XF5</f>
        <v>0</v>
      </c>
      <c r="XJ5" s="195"/>
      <c r="XK5" s="110"/>
      <c r="XL5" s="147"/>
      <c r="XM5" s="93"/>
      <c r="XN5" s="79"/>
      <c r="XO5" s="49"/>
      <c r="XP5" s="151">
        <f>XM5-XO5</f>
        <v>0</v>
      </c>
      <c r="XR5" s="140"/>
      <c r="XS5" s="213"/>
      <c r="XT5" s="110"/>
      <c r="XU5" s="147"/>
      <c r="XV5" s="93"/>
      <c r="XW5" s="79"/>
      <c r="XX5" s="49"/>
      <c r="XY5" s="151">
        <f>XV5-XX5</f>
        <v>0</v>
      </c>
      <c r="YB5" s="195"/>
      <c r="YC5" s="110"/>
      <c r="YD5" s="147"/>
      <c r="YE5" s="93"/>
      <c r="YF5" s="79"/>
      <c r="YG5" s="49"/>
      <c r="YH5" s="151">
        <f>YE5-YG5</f>
        <v>0</v>
      </c>
      <c r="YK5" s="195"/>
      <c r="YL5" s="110"/>
      <c r="YM5" s="147"/>
      <c r="YN5" s="93"/>
      <c r="YO5" s="79"/>
      <c r="YP5" s="49"/>
      <c r="YQ5" s="151">
        <f>YN5-YP5</f>
        <v>0</v>
      </c>
      <c r="YT5" s="195"/>
      <c r="YU5" s="110"/>
      <c r="YV5" s="147"/>
      <c r="YW5" s="93"/>
      <c r="YX5" s="79"/>
      <c r="YY5" s="49"/>
      <c r="YZ5" s="151">
        <f>YW5-YY5</f>
        <v>0</v>
      </c>
      <c r="ZC5" s="195"/>
      <c r="ZD5" s="110"/>
      <c r="ZE5" s="147"/>
      <c r="ZF5" s="93"/>
      <c r="ZG5" s="79"/>
      <c r="ZH5" s="49"/>
      <c r="ZI5" s="151">
        <f>ZF5-ZH5</f>
        <v>0</v>
      </c>
      <c r="ZK5" s="141"/>
      <c r="ZL5" s="195"/>
      <c r="ZM5" s="110"/>
      <c r="ZN5" s="147"/>
      <c r="ZO5" s="93"/>
      <c r="ZP5" s="79"/>
      <c r="ZQ5" s="49"/>
      <c r="ZR5" s="151">
        <f>ZO5-ZQ5</f>
        <v>0</v>
      </c>
      <c r="ZU5" s="195"/>
      <c r="ZV5" s="110"/>
      <c r="ZW5" s="147"/>
      <c r="ZX5" s="93"/>
      <c r="ZY5" s="79"/>
      <c r="ZZ5" s="49"/>
      <c r="AAA5" s="151">
        <f>ZX5-ZZ5</f>
        <v>0</v>
      </c>
      <c r="AAD5" s="195"/>
      <c r="AAE5" s="110"/>
      <c r="AAF5" s="147"/>
      <c r="AAG5" s="93"/>
      <c r="AAH5" s="79"/>
      <c r="AAI5" s="49"/>
      <c r="AAJ5" s="151">
        <f>AAG5-AAI5</f>
        <v>0</v>
      </c>
      <c r="AAM5" s="195"/>
      <c r="AAN5" s="110"/>
      <c r="AAO5" s="147"/>
      <c r="AAP5" s="93"/>
      <c r="AAQ5" s="79"/>
      <c r="AAR5" s="49"/>
      <c r="AAS5" s="151">
        <f>AAP5-AAR5</f>
        <v>0</v>
      </c>
      <c r="AAV5" s="195"/>
      <c r="AAW5" s="110"/>
      <c r="AAX5" s="147"/>
      <c r="AAY5" s="93"/>
      <c r="AAZ5" s="79"/>
      <c r="ABA5" s="49"/>
      <c r="ABB5" s="151">
        <f>AAY5-ABA5</f>
        <v>0</v>
      </c>
      <c r="ABE5" s="195"/>
      <c r="ABF5" s="110"/>
      <c r="ABG5" s="147"/>
      <c r="ABH5" s="93"/>
      <c r="ABI5" s="79"/>
      <c r="ABJ5" s="49"/>
      <c r="ABK5" s="151">
        <f>ABH5-ABJ5</f>
        <v>0</v>
      </c>
      <c r="ABN5" s="195"/>
      <c r="ABO5" s="110"/>
      <c r="ABP5" s="147"/>
      <c r="ABQ5" s="93"/>
      <c r="ABR5" s="79"/>
      <c r="ABS5" s="49"/>
      <c r="ABT5" s="151">
        <f>ABQ5-ABS5</f>
        <v>0</v>
      </c>
      <c r="ABW5" s="195"/>
      <c r="ABX5" s="110"/>
      <c r="ABY5" s="147"/>
      <c r="ABZ5" s="93"/>
      <c r="ACA5" s="79"/>
      <c r="ACB5" s="49"/>
      <c r="ACC5" s="151">
        <f>ABZ5-ACB5</f>
        <v>0</v>
      </c>
      <c r="ACE5" s="141"/>
      <c r="ACF5" s="195"/>
      <c r="ACG5" s="110"/>
      <c r="ACH5" s="147"/>
      <c r="ACI5" s="93"/>
      <c r="ACJ5" s="79"/>
      <c r="ACK5" s="49"/>
      <c r="ACL5" s="151">
        <f>ACI5-ACK5</f>
        <v>0</v>
      </c>
      <c r="ACN5" s="141"/>
      <c r="ACO5" s="195"/>
      <c r="ACP5" s="110"/>
      <c r="ACQ5" s="147"/>
      <c r="ACR5" s="93"/>
      <c r="ACS5" s="79"/>
      <c r="ACT5" s="49"/>
      <c r="ACU5" s="151">
        <f>ACR5-ACT5</f>
        <v>0</v>
      </c>
      <c r="ACW5" s="141"/>
      <c r="ACX5" s="195"/>
      <c r="ACY5" s="110"/>
      <c r="ACZ5" s="147"/>
      <c r="ADA5" s="93"/>
      <c r="ADB5" s="79"/>
      <c r="ADC5" s="49"/>
      <c r="ADD5" s="151">
        <f>ADA5-ADC5</f>
        <v>0</v>
      </c>
      <c r="ADF5" s="141"/>
      <c r="ADG5" s="195"/>
      <c r="ADH5" s="110"/>
      <c r="ADI5" s="147"/>
      <c r="ADJ5" s="93"/>
      <c r="ADK5" s="79"/>
      <c r="ADL5" s="49"/>
      <c r="ADM5" s="151">
        <f>ADJ5-ADL5</f>
        <v>0</v>
      </c>
      <c r="ADP5" s="195"/>
      <c r="ADQ5" s="110"/>
      <c r="ADR5" s="147"/>
      <c r="ADS5" s="93"/>
      <c r="ADT5" s="79"/>
      <c r="ADU5" s="49"/>
      <c r="ADV5" s="151">
        <f>ADS5-ADU5</f>
        <v>0</v>
      </c>
      <c r="ADY5" s="195"/>
      <c r="ADZ5" s="110"/>
      <c r="AEA5" s="147"/>
      <c r="AEB5" s="93"/>
      <c r="AEC5" s="79"/>
      <c r="AED5" s="49"/>
      <c r="AEE5" s="151">
        <f>AEB5-AED5</f>
        <v>0</v>
      </c>
    </row>
    <row r="6" spans="1:811" ht="16.2" thickBot="1" x14ac:dyDescent="0.35">
      <c r="A6" s="150">
        <v>3</v>
      </c>
      <c r="B6" s="82" t="str">
        <f t="shared" ref="B6:I6" si="2">AE5</f>
        <v>SEABOARD FOODS</v>
      </c>
      <c r="C6" s="82" t="str">
        <f t="shared" si="2"/>
        <v>Seaboard</v>
      </c>
      <c r="D6" s="110" t="str">
        <f t="shared" si="2"/>
        <v>PED. 57224209</v>
      </c>
      <c r="E6" s="148">
        <f t="shared" si="2"/>
        <v>44140</v>
      </c>
      <c r="F6" s="93">
        <f t="shared" si="2"/>
        <v>18897.84</v>
      </c>
      <c r="G6" s="79">
        <f t="shared" si="2"/>
        <v>21</v>
      </c>
      <c r="H6" s="49">
        <f t="shared" si="2"/>
        <v>19053</v>
      </c>
      <c r="I6" s="113">
        <f t="shared" si="2"/>
        <v>-155.15999999999985</v>
      </c>
      <c r="K6" s="288"/>
      <c r="L6" s="297"/>
      <c r="M6" s="288"/>
      <c r="N6" s="288"/>
      <c r="O6" s="288"/>
      <c r="P6" s="288"/>
      <c r="Q6" s="289"/>
      <c r="R6" s="288"/>
      <c r="S6" s="288"/>
      <c r="T6" s="288"/>
      <c r="U6" s="1026"/>
      <c r="V6" s="301"/>
      <c r="W6" s="288"/>
      <c r="X6" s="288"/>
      <c r="Y6" s="288"/>
      <c r="Z6" s="288"/>
      <c r="AA6" s="289"/>
      <c r="AB6" s="288"/>
      <c r="AC6" s="388"/>
      <c r="AD6" s="288"/>
      <c r="AE6" s="288"/>
      <c r="AF6" s="297"/>
      <c r="AG6" s="288"/>
      <c r="AH6" s="288"/>
      <c r="AI6" s="288"/>
      <c r="AJ6" s="288"/>
      <c r="AK6" s="289"/>
      <c r="AL6" s="288"/>
      <c r="AM6" s="288"/>
      <c r="AN6" s="288"/>
      <c r="AO6" s="288"/>
      <c r="AP6" s="301"/>
      <c r="AQ6" s="288"/>
      <c r="AR6" s="288"/>
      <c r="AS6" s="288"/>
      <c r="AT6" s="288"/>
      <c r="AU6" s="289"/>
      <c r="AV6" s="288"/>
      <c r="AW6" s="288"/>
      <c r="AX6" s="296"/>
      <c r="AY6" s="301"/>
      <c r="AZ6" s="288"/>
      <c r="BA6" s="288"/>
      <c r="BB6" s="288"/>
      <c r="BC6" s="288"/>
      <c r="BD6" s="289"/>
      <c r="BE6" s="288"/>
      <c r="BF6" s="288"/>
      <c r="BG6" s="298"/>
      <c r="BH6" s="301"/>
      <c r="BI6" s="288"/>
      <c r="BJ6" s="288"/>
      <c r="BK6" s="288"/>
      <c r="BL6" s="288"/>
      <c r="BM6" s="289"/>
      <c r="BN6" s="288"/>
      <c r="BO6" s="288"/>
      <c r="BP6" s="288"/>
      <c r="BQ6" s="301"/>
      <c r="BR6" s="288"/>
      <c r="BS6" s="288"/>
      <c r="BT6" s="288"/>
      <c r="BU6" s="288"/>
      <c r="BV6" s="289"/>
      <c r="BW6" s="288"/>
      <c r="BX6" s="388"/>
      <c r="BY6" s="296"/>
      <c r="BZ6" s="301"/>
      <c r="CA6" s="288"/>
      <c r="CB6" s="288"/>
      <c r="CC6" s="288"/>
      <c r="CD6" s="288"/>
      <c r="CE6" s="289"/>
      <c r="CF6" s="288"/>
      <c r="CG6" s="388"/>
      <c r="CH6" s="388"/>
      <c r="CI6" s="1026"/>
      <c r="CJ6" s="301"/>
      <c r="CK6" s="288"/>
      <c r="CL6" s="288"/>
      <c r="CM6" s="288"/>
      <c r="CN6" s="288"/>
      <c r="CO6" s="289"/>
      <c r="CP6" s="288"/>
      <c r="CQ6" s="388"/>
      <c r="CR6" s="288"/>
      <c r="CS6" s="1026"/>
      <c r="CT6" s="301"/>
      <c r="CU6" s="288"/>
      <c r="CV6" s="288"/>
      <c r="CW6" s="288"/>
      <c r="CX6" s="288"/>
      <c r="CY6" s="289"/>
      <c r="CZ6" s="288"/>
      <c r="DA6" s="388"/>
      <c r="DB6" s="288"/>
      <c r="DC6" s="300"/>
      <c r="DD6" s="301"/>
      <c r="DE6" s="288"/>
      <c r="DF6" s="288"/>
      <c r="DG6" s="288"/>
      <c r="DH6" s="288"/>
      <c r="DI6" s="289"/>
      <c r="DJ6" s="288"/>
      <c r="DK6" s="388"/>
      <c r="DL6" s="288"/>
      <c r="DM6" s="300"/>
      <c r="DN6" s="301"/>
      <c r="DO6" s="288"/>
      <c r="DP6" s="288"/>
      <c r="DQ6" s="288"/>
      <c r="DR6" s="288"/>
      <c r="DS6" s="289"/>
      <c r="DT6" s="288"/>
      <c r="DU6" s="388"/>
      <c r="DV6" s="288"/>
      <c r="DW6" s="288"/>
      <c r="DX6" s="301"/>
      <c r="DY6" s="288"/>
      <c r="DZ6" s="288"/>
      <c r="EA6" s="288"/>
      <c r="EB6" s="288"/>
      <c r="EC6" s="289"/>
      <c r="ED6" s="288"/>
      <c r="EE6" s="388"/>
      <c r="EF6" s="288"/>
      <c r="EG6" s="288"/>
      <c r="EH6" s="288"/>
      <c r="EI6" s="288"/>
      <c r="EJ6" s="288"/>
      <c r="EK6" s="288"/>
      <c r="EL6" s="288"/>
      <c r="EM6" s="289"/>
      <c r="EN6" s="288"/>
      <c r="EO6" s="388"/>
      <c r="EP6" s="288"/>
      <c r="EQ6" s="299"/>
      <c r="ER6" s="301"/>
      <c r="ES6" s="288"/>
      <c r="ET6" s="288"/>
      <c r="EU6" s="288"/>
      <c r="EV6" s="288"/>
      <c r="EW6" s="289"/>
      <c r="EX6" s="288"/>
      <c r="EY6" s="388"/>
      <c r="EZ6" s="288"/>
      <c r="FA6" s="288"/>
      <c r="FB6" s="301"/>
      <c r="FC6" s="288"/>
      <c r="FD6" s="288"/>
      <c r="FE6" s="288"/>
      <c r="FF6" s="288"/>
      <c r="FG6" s="289"/>
      <c r="FH6" s="288"/>
      <c r="FI6" s="388"/>
      <c r="FJ6" s="288"/>
      <c r="FK6" s="296"/>
      <c r="FL6" s="301"/>
      <c r="FM6" s="288"/>
      <c r="FN6" s="288"/>
      <c r="FO6" s="288"/>
      <c r="FP6" s="288"/>
      <c r="FQ6" s="289"/>
      <c r="FR6" s="288"/>
      <c r="FS6" s="388"/>
      <c r="FT6" s="288"/>
      <c r="FU6" s="1026"/>
      <c r="FV6" s="301"/>
      <c r="FW6" s="288"/>
      <c r="FX6" s="288"/>
      <c r="FY6" s="288"/>
      <c r="FZ6" s="288"/>
      <c r="GA6" s="289"/>
      <c r="GB6" s="288"/>
      <c r="GC6" s="388"/>
      <c r="GD6" s="288"/>
      <c r="GE6" s="288"/>
      <c r="GF6" s="301"/>
      <c r="GG6" s="288"/>
      <c r="GH6" s="288"/>
      <c r="GI6" s="288"/>
      <c r="GJ6" s="288"/>
      <c r="GK6" s="289"/>
      <c r="GL6" s="288"/>
      <c r="GM6" s="388"/>
      <c r="GN6" s="288"/>
      <c r="GO6" s="288"/>
      <c r="GP6" s="297"/>
      <c r="GQ6" s="288"/>
      <c r="GR6" s="288"/>
      <c r="GS6" s="288"/>
      <c r="GT6" s="288"/>
      <c r="GU6" s="289"/>
      <c r="GV6" s="288"/>
      <c r="GW6" s="388"/>
      <c r="GX6" s="288"/>
      <c r="GY6" s="288"/>
      <c r="GZ6" s="301"/>
      <c r="HA6" s="288"/>
      <c r="HB6" s="288"/>
      <c r="HC6" s="288"/>
      <c r="HD6" s="288"/>
      <c r="HE6" s="289"/>
      <c r="HF6" s="288"/>
      <c r="HG6" s="388"/>
      <c r="HH6" s="288"/>
      <c r="HI6" s="299"/>
      <c r="HJ6" s="301"/>
      <c r="HK6" s="288"/>
      <c r="HL6" s="288"/>
      <c r="HM6" s="288"/>
      <c r="HN6" s="288"/>
      <c r="HO6" s="289"/>
      <c r="HP6" s="288"/>
      <c r="HQ6" s="388"/>
      <c r="HR6" s="288"/>
      <c r="HS6" s="288"/>
      <c r="HT6" s="288"/>
      <c r="HU6" s="288"/>
      <c r="HV6" s="288"/>
      <c r="HW6" s="288"/>
      <c r="HX6" s="288"/>
      <c r="HY6" s="289"/>
      <c r="HZ6" s="288"/>
      <c r="IA6" s="388"/>
      <c r="IB6" s="288"/>
      <c r="IC6" s="1032"/>
      <c r="ID6" s="301"/>
      <c r="IE6" s="288"/>
      <c r="IF6" s="288"/>
      <c r="IG6" s="288"/>
      <c r="IH6" s="288"/>
      <c r="II6" s="289"/>
      <c r="IJ6" s="288"/>
      <c r="IK6" s="388"/>
      <c r="IL6" s="288"/>
      <c r="IM6" s="288"/>
      <c r="IN6" s="288"/>
      <c r="IO6" s="288"/>
      <c r="IP6" s="288"/>
      <c r="IQ6" s="288"/>
      <c r="IR6" s="288"/>
      <c r="IS6" s="289"/>
      <c r="IT6" s="288"/>
      <c r="IU6" s="388"/>
      <c r="IV6" s="288"/>
      <c r="IW6" s="754"/>
      <c r="IX6" s="301"/>
      <c r="IY6" s="288"/>
      <c r="IZ6" s="288"/>
      <c r="JA6" s="288"/>
      <c r="JB6" s="288"/>
      <c r="JC6" s="289"/>
      <c r="JD6" s="288"/>
      <c r="JE6" s="388"/>
      <c r="JF6" s="288"/>
      <c r="JG6" s="1026"/>
      <c r="JH6" s="301"/>
      <c r="JI6" s="288"/>
      <c r="JJ6" s="288"/>
      <c r="JK6" s="288"/>
      <c r="JL6" s="288"/>
      <c r="JM6" s="289"/>
      <c r="JN6" s="288"/>
      <c r="JO6" s="388"/>
      <c r="JP6" s="288"/>
      <c r="JQ6" s="288"/>
      <c r="JR6" s="449"/>
      <c r="JS6" s="288"/>
      <c r="JT6" s="288"/>
      <c r="JU6" s="288"/>
      <c r="JV6" s="288"/>
      <c r="JW6" s="289"/>
      <c r="JX6" s="288"/>
      <c r="JY6" s="388"/>
      <c r="JZ6" s="288"/>
      <c r="KA6" s="288"/>
      <c r="KB6" s="301"/>
      <c r="KC6" s="288"/>
      <c r="KD6" s="288"/>
      <c r="KE6" s="288"/>
      <c r="KF6" s="288"/>
      <c r="KG6" s="289"/>
      <c r="KH6" s="288"/>
      <c r="KI6" s="388"/>
      <c r="KJ6" s="288"/>
      <c r="KK6" s="296"/>
      <c r="KL6" s="449"/>
      <c r="KM6" s="288"/>
      <c r="KN6" s="288"/>
      <c r="KO6" s="288"/>
      <c r="KP6" s="288"/>
      <c r="KQ6" s="289"/>
      <c r="KR6" s="288"/>
      <c r="KS6" s="388"/>
      <c r="KT6" s="288"/>
      <c r="KU6" s="288"/>
      <c r="KV6" s="301"/>
      <c r="KW6" s="288"/>
      <c r="KX6" s="288"/>
      <c r="KY6" s="288"/>
      <c r="KZ6" s="288"/>
      <c r="LA6" s="289"/>
      <c r="LF6" s="448"/>
      <c r="LK6" s="79"/>
      <c r="LP6" s="448"/>
      <c r="LU6" s="79"/>
      <c r="LY6" s="448"/>
      <c r="MD6" s="79"/>
      <c r="MH6" s="216"/>
      <c r="MM6" s="79"/>
      <c r="MQ6" s="448"/>
      <c r="MV6" s="79"/>
      <c r="MZ6" s="448"/>
      <c r="NE6" s="79"/>
      <c r="NH6" s="391"/>
      <c r="NI6" s="448"/>
      <c r="NN6" s="79"/>
      <c r="NR6" s="448"/>
      <c r="NW6" s="79"/>
      <c r="NZ6" s="223"/>
      <c r="OA6" s="448"/>
      <c r="OF6" s="79"/>
      <c r="OI6" s="223"/>
      <c r="OJ6" s="448"/>
      <c r="OO6" s="79"/>
      <c r="OX6" s="79"/>
      <c r="PJ6" s="223"/>
      <c r="PP6" s="79"/>
      <c r="PS6" s="288"/>
      <c r="PT6" s="299"/>
      <c r="PU6" s="288"/>
      <c r="PV6" s="288"/>
      <c r="PW6" s="288"/>
      <c r="PX6" s="288"/>
      <c r="PY6" s="289"/>
      <c r="QC6" s="217"/>
      <c r="QH6" s="79"/>
      <c r="QK6" s="217"/>
      <c r="QQ6" s="79"/>
      <c r="QZ6" s="79"/>
      <c r="TK6" s="82" t="s">
        <v>40</v>
      </c>
      <c r="TL6" s="66"/>
      <c r="UC6" s="82" t="s">
        <v>40</v>
      </c>
    </row>
    <row r="7" spans="1:811" ht="16.8" thickTop="1" thickBot="1" x14ac:dyDescent="0.35">
      <c r="A7" s="150">
        <v>4</v>
      </c>
      <c r="B7" s="140" t="str">
        <f>AO5</f>
        <v>F&amp;J TRADING MEAT</v>
      </c>
      <c r="C7" s="82" t="str">
        <f t="shared" ref="C7:I7" si="3">AP5</f>
        <v>Seaboard</v>
      </c>
      <c r="D7" s="110" t="str">
        <f t="shared" si="3"/>
        <v>PED.  57274861</v>
      </c>
      <c r="E7" s="148">
        <f t="shared" si="3"/>
        <v>44141</v>
      </c>
      <c r="F7" s="93">
        <f t="shared" si="3"/>
        <v>18980.03</v>
      </c>
      <c r="G7" s="79">
        <f t="shared" si="3"/>
        <v>21</v>
      </c>
      <c r="H7" s="49">
        <f t="shared" si="3"/>
        <v>19099.8</v>
      </c>
      <c r="I7" s="113">
        <f t="shared" si="3"/>
        <v>-119.77000000000044</v>
      </c>
      <c r="L7" s="456" t="s">
        <v>7</v>
      </c>
      <c r="M7" s="451" t="s">
        <v>8</v>
      </c>
      <c r="N7" s="452" t="s">
        <v>17</v>
      </c>
      <c r="O7" s="453" t="s">
        <v>2</v>
      </c>
      <c r="P7" s="445" t="s">
        <v>18</v>
      </c>
      <c r="Q7" s="454" t="s">
        <v>15</v>
      </c>
      <c r="R7" s="455"/>
      <c r="S7" s="549"/>
      <c r="V7" s="456" t="s">
        <v>7</v>
      </c>
      <c r="W7" s="451" t="s">
        <v>8</v>
      </c>
      <c r="X7" s="452" t="s">
        <v>17</v>
      </c>
      <c r="Y7" s="453" t="s">
        <v>2</v>
      </c>
      <c r="Z7" s="445" t="s">
        <v>18</v>
      </c>
      <c r="AA7" s="454" t="s">
        <v>15</v>
      </c>
      <c r="AB7" s="455"/>
      <c r="AC7" s="898"/>
      <c r="AF7" s="456" t="s">
        <v>7</v>
      </c>
      <c r="AG7" s="451" t="s">
        <v>8</v>
      </c>
      <c r="AH7" s="452" t="s">
        <v>17</v>
      </c>
      <c r="AI7" s="453" t="s">
        <v>2</v>
      </c>
      <c r="AJ7" s="445" t="s">
        <v>18</v>
      </c>
      <c r="AK7" s="454" t="s">
        <v>15</v>
      </c>
      <c r="AL7" s="449"/>
      <c r="AM7" s="345" t="s">
        <v>331</v>
      </c>
      <c r="AP7" s="456" t="s">
        <v>7</v>
      </c>
      <c r="AQ7" s="451" t="s">
        <v>8</v>
      </c>
      <c r="AR7" s="452" t="s">
        <v>17</v>
      </c>
      <c r="AS7" s="453" t="s">
        <v>2</v>
      </c>
      <c r="AT7" s="445" t="s">
        <v>18</v>
      </c>
      <c r="AU7" s="454" t="s">
        <v>15</v>
      </c>
      <c r="AV7" s="455"/>
      <c r="AY7" s="456" t="s">
        <v>7</v>
      </c>
      <c r="AZ7" s="451" t="s">
        <v>8</v>
      </c>
      <c r="BA7" s="452" t="s">
        <v>17</v>
      </c>
      <c r="BB7" s="453" t="s">
        <v>2</v>
      </c>
      <c r="BC7" s="445" t="s">
        <v>18</v>
      </c>
      <c r="BD7" s="454" t="s">
        <v>15</v>
      </c>
      <c r="BE7" s="455"/>
      <c r="BH7" s="456" t="s">
        <v>7</v>
      </c>
      <c r="BI7" s="451" t="s">
        <v>8</v>
      </c>
      <c r="BJ7" s="452" t="s">
        <v>17</v>
      </c>
      <c r="BK7" s="453" t="s">
        <v>2</v>
      </c>
      <c r="BL7" s="445" t="s">
        <v>18</v>
      </c>
      <c r="BM7" s="454" t="s">
        <v>15</v>
      </c>
      <c r="BN7" s="455"/>
      <c r="BQ7" s="456" t="s">
        <v>7</v>
      </c>
      <c r="BR7" s="451" t="s">
        <v>8</v>
      </c>
      <c r="BS7" s="452" t="s">
        <v>17</v>
      </c>
      <c r="BT7" s="453" t="s">
        <v>2</v>
      </c>
      <c r="BU7" s="445" t="s">
        <v>18</v>
      </c>
      <c r="BV7" s="454" t="s">
        <v>15</v>
      </c>
      <c r="BW7" s="449"/>
      <c r="BZ7" s="456" t="s">
        <v>7</v>
      </c>
      <c r="CA7" s="451" t="s">
        <v>8</v>
      </c>
      <c r="CB7" s="452" t="s">
        <v>17</v>
      </c>
      <c r="CC7" s="453" t="s">
        <v>2</v>
      </c>
      <c r="CD7" s="445" t="s">
        <v>18</v>
      </c>
      <c r="CE7" s="454" t="s">
        <v>15</v>
      </c>
      <c r="CF7" s="455"/>
      <c r="CJ7" s="456" t="s">
        <v>7</v>
      </c>
      <c r="CK7" s="451" t="s">
        <v>8</v>
      </c>
      <c r="CL7" s="452" t="s">
        <v>17</v>
      </c>
      <c r="CM7" s="453" t="s">
        <v>2</v>
      </c>
      <c r="CN7" s="445" t="s">
        <v>18</v>
      </c>
      <c r="CO7" s="454" t="s">
        <v>15</v>
      </c>
      <c r="CP7" s="455"/>
      <c r="CQ7" s="898"/>
      <c r="CT7" s="456" t="s">
        <v>7</v>
      </c>
      <c r="CU7" s="451" t="s">
        <v>8</v>
      </c>
      <c r="CV7" s="452" t="s">
        <v>17</v>
      </c>
      <c r="CW7" s="453" t="s">
        <v>2</v>
      </c>
      <c r="CX7" s="445" t="s">
        <v>18</v>
      </c>
      <c r="CY7" s="454" t="s">
        <v>15</v>
      </c>
      <c r="CZ7" s="455"/>
      <c r="DA7" s="898"/>
      <c r="DD7" s="456" t="s">
        <v>7</v>
      </c>
      <c r="DE7" s="451" t="s">
        <v>8</v>
      </c>
      <c r="DF7" s="452" t="s">
        <v>17</v>
      </c>
      <c r="DG7" s="453" t="s">
        <v>2</v>
      </c>
      <c r="DH7" s="445" t="s">
        <v>18</v>
      </c>
      <c r="DI7" s="454" t="s">
        <v>15</v>
      </c>
      <c r="DJ7" s="455"/>
      <c r="DK7" s="898"/>
      <c r="DN7" s="456" t="s">
        <v>7</v>
      </c>
      <c r="DO7" s="451" t="s">
        <v>8</v>
      </c>
      <c r="DP7" s="452" t="s">
        <v>17</v>
      </c>
      <c r="DQ7" s="453" t="s">
        <v>2</v>
      </c>
      <c r="DR7" s="445" t="s">
        <v>18</v>
      </c>
      <c r="DS7" s="454" t="s">
        <v>15</v>
      </c>
      <c r="DT7" s="455"/>
      <c r="DX7" s="456" t="s">
        <v>7</v>
      </c>
      <c r="DY7" s="451" t="s">
        <v>8</v>
      </c>
      <c r="DZ7" s="452" t="s">
        <v>17</v>
      </c>
      <c r="EA7" s="453" t="s">
        <v>2</v>
      </c>
      <c r="EB7" s="445" t="s">
        <v>18</v>
      </c>
      <c r="EC7" s="454" t="s">
        <v>15</v>
      </c>
      <c r="ED7" s="455"/>
      <c r="EE7" s="898"/>
      <c r="EH7" s="450" t="s">
        <v>7</v>
      </c>
      <c r="EI7" s="451" t="s">
        <v>8</v>
      </c>
      <c r="EJ7" s="452" t="s">
        <v>17</v>
      </c>
      <c r="EK7" s="453" t="s">
        <v>2</v>
      </c>
      <c r="EL7" s="445" t="s">
        <v>18</v>
      </c>
      <c r="EM7" s="454" t="s">
        <v>15</v>
      </c>
      <c r="EN7" s="455"/>
      <c r="EO7" s="898"/>
      <c r="ER7" s="456" t="s">
        <v>7</v>
      </c>
      <c r="ES7" s="451" t="s">
        <v>8</v>
      </c>
      <c r="ET7" s="452" t="s">
        <v>17</v>
      </c>
      <c r="EU7" s="453" t="s">
        <v>2</v>
      </c>
      <c r="EV7" s="445" t="s">
        <v>18</v>
      </c>
      <c r="EW7" s="454" t="s">
        <v>15</v>
      </c>
      <c r="EX7" s="455"/>
      <c r="EY7" s="898"/>
      <c r="FB7" s="456" t="s">
        <v>7</v>
      </c>
      <c r="FC7" s="451" t="s">
        <v>8</v>
      </c>
      <c r="FD7" s="452" t="s">
        <v>17</v>
      </c>
      <c r="FE7" s="453" t="s">
        <v>2</v>
      </c>
      <c r="FF7" s="445" t="s">
        <v>18</v>
      </c>
      <c r="FG7" s="454" t="s">
        <v>15</v>
      </c>
      <c r="FH7" s="455"/>
      <c r="FI7" s="898"/>
      <c r="FL7" s="456" t="s">
        <v>7</v>
      </c>
      <c r="FM7" s="451" t="s">
        <v>8</v>
      </c>
      <c r="FN7" s="452" t="s">
        <v>17</v>
      </c>
      <c r="FO7" s="453" t="s">
        <v>2</v>
      </c>
      <c r="FP7" s="445" t="s">
        <v>18</v>
      </c>
      <c r="FQ7" s="454" t="s">
        <v>15</v>
      </c>
      <c r="FR7" s="455"/>
      <c r="FS7" s="898"/>
      <c r="FV7" s="456" t="s">
        <v>7</v>
      </c>
      <c r="FW7" s="451" t="s">
        <v>8</v>
      </c>
      <c r="FX7" s="452" t="s">
        <v>17</v>
      </c>
      <c r="FY7" s="453" t="s">
        <v>2</v>
      </c>
      <c r="FZ7" s="445" t="s">
        <v>18</v>
      </c>
      <c r="GA7" s="454" t="s">
        <v>15</v>
      </c>
      <c r="GB7" s="455"/>
      <c r="GC7" s="898"/>
      <c r="GF7" s="456" t="s">
        <v>7</v>
      </c>
      <c r="GG7" s="451" t="s">
        <v>8</v>
      </c>
      <c r="GH7" s="452" t="s">
        <v>17</v>
      </c>
      <c r="GI7" s="453" t="s">
        <v>2</v>
      </c>
      <c r="GJ7" s="445" t="s">
        <v>18</v>
      </c>
      <c r="GK7" s="454" t="s">
        <v>15</v>
      </c>
      <c r="GL7" s="455"/>
      <c r="GM7" s="898"/>
      <c r="GP7" s="456" t="s">
        <v>7</v>
      </c>
      <c r="GQ7" s="451" t="s">
        <v>8</v>
      </c>
      <c r="GR7" s="452" t="s">
        <v>17</v>
      </c>
      <c r="GS7" s="453" t="s">
        <v>2</v>
      </c>
      <c r="GT7" s="445" t="s">
        <v>18</v>
      </c>
      <c r="GU7" s="454" t="s">
        <v>15</v>
      </c>
      <c r="GV7" s="455"/>
      <c r="GW7" s="898"/>
      <c r="GZ7" s="456" t="s">
        <v>7</v>
      </c>
      <c r="HA7" s="451" t="s">
        <v>8</v>
      </c>
      <c r="HB7" s="452" t="s">
        <v>17</v>
      </c>
      <c r="HC7" s="453" t="s">
        <v>2</v>
      </c>
      <c r="HD7" s="445" t="s">
        <v>18</v>
      </c>
      <c r="HE7" s="454" t="s">
        <v>15</v>
      </c>
      <c r="HF7" s="455"/>
      <c r="HG7" s="898"/>
      <c r="HJ7" s="456" t="s">
        <v>7</v>
      </c>
      <c r="HK7" s="451" t="s">
        <v>8</v>
      </c>
      <c r="HL7" s="452" t="s">
        <v>17</v>
      </c>
      <c r="HM7" s="453" t="s">
        <v>2</v>
      </c>
      <c r="HN7" s="445" t="s">
        <v>18</v>
      </c>
      <c r="HO7" s="454" t="s">
        <v>15</v>
      </c>
      <c r="HP7" s="455"/>
      <c r="HQ7" s="898"/>
      <c r="HT7" s="450" t="s">
        <v>7</v>
      </c>
      <c r="HU7" s="451" t="s">
        <v>8</v>
      </c>
      <c r="HV7" s="452" t="s">
        <v>17</v>
      </c>
      <c r="HW7" s="453" t="s">
        <v>2</v>
      </c>
      <c r="HX7" s="445" t="s">
        <v>50</v>
      </c>
      <c r="HY7" s="454" t="s">
        <v>15</v>
      </c>
      <c r="HZ7" s="455"/>
      <c r="IA7" s="898"/>
      <c r="IC7" s="849"/>
      <c r="ID7" s="456" t="s">
        <v>7</v>
      </c>
      <c r="IE7" s="451" t="s">
        <v>8</v>
      </c>
      <c r="IF7" s="452" t="s">
        <v>17</v>
      </c>
      <c r="IG7" s="453" t="s">
        <v>2</v>
      </c>
      <c r="IH7" s="445" t="s">
        <v>18</v>
      </c>
      <c r="II7" s="454" t="s">
        <v>15</v>
      </c>
      <c r="IJ7" s="455"/>
      <c r="IK7" s="898"/>
      <c r="IN7" s="450" t="s">
        <v>7</v>
      </c>
      <c r="IO7" s="451" t="s">
        <v>8</v>
      </c>
      <c r="IP7" s="452" t="s">
        <v>17</v>
      </c>
      <c r="IQ7" s="453" t="s">
        <v>2</v>
      </c>
      <c r="IR7" s="445" t="s">
        <v>18</v>
      </c>
      <c r="IS7" s="454" t="s">
        <v>15</v>
      </c>
      <c r="IT7" s="455"/>
      <c r="IU7" s="898"/>
      <c r="IX7" s="456" t="s">
        <v>7</v>
      </c>
      <c r="IY7" s="451" t="s">
        <v>8</v>
      </c>
      <c r="IZ7" s="452" t="s">
        <v>17</v>
      </c>
      <c r="JA7" s="453" t="s">
        <v>2</v>
      </c>
      <c r="JB7" s="445" t="s">
        <v>18</v>
      </c>
      <c r="JC7" s="454" t="s">
        <v>15</v>
      </c>
      <c r="JD7" s="455"/>
      <c r="JE7" s="898"/>
      <c r="JH7" s="456" t="s">
        <v>7</v>
      </c>
      <c r="JI7" s="451" t="s">
        <v>8</v>
      </c>
      <c r="JJ7" s="452" t="s">
        <v>17</v>
      </c>
      <c r="JK7" s="453" t="s">
        <v>2</v>
      </c>
      <c r="JL7" s="445" t="s">
        <v>18</v>
      </c>
      <c r="JM7" s="454" t="s">
        <v>15</v>
      </c>
      <c r="JN7" s="455"/>
      <c r="JO7" s="898"/>
      <c r="JR7" s="456" t="s">
        <v>7</v>
      </c>
      <c r="JS7" s="451" t="s">
        <v>8</v>
      </c>
      <c r="JT7" s="452" t="s">
        <v>17</v>
      </c>
      <c r="JU7" s="453" t="s">
        <v>2</v>
      </c>
      <c r="JV7" s="445" t="s">
        <v>18</v>
      </c>
      <c r="JW7" s="454" t="s">
        <v>15</v>
      </c>
      <c r="JX7" s="455"/>
      <c r="JY7" s="898"/>
      <c r="KB7" s="456" t="s">
        <v>7</v>
      </c>
      <c r="KC7" s="451" t="s">
        <v>8</v>
      </c>
      <c r="KD7" s="452" t="s">
        <v>17</v>
      </c>
      <c r="KE7" s="453" t="s">
        <v>2</v>
      </c>
      <c r="KF7" s="445" t="s">
        <v>18</v>
      </c>
      <c r="KG7" s="454" t="s">
        <v>15</v>
      </c>
      <c r="KH7" s="455"/>
      <c r="KI7" s="898"/>
      <c r="KL7" s="456" t="s">
        <v>7</v>
      </c>
      <c r="KM7" s="451" t="s">
        <v>8</v>
      </c>
      <c r="KN7" s="452" t="s">
        <v>17</v>
      </c>
      <c r="KO7" s="453" t="s">
        <v>2</v>
      </c>
      <c r="KP7" s="445" t="s">
        <v>18</v>
      </c>
      <c r="KQ7" s="454" t="s">
        <v>15</v>
      </c>
      <c r="KR7" s="455"/>
      <c r="KS7" s="898"/>
      <c r="KV7" s="456" t="s">
        <v>7</v>
      </c>
      <c r="KW7" s="451" t="s">
        <v>8</v>
      </c>
      <c r="KX7" s="452" t="s">
        <v>17</v>
      </c>
      <c r="KY7" s="453" t="s">
        <v>2</v>
      </c>
      <c r="KZ7" s="445" t="s">
        <v>18</v>
      </c>
      <c r="LA7" s="454" t="s">
        <v>15</v>
      </c>
      <c r="LB7" s="455"/>
      <c r="LC7" s="898"/>
      <c r="LF7" s="456" t="s">
        <v>7</v>
      </c>
      <c r="LG7" s="451" t="s">
        <v>8</v>
      </c>
      <c r="LH7" s="452" t="s">
        <v>17</v>
      </c>
      <c r="LI7" s="453" t="s">
        <v>2</v>
      </c>
      <c r="LJ7" s="445" t="s">
        <v>18</v>
      </c>
      <c r="LK7" s="454" t="s">
        <v>15</v>
      </c>
      <c r="LL7" s="455"/>
      <c r="LM7" s="898"/>
      <c r="LP7" s="456" t="s">
        <v>7</v>
      </c>
      <c r="LQ7" s="451" t="s">
        <v>8</v>
      </c>
      <c r="LR7" s="452" t="s">
        <v>17</v>
      </c>
      <c r="LS7" s="453" t="s">
        <v>2</v>
      </c>
      <c r="LT7" s="445" t="s">
        <v>18</v>
      </c>
      <c r="LU7" s="454" t="s">
        <v>15</v>
      </c>
      <c r="LV7" s="455"/>
      <c r="LY7" s="456" t="s">
        <v>7</v>
      </c>
      <c r="LZ7" s="451" t="s">
        <v>8</v>
      </c>
      <c r="MA7" s="452" t="s">
        <v>17</v>
      </c>
      <c r="MB7" s="453" t="s">
        <v>2</v>
      </c>
      <c r="MC7" s="445" t="s">
        <v>18</v>
      </c>
      <c r="MD7" s="454" t="s">
        <v>15</v>
      </c>
      <c r="ME7" s="455"/>
      <c r="MH7" s="456" t="s">
        <v>7</v>
      </c>
      <c r="MI7" s="451" t="s">
        <v>8</v>
      </c>
      <c r="MJ7" s="452" t="s">
        <v>17</v>
      </c>
      <c r="MK7" s="453" t="s">
        <v>2</v>
      </c>
      <c r="ML7" s="445" t="s">
        <v>18</v>
      </c>
      <c r="MM7" s="454" t="s">
        <v>15</v>
      </c>
      <c r="MN7" s="455"/>
      <c r="MQ7" s="456" t="s">
        <v>7</v>
      </c>
      <c r="MR7" s="451" t="s">
        <v>8</v>
      </c>
      <c r="MS7" s="452" t="s">
        <v>17</v>
      </c>
      <c r="MT7" s="453" t="s">
        <v>2</v>
      </c>
      <c r="MU7" s="445" t="s">
        <v>18</v>
      </c>
      <c r="MV7" s="454" t="s">
        <v>15</v>
      </c>
      <c r="MW7" s="455"/>
      <c r="MZ7" s="456" t="s">
        <v>7</v>
      </c>
      <c r="NA7" s="451" t="s">
        <v>8</v>
      </c>
      <c r="NB7" s="452" t="s">
        <v>17</v>
      </c>
      <c r="NC7" s="453" t="s">
        <v>2</v>
      </c>
      <c r="ND7" s="445" t="s">
        <v>18</v>
      </c>
      <c r="NE7" s="454" t="s">
        <v>15</v>
      </c>
      <c r="NF7" s="455"/>
      <c r="NI7" s="456" t="s">
        <v>7</v>
      </c>
      <c r="NJ7" s="451" t="s">
        <v>8</v>
      </c>
      <c r="NK7" s="452" t="s">
        <v>17</v>
      </c>
      <c r="NL7" s="453" t="s">
        <v>2</v>
      </c>
      <c r="NM7" s="445" t="s">
        <v>18</v>
      </c>
      <c r="NN7" s="454" t="s">
        <v>15</v>
      </c>
      <c r="NO7" s="455"/>
      <c r="NR7" s="456" t="s">
        <v>7</v>
      </c>
      <c r="NS7" s="451" t="s">
        <v>8</v>
      </c>
      <c r="NT7" s="452" t="s">
        <v>17</v>
      </c>
      <c r="NU7" s="453" t="s">
        <v>2</v>
      </c>
      <c r="NV7" s="445" t="s">
        <v>18</v>
      </c>
      <c r="NW7" s="454" t="s">
        <v>15</v>
      </c>
      <c r="NX7" s="455"/>
      <c r="OA7" s="456" t="s">
        <v>7</v>
      </c>
      <c r="OB7" s="451" t="s">
        <v>8</v>
      </c>
      <c r="OC7" s="452" t="s">
        <v>17</v>
      </c>
      <c r="OD7" s="453" t="s">
        <v>2</v>
      </c>
      <c r="OE7" s="445" t="s">
        <v>18</v>
      </c>
      <c r="OF7" s="454" t="s">
        <v>15</v>
      </c>
      <c r="OG7" s="455"/>
      <c r="OJ7" s="456" t="s">
        <v>7</v>
      </c>
      <c r="OK7" s="451" t="s">
        <v>8</v>
      </c>
      <c r="OL7" s="452" t="s">
        <v>17</v>
      </c>
      <c r="OM7" s="453" t="s">
        <v>2</v>
      </c>
      <c r="ON7" s="445" t="s">
        <v>18</v>
      </c>
      <c r="OO7" s="454" t="s">
        <v>15</v>
      </c>
      <c r="OP7" s="455"/>
      <c r="OS7" s="457" t="s">
        <v>7</v>
      </c>
      <c r="OT7" s="451" t="s">
        <v>8</v>
      </c>
      <c r="OU7" s="452" t="s">
        <v>17</v>
      </c>
      <c r="OV7" s="453" t="s">
        <v>2</v>
      </c>
      <c r="OW7" s="445" t="s">
        <v>18</v>
      </c>
      <c r="OX7" s="454" t="s">
        <v>15</v>
      </c>
      <c r="OY7" s="455"/>
      <c r="PB7" s="457" t="s">
        <v>7</v>
      </c>
      <c r="PC7" s="451" t="s">
        <v>8</v>
      </c>
      <c r="PD7" s="452" t="s">
        <v>17</v>
      </c>
      <c r="PE7" s="453" t="s">
        <v>2</v>
      </c>
      <c r="PF7" s="445" t="s">
        <v>18</v>
      </c>
      <c r="PG7" s="454" t="s">
        <v>15</v>
      </c>
      <c r="PH7" s="455"/>
      <c r="PK7" s="457" t="s">
        <v>7</v>
      </c>
      <c r="PL7" s="451" t="s">
        <v>8</v>
      </c>
      <c r="PM7" s="452" t="s">
        <v>17</v>
      </c>
      <c r="PN7" s="453" t="s">
        <v>2</v>
      </c>
      <c r="PO7" s="445" t="s">
        <v>18</v>
      </c>
      <c r="PP7" s="454" t="s">
        <v>15</v>
      </c>
      <c r="PQ7" s="455"/>
      <c r="PT7" s="457" t="s">
        <v>7</v>
      </c>
      <c r="PU7" s="451" t="s">
        <v>8</v>
      </c>
      <c r="PV7" s="452" t="s">
        <v>17</v>
      </c>
      <c r="PW7" s="453" t="s">
        <v>37</v>
      </c>
      <c r="PX7" s="445" t="s">
        <v>18</v>
      </c>
      <c r="PY7" s="454" t="s">
        <v>15</v>
      </c>
      <c r="PZ7" s="455"/>
      <c r="QC7" s="457" t="s">
        <v>7</v>
      </c>
      <c r="QD7" s="451" t="s">
        <v>8</v>
      </c>
      <c r="QE7" s="452" t="s">
        <v>17</v>
      </c>
      <c r="QF7" s="453" t="s">
        <v>37</v>
      </c>
      <c r="QG7" s="445" t="s">
        <v>18</v>
      </c>
      <c r="QH7" s="454" t="s">
        <v>15</v>
      </c>
      <c r="QI7" s="455"/>
      <c r="QL7" s="457" t="s">
        <v>7</v>
      </c>
      <c r="QM7" s="451" t="s">
        <v>8</v>
      </c>
      <c r="QN7" s="452" t="s">
        <v>17</v>
      </c>
      <c r="QO7" s="453" t="s">
        <v>2</v>
      </c>
      <c r="QP7" s="445" t="s">
        <v>18</v>
      </c>
      <c r="QQ7" s="454" t="s">
        <v>15</v>
      </c>
      <c r="QR7" s="455"/>
      <c r="QU7" s="457" t="s">
        <v>7</v>
      </c>
      <c r="QV7" s="451" t="s">
        <v>8</v>
      </c>
      <c r="QW7" s="452" t="s">
        <v>17</v>
      </c>
      <c r="QX7" s="453" t="s">
        <v>2</v>
      </c>
      <c r="QY7" s="445" t="s">
        <v>18</v>
      </c>
      <c r="QZ7" s="454" t="s">
        <v>15</v>
      </c>
      <c r="RA7" s="455"/>
      <c r="RD7" s="457" t="s">
        <v>7</v>
      </c>
      <c r="RE7" s="451" t="s">
        <v>8</v>
      </c>
      <c r="RF7" s="452" t="s">
        <v>17</v>
      </c>
      <c r="RG7" s="453" t="s">
        <v>2</v>
      </c>
      <c r="RH7" s="445" t="s">
        <v>18</v>
      </c>
      <c r="RI7" s="454" t="s">
        <v>15</v>
      </c>
      <c r="RJ7" s="455"/>
      <c r="RM7" s="457" t="s">
        <v>7</v>
      </c>
      <c r="RN7" s="451" t="s">
        <v>8</v>
      </c>
      <c r="RO7" s="452" t="s">
        <v>17</v>
      </c>
      <c r="RP7" s="453" t="s">
        <v>2</v>
      </c>
      <c r="RQ7" s="445" t="s">
        <v>18</v>
      </c>
      <c r="RR7" s="454" t="s">
        <v>15</v>
      </c>
      <c r="RS7" s="455"/>
      <c r="RV7" s="457" t="s">
        <v>7</v>
      </c>
      <c r="RW7" s="451" t="s">
        <v>8</v>
      </c>
      <c r="RX7" s="452" t="s">
        <v>17</v>
      </c>
      <c r="RY7" s="453" t="s">
        <v>2</v>
      </c>
      <c r="RZ7" s="445" t="s">
        <v>18</v>
      </c>
      <c r="SA7" s="454" t="s">
        <v>15</v>
      </c>
      <c r="SB7" s="455"/>
      <c r="SE7" s="457" t="s">
        <v>7</v>
      </c>
      <c r="SF7" s="451" t="s">
        <v>8</v>
      </c>
      <c r="SG7" s="452" t="s">
        <v>17</v>
      </c>
      <c r="SH7" s="453" t="s">
        <v>2</v>
      </c>
      <c r="SI7" s="445" t="s">
        <v>18</v>
      </c>
      <c r="SJ7" s="454" t="s">
        <v>15</v>
      </c>
      <c r="SK7" s="455"/>
      <c r="SN7" s="457" t="s">
        <v>7</v>
      </c>
      <c r="SO7" s="451" t="s">
        <v>8</v>
      </c>
      <c r="SP7" s="452" t="s">
        <v>17</v>
      </c>
      <c r="SQ7" s="453" t="s">
        <v>2</v>
      </c>
      <c r="SR7" s="445" t="s">
        <v>18</v>
      </c>
      <c r="SS7" s="454" t="s">
        <v>15</v>
      </c>
      <c r="ST7" s="455"/>
      <c r="SW7" s="457" t="s">
        <v>7</v>
      </c>
      <c r="SX7" s="451" t="s">
        <v>8</v>
      </c>
      <c r="SY7" s="452" t="s">
        <v>17</v>
      </c>
      <c r="SZ7" s="453" t="s">
        <v>2</v>
      </c>
      <c r="TA7" s="445" t="s">
        <v>18</v>
      </c>
      <c r="TB7" s="454" t="s">
        <v>15</v>
      </c>
      <c r="TC7" s="455"/>
      <c r="TF7" s="457" t="s">
        <v>7</v>
      </c>
      <c r="TG7" s="451" t="s">
        <v>8</v>
      </c>
      <c r="TH7" s="452" t="s">
        <v>17</v>
      </c>
      <c r="TI7" s="453" t="s">
        <v>2</v>
      </c>
      <c r="TJ7" s="445" t="s">
        <v>18</v>
      </c>
      <c r="TK7" s="454" t="s">
        <v>15</v>
      </c>
      <c r="TL7" s="455"/>
      <c r="TO7" s="457" t="s">
        <v>7</v>
      </c>
      <c r="TP7" s="451" t="s">
        <v>8</v>
      </c>
      <c r="TQ7" s="452" t="s">
        <v>17</v>
      </c>
      <c r="TR7" s="453" t="s">
        <v>2</v>
      </c>
      <c r="TS7" s="445" t="s">
        <v>18</v>
      </c>
      <c r="TT7" s="454" t="s">
        <v>15</v>
      </c>
      <c r="TU7" s="455"/>
      <c r="TX7" s="457" t="s">
        <v>7</v>
      </c>
      <c r="TY7" s="451" t="s">
        <v>8</v>
      </c>
      <c r="TZ7" s="452" t="s">
        <v>17</v>
      </c>
      <c r="UA7" s="453" t="s">
        <v>2</v>
      </c>
      <c r="UB7" s="445" t="s">
        <v>18</v>
      </c>
      <c r="UC7" s="454" t="s">
        <v>15</v>
      </c>
      <c r="UD7" s="455"/>
      <c r="UG7" s="457" t="s">
        <v>7</v>
      </c>
      <c r="UH7" s="451" t="s">
        <v>8</v>
      </c>
      <c r="UI7" s="452" t="s">
        <v>17</v>
      </c>
      <c r="UJ7" s="453" t="s">
        <v>2</v>
      </c>
      <c r="UK7" s="445" t="s">
        <v>18</v>
      </c>
      <c r="UL7" s="454" t="s">
        <v>15</v>
      </c>
      <c r="UM7" s="455"/>
      <c r="UP7" s="457" t="s">
        <v>7</v>
      </c>
      <c r="UQ7" s="451" t="s">
        <v>8</v>
      </c>
      <c r="UR7" s="452" t="s">
        <v>17</v>
      </c>
      <c r="US7" s="453" t="s">
        <v>2</v>
      </c>
      <c r="UT7" s="445" t="s">
        <v>18</v>
      </c>
      <c r="UU7" s="454" t="s">
        <v>15</v>
      </c>
      <c r="UV7" s="455"/>
      <c r="UY7" s="457" t="s">
        <v>7</v>
      </c>
      <c r="UZ7" s="451" t="s">
        <v>8</v>
      </c>
      <c r="VA7" s="452" t="s">
        <v>17</v>
      </c>
      <c r="VB7" s="453" t="s">
        <v>2</v>
      </c>
      <c r="VC7" s="445" t="s">
        <v>18</v>
      </c>
      <c r="VD7" s="454" t="s">
        <v>15</v>
      </c>
      <c r="VE7" s="455"/>
      <c r="VH7" s="457" t="s">
        <v>7</v>
      </c>
      <c r="VI7" s="451" t="s">
        <v>8</v>
      </c>
      <c r="VJ7" s="452" t="s">
        <v>17</v>
      </c>
      <c r="VK7" s="453" t="s">
        <v>2</v>
      </c>
      <c r="VL7" s="445" t="s">
        <v>18</v>
      </c>
      <c r="VM7" s="454" t="s">
        <v>15</v>
      </c>
      <c r="VN7" s="455"/>
      <c r="VQ7" s="457" t="s">
        <v>7</v>
      </c>
      <c r="VR7" s="451" t="s">
        <v>8</v>
      </c>
      <c r="VS7" s="452" t="s">
        <v>17</v>
      </c>
      <c r="VT7" s="453" t="s">
        <v>2</v>
      </c>
      <c r="VU7" s="445" t="s">
        <v>18</v>
      </c>
      <c r="VV7" s="454" t="s">
        <v>15</v>
      </c>
      <c r="VW7" s="455"/>
      <c r="VZ7" s="457" t="s">
        <v>7</v>
      </c>
      <c r="WA7" s="451" t="s">
        <v>8</v>
      </c>
      <c r="WB7" s="452" t="s">
        <v>17</v>
      </c>
      <c r="WC7" s="453" t="s">
        <v>2</v>
      </c>
      <c r="WD7" s="445" t="s">
        <v>18</v>
      </c>
      <c r="WE7" s="454" t="s">
        <v>15</v>
      </c>
      <c r="WF7" s="455"/>
      <c r="WI7" s="457" t="s">
        <v>7</v>
      </c>
      <c r="WJ7" s="451" t="s">
        <v>8</v>
      </c>
      <c r="WK7" s="452" t="s">
        <v>17</v>
      </c>
      <c r="WL7" s="453" t="s">
        <v>2</v>
      </c>
      <c r="WM7" s="445" t="s">
        <v>18</v>
      </c>
      <c r="WN7" s="454" t="s">
        <v>15</v>
      </c>
      <c r="WO7" s="455"/>
      <c r="WR7" s="457" t="s">
        <v>7</v>
      </c>
      <c r="WS7" s="451" t="s">
        <v>8</v>
      </c>
      <c r="WT7" s="452" t="s">
        <v>17</v>
      </c>
      <c r="WU7" s="453" t="s">
        <v>2</v>
      </c>
      <c r="WV7" s="445" t="s">
        <v>18</v>
      </c>
      <c r="WW7" s="454" t="s">
        <v>15</v>
      </c>
      <c r="WX7" s="455"/>
      <c r="XA7" s="457" t="s">
        <v>7</v>
      </c>
      <c r="XB7" s="451" t="s">
        <v>8</v>
      </c>
      <c r="XC7" s="452" t="s">
        <v>17</v>
      </c>
      <c r="XD7" s="453" t="s">
        <v>2</v>
      </c>
      <c r="XE7" s="445" t="s">
        <v>18</v>
      </c>
      <c r="XF7" s="454" t="s">
        <v>15</v>
      </c>
      <c r="XG7" s="455"/>
      <c r="XJ7" s="457" t="s">
        <v>7</v>
      </c>
      <c r="XK7" s="451" t="s">
        <v>8</v>
      </c>
      <c r="XL7" s="452" t="s">
        <v>17</v>
      </c>
      <c r="XM7" s="453" t="s">
        <v>2</v>
      </c>
      <c r="XN7" s="445" t="s">
        <v>18</v>
      </c>
      <c r="XO7" s="454" t="s">
        <v>15</v>
      </c>
      <c r="XP7" s="455"/>
      <c r="XS7" s="457" t="s">
        <v>7</v>
      </c>
      <c r="XT7" s="451" t="s">
        <v>8</v>
      </c>
      <c r="XU7" s="452" t="s">
        <v>17</v>
      </c>
      <c r="XV7" s="453" t="s">
        <v>2</v>
      </c>
      <c r="XW7" s="445" t="s">
        <v>18</v>
      </c>
      <c r="XX7" s="454" t="s">
        <v>15</v>
      </c>
      <c r="XY7" s="455"/>
      <c r="YB7" s="457" t="s">
        <v>7</v>
      </c>
      <c r="YC7" s="451" t="s">
        <v>8</v>
      </c>
      <c r="YD7" s="452" t="s">
        <v>17</v>
      </c>
      <c r="YE7" s="453" t="s">
        <v>2</v>
      </c>
      <c r="YF7" s="445" t="s">
        <v>18</v>
      </c>
      <c r="YG7" s="454" t="s">
        <v>15</v>
      </c>
      <c r="YH7" s="455"/>
      <c r="YK7" s="457" t="s">
        <v>7</v>
      </c>
      <c r="YL7" s="451" t="s">
        <v>8</v>
      </c>
      <c r="YM7" s="452" t="s">
        <v>17</v>
      </c>
      <c r="YN7" s="453" t="s">
        <v>2</v>
      </c>
      <c r="YO7" s="445" t="s">
        <v>18</v>
      </c>
      <c r="YP7" s="454" t="s">
        <v>15</v>
      </c>
      <c r="YQ7" s="455"/>
      <c r="YT7" s="457" t="s">
        <v>7</v>
      </c>
      <c r="YU7" s="451" t="s">
        <v>8</v>
      </c>
      <c r="YV7" s="452" t="s">
        <v>17</v>
      </c>
      <c r="YW7" s="453" t="s">
        <v>2</v>
      </c>
      <c r="YX7" s="445" t="s">
        <v>18</v>
      </c>
      <c r="YY7" s="454" t="s">
        <v>15</v>
      </c>
      <c r="YZ7" s="455"/>
      <c r="ZC7" s="457" t="s">
        <v>7</v>
      </c>
      <c r="ZD7" s="451" t="s">
        <v>8</v>
      </c>
      <c r="ZE7" s="452" t="s">
        <v>17</v>
      </c>
      <c r="ZF7" s="453" t="s">
        <v>2</v>
      </c>
      <c r="ZG7" s="445" t="s">
        <v>18</v>
      </c>
      <c r="ZH7" s="454" t="s">
        <v>15</v>
      </c>
      <c r="ZI7" s="455"/>
      <c r="ZL7" s="457" t="s">
        <v>7</v>
      </c>
      <c r="ZM7" s="451" t="s">
        <v>8</v>
      </c>
      <c r="ZN7" s="452" t="s">
        <v>17</v>
      </c>
      <c r="ZO7" s="453" t="s">
        <v>2</v>
      </c>
      <c r="ZP7" s="445" t="s">
        <v>18</v>
      </c>
      <c r="ZQ7" s="454" t="s">
        <v>15</v>
      </c>
      <c r="ZR7" s="455"/>
      <c r="ZU7" s="457" t="s">
        <v>7</v>
      </c>
      <c r="ZV7" s="451" t="s">
        <v>8</v>
      </c>
      <c r="ZW7" s="452" t="s">
        <v>17</v>
      </c>
      <c r="ZX7" s="453" t="s">
        <v>2</v>
      </c>
      <c r="ZY7" s="445" t="s">
        <v>18</v>
      </c>
      <c r="ZZ7" s="454" t="s">
        <v>15</v>
      </c>
      <c r="AAA7" s="455"/>
      <c r="AAD7" s="457" t="s">
        <v>7</v>
      </c>
      <c r="AAE7" s="451" t="s">
        <v>8</v>
      </c>
      <c r="AAF7" s="452" t="s">
        <v>17</v>
      </c>
      <c r="AAG7" s="453" t="s">
        <v>2</v>
      </c>
      <c r="AAH7" s="445" t="s">
        <v>18</v>
      </c>
      <c r="AAI7" s="454" t="s">
        <v>15</v>
      </c>
      <c r="AAJ7" s="455"/>
      <c r="AAM7" s="457" t="s">
        <v>7</v>
      </c>
      <c r="AAN7" s="451" t="s">
        <v>8</v>
      </c>
      <c r="AAO7" s="452" t="s">
        <v>17</v>
      </c>
      <c r="AAP7" s="453" t="s">
        <v>2</v>
      </c>
      <c r="AAQ7" s="445" t="s">
        <v>18</v>
      </c>
      <c r="AAR7" s="454" t="s">
        <v>15</v>
      </c>
      <c r="AAS7" s="455"/>
      <c r="AAV7" s="457" t="s">
        <v>7</v>
      </c>
      <c r="AAW7" s="451" t="s">
        <v>8</v>
      </c>
      <c r="AAX7" s="452" t="s">
        <v>17</v>
      </c>
      <c r="AAY7" s="453" t="s">
        <v>2</v>
      </c>
      <c r="AAZ7" s="445" t="s">
        <v>18</v>
      </c>
      <c r="ABA7" s="454" t="s">
        <v>15</v>
      </c>
      <c r="ABB7" s="455"/>
      <c r="ABE7" s="457" t="s">
        <v>7</v>
      </c>
      <c r="ABF7" s="451" t="s">
        <v>8</v>
      </c>
      <c r="ABG7" s="452" t="s">
        <v>17</v>
      </c>
      <c r="ABH7" s="453" t="s">
        <v>2</v>
      </c>
      <c r="ABI7" s="445" t="s">
        <v>18</v>
      </c>
      <c r="ABJ7" s="454" t="s">
        <v>15</v>
      </c>
      <c r="ABK7" s="455"/>
      <c r="ABN7" s="457" t="s">
        <v>7</v>
      </c>
      <c r="ABO7" s="451" t="s">
        <v>8</v>
      </c>
      <c r="ABP7" s="452" t="s">
        <v>17</v>
      </c>
      <c r="ABQ7" s="453" t="s">
        <v>2</v>
      </c>
      <c r="ABR7" s="445" t="s">
        <v>18</v>
      </c>
      <c r="ABS7" s="454" t="s">
        <v>15</v>
      </c>
      <c r="ABT7" s="455"/>
      <c r="ABW7" s="457" t="s">
        <v>7</v>
      </c>
      <c r="ABX7" s="451" t="s">
        <v>8</v>
      </c>
      <c r="ABY7" s="452" t="s">
        <v>17</v>
      </c>
      <c r="ABZ7" s="453" t="s">
        <v>2</v>
      </c>
      <c r="ACA7" s="445" t="s">
        <v>18</v>
      </c>
      <c r="ACB7" s="454" t="s">
        <v>15</v>
      </c>
      <c r="ACC7" s="455"/>
      <c r="ACF7" s="457" t="s">
        <v>7</v>
      </c>
      <c r="ACG7" s="451" t="s">
        <v>8</v>
      </c>
      <c r="ACH7" s="452" t="s">
        <v>17</v>
      </c>
      <c r="ACI7" s="453" t="s">
        <v>2</v>
      </c>
      <c r="ACJ7" s="445" t="s">
        <v>18</v>
      </c>
      <c r="ACK7" s="454" t="s">
        <v>15</v>
      </c>
      <c r="ACL7" s="455"/>
      <c r="ACO7" s="457" t="s">
        <v>7</v>
      </c>
      <c r="ACP7" s="451" t="s">
        <v>8</v>
      </c>
      <c r="ACQ7" s="452" t="s">
        <v>17</v>
      </c>
      <c r="ACR7" s="453" t="s">
        <v>2</v>
      </c>
      <c r="ACS7" s="445" t="s">
        <v>18</v>
      </c>
      <c r="ACT7" s="454" t="s">
        <v>15</v>
      </c>
      <c r="ACU7" s="455"/>
      <c r="ACX7" s="457" t="s">
        <v>7</v>
      </c>
      <c r="ACY7" s="451" t="s">
        <v>8</v>
      </c>
      <c r="ACZ7" s="452" t="s">
        <v>17</v>
      </c>
      <c r="ADA7" s="453" t="s">
        <v>2</v>
      </c>
      <c r="ADB7" s="445" t="s">
        <v>18</v>
      </c>
      <c r="ADC7" s="454" t="s">
        <v>15</v>
      </c>
      <c r="ADD7" s="455"/>
      <c r="ADG7" s="457" t="s">
        <v>7</v>
      </c>
      <c r="ADH7" s="451" t="s">
        <v>8</v>
      </c>
      <c r="ADI7" s="452" t="s">
        <v>17</v>
      </c>
      <c r="ADJ7" s="453" t="s">
        <v>2</v>
      </c>
      <c r="ADK7" s="445" t="s">
        <v>18</v>
      </c>
      <c r="ADL7" s="454" t="s">
        <v>15</v>
      </c>
      <c r="ADM7" s="455"/>
      <c r="ADP7" s="457" t="s">
        <v>7</v>
      </c>
      <c r="ADQ7" s="451" t="s">
        <v>8</v>
      </c>
      <c r="ADR7" s="452" t="s">
        <v>17</v>
      </c>
      <c r="ADS7" s="453" t="s">
        <v>2</v>
      </c>
      <c r="ADT7" s="445" t="s">
        <v>18</v>
      </c>
      <c r="ADU7" s="454" t="s">
        <v>15</v>
      </c>
      <c r="ADV7" s="455"/>
      <c r="ADY7" s="457" t="s">
        <v>7</v>
      </c>
      <c r="ADZ7" s="451" t="s">
        <v>8</v>
      </c>
      <c r="AEA7" s="452" t="s">
        <v>17</v>
      </c>
      <c r="AEB7" s="453" t="s">
        <v>2</v>
      </c>
      <c r="AEC7" s="445" t="s">
        <v>18</v>
      </c>
      <c r="AED7" s="454" t="s">
        <v>15</v>
      </c>
      <c r="AEE7" s="455"/>
    </row>
    <row r="8" spans="1:811" ht="16.2" thickTop="1" x14ac:dyDescent="0.3">
      <c r="A8" s="150">
        <v>5</v>
      </c>
      <c r="B8" s="82" t="str">
        <f>AX5</f>
        <v>SEABOARD FOODS</v>
      </c>
      <c r="C8" s="82" t="str">
        <f t="shared" ref="C8:I8" si="4">AY5</f>
        <v>Seaboard</v>
      </c>
      <c r="D8" s="110" t="str">
        <f t="shared" si="4"/>
        <v>PED. 57258430</v>
      </c>
      <c r="E8" s="148">
        <f t="shared" si="4"/>
        <v>44141</v>
      </c>
      <c r="F8" s="93">
        <f t="shared" si="4"/>
        <v>18848.72</v>
      </c>
      <c r="G8" s="79">
        <f t="shared" si="4"/>
        <v>21</v>
      </c>
      <c r="H8" s="49">
        <f t="shared" si="4"/>
        <v>18900.5</v>
      </c>
      <c r="I8" s="113">
        <f t="shared" si="4"/>
        <v>-51.779999999998836</v>
      </c>
      <c r="K8" s="66"/>
      <c r="L8" s="114"/>
      <c r="M8" s="15">
        <v>1</v>
      </c>
      <c r="N8" s="330">
        <v>771.43</v>
      </c>
      <c r="O8" s="398">
        <v>44139</v>
      </c>
      <c r="P8" s="330">
        <v>771.43</v>
      </c>
      <c r="Q8" s="384" t="s">
        <v>322</v>
      </c>
      <c r="R8" s="316">
        <v>44</v>
      </c>
      <c r="S8" s="316">
        <f>P8*R8</f>
        <v>33942.92</v>
      </c>
      <c r="T8" s="288"/>
      <c r="U8" s="66"/>
      <c r="V8" s="114"/>
      <c r="W8" s="15">
        <v>1</v>
      </c>
      <c r="X8" s="330">
        <v>909.4</v>
      </c>
      <c r="Y8" s="398">
        <v>44140</v>
      </c>
      <c r="Z8" s="330">
        <v>909.4</v>
      </c>
      <c r="AA8" s="465" t="s">
        <v>333</v>
      </c>
      <c r="AB8" s="316">
        <v>45</v>
      </c>
      <c r="AC8" s="388">
        <f>Z8*AB8</f>
        <v>40923</v>
      </c>
      <c r="AE8" s="66"/>
      <c r="AF8" s="114"/>
      <c r="AG8" s="15">
        <v>1</v>
      </c>
      <c r="AH8" s="99">
        <v>942.1</v>
      </c>
      <c r="AI8" s="392">
        <v>44140</v>
      </c>
      <c r="AJ8" s="74">
        <v>942.1</v>
      </c>
      <c r="AK8" s="102" t="s">
        <v>329</v>
      </c>
      <c r="AL8" s="76">
        <v>45</v>
      </c>
      <c r="AM8" s="894">
        <f>AL8*AJ8</f>
        <v>42394.5</v>
      </c>
      <c r="AO8" s="66"/>
      <c r="AP8" s="114"/>
      <c r="AQ8" s="15">
        <v>1</v>
      </c>
      <c r="AR8" s="432">
        <v>921.7</v>
      </c>
      <c r="AS8" s="398">
        <v>44141</v>
      </c>
      <c r="AT8" s="432">
        <v>921.7</v>
      </c>
      <c r="AU8" s="384" t="s">
        <v>341</v>
      </c>
      <c r="AV8" s="316">
        <v>45</v>
      </c>
      <c r="AX8" s="66"/>
      <c r="AY8" s="114"/>
      <c r="AZ8" s="15">
        <v>1</v>
      </c>
      <c r="BA8" s="99">
        <v>916.7</v>
      </c>
      <c r="BB8" s="148">
        <v>44141</v>
      </c>
      <c r="BC8" s="99">
        <v>916.7</v>
      </c>
      <c r="BD8" s="102" t="s">
        <v>342</v>
      </c>
      <c r="BE8" s="459">
        <v>45</v>
      </c>
      <c r="BG8" s="66"/>
      <c r="BH8" s="114"/>
      <c r="BI8" s="15">
        <v>1</v>
      </c>
      <c r="BJ8" s="99">
        <v>880.4</v>
      </c>
      <c r="BK8" s="148">
        <v>44141</v>
      </c>
      <c r="BL8" s="99">
        <v>880.4</v>
      </c>
      <c r="BM8" s="102" t="s">
        <v>347</v>
      </c>
      <c r="BN8" s="459">
        <v>45</v>
      </c>
      <c r="BP8" s="66"/>
      <c r="BQ8" s="114"/>
      <c r="BR8" s="15">
        <v>1</v>
      </c>
      <c r="BS8" s="99">
        <v>927.89</v>
      </c>
      <c r="BT8" s="460">
        <v>44145</v>
      </c>
      <c r="BU8" s="99">
        <v>927.89</v>
      </c>
      <c r="BV8" s="461" t="s">
        <v>356</v>
      </c>
      <c r="BW8" s="462">
        <v>45</v>
      </c>
      <c r="BX8" s="870">
        <f>BW8*BU8</f>
        <v>41755.050000000003</v>
      </c>
      <c r="BY8" s="66"/>
      <c r="BZ8" s="114"/>
      <c r="CA8" s="15">
        <v>1</v>
      </c>
      <c r="CB8" s="99">
        <v>914</v>
      </c>
      <c r="CC8" s="460">
        <v>44146</v>
      </c>
      <c r="CD8" s="99">
        <v>914</v>
      </c>
      <c r="CE8" s="463" t="s">
        <v>362</v>
      </c>
      <c r="CF8" s="462">
        <v>45</v>
      </c>
      <c r="CG8" s="870">
        <f>CF8*CD8</f>
        <v>41130</v>
      </c>
      <c r="CI8" s="66"/>
      <c r="CJ8" s="114"/>
      <c r="CK8" s="15">
        <v>1</v>
      </c>
      <c r="CL8" s="99">
        <v>948</v>
      </c>
      <c r="CM8" s="460">
        <v>44147</v>
      </c>
      <c r="CN8" s="99">
        <v>948</v>
      </c>
      <c r="CO8" s="461" t="s">
        <v>367</v>
      </c>
      <c r="CP8" s="462">
        <v>45</v>
      </c>
      <c r="CQ8" s="925">
        <f>CP8*CN8</f>
        <v>42660</v>
      </c>
      <c r="CS8" s="66"/>
      <c r="CT8" s="114"/>
      <c r="CU8" s="15">
        <v>1</v>
      </c>
      <c r="CV8" s="99">
        <v>918.5</v>
      </c>
      <c r="CW8" s="392">
        <v>44148</v>
      </c>
      <c r="CX8" s="99">
        <v>918.5</v>
      </c>
      <c r="CY8" s="102" t="s">
        <v>371</v>
      </c>
      <c r="CZ8" s="76">
        <v>45</v>
      </c>
      <c r="DA8" s="870">
        <f>CZ8*CX8</f>
        <v>41332.5</v>
      </c>
      <c r="DC8" s="66"/>
      <c r="DD8" s="114"/>
      <c r="DE8" s="15">
        <v>1</v>
      </c>
      <c r="DF8" s="99">
        <v>902.2</v>
      </c>
      <c r="DG8" s="460">
        <v>44148</v>
      </c>
      <c r="DH8" s="99">
        <v>902.2</v>
      </c>
      <c r="DI8" s="463" t="s">
        <v>374</v>
      </c>
      <c r="DJ8" s="462">
        <v>45</v>
      </c>
      <c r="DK8" s="925">
        <f>DJ8*DH8</f>
        <v>40599</v>
      </c>
      <c r="DM8" s="66"/>
      <c r="DN8" s="114"/>
      <c r="DO8" s="15">
        <v>1</v>
      </c>
      <c r="DP8" s="99">
        <v>887.7</v>
      </c>
      <c r="DQ8" s="460">
        <v>44148</v>
      </c>
      <c r="DR8" s="330">
        <v>887.7</v>
      </c>
      <c r="DS8" s="463" t="s">
        <v>378</v>
      </c>
      <c r="DT8" s="462">
        <v>45</v>
      </c>
      <c r="DU8" s="870">
        <f>DT8*DR8</f>
        <v>39946.5</v>
      </c>
      <c r="DW8" s="66"/>
      <c r="DX8" s="114"/>
      <c r="DY8" s="15">
        <v>1</v>
      </c>
      <c r="DZ8" s="99">
        <v>809.98</v>
      </c>
      <c r="EA8" s="412">
        <v>44150</v>
      </c>
      <c r="EB8" s="74">
        <v>809.98</v>
      </c>
      <c r="EC8" s="75" t="s">
        <v>386</v>
      </c>
      <c r="ED8" s="76">
        <v>44</v>
      </c>
      <c r="EE8" s="870">
        <f>ED8*EB8</f>
        <v>35639.120000000003</v>
      </c>
      <c r="EG8" s="66"/>
      <c r="EH8" s="114"/>
      <c r="EI8" s="15">
        <v>1</v>
      </c>
      <c r="EJ8" s="99">
        <v>850.5</v>
      </c>
      <c r="EK8" s="412">
        <v>44154</v>
      </c>
      <c r="EL8" s="99">
        <v>850.5</v>
      </c>
      <c r="EM8" s="315" t="s">
        <v>400</v>
      </c>
      <c r="EN8" s="76">
        <v>42</v>
      </c>
      <c r="EO8" s="870">
        <f>EN8*EL8</f>
        <v>35721</v>
      </c>
      <c r="EQ8" s="66"/>
      <c r="ER8" s="529"/>
      <c r="ES8" s="15">
        <v>1</v>
      </c>
      <c r="ET8" s="330">
        <v>860.5</v>
      </c>
      <c r="EU8" s="398">
        <v>44154</v>
      </c>
      <c r="EV8" s="330">
        <v>860.5</v>
      </c>
      <c r="EW8" s="464" t="s">
        <v>398</v>
      </c>
      <c r="EX8" s="316">
        <v>42</v>
      </c>
      <c r="EY8" s="388">
        <f>EX8*EV8</f>
        <v>36141</v>
      </c>
      <c r="FA8" s="66"/>
      <c r="FB8" s="114"/>
      <c r="FC8" s="15">
        <v>1</v>
      </c>
      <c r="FD8" s="99">
        <v>898.6</v>
      </c>
      <c r="FE8" s="392">
        <v>44154</v>
      </c>
      <c r="FF8" s="99">
        <v>898.6</v>
      </c>
      <c r="FG8" s="75" t="s">
        <v>404</v>
      </c>
      <c r="FH8" s="76">
        <v>42</v>
      </c>
      <c r="FI8" s="870">
        <f>FH8*FF8</f>
        <v>37741.200000000004</v>
      </c>
      <c r="FK8" s="66"/>
      <c r="FL8" s="114"/>
      <c r="FM8" s="15">
        <v>1</v>
      </c>
      <c r="FN8" s="99">
        <v>880.4</v>
      </c>
      <c r="FO8" s="392">
        <v>44156</v>
      </c>
      <c r="FP8" s="99">
        <v>880.4</v>
      </c>
      <c r="FQ8" s="75" t="s">
        <v>414</v>
      </c>
      <c r="FR8" s="76">
        <v>42</v>
      </c>
      <c r="FS8" s="870">
        <f>FR8*FP8</f>
        <v>36976.799999999996</v>
      </c>
      <c r="FU8" s="66"/>
      <c r="FV8" s="114"/>
      <c r="FW8" s="15">
        <v>1</v>
      </c>
      <c r="FX8" s="330">
        <v>822.4</v>
      </c>
      <c r="FY8" s="657">
        <v>44156</v>
      </c>
      <c r="FZ8" s="330">
        <v>822.4</v>
      </c>
      <c r="GA8" s="315" t="s">
        <v>411</v>
      </c>
      <c r="GB8" s="316">
        <v>42</v>
      </c>
      <c r="GC8" s="388">
        <f>GB8*FZ8</f>
        <v>34540.799999999996</v>
      </c>
      <c r="GE8" s="66"/>
      <c r="GF8" s="114"/>
      <c r="GG8" s="15">
        <v>1</v>
      </c>
      <c r="GH8" s="631">
        <v>907.6</v>
      </c>
      <c r="GI8" s="392">
        <v>44159</v>
      </c>
      <c r="GJ8" s="670">
        <v>907.6</v>
      </c>
      <c r="GK8" s="102" t="s">
        <v>418</v>
      </c>
      <c r="GL8" s="76">
        <v>38</v>
      </c>
      <c r="GM8" s="870">
        <f>GL8*GJ8</f>
        <v>34488.800000000003</v>
      </c>
      <c r="GO8" s="66"/>
      <c r="GP8" s="114"/>
      <c r="GQ8" s="15">
        <v>1</v>
      </c>
      <c r="GR8" s="99">
        <v>888.89</v>
      </c>
      <c r="GS8" s="392">
        <v>44159</v>
      </c>
      <c r="GT8" s="932">
        <v>888.89</v>
      </c>
      <c r="GU8" s="102" t="s">
        <v>420</v>
      </c>
      <c r="GV8" s="76">
        <v>38</v>
      </c>
      <c r="GW8" s="870">
        <f>GV8*GT8</f>
        <v>33777.82</v>
      </c>
      <c r="GY8" s="66"/>
      <c r="GZ8" s="114"/>
      <c r="HA8" s="15">
        <v>1</v>
      </c>
      <c r="HB8" s="99">
        <v>939.84</v>
      </c>
      <c r="HC8" s="392">
        <v>44160</v>
      </c>
      <c r="HD8" s="99">
        <v>939.84</v>
      </c>
      <c r="HE8" s="102" t="s">
        <v>428</v>
      </c>
      <c r="HF8" s="76">
        <v>38</v>
      </c>
      <c r="HG8" s="870">
        <f>HF8*HD8</f>
        <v>35713.919999999998</v>
      </c>
      <c r="HI8" s="66"/>
      <c r="HJ8" s="114"/>
      <c r="HK8" s="15">
        <v>1</v>
      </c>
      <c r="HL8" s="330">
        <v>915.8</v>
      </c>
      <c r="HM8" s="398">
        <v>44161</v>
      </c>
      <c r="HN8" s="330">
        <v>915.8</v>
      </c>
      <c r="HO8" s="465" t="s">
        <v>432</v>
      </c>
      <c r="HP8" s="316">
        <v>38</v>
      </c>
      <c r="HQ8" s="388">
        <f>HP8*HN8</f>
        <v>34800.400000000001</v>
      </c>
      <c r="HS8" s="66"/>
      <c r="HT8" s="114"/>
      <c r="HU8" s="15">
        <v>1</v>
      </c>
      <c r="HV8" s="99">
        <v>914</v>
      </c>
      <c r="HW8" s="412">
        <v>44162</v>
      </c>
      <c r="HX8" s="99">
        <v>914</v>
      </c>
      <c r="HY8" s="466" t="s">
        <v>454</v>
      </c>
      <c r="HZ8" s="76">
        <v>38</v>
      </c>
      <c r="IA8" s="870">
        <f>HZ8*HX8</f>
        <v>34732</v>
      </c>
      <c r="IC8" s="66"/>
      <c r="ID8" s="114"/>
      <c r="IE8" s="15">
        <v>1</v>
      </c>
      <c r="IF8" s="330">
        <v>906.7</v>
      </c>
      <c r="IG8" s="359">
        <v>44162</v>
      </c>
      <c r="IH8" s="330">
        <v>906.7</v>
      </c>
      <c r="II8" s="675" t="s">
        <v>437</v>
      </c>
      <c r="IJ8" s="316">
        <v>38</v>
      </c>
      <c r="IK8" s="388">
        <f>IJ8*IH8</f>
        <v>34454.6</v>
      </c>
      <c r="IL8" s="99"/>
      <c r="IM8" s="66"/>
      <c r="IN8" s="114"/>
      <c r="IO8" s="15">
        <v>1</v>
      </c>
      <c r="IP8" s="99">
        <v>896.7</v>
      </c>
      <c r="IQ8" s="412">
        <v>44166</v>
      </c>
      <c r="IR8" s="99">
        <v>896.7</v>
      </c>
      <c r="IS8" s="75" t="s">
        <v>452</v>
      </c>
      <c r="IT8" s="76">
        <v>38</v>
      </c>
      <c r="IU8" s="870">
        <f>IT8*IR8</f>
        <v>34074.6</v>
      </c>
      <c r="IV8" s="467"/>
      <c r="IW8" s="468"/>
      <c r="IX8" s="469"/>
      <c r="IY8" s="15">
        <v>1</v>
      </c>
      <c r="IZ8" s="99">
        <v>847.17</v>
      </c>
      <c r="JA8" s="392">
        <v>44167</v>
      </c>
      <c r="JB8" s="99">
        <v>847.17</v>
      </c>
      <c r="JC8" s="75" t="s">
        <v>478</v>
      </c>
      <c r="JD8" s="76">
        <v>38</v>
      </c>
      <c r="JE8" s="870">
        <f>JD8*JB8</f>
        <v>32192.46</v>
      </c>
      <c r="JG8" s="66"/>
      <c r="JH8" s="114"/>
      <c r="JI8" s="15">
        <v>1</v>
      </c>
      <c r="JJ8" s="99">
        <v>852.61</v>
      </c>
      <c r="JK8" s="412">
        <v>44167</v>
      </c>
      <c r="JL8" s="330">
        <v>852.61</v>
      </c>
      <c r="JM8" s="75" t="s">
        <v>476</v>
      </c>
      <c r="JN8" s="76">
        <v>38</v>
      </c>
      <c r="JO8" s="870">
        <f>JN8*JL8</f>
        <v>32399.18</v>
      </c>
      <c r="JQ8" s="66"/>
      <c r="JR8" s="114"/>
      <c r="JS8" s="15">
        <v>1</v>
      </c>
      <c r="JT8" s="99">
        <v>891.3</v>
      </c>
      <c r="JU8" s="392">
        <v>44168</v>
      </c>
      <c r="JV8" s="99">
        <v>891.3</v>
      </c>
      <c r="JW8" s="102" t="s">
        <v>482</v>
      </c>
      <c r="JX8" s="76">
        <v>39</v>
      </c>
      <c r="JY8" s="870">
        <f>JX8*JV8</f>
        <v>34760.699999999997</v>
      </c>
      <c r="KA8" s="66"/>
      <c r="KB8" s="114"/>
      <c r="KC8" s="15">
        <v>1</v>
      </c>
      <c r="KD8" s="99">
        <v>882.2</v>
      </c>
      <c r="KE8" s="392">
        <v>44168</v>
      </c>
      <c r="KF8" s="99">
        <v>882.2</v>
      </c>
      <c r="KG8" s="102" t="s">
        <v>483</v>
      </c>
      <c r="KH8" s="76">
        <v>39</v>
      </c>
      <c r="KI8" s="870">
        <f>KH8*KF8</f>
        <v>34405.800000000003</v>
      </c>
      <c r="KK8" s="66"/>
      <c r="KL8" s="114"/>
      <c r="KM8" s="15">
        <v>1</v>
      </c>
      <c r="KN8" s="99">
        <v>922.6</v>
      </c>
      <c r="KO8" s="392">
        <v>44169</v>
      </c>
      <c r="KP8" s="99">
        <v>922.6</v>
      </c>
      <c r="KQ8" s="102" t="s">
        <v>495</v>
      </c>
      <c r="KR8" s="76">
        <v>39</v>
      </c>
      <c r="KS8" s="870">
        <f>KR8*KP8</f>
        <v>35981.4</v>
      </c>
      <c r="KU8" s="66"/>
      <c r="KV8" s="114"/>
      <c r="KW8" s="15">
        <v>1</v>
      </c>
      <c r="KX8" s="99">
        <v>912.2</v>
      </c>
      <c r="KY8" s="392">
        <v>44169</v>
      </c>
      <c r="KZ8" s="99">
        <v>912.2</v>
      </c>
      <c r="LA8" s="102" t="s">
        <v>487</v>
      </c>
      <c r="LB8" s="76">
        <v>39</v>
      </c>
      <c r="LC8" s="870">
        <f>LB8*KZ8</f>
        <v>35575.800000000003</v>
      </c>
      <c r="LE8" s="66"/>
      <c r="LF8" s="114"/>
      <c r="LG8" s="15">
        <v>1</v>
      </c>
      <c r="LH8" s="99">
        <v>875</v>
      </c>
      <c r="LI8" s="392">
        <v>44169</v>
      </c>
      <c r="LJ8" s="99">
        <v>875</v>
      </c>
      <c r="LK8" s="102" t="s">
        <v>492</v>
      </c>
      <c r="LL8" s="76">
        <v>39</v>
      </c>
      <c r="LM8" s="870">
        <f>LL8*LJ8</f>
        <v>34125</v>
      </c>
      <c r="LO8" s="66"/>
      <c r="LP8" s="114"/>
      <c r="LQ8" s="15">
        <v>1</v>
      </c>
      <c r="LR8" s="458"/>
      <c r="LS8" s="392"/>
      <c r="LT8" s="458"/>
      <c r="LU8" s="102"/>
      <c r="LV8" s="76"/>
      <c r="LX8" s="66"/>
      <c r="LY8" s="114"/>
      <c r="LZ8" s="15">
        <v>1</v>
      </c>
      <c r="MA8" s="458"/>
      <c r="MB8" s="392"/>
      <c r="MC8" s="458"/>
      <c r="MD8" s="102"/>
      <c r="ME8" s="76"/>
      <c r="MG8" s="66"/>
      <c r="MH8" s="114"/>
      <c r="MI8" s="15">
        <v>1</v>
      </c>
      <c r="MJ8" s="99"/>
      <c r="MK8" s="392"/>
      <c r="ML8" s="99"/>
      <c r="MM8" s="102"/>
      <c r="MN8" s="76"/>
      <c r="MP8" s="66"/>
      <c r="MQ8" s="114"/>
      <c r="MR8" s="15">
        <v>1</v>
      </c>
      <c r="MS8" s="458"/>
      <c r="MT8" s="392"/>
      <c r="MU8" s="458"/>
      <c r="MV8" s="102"/>
      <c r="MW8" s="76"/>
      <c r="MY8" s="66"/>
      <c r="MZ8" s="114"/>
      <c r="NA8" s="15">
        <v>1</v>
      </c>
      <c r="NB8" s="470"/>
      <c r="NC8" s="392"/>
      <c r="ND8" s="470"/>
      <c r="NE8" s="102"/>
      <c r="NF8" s="76"/>
      <c r="NH8" s="66"/>
      <c r="NI8" s="114"/>
      <c r="NJ8" s="15">
        <v>1</v>
      </c>
      <c r="NK8" s="99"/>
      <c r="NL8" s="392"/>
      <c r="NM8" s="99"/>
      <c r="NN8" s="102"/>
      <c r="NO8" s="76"/>
      <c r="NQ8" s="66"/>
      <c r="NR8" s="114"/>
      <c r="NS8" s="15">
        <v>1</v>
      </c>
      <c r="NT8" s="470"/>
      <c r="NU8" s="392"/>
      <c r="NV8" s="470"/>
      <c r="NW8" s="102"/>
      <c r="NX8" s="76"/>
      <c r="NZ8" s="66"/>
      <c r="OA8" s="114"/>
      <c r="OB8" s="15">
        <v>1</v>
      </c>
      <c r="OC8" s="99"/>
      <c r="OD8" s="392"/>
      <c r="OE8" s="99"/>
      <c r="OF8" s="102"/>
      <c r="OG8" s="76"/>
      <c r="OI8" s="66"/>
      <c r="OJ8" s="114"/>
      <c r="OK8" s="15">
        <v>1</v>
      </c>
      <c r="OL8" s="330"/>
      <c r="OM8" s="398"/>
      <c r="ON8" s="330"/>
      <c r="OO8" s="384"/>
      <c r="OP8" s="316"/>
      <c r="OR8" s="66"/>
      <c r="OS8" s="101"/>
      <c r="OT8" s="15">
        <v>1</v>
      </c>
      <c r="OU8" s="470"/>
      <c r="OV8" s="392"/>
      <c r="OW8" s="470"/>
      <c r="OX8" s="102"/>
      <c r="OY8" s="76"/>
      <c r="PA8" s="66"/>
      <c r="PB8" s="114"/>
      <c r="PC8" s="15">
        <v>1</v>
      </c>
      <c r="PD8" s="99"/>
      <c r="PE8" s="392"/>
      <c r="PF8" s="99"/>
      <c r="PG8" s="102"/>
      <c r="PH8" s="76"/>
      <c r="PJ8" s="66"/>
      <c r="PK8" s="114"/>
      <c r="PL8" s="15">
        <v>1</v>
      </c>
      <c r="PM8" s="99"/>
      <c r="PN8" s="148"/>
      <c r="PO8" s="99"/>
      <c r="PP8" s="102"/>
      <c r="PQ8" s="76"/>
      <c r="PS8" s="66"/>
      <c r="PT8" s="114"/>
      <c r="PU8" s="15">
        <v>1</v>
      </c>
      <c r="PV8" s="99"/>
      <c r="PW8" s="392"/>
      <c r="PX8" s="99"/>
      <c r="PY8" s="102"/>
      <c r="PZ8" s="76"/>
      <c r="QB8" s="66"/>
      <c r="QC8" s="114"/>
      <c r="QD8" s="15">
        <v>1</v>
      </c>
      <c r="QE8" s="99"/>
      <c r="QF8" s="392"/>
      <c r="QG8" s="99"/>
      <c r="QH8" s="102"/>
      <c r="QI8" s="76"/>
      <c r="QK8" s="66"/>
      <c r="QL8" s="114"/>
      <c r="QM8" s="15">
        <v>1</v>
      </c>
      <c r="QN8" s="99"/>
      <c r="QO8" s="392"/>
      <c r="QP8" s="99"/>
      <c r="QQ8" s="102"/>
      <c r="QR8" s="76"/>
      <c r="QT8" s="66"/>
      <c r="QU8" s="101"/>
      <c r="QV8" s="15">
        <v>1</v>
      </c>
      <c r="QW8" s="99"/>
      <c r="QX8" s="392"/>
      <c r="QY8" s="99"/>
      <c r="QZ8" s="102"/>
      <c r="RA8" s="459"/>
      <c r="RD8" s="114"/>
      <c r="RE8" s="15">
        <v>1</v>
      </c>
      <c r="RF8" s="99"/>
      <c r="RG8" s="148"/>
      <c r="RH8" s="99"/>
      <c r="RI8" s="102"/>
      <c r="RJ8" s="76"/>
      <c r="RM8" s="114"/>
      <c r="RN8" s="15">
        <v>1</v>
      </c>
      <c r="RO8" s="99"/>
      <c r="RP8" s="86"/>
      <c r="RQ8" s="99"/>
      <c r="RR8" s="102"/>
      <c r="RS8" s="76"/>
      <c r="RV8" s="114"/>
      <c r="RW8" s="15">
        <v>1</v>
      </c>
      <c r="RX8" s="99"/>
      <c r="RY8" s="86"/>
      <c r="RZ8" s="99"/>
      <c r="SA8" s="102"/>
      <c r="SB8" s="76"/>
      <c r="SE8" s="114"/>
      <c r="SF8" s="15"/>
      <c r="SG8" s="99"/>
      <c r="SH8" s="86"/>
      <c r="SI8" s="99"/>
      <c r="SJ8" s="102"/>
      <c r="SK8" s="76"/>
      <c r="SN8" s="114"/>
      <c r="SO8" s="15">
        <v>1</v>
      </c>
      <c r="SP8" s="99"/>
      <c r="SQ8" s="471"/>
      <c r="SR8" s="206"/>
      <c r="SS8" s="463"/>
      <c r="ST8" s="462"/>
      <c r="SW8" s="114"/>
      <c r="SX8" s="15">
        <v>1</v>
      </c>
      <c r="SY8" s="99"/>
      <c r="SZ8" s="86"/>
      <c r="TA8" s="99"/>
      <c r="TB8" s="102"/>
      <c r="TC8" s="76"/>
      <c r="TF8" s="114"/>
      <c r="TG8" s="15">
        <v>1</v>
      </c>
      <c r="TH8" s="99"/>
      <c r="TI8" s="86"/>
      <c r="TJ8" s="99"/>
      <c r="TK8" s="102"/>
      <c r="TL8" s="76"/>
      <c r="TO8" s="114"/>
      <c r="TP8" s="15">
        <v>1</v>
      </c>
      <c r="TQ8" s="99"/>
      <c r="TR8" s="86"/>
      <c r="TS8" s="99"/>
      <c r="TT8" s="102"/>
      <c r="TU8" s="76"/>
      <c r="TX8" s="114"/>
      <c r="TY8" s="15">
        <v>1</v>
      </c>
      <c r="TZ8" s="99"/>
      <c r="UA8" s="86"/>
      <c r="UB8" s="99"/>
      <c r="UC8" s="102"/>
      <c r="UD8" s="76"/>
      <c r="UG8" s="114"/>
      <c r="UH8" s="15">
        <v>1</v>
      </c>
      <c r="UI8" s="99"/>
      <c r="UJ8" s="86"/>
      <c r="UK8" s="99"/>
      <c r="UL8" s="102"/>
      <c r="UM8" s="76"/>
      <c r="UO8" s="66" t="s">
        <v>32</v>
      </c>
      <c r="UP8" s="114"/>
      <c r="UQ8" s="15">
        <v>1</v>
      </c>
      <c r="UR8" s="99"/>
      <c r="US8" s="86"/>
      <c r="UT8" s="99"/>
      <c r="UU8" s="102"/>
      <c r="UV8" s="76"/>
      <c r="UX8" s="66" t="s">
        <v>32</v>
      </c>
      <c r="UY8" s="114"/>
      <c r="UZ8" s="15">
        <v>1</v>
      </c>
      <c r="VA8" s="99"/>
      <c r="VB8" s="86"/>
      <c r="VC8" s="99"/>
      <c r="VD8" s="102"/>
      <c r="VE8" s="76"/>
      <c r="VG8" s="66" t="s">
        <v>32</v>
      </c>
      <c r="VH8" s="114"/>
      <c r="VI8" s="15">
        <v>1</v>
      </c>
      <c r="VJ8" s="99"/>
      <c r="VK8" s="86"/>
      <c r="VL8" s="99"/>
      <c r="VM8" s="102"/>
      <c r="VN8" s="76"/>
      <c r="VP8" s="66" t="s">
        <v>32</v>
      </c>
      <c r="VQ8" s="114"/>
      <c r="VR8" s="15">
        <v>1</v>
      </c>
      <c r="VS8" s="99"/>
      <c r="VT8" s="86"/>
      <c r="VU8" s="99"/>
      <c r="VV8" s="102"/>
      <c r="VW8" s="76"/>
      <c r="VY8" s="66" t="s">
        <v>32</v>
      </c>
      <c r="VZ8" s="114"/>
      <c r="WA8" s="15">
        <v>1</v>
      </c>
      <c r="WB8" s="99"/>
      <c r="WC8" s="86"/>
      <c r="WD8" s="99"/>
      <c r="WE8" s="102"/>
      <c r="WF8" s="76"/>
      <c r="WH8" s="66" t="s">
        <v>32</v>
      </c>
      <c r="WI8" s="114"/>
      <c r="WJ8" s="15">
        <v>1</v>
      </c>
      <c r="WK8" s="99"/>
      <c r="WL8" s="86"/>
      <c r="WM8" s="99"/>
      <c r="WN8" s="102"/>
      <c r="WO8" s="76"/>
      <c r="WQ8" s="66" t="s">
        <v>32</v>
      </c>
      <c r="WR8" s="114"/>
      <c r="WS8" s="15">
        <v>1</v>
      </c>
      <c r="WT8" s="99"/>
      <c r="WU8" s="86"/>
      <c r="WV8" s="99"/>
      <c r="WW8" s="102"/>
      <c r="WX8" s="76"/>
      <c r="WZ8" s="66" t="s">
        <v>32</v>
      </c>
      <c r="XA8" s="114"/>
      <c r="XB8" s="15">
        <v>1</v>
      </c>
      <c r="XC8" s="99"/>
      <c r="XD8" s="86"/>
      <c r="XE8" s="99"/>
      <c r="XF8" s="102"/>
      <c r="XG8" s="76"/>
      <c r="XI8" s="66" t="s">
        <v>32</v>
      </c>
      <c r="XJ8" s="114"/>
      <c r="XK8" s="15">
        <v>1</v>
      </c>
      <c r="XL8" s="99"/>
      <c r="XM8" s="86"/>
      <c r="XN8" s="99"/>
      <c r="XO8" s="102"/>
      <c r="XP8" s="76"/>
      <c r="XR8" s="66" t="s">
        <v>32</v>
      </c>
      <c r="XS8" s="114"/>
      <c r="XT8" s="15">
        <v>1</v>
      </c>
      <c r="XU8" s="99"/>
      <c r="XV8" s="86"/>
      <c r="XW8" s="99"/>
      <c r="XX8" s="102"/>
      <c r="XY8" s="76"/>
      <c r="YA8" s="66" t="s">
        <v>32</v>
      </c>
      <c r="YB8" s="114"/>
      <c r="YC8" s="15">
        <v>1</v>
      </c>
      <c r="YD8" s="99"/>
      <c r="YE8" s="86"/>
      <c r="YF8" s="99"/>
      <c r="YG8" s="102"/>
      <c r="YH8" s="76"/>
      <c r="YJ8" s="66" t="s">
        <v>32</v>
      </c>
      <c r="YK8" s="114"/>
      <c r="YL8" s="15">
        <v>1</v>
      </c>
      <c r="YM8" s="99"/>
      <c r="YN8" s="86"/>
      <c r="YO8" s="99"/>
      <c r="YP8" s="102"/>
      <c r="YQ8" s="76"/>
      <c r="YS8" s="66" t="s">
        <v>32</v>
      </c>
      <c r="YT8" s="114"/>
      <c r="YU8" s="15">
        <v>1</v>
      </c>
      <c r="YV8" s="99"/>
      <c r="YW8" s="86"/>
      <c r="YX8" s="99"/>
      <c r="YY8" s="102"/>
      <c r="YZ8" s="76"/>
      <c r="ZB8" s="66" t="s">
        <v>32</v>
      </c>
      <c r="ZC8" s="114"/>
      <c r="ZD8" s="15">
        <v>1</v>
      </c>
      <c r="ZE8" s="99"/>
      <c r="ZF8" s="86"/>
      <c r="ZG8" s="99"/>
      <c r="ZH8" s="102"/>
      <c r="ZI8" s="76"/>
      <c r="ZK8" s="66" t="s">
        <v>32</v>
      </c>
      <c r="ZL8" s="114"/>
      <c r="ZM8" s="15">
        <v>1</v>
      </c>
      <c r="ZN8" s="99"/>
      <c r="ZO8" s="86"/>
      <c r="ZP8" s="99"/>
      <c r="ZQ8" s="102"/>
      <c r="ZR8" s="76"/>
      <c r="ZT8" s="66" t="s">
        <v>32</v>
      </c>
      <c r="ZU8" s="114"/>
      <c r="ZV8" s="15">
        <v>1</v>
      </c>
      <c r="ZW8" s="99"/>
      <c r="ZX8" s="86"/>
      <c r="ZY8" s="99"/>
      <c r="ZZ8" s="102"/>
      <c r="AAA8" s="76"/>
      <c r="AAC8" s="66" t="s">
        <v>32</v>
      </c>
      <c r="AAD8" s="114"/>
      <c r="AAE8" s="15">
        <v>1</v>
      </c>
      <c r="AAF8" s="99"/>
      <c r="AAG8" s="86"/>
      <c r="AAH8" s="99"/>
      <c r="AAI8" s="102"/>
      <c r="AAJ8" s="76"/>
      <c r="AAL8" s="66" t="s">
        <v>32</v>
      </c>
      <c r="AAM8" s="114"/>
      <c r="AAN8" s="15">
        <v>1</v>
      </c>
      <c r="AAO8" s="99"/>
      <c r="AAP8" s="86"/>
      <c r="AAQ8" s="99"/>
      <c r="AAR8" s="102"/>
      <c r="AAS8" s="76"/>
      <c r="AAU8" s="66" t="s">
        <v>32</v>
      </c>
      <c r="AAV8" s="114"/>
      <c r="AAW8" s="15">
        <v>1</v>
      </c>
      <c r="AAX8" s="99"/>
      <c r="AAY8" s="86"/>
      <c r="AAZ8" s="99"/>
      <c r="ABA8" s="102"/>
      <c r="ABB8" s="76"/>
      <c r="ABD8" s="66" t="s">
        <v>32</v>
      </c>
      <c r="ABE8" s="114"/>
      <c r="ABF8" s="15">
        <v>1</v>
      </c>
      <c r="ABG8" s="99"/>
      <c r="ABH8" s="86"/>
      <c r="ABI8" s="99"/>
      <c r="ABJ8" s="102"/>
      <c r="ABK8" s="76"/>
      <c r="ABM8" s="66" t="s">
        <v>32</v>
      </c>
      <c r="ABN8" s="114"/>
      <c r="ABO8" s="15">
        <v>1</v>
      </c>
      <c r="ABP8" s="99"/>
      <c r="ABQ8" s="86"/>
      <c r="ABR8" s="99"/>
      <c r="ABS8" s="102"/>
      <c r="ABT8" s="76"/>
      <c r="ABV8" s="66" t="s">
        <v>32</v>
      </c>
      <c r="ABW8" s="114"/>
      <c r="ABX8" s="15">
        <v>1</v>
      </c>
      <c r="ABY8" s="99"/>
      <c r="ABZ8" s="86"/>
      <c r="ACA8" s="99"/>
      <c r="ACB8" s="102"/>
      <c r="ACC8" s="76"/>
      <c r="ACE8" s="66" t="s">
        <v>32</v>
      </c>
      <c r="ACF8" s="114"/>
      <c r="ACG8" s="15">
        <v>1</v>
      </c>
      <c r="ACH8" s="99"/>
      <c r="ACI8" s="86"/>
      <c r="ACJ8" s="99"/>
      <c r="ACK8" s="102"/>
      <c r="ACL8" s="76"/>
      <c r="ACN8" s="66" t="s">
        <v>32</v>
      </c>
      <c r="ACO8" s="114"/>
      <c r="ACP8" s="15">
        <v>1</v>
      </c>
      <c r="ACQ8" s="99"/>
      <c r="ACR8" s="86"/>
      <c r="ACS8" s="99"/>
      <c r="ACT8" s="102"/>
      <c r="ACU8" s="76"/>
      <c r="ACW8" s="66" t="s">
        <v>32</v>
      </c>
      <c r="ACX8" s="114"/>
      <c r="ACY8" s="15">
        <v>1</v>
      </c>
      <c r="ACZ8" s="99"/>
      <c r="ADA8" s="86"/>
      <c r="ADB8" s="99"/>
      <c r="ADC8" s="102"/>
      <c r="ADD8" s="76"/>
      <c r="ADF8" s="66" t="s">
        <v>32</v>
      </c>
      <c r="ADG8" s="114"/>
      <c r="ADH8" s="15">
        <v>1</v>
      </c>
      <c r="ADI8" s="99"/>
      <c r="ADJ8" s="86"/>
      <c r="ADK8" s="99"/>
      <c r="ADL8" s="102"/>
      <c r="ADM8" s="76"/>
      <c r="ADO8" s="66" t="s">
        <v>32</v>
      </c>
      <c r="ADP8" s="114"/>
      <c r="ADQ8" s="15">
        <v>1</v>
      </c>
      <c r="ADR8" s="99"/>
      <c r="ADS8" s="86"/>
      <c r="ADT8" s="99"/>
      <c r="ADU8" s="102"/>
      <c r="ADV8" s="76"/>
      <c r="ADX8" s="66" t="s">
        <v>32</v>
      </c>
      <c r="ADY8" s="114"/>
      <c r="ADZ8" s="15">
        <v>1</v>
      </c>
      <c r="AEA8" s="99"/>
      <c r="AEB8" s="86"/>
      <c r="AEC8" s="99"/>
      <c r="AED8" s="102"/>
      <c r="AEE8" s="76"/>
    </row>
    <row r="9" spans="1:811" x14ac:dyDescent="0.3">
      <c r="A9" s="150">
        <v>6</v>
      </c>
      <c r="B9" s="82" t="str">
        <f>BG5</f>
        <v>SEABOARD FOODS</v>
      </c>
      <c r="C9" s="82" t="str">
        <f t="shared" ref="C9:H9" si="5">BH5</f>
        <v>Seaboard</v>
      </c>
      <c r="D9" s="110" t="str">
        <f t="shared" si="5"/>
        <v>PED. 57312961</v>
      </c>
      <c r="E9" s="148">
        <f t="shared" si="5"/>
        <v>44141</v>
      </c>
      <c r="F9" s="93">
        <f t="shared" si="5"/>
        <v>18552.259999999998</v>
      </c>
      <c r="G9" s="79">
        <f t="shared" si="5"/>
        <v>21</v>
      </c>
      <c r="H9" s="49">
        <f t="shared" si="5"/>
        <v>18658.3</v>
      </c>
      <c r="I9" s="113">
        <f>BN5</f>
        <v>-106.04000000000087</v>
      </c>
      <c r="L9" s="101"/>
      <c r="M9" s="15">
        <v>2</v>
      </c>
      <c r="N9" s="326">
        <v>817.23</v>
      </c>
      <c r="O9" s="398">
        <v>44139</v>
      </c>
      <c r="P9" s="326">
        <v>817.23</v>
      </c>
      <c r="Q9" s="384" t="s">
        <v>322</v>
      </c>
      <c r="R9" s="316">
        <v>44</v>
      </c>
      <c r="S9" s="316">
        <f t="shared" ref="S9:S28" si="6">P9*R9</f>
        <v>35958.120000000003</v>
      </c>
      <c r="T9" s="288"/>
      <c r="V9" s="101"/>
      <c r="W9" s="15">
        <v>2</v>
      </c>
      <c r="X9" s="330">
        <v>845.5</v>
      </c>
      <c r="Y9" s="398">
        <v>44140</v>
      </c>
      <c r="Z9" s="330">
        <v>845.5</v>
      </c>
      <c r="AA9" s="465" t="s">
        <v>333</v>
      </c>
      <c r="AB9" s="316">
        <v>45</v>
      </c>
      <c r="AC9" s="388">
        <f t="shared" ref="AC9:AC29" si="7">Z9*AB9</f>
        <v>38047.5</v>
      </c>
      <c r="AF9" s="101"/>
      <c r="AG9" s="15">
        <v>2</v>
      </c>
      <c r="AH9" s="99">
        <v>869.5</v>
      </c>
      <c r="AI9" s="392">
        <v>44140</v>
      </c>
      <c r="AJ9" s="99">
        <v>869.5</v>
      </c>
      <c r="AK9" s="102" t="s">
        <v>329</v>
      </c>
      <c r="AL9" s="76">
        <v>45</v>
      </c>
      <c r="AM9" s="894">
        <f t="shared" ref="AM9:AM29" si="8">AL9*AJ9</f>
        <v>39127.5</v>
      </c>
      <c r="AP9" s="101"/>
      <c r="AQ9" s="15">
        <v>2</v>
      </c>
      <c r="AR9" s="385">
        <v>917.2</v>
      </c>
      <c r="AS9" s="398">
        <v>44141</v>
      </c>
      <c r="AT9" s="385">
        <v>917.2</v>
      </c>
      <c r="AU9" s="918" t="s">
        <v>346</v>
      </c>
      <c r="AV9" s="316">
        <v>45</v>
      </c>
      <c r="AY9" s="101"/>
      <c r="AZ9" s="15">
        <v>2</v>
      </c>
      <c r="BA9" s="99">
        <v>868.6</v>
      </c>
      <c r="BB9" s="148">
        <v>44141</v>
      </c>
      <c r="BC9" s="99">
        <v>868.6</v>
      </c>
      <c r="BD9" s="102" t="s">
        <v>343</v>
      </c>
      <c r="BE9" s="459">
        <v>45</v>
      </c>
      <c r="BH9" s="101"/>
      <c r="BI9" s="15">
        <v>2</v>
      </c>
      <c r="BJ9" s="99">
        <v>924</v>
      </c>
      <c r="BK9" s="148">
        <v>44141</v>
      </c>
      <c r="BL9" s="99">
        <v>924</v>
      </c>
      <c r="BM9" s="102" t="s">
        <v>347</v>
      </c>
      <c r="BN9" s="459">
        <v>45</v>
      </c>
      <c r="BQ9" s="114"/>
      <c r="BR9" s="15">
        <v>2</v>
      </c>
      <c r="BS9" s="99">
        <v>962.36</v>
      </c>
      <c r="BT9" s="460">
        <v>44145</v>
      </c>
      <c r="BU9" s="99">
        <v>962.36</v>
      </c>
      <c r="BV9" s="461" t="s">
        <v>356</v>
      </c>
      <c r="BW9" s="462">
        <v>45</v>
      </c>
      <c r="BX9" s="870">
        <f t="shared" ref="BX9:BX28" si="9">BW9*BU9</f>
        <v>43306.2</v>
      </c>
      <c r="BZ9" s="101"/>
      <c r="CA9" s="15">
        <v>2</v>
      </c>
      <c r="CB9" s="99">
        <v>912.2</v>
      </c>
      <c r="CC9" s="460">
        <v>44146</v>
      </c>
      <c r="CD9" s="99">
        <v>912.2</v>
      </c>
      <c r="CE9" s="463" t="s">
        <v>362</v>
      </c>
      <c r="CF9" s="462">
        <v>45</v>
      </c>
      <c r="CG9" s="870">
        <f t="shared" ref="CG9:CG29" si="10">CF9*CD9</f>
        <v>41049</v>
      </c>
      <c r="CJ9" s="101"/>
      <c r="CK9" s="15">
        <v>2</v>
      </c>
      <c r="CL9" s="99">
        <v>910.35</v>
      </c>
      <c r="CM9" s="460">
        <v>44147</v>
      </c>
      <c r="CN9" s="99">
        <v>910.35</v>
      </c>
      <c r="CO9" s="463" t="s">
        <v>366</v>
      </c>
      <c r="CP9" s="462">
        <v>45</v>
      </c>
      <c r="CQ9" s="925">
        <f t="shared" ref="CQ9:CQ28" si="11">CP9*CN9</f>
        <v>40965.75</v>
      </c>
      <c r="CT9" s="101"/>
      <c r="CU9" s="15">
        <v>2</v>
      </c>
      <c r="CV9" s="99">
        <v>891.3</v>
      </c>
      <c r="CW9" s="392">
        <v>44148</v>
      </c>
      <c r="CX9" s="99">
        <v>891.3</v>
      </c>
      <c r="CY9" s="102" t="s">
        <v>371</v>
      </c>
      <c r="CZ9" s="76">
        <v>45</v>
      </c>
      <c r="DA9" s="870">
        <f t="shared" ref="DA9:DA29" si="12">CZ9*CX9</f>
        <v>40108.5</v>
      </c>
      <c r="DD9" s="101"/>
      <c r="DE9" s="15">
        <v>2</v>
      </c>
      <c r="DF9" s="99">
        <v>926.7</v>
      </c>
      <c r="DG9" s="460">
        <v>44148</v>
      </c>
      <c r="DH9" s="99">
        <v>926.7</v>
      </c>
      <c r="DI9" s="463" t="s">
        <v>373</v>
      </c>
      <c r="DJ9" s="462">
        <v>45</v>
      </c>
      <c r="DK9" s="925">
        <f t="shared" ref="DK9:DK29" si="13">DJ9*DH9</f>
        <v>41701.5</v>
      </c>
      <c r="DN9" s="101"/>
      <c r="DO9" s="15">
        <v>2</v>
      </c>
      <c r="DP9" s="99">
        <v>909.4</v>
      </c>
      <c r="DQ9" s="460">
        <v>44148</v>
      </c>
      <c r="DR9" s="99">
        <v>909.4</v>
      </c>
      <c r="DS9" s="463" t="s">
        <v>378</v>
      </c>
      <c r="DT9" s="462">
        <v>45</v>
      </c>
      <c r="DU9" s="870">
        <f t="shared" ref="DU9:DU29" si="14">DT9*DR9</f>
        <v>40923</v>
      </c>
      <c r="DX9" s="101"/>
      <c r="DY9" s="15">
        <v>2</v>
      </c>
      <c r="DZ9" s="74">
        <v>833.11</v>
      </c>
      <c r="EA9" s="412">
        <v>44150</v>
      </c>
      <c r="EB9" s="74">
        <v>833.11</v>
      </c>
      <c r="EC9" s="75" t="s">
        <v>386</v>
      </c>
      <c r="ED9" s="76">
        <v>44</v>
      </c>
      <c r="EE9" s="870">
        <f t="shared" ref="EE9:EE28" si="15">ED9*EB9</f>
        <v>36656.840000000004</v>
      </c>
      <c r="EH9" s="101"/>
      <c r="EI9" s="15">
        <v>2</v>
      </c>
      <c r="EJ9" s="74">
        <v>894.9</v>
      </c>
      <c r="EK9" s="412">
        <v>44154</v>
      </c>
      <c r="EL9" s="74">
        <v>894.9</v>
      </c>
      <c r="EM9" s="315" t="s">
        <v>400</v>
      </c>
      <c r="EN9" s="76">
        <v>42</v>
      </c>
      <c r="EO9" s="870">
        <f t="shared" ref="EO9:EO29" si="16">EN9*EL9</f>
        <v>37585.799999999996</v>
      </c>
      <c r="ER9" s="529"/>
      <c r="ES9" s="15">
        <v>2</v>
      </c>
      <c r="ET9" s="330">
        <v>859.6</v>
      </c>
      <c r="EU9" s="398">
        <v>44154</v>
      </c>
      <c r="EV9" s="330">
        <v>859.6</v>
      </c>
      <c r="EW9" s="315" t="s">
        <v>398</v>
      </c>
      <c r="EX9" s="316">
        <v>42</v>
      </c>
      <c r="EY9" s="388">
        <f t="shared" ref="EY9:EY29" si="17">EX9*EV9</f>
        <v>36103.200000000004</v>
      </c>
      <c r="FB9" s="101"/>
      <c r="FC9" s="15">
        <v>2</v>
      </c>
      <c r="FD9" s="99">
        <v>919.4</v>
      </c>
      <c r="FE9" s="392">
        <v>44154</v>
      </c>
      <c r="FF9" s="99">
        <v>919.4</v>
      </c>
      <c r="FG9" s="75" t="s">
        <v>404</v>
      </c>
      <c r="FH9" s="76">
        <v>42</v>
      </c>
      <c r="FI9" s="870">
        <f t="shared" ref="FI9:FI29" si="18">FH9*FF9</f>
        <v>38614.799999999996</v>
      </c>
      <c r="FL9" s="101"/>
      <c r="FM9" s="15">
        <v>2</v>
      </c>
      <c r="FN9" s="99">
        <v>866.8</v>
      </c>
      <c r="FO9" s="392">
        <v>44156</v>
      </c>
      <c r="FP9" s="99">
        <v>866.8</v>
      </c>
      <c r="FQ9" s="75" t="s">
        <v>414</v>
      </c>
      <c r="FR9" s="76">
        <v>42</v>
      </c>
      <c r="FS9" s="870">
        <f t="shared" ref="FS9:FS29" si="19">FR9*FP9</f>
        <v>36405.599999999999</v>
      </c>
      <c r="FV9" s="101"/>
      <c r="FW9" s="15">
        <v>2</v>
      </c>
      <c r="FX9" s="314">
        <v>904</v>
      </c>
      <c r="FY9" s="657">
        <v>44156</v>
      </c>
      <c r="FZ9" s="314">
        <v>904</v>
      </c>
      <c r="GA9" s="315" t="s">
        <v>411</v>
      </c>
      <c r="GB9" s="316">
        <v>42</v>
      </c>
      <c r="GC9" s="388">
        <f t="shared" ref="GC9:GC29" si="20">GB9*FZ9</f>
        <v>37968</v>
      </c>
      <c r="GF9" s="101"/>
      <c r="GG9" s="15">
        <v>2</v>
      </c>
      <c r="GH9" s="632">
        <v>894.9</v>
      </c>
      <c r="GI9" s="392">
        <v>44159</v>
      </c>
      <c r="GJ9" s="632">
        <v>894.9</v>
      </c>
      <c r="GK9" s="102" t="s">
        <v>418</v>
      </c>
      <c r="GL9" s="76">
        <v>38</v>
      </c>
      <c r="GM9" s="870">
        <f t="shared" ref="GM9:GM29" si="21">GL9*GJ9</f>
        <v>34006.199999999997</v>
      </c>
      <c r="GP9" s="101"/>
      <c r="GQ9" s="15">
        <v>2</v>
      </c>
      <c r="GR9" s="113">
        <v>843.54</v>
      </c>
      <c r="GS9" s="392">
        <v>44159</v>
      </c>
      <c r="GT9" s="113">
        <v>843.54</v>
      </c>
      <c r="GU9" s="102" t="s">
        <v>420</v>
      </c>
      <c r="GV9" s="76">
        <v>38</v>
      </c>
      <c r="GW9" s="870">
        <f t="shared" ref="GW9:GW28" si="22">GV9*GT9</f>
        <v>32054.519999999997</v>
      </c>
      <c r="GZ9" s="101"/>
      <c r="HA9" s="15">
        <v>2</v>
      </c>
      <c r="HB9" s="99">
        <v>939.84</v>
      </c>
      <c r="HC9" s="392">
        <v>44160</v>
      </c>
      <c r="HD9" s="99">
        <v>939.84</v>
      </c>
      <c r="HE9" s="102" t="s">
        <v>428</v>
      </c>
      <c r="HF9" s="76">
        <v>38</v>
      </c>
      <c r="HG9" s="870">
        <f t="shared" ref="HG9:HG28" si="23">HF9*HD9</f>
        <v>35713.919999999998</v>
      </c>
      <c r="HJ9" s="101"/>
      <c r="HK9" s="15">
        <v>2</v>
      </c>
      <c r="HL9" s="330">
        <v>902.2</v>
      </c>
      <c r="HM9" s="398">
        <v>44161</v>
      </c>
      <c r="HN9" s="330">
        <v>902.2</v>
      </c>
      <c r="HO9" s="465" t="s">
        <v>432</v>
      </c>
      <c r="HP9" s="316">
        <v>38</v>
      </c>
      <c r="HQ9" s="388">
        <f t="shared" ref="HQ9:HQ29" si="24">HP9*HN9</f>
        <v>34283.599999999999</v>
      </c>
      <c r="HT9" s="114"/>
      <c r="HU9" s="15">
        <v>2</v>
      </c>
      <c r="HV9" s="74">
        <v>857.7</v>
      </c>
      <c r="HW9" s="412">
        <v>44162</v>
      </c>
      <c r="HX9" s="74">
        <v>857.7</v>
      </c>
      <c r="HY9" s="75" t="s">
        <v>454</v>
      </c>
      <c r="HZ9" s="76">
        <v>38</v>
      </c>
      <c r="IA9" s="870">
        <f t="shared" ref="IA9:IA29" si="25">HZ9*HX9</f>
        <v>32592.600000000002</v>
      </c>
      <c r="ID9" s="101"/>
      <c r="IE9" s="15">
        <v>2</v>
      </c>
      <c r="IF9" s="330">
        <v>918.5</v>
      </c>
      <c r="IG9" s="359">
        <v>44162</v>
      </c>
      <c r="IH9" s="330">
        <v>918.5</v>
      </c>
      <c r="II9" s="675" t="s">
        <v>437</v>
      </c>
      <c r="IJ9" s="316">
        <v>38</v>
      </c>
      <c r="IK9" s="388">
        <f t="shared" ref="IK9:IK29" si="26">IJ9*IH9</f>
        <v>34903</v>
      </c>
      <c r="IL9" s="99"/>
      <c r="IM9" s="99"/>
      <c r="IN9" s="101"/>
      <c r="IO9" s="15">
        <v>2</v>
      </c>
      <c r="IP9" s="99">
        <v>899.5</v>
      </c>
      <c r="IQ9" s="412">
        <v>44166</v>
      </c>
      <c r="IR9" s="99">
        <v>899.5</v>
      </c>
      <c r="IS9" s="75" t="s">
        <v>452</v>
      </c>
      <c r="IT9" s="76">
        <v>38</v>
      </c>
      <c r="IU9" s="870">
        <f t="shared" ref="IU9:IU29" si="27">IT9*IR9</f>
        <v>34181</v>
      </c>
      <c r="IV9" s="74"/>
      <c r="IX9" s="101"/>
      <c r="IY9" s="15">
        <v>2</v>
      </c>
      <c r="IZ9" s="99">
        <v>908.39</v>
      </c>
      <c r="JA9" s="392">
        <v>44167</v>
      </c>
      <c r="JB9" s="99">
        <v>908.39</v>
      </c>
      <c r="JC9" s="75" t="s">
        <v>478</v>
      </c>
      <c r="JD9" s="76">
        <v>38</v>
      </c>
      <c r="JE9" s="870">
        <f t="shared" ref="JE9:JE27" si="28">JD9*JB9</f>
        <v>34518.82</v>
      </c>
      <c r="JH9" s="101"/>
      <c r="JI9" s="15">
        <v>2</v>
      </c>
      <c r="JJ9" s="74">
        <v>803.63</v>
      </c>
      <c r="JK9" s="412">
        <v>44167</v>
      </c>
      <c r="JL9" s="74">
        <v>803.63</v>
      </c>
      <c r="JM9" s="75" t="s">
        <v>476</v>
      </c>
      <c r="JN9" s="76">
        <v>38</v>
      </c>
      <c r="JO9" s="870">
        <f t="shared" ref="JO9:JO28" si="29">JN9*JL9</f>
        <v>30537.94</v>
      </c>
      <c r="JR9" s="101"/>
      <c r="JS9" s="15">
        <v>2</v>
      </c>
      <c r="JT9" s="99">
        <v>903.1</v>
      </c>
      <c r="JU9" s="392">
        <v>44168</v>
      </c>
      <c r="JV9" s="99">
        <v>903.1</v>
      </c>
      <c r="JW9" s="102" t="s">
        <v>482</v>
      </c>
      <c r="JX9" s="76">
        <v>39</v>
      </c>
      <c r="JY9" s="870">
        <f t="shared" ref="JY9:JY29" si="30">JX9*JV9</f>
        <v>35220.9</v>
      </c>
      <c r="KB9" s="101"/>
      <c r="KC9" s="15">
        <v>2</v>
      </c>
      <c r="KD9" s="99">
        <v>920.3</v>
      </c>
      <c r="KE9" s="392">
        <v>44168</v>
      </c>
      <c r="KF9" s="99">
        <v>920.3</v>
      </c>
      <c r="KG9" s="102" t="s">
        <v>483</v>
      </c>
      <c r="KH9" s="76">
        <v>39</v>
      </c>
      <c r="KI9" s="870">
        <f t="shared" ref="KI9:KI29" si="31">KH9*KF9</f>
        <v>35891.699999999997</v>
      </c>
      <c r="KL9" s="101"/>
      <c r="KM9" s="15">
        <v>2</v>
      </c>
      <c r="KN9" s="99">
        <v>931.67</v>
      </c>
      <c r="KO9" s="392">
        <v>44169</v>
      </c>
      <c r="KP9" s="99">
        <v>931.67</v>
      </c>
      <c r="KQ9" s="102" t="s">
        <v>495</v>
      </c>
      <c r="KR9" s="76">
        <v>39</v>
      </c>
      <c r="KS9" s="870">
        <f t="shared" ref="KS9:KS28" si="32">KR9*KP9</f>
        <v>36335.129999999997</v>
      </c>
      <c r="KV9" s="101"/>
      <c r="KW9" s="15">
        <v>2</v>
      </c>
      <c r="KX9" s="99">
        <v>880.4</v>
      </c>
      <c r="KY9" s="392">
        <v>44169</v>
      </c>
      <c r="KZ9" s="99">
        <v>880.4</v>
      </c>
      <c r="LA9" s="102" t="s">
        <v>487</v>
      </c>
      <c r="LB9" s="76">
        <v>39</v>
      </c>
      <c r="LC9" s="870">
        <f t="shared" ref="LC9:LC29" si="33">LB9*KZ9</f>
        <v>34335.599999999999</v>
      </c>
      <c r="LF9" s="101"/>
      <c r="LG9" s="15">
        <v>2</v>
      </c>
      <c r="LH9" s="99">
        <v>976.6</v>
      </c>
      <c r="LI9" s="392">
        <v>44169</v>
      </c>
      <c r="LJ9" s="99">
        <v>976.6</v>
      </c>
      <c r="LK9" s="102" t="s">
        <v>492</v>
      </c>
      <c r="LL9" s="76">
        <v>39</v>
      </c>
      <c r="LM9" s="870">
        <f t="shared" ref="LM9:LM29" si="34">LL9*LJ9</f>
        <v>38087.4</v>
      </c>
      <c r="LP9" s="101"/>
      <c r="LQ9" s="15">
        <v>2</v>
      </c>
      <c r="LR9" s="472"/>
      <c r="LS9" s="392"/>
      <c r="LT9" s="472"/>
      <c r="LU9" s="102"/>
      <c r="LV9" s="76"/>
      <c r="LY9" s="101"/>
      <c r="LZ9" s="15">
        <v>2</v>
      </c>
      <c r="MA9" s="472"/>
      <c r="MB9" s="392"/>
      <c r="MC9" s="472"/>
      <c r="MD9" s="102"/>
      <c r="ME9" s="76"/>
      <c r="MH9" s="101"/>
      <c r="MI9" s="15">
        <v>2</v>
      </c>
      <c r="MJ9" s="99"/>
      <c r="MK9" s="392"/>
      <c r="ML9" s="99"/>
      <c r="MM9" s="102"/>
      <c r="MN9" s="76"/>
      <c r="MQ9" s="101"/>
      <c r="MR9" s="15">
        <v>2</v>
      </c>
      <c r="MS9" s="472"/>
      <c r="MT9" s="392"/>
      <c r="MU9" s="472"/>
      <c r="MV9" s="102"/>
      <c r="MW9" s="76"/>
      <c r="MZ9" s="101"/>
      <c r="NA9" s="15">
        <v>2</v>
      </c>
      <c r="NB9" s="473"/>
      <c r="NC9" s="392"/>
      <c r="ND9" s="473"/>
      <c r="NE9" s="102"/>
      <c r="NF9" s="76"/>
      <c r="NI9" s="101"/>
      <c r="NJ9" s="15">
        <v>2</v>
      </c>
      <c r="NK9" s="99"/>
      <c r="NL9" s="392"/>
      <c r="NM9" s="99"/>
      <c r="NN9" s="102"/>
      <c r="NO9" s="76"/>
      <c r="NR9" s="101"/>
      <c r="NS9" s="15">
        <v>2</v>
      </c>
      <c r="NT9" s="473"/>
      <c r="NU9" s="392"/>
      <c r="NV9" s="473"/>
      <c r="NW9" s="102"/>
      <c r="NX9" s="76"/>
      <c r="OA9" s="101"/>
      <c r="OB9" s="15">
        <v>2</v>
      </c>
      <c r="OC9" s="99"/>
      <c r="OD9" s="392"/>
      <c r="OE9" s="99"/>
      <c r="OF9" s="102"/>
      <c r="OG9" s="76"/>
      <c r="OJ9" s="101"/>
      <c r="OK9" s="15">
        <v>2</v>
      </c>
      <c r="OL9" s="330"/>
      <c r="OM9" s="398"/>
      <c r="ON9" s="330"/>
      <c r="OO9" s="384"/>
      <c r="OP9" s="316"/>
      <c r="OS9" s="101"/>
      <c r="OT9" s="15">
        <v>2</v>
      </c>
      <c r="OU9" s="473"/>
      <c r="OV9" s="392"/>
      <c r="OW9" s="473"/>
      <c r="OX9" s="102"/>
      <c r="OY9" s="76"/>
      <c r="PB9" s="114"/>
      <c r="PC9" s="15">
        <v>2</v>
      </c>
      <c r="PD9" s="99"/>
      <c r="PE9" s="392"/>
      <c r="PF9" s="99"/>
      <c r="PG9" s="102"/>
      <c r="PH9" s="76"/>
      <c r="PK9" s="114"/>
      <c r="PL9" s="15">
        <v>2</v>
      </c>
      <c r="PM9" s="99"/>
      <c r="PN9" s="148"/>
      <c r="PO9" s="99"/>
      <c r="PP9" s="102"/>
      <c r="PQ9" s="76"/>
      <c r="PT9" s="114"/>
      <c r="PU9" s="15">
        <v>2</v>
      </c>
      <c r="PV9" s="99"/>
      <c r="PW9" s="392"/>
      <c r="PX9" s="99"/>
      <c r="PY9" s="102"/>
      <c r="PZ9" s="76"/>
      <c r="QC9" s="114"/>
      <c r="QD9" s="15">
        <v>2</v>
      </c>
      <c r="QE9" s="99"/>
      <c r="QF9" s="392"/>
      <c r="QG9" s="99"/>
      <c r="QH9" s="102"/>
      <c r="QI9" s="76"/>
      <c r="QL9" s="114"/>
      <c r="QM9" s="15">
        <v>2</v>
      </c>
      <c r="QN9" s="99"/>
      <c r="QO9" s="392"/>
      <c r="QP9" s="99"/>
      <c r="QQ9" s="102"/>
      <c r="QR9" s="76"/>
      <c r="QU9" s="114"/>
      <c r="QV9" s="15">
        <v>2</v>
      </c>
      <c r="QW9" s="99"/>
      <c r="QX9" s="392"/>
      <c r="QY9" s="99"/>
      <c r="QZ9" s="102"/>
      <c r="RA9" s="76"/>
      <c r="RC9" s="66"/>
      <c r="RD9" s="114"/>
      <c r="RE9" s="15">
        <v>2</v>
      </c>
      <c r="RF9" s="99"/>
      <c r="RG9" s="148"/>
      <c r="RH9" s="99"/>
      <c r="RI9" s="102"/>
      <c r="RJ9" s="76"/>
      <c r="RL9" s="66"/>
      <c r="RM9" s="114"/>
      <c r="RN9" s="15">
        <v>2</v>
      </c>
      <c r="RO9" s="99"/>
      <c r="RP9" s="86"/>
      <c r="RQ9" s="99"/>
      <c r="RR9" s="102"/>
      <c r="RS9" s="76"/>
      <c r="RU9" s="66"/>
      <c r="RV9" s="114"/>
      <c r="RW9" s="15">
        <v>2</v>
      </c>
      <c r="RX9" s="99"/>
      <c r="RY9" s="86"/>
      <c r="RZ9" s="99"/>
      <c r="SA9" s="102"/>
      <c r="SB9" s="76"/>
      <c r="SD9" s="66"/>
      <c r="SE9" s="114"/>
      <c r="SF9" s="15"/>
      <c r="SG9" s="99"/>
      <c r="SH9" s="86"/>
      <c r="SI9" s="99"/>
      <c r="SJ9" s="102"/>
      <c r="SK9" s="76"/>
      <c r="SM9" s="66"/>
      <c r="SN9" s="114"/>
      <c r="SO9" s="15">
        <v>2</v>
      </c>
      <c r="SP9" s="99"/>
      <c r="SQ9" s="471"/>
      <c r="SR9" s="206"/>
      <c r="SS9" s="463"/>
      <c r="ST9" s="462"/>
      <c r="SV9" s="66"/>
      <c r="SW9" s="114"/>
      <c r="SX9" s="15">
        <v>2</v>
      </c>
      <c r="SY9" s="99"/>
      <c r="SZ9" s="86"/>
      <c r="TA9" s="99"/>
      <c r="TB9" s="102"/>
      <c r="TC9" s="76"/>
      <c r="TE9" s="66" t="s">
        <v>32</v>
      </c>
      <c r="TF9" s="114"/>
      <c r="TG9" s="15">
        <v>2</v>
      </c>
      <c r="TH9" s="99"/>
      <c r="TI9" s="86"/>
      <c r="TJ9" s="99"/>
      <c r="TK9" s="102"/>
      <c r="TL9" s="76"/>
      <c r="TN9" s="66"/>
      <c r="TO9" s="114"/>
      <c r="TP9" s="15">
        <v>2</v>
      </c>
      <c r="TQ9" s="99"/>
      <c r="TR9" s="86"/>
      <c r="TS9" s="99"/>
      <c r="TT9" s="102"/>
      <c r="TU9" s="76"/>
      <c r="TW9" s="66" t="s">
        <v>32</v>
      </c>
      <c r="TX9" s="114"/>
      <c r="TY9" s="15">
        <v>2</v>
      </c>
      <c r="TZ9" s="99"/>
      <c r="UA9" s="86"/>
      <c r="UB9" s="99"/>
      <c r="UC9" s="102"/>
      <c r="UD9" s="76"/>
      <c r="UF9" s="66" t="s">
        <v>32</v>
      </c>
      <c r="UG9" s="114"/>
      <c r="UH9" s="15">
        <v>2</v>
      </c>
      <c r="UI9" s="99"/>
      <c r="UJ9" s="86"/>
      <c r="UK9" s="99"/>
      <c r="UL9" s="102"/>
      <c r="UM9" s="76"/>
      <c r="UP9" s="114"/>
      <c r="UQ9" s="15">
        <v>2</v>
      </c>
      <c r="UR9" s="99"/>
      <c r="US9" s="86"/>
      <c r="UT9" s="99"/>
      <c r="UU9" s="102"/>
      <c r="UV9" s="76"/>
      <c r="UY9" s="114"/>
      <c r="UZ9" s="15">
        <v>2</v>
      </c>
      <c r="VA9" s="99"/>
      <c r="VB9" s="86"/>
      <c r="VC9" s="99"/>
      <c r="VD9" s="102"/>
      <c r="VE9" s="76"/>
      <c r="VH9" s="114"/>
      <c r="VI9" s="15">
        <v>2</v>
      </c>
      <c r="VJ9" s="99"/>
      <c r="VK9" s="86"/>
      <c r="VL9" s="99"/>
      <c r="VM9" s="102"/>
      <c r="VN9" s="76"/>
      <c r="VQ9" s="114"/>
      <c r="VR9" s="15">
        <v>2</v>
      </c>
      <c r="VS9" s="99"/>
      <c r="VT9" s="86"/>
      <c r="VU9" s="99"/>
      <c r="VV9" s="102"/>
      <c r="VW9" s="76"/>
      <c r="VZ9" s="114"/>
      <c r="WA9" s="15">
        <v>2</v>
      </c>
      <c r="WB9" s="99"/>
      <c r="WC9" s="86"/>
      <c r="WD9" s="99"/>
      <c r="WE9" s="102"/>
      <c r="WF9" s="76"/>
      <c r="WI9" s="114"/>
      <c r="WJ9" s="15">
        <v>2</v>
      </c>
      <c r="WK9" s="99"/>
      <c r="WL9" s="86"/>
      <c r="WM9" s="99"/>
      <c r="WN9" s="102"/>
      <c r="WO9" s="76"/>
      <c r="WR9" s="114"/>
      <c r="WS9" s="15">
        <v>2</v>
      </c>
      <c r="WT9" s="99"/>
      <c r="WU9" s="86"/>
      <c r="WV9" s="99"/>
      <c r="WW9" s="102"/>
      <c r="WX9" s="76"/>
      <c r="XA9" s="114"/>
      <c r="XB9" s="15">
        <v>2</v>
      </c>
      <c r="XC9" s="99"/>
      <c r="XD9" s="86"/>
      <c r="XE9" s="99"/>
      <c r="XF9" s="102"/>
      <c r="XG9" s="76"/>
      <c r="XJ9" s="114"/>
      <c r="XK9" s="15">
        <v>2</v>
      </c>
      <c r="XL9" s="99"/>
      <c r="XM9" s="86"/>
      <c r="XN9" s="99"/>
      <c r="XO9" s="102"/>
      <c r="XP9" s="76"/>
      <c r="XS9" s="114"/>
      <c r="XT9" s="15">
        <v>2</v>
      </c>
      <c r="XU9" s="99"/>
      <c r="XV9" s="86"/>
      <c r="XW9" s="99"/>
      <c r="XX9" s="102"/>
      <c r="XY9" s="76"/>
      <c r="YB9" s="114"/>
      <c r="YC9" s="15">
        <v>2</v>
      </c>
      <c r="YD9" s="99"/>
      <c r="YE9" s="86"/>
      <c r="YF9" s="99"/>
      <c r="YG9" s="102"/>
      <c r="YH9" s="76"/>
      <c r="YK9" s="114"/>
      <c r="YL9" s="15">
        <v>2</v>
      </c>
      <c r="YM9" s="99"/>
      <c r="YN9" s="86"/>
      <c r="YO9" s="99"/>
      <c r="YP9" s="102"/>
      <c r="YQ9" s="76"/>
      <c r="YT9" s="114"/>
      <c r="YU9" s="15">
        <v>2</v>
      </c>
      <c r="YV9" s="99"/>
      <c r="YW9" s="86"/>
      <c r="YX9" s="99"/>
      <c r="YY9" s="102"/>
      <c r="YZ9" s="76"/>
      <c r="ZC9" s="114"/>
      <c r="ZD9" s="15">
        <v>2</v>
      </c>
      <c r="ZE9" s="99"/>
      <c r="ZF9" s="86"/>
      <c r="ZG9" s="99"/>
      <c r="ZH9" s="102"/>
      <c r="ZI9" s="76"/>
      <c r="ZL9" s="114"/>
      <c r="ZM9" s="15">
        <v>2</v>
      </c>
      <c r="ZN9" s="99"/>
      <c r="ZO9" s="86"/>
      <c r="ZP9" s="99"/>
      <c r="ZQ9" s="102"/>
      <c r="ZR9" s="76"/>
      <c r="ZU9" s="114"/>
      <c r="ZV9" s="15">
        <v>2</v>
      </c>
      <c r="ZW9" s="99"/>
      <c r="ZX9" s="86"/>
      <c r="ZY9" s="99"/>
      <c r="ZZ9" s="102"/>
      <c r="AAA9" s="76"/>
      <c r="AAD9" s="114"/>
      <c r="AAE9" s="15">
        <v>2</v>
      </c>
      <c r="AAF9" s="99"/>
      <c r="AAG9" s="86"/>
      <c r="AAH9" s="99"/>
      <c r="AAI9" s="102"/>
      <c r="AAJ9" s="76"/>
      <c r="AAM9" s="114"/>
      <c r="AAN9" s="15">
        <v>2</v>
      </c>
      <c r="AAO9" s="99"/>
      <c r="AAP9" s="86"/>
      <c r="AAQ9" s="99"/>
      <c r="AAR9" s="102"/>
      <c r="AAS9" s="76"/>
      <c r="AAV9" s="114"/>
      <c r="AAW9" s="15">
        <v>2</v>
      </c>
      <c r="AAX9" s="99"/>
      <c r="AAY9" s="86"/>
      <c r="AAZ9" s="99"/>
      <c r="ABA9" s="102"/>
      <c r="ABB9" s="76"/>
      <c r="ABE9" s="114"/>
      <c r="ABF9" s="15">
        <v>2</v>
      </c>
      <c r="ABG9" s="99"/>
      <c r="ABH9" s="86"/>
      <c r="ABI9" s="99"/>
      <c r="ABJ9" s="102"/>
      <c r="ABK9" s="76"/>
      <c r="ABN9" s="114"/>
      <c r="ABO9" s="15">
        <v>2</v>
      </c>
      <c r="ABP9" s="99"/>
      <c r="ABQ9" s="86"/>
      <c r="ABR9" s="99"/>
      <c r="ABS9" s="102"/>
      <c r="ABT9" s="76"/>
      <c r="ABW9" s="114"/>
      <c r="ABX9" s="15">
        <v>2</v>
      </c>
      <c r="ABY9" s="99"/>
      <c r="ABZ9" s="86"/>
      <c r="ACA9" s="99"/>
      <c r="ACB9" s="102"/>
      <c r="ACC9" s="76"/>
      <c r="ACF9" s="114"/>
      <c r="ACG9" s="15">
        <v>2</v>
      </c>
      <c r="ACH9" s="99"/>
      <c r="ACI9" s="86"/>
      <c r="ACJ9" s="99"/>
      <c r="ACK9" s="102"/>
      <c r="ACL9" s="76"/>
      <c r="ACO9" s="101"/>
      <c r="ACP9" s="15">
        <v>2</v>
      </c>
      <c r="ACQ9" s="99"/>
      <c r="ACR9" s="86"/>
      <c r="ACS9" s="99"/>
      <c r="ACT9" s="102"/>
      <c r="ACU9" s="76"/>
      <c r="ACX9" s="114"/>
      <c r="ACY9" s="15">
        <v>2</v>
      </c>
      <c r="ACZ9" s="99"/>
      <c r="ADA9" s="86"/>
      <c r="ADB9" s="99"/>
      <c r="ADC9" s="102"/>
      <c r="ADD9" s="76"/>
      <c r="ADG9" s="114"/>
      <c r="ADH9" s="15">
        <v>2</v>
      </c>
      <c r="ADI9" s="99"/>
      <c r="ADJ9" s="86"/>
      <c r="ADK9" s="99"/>
      <c r="ADL9" s="102"/>
      <c r="ADM9" s="76"/>
      <c r="ADP9" s="114"/>
      <c r="ADQ9" s="15">
        <v>2</v>
      </c>
      <c r="ADR9" s="99"/>
      <c r="ADS9" s="86"/>
      <c r="ADT9" s="99"/>
      <c r="ADU9" s="102"/>
      <c r="ADV9" s="76"/>
      <c r="ADY9" s="114"/>
      <c r="ADZ9" s="15">
        <v>2</v>
      </c>
      <c r="AEA9" s="99"/>
      <c r="AEB9" s="86"/>
      <c r="AEC9" s="99"/>
      <c r="AED9" s="102"/>
      <c r="AEE9" s="76"/>
    </row>
    <row r="10" spans="1:811" x14ac:dyDescent="0.3">
      <c r="A10" s="150">
        <v>7</v>
      </c>
      <c r="B10" s="82" t="str">
        <f t="shared" ref="B10:I10" si="35">BP5</f>
        <v>SMITHFIEL FRESH MEAT</v>
      </c>
      <c r="C10" s="82" t="str">
        <f t="shared" si="35"/>
        <v>Smithfield</v>
      </c>
      <c r="D10" s="110" t="str">
        <f t="shared" si="35"/>
        <v>PED. 57440855</v>
      </c>
      <c r="E10" s="148">
        <f t="shared" si="35"/>
        <v>44145</v>
      </c>
      <c r="F10" s="93">
        <f t="shared" si="35"/>
        <v>17400.62</v>
      </c>
      <c r="G10" s="79">
        <f t="shared" si="35"/>
        <v>20</v>
      </c>
      <c r="H10" s="49">
        <f t="shared" si="35"/>
        <v>17522.900000000001</v>
      </c>
      <c r="I10" s="113">
        <f t="shared" si="35"/>
        <v>-122.28000000000247</v>
      </c>
      <c r="L10" s="101"/>
      <c r="M10" s="15">
        <v>3</v>
      </c>
      <c r="N10" s="330">
        <v>840.82</v>
      </c>
      <c r="O10" s="398">
        <v>44139</v>
      </c>
      <c r="P10" s="330">
        <v>840.82</v>
      </c>
      <c r="Q10" s="384" t="s">
        <v>322</v>
      </c>
      <c r="R10" s="316">
        <v>44</v>
      </c>
      <c r="S10" s="316">
        <f t="shared" si="6"/>
        <v>36996.080000000002</v>
      </c>
      <c r="T10" s="288"/>
      <c r="V10" s="101"/>
      <c r="W10" s="15">
        <v>3</v>
      </c>
      <c r="X10" s="330">
        <v>858.6</v>
      </c>
      <c r="Y10" s="398">
        <v>44140</v>
      </c>
      <c r="Z10" s="330">
        <v>858.6</v>
      </c>
      <c r="AA10" s="465" t="s">
        <v>333</v>
      </c>
      <c r="AB10" s="316">
        <v>45</v>
      </c>
      <c r="AC10" s="388">
        <f t="shared" si="7"/>
        <v>38637</v>
      </c>
      <c r="AF10" s="101"/>
      <c r="AG10" s="15">
        <v>3</v>
      </c>
      <c r="AH10" s="99">
        <v>845.9</v>
      </c>
      <c r="AI10" s="392">
        <v>44140</v>
      </c>
      <c r="AJ10" s="99">
        <v>845.9</v>
      </c>
      <c r="AK10" s="102" t="s">
        <v>329</v>
      </c>
      <c r="AL10" s="76">
        <v>45</v>
      </c>
      <c r="AM10" s="894">
        <f t="shared" si="8"/>
        <v>38065.5</v>
      </c>
      <c r="AP10" s="101"/>
      <c r="AQ10" s="15">
        <v>3</v>
      </c>
      <c r="AR10" s="385">
        <v>872.7</v>
      </c>
      <c r="AS10" s="398">
        <v>44141</v>
      </c>
      <c r="AT10" s="385">
        <v>872.7</v>
      </c>
      <c r="AU10" s="384" t="s">
        <v>341</v>
      </c>
      <c r="AV10" s="316">
        <v>45</v>
      </c>
      <c r="AY10" s="101"/>
      <c r="AZ10" s="15">
        <v>3</v>
      </c>
      <c r="BA10" s="99">
        <v>919.4</v>
      </c>
      <c r="BB10" s="148">
        <v>44141</v>
      </c>
      <c r="BC10" s="99">
        <v>919.4</v>
      </c>
      <c r="BD10" s="102" t="s">
        <v>343</v>
      </c>
      <c r="BE10" s="459">
        <v>45</v>
      </c>
      <c r="BH10" s="101"/>
      <c r="BI10" s="15">
        <v>3</v>
      </c>
      <c r="BJ10" s="99">
        <v>837.8</v>
      </c>
      <c r="BK10" s="148">
        <v>44141</v>
      </c>
      <c r="BL10" s="99">
        <v>837.8</v>
      </c>
      <c r="BM10" s="102" t="s">
        <v>347</v>
      </c>
      <c r="BN10" s="459">
        <v>45</v>
      </c>
      <c r="BQ10" s="114"/>
      <c r="BR10" s="15">
        <v>3</v>
      </c>
      <c r="BS10" s="99">
        <v>807.26</v>
      </c>
      <c r="BT10" s="460">
        <v>44145</v>
      </c>
      <c r="BU10" s="99">
        <v>807.26</v>
      </c>
      <c r="BV10" s="461" t="s">
        <v>356</v>
      </c>
      <c r="BW10" s="462">
        <v>45</v>
      </c>
      <c r="BX10" s="870">
        <f t="shared" si="9"/>
        <v>36326.699999999997</v>
      </c>
      <c r="BZ10" s="101"/>
      <c r="CA10" s="15">
        <v>3</v>
      </c>
      <c r="CB10" s="99">
        <v>884</v>
      </c>
      <c r="CC10" s="460">
        <v>44146</v>
      </c>
      <c r="CD10" s="99">
        <v>884</v>
      </c>
      <c r="CE10" s="463" t="s">
        <v>362</v>
      </c>
      <c r="CF10" s="462">
        <v>45</v>
      </c>
      <c r="CG10" s="870">
        <f t="shared" si="10"/>
        <v>39780</v>
      </c>
      <c r="CJ10" s="101"/>
      <c r="CK10" s="15">
        <v>3</v>
      </c>
      <c r="CL10" s="99">
        <v>917.16</v>
      </c>
      <c r="CM10" s="460">
        <v>44147</v>
      </c>
      <c r="CN10" s="99">
        <v>917.16</v>
      </c>
      <c r="CO10" s="463" t="s">
        <v>366</v>
      </c>
      <c r="CP10" s="462">
        <v>45</v>
      </c>
      <c r="CQ10" s="925">
        <f t="shared" si="11"/>
        <v>41272.199999999997</v>
      </c>
      <c r="CT10" s="101"/>
      <c r="CU10" s="15">
        <v>3</v>
      </c>
      <c r="CV10" s="99">
        <v>890.4</v>
      </c>
      <c r="CW10" s="392">
        <v>44148</v>
      </c>
      <c r="CX10" s="99">
        <v>890.4</v>
      </c>
      <c r="CY10" s="102" t="s">
        <v>371</v>
      </c>
      <c r="CZ10" s="76">
        <v>45</v>
      </c>
      <c r="DA10" s="870">
        <f t="shared" si="12"/>
        <v>40068</v>
      </c>
      <c r="DD10" s="101"/>
      <c r="DE10" s="15">
        <v>3</v>
      </c>
      <c r="DF10" s="99">
        <v>906.7</v>
      </c>
      <c r="DG10" s="460">
        <v>44148</v>
      </c>
      <c r="DH10" s="99">
        <v>906.7</v>
      </c>
      <c r="DI10" s="463" t="s">
        <v>374</v>
      </c>
      <c r="DJ10" s="462">
        <v>45</v>
      </c>
      <c r="DK10" s="925">
        <f t="shared" si="13"/>
        <v>40801.5</v>
      </c>
      <c r="DN10" s="101"/>
      <c r="DO10" s="15">
        <v>3</v>
      </c>
      <c r="DP10" s="99">
        <v>880.4</v>
      </c>
      <c r="DQ10" s="460">
        <v>44149</v>
      </c>
      <c r="DR10" s="99">
        <v>880.4</v>
      </c>
      <c r="DS10" s="463" t="s">
        <v>378</v>
      </c>
      <c r="DT10" s="462">
        <v>45</v>
      </c>
      <c r="DU10" s="870">
        <f t="shared" si="14"/>
        <v>39618</v>
      </c>
      <c r="DX10" s="101"/>
      <c r="DY10" s="15">
        <v>3</v>
      </c>
      <c r="DZ10" s="74">
        <v>830.39</v>
      </c>
      <c r="EA10" s="412">
        <v>44150</v>
      </c>
      <c r="EB10" s="74">
        <v>830.39</v>
      </c>
      <c r="EC10" s="75" t="s">
        <v>386</v>
      </c>
      <c r="ED10" s="76">
        <v>44</v>
      </c>
      <c r="EE10" s="870">
        <f t="shared" si="15"/>
        <v>36537.159999999996</v>
      </c>
      <c r="EH10" s="101"/>
      <c r="EI10" s="15">
        <v>3</v>
      </c>
      <c r="EJ10" s="74">
        <v>921.2</v>
      </c>
      <c r="EK10" s="412">
        <v>44154</v>
      </c>
      <c r="EL10" s="74">
        <v>921.2</v>
      </c>
      <c r="EM10" s="315" t="s">
        <v>400</v>
      </c>
      <c r="EN10" s="76">
        <v>42</v>
      </c>
      <c r="EO10" s="870">
        <f t="shared" si="16"/>
        <v>38690.400000000001</v>
      </c>
      <c r="ER10" s="529"/>
      <c r="ES10" s="15">
        <v>3</v>
      </c>
      <c r="ET10" s="330">
        <v>913.1</v>
      </c>
      <c r="EU10" s="398">
        <v>44154</v>
      </c>
      <c r="EV10" s="330">
        <v>913.1</v>
      </c>
      <c r="EW10" s="315" t="s">
        <v>398</v>
      </c>
      <c r="EX10" s="316">
        <v>42</v>
      </c>
      <c r="EY10" s="388">
        <f t="shared" si="17"/>
        <v>38350.200000000004</v>
      </c>
      <c r="FB10" s="101"/>
      <c r="FC10" s="15">
        <v>3</v>
      </c>
      <c r="FD10" s="99">
        <v>875.9</v>
      </c>
      <c r="FE10" s="392">
        <v>44154</v>
      </c>
      <c r="FF10" s="99">
        <v>875.9</v>
      </c>
      <c r="FG10" s="75" t="s">
        <v>404</v>
      </c>
      <c r="FH10" s="76">
        <v>42</v>
      </c>
      <c r="FI10" s="870">
        <f t="shared" si="18"/>
        <v>36787.799999999996</v>
      </c>
      <c r="FL10" s="101"/>
      <c r="FM10" s="15">
        <v>3</v>
      </c>
      <c r="FN10" s="99">
        <v>869.5</v>
      </c>
      <c r="FO10" s="392">
        <v>44156</v>
      </c>
      <c r="FP10" s="99">
        <v>869.5</v>
      </c>
      <c r="FQ10" s="75" t="s">
        <v>414</v>
      </c>
      <c r="FR10" s="76">
        <v>42</v>
      </c>
      <c r="FS10" s="870">
        <f t="shared" si="19"/>
        <v>36519</v>
      </c>
      <c r="FV10" s="101"/>
      <c r="FW10" s="15">
        <v>3</v>
      </c>
      <c r="FX10" s="314">
        <v>874.1</v>
      </c>
      <c r="FY10" s="657">
        <v>44156</v>
      </c>
      <c r="FZ10" s="314">
        <v>874.1</v>
      </c>
      <c r="GA10" s="315" t="s">
        <v>411</v>
      </c>
      <c r="GB10" s="316">
        <v>42</v>
      </c>
      <c r="GC10" s="388">
        <f t="shared" si="20"/>
        <v>36712.200000000004</v>
      </c>
      <c r="GF10" s="101"/>
      <c r="GG10" s="15">
        <v>3</v>
      </c>
      <c r="GH10" s="632">
        <v>878.6</v>
      </c>
      <c r="GI10" s="392">
        <v>44159</v>
      </c>
      <c r="GJ10" s="632">
        <v>878.6</v>
      </c>
      <c r="GK10" s="102" t="s">
        <v>418</v>
      </c>
      <c r="GL10" s="76">
        <v>38</v>
      </c>
      <c r="GM10" s="870">
        <f t="shared" si="21"/>
        <v>33386.800000000003</v>
      </c>
      <c r="GP10" s="101"/>
      <c r="GQ10" s="15">
        <v>3</v>
      </c>
      <c r="GR10" s="99">
        <v>878.91</v>
      </c>
      <c r="GS10" s="392">
        <v>44159</v>
      </c>
      <c r="GT10" s="99">
        <v>878.91</v>
      </c>
      <c r="GU10" s="102" t="s">
        <v>420</v>
      </c>
      <c r="GV10" s="76">
        <v>38</v>
      </c>
      <c r="GW10" s="870">
        <f t="shared" si="22"/>
        <v>33398.58</v>
      </c>
      <c r="GZ10" s="101"/>
      <c r="HA10" s="15">
        <v>3</v>
      </c>
      <c r="HB10" s="99">
        <v>945.28</v>
      </c>
      <c r="HC10" s="392">
        <v>44160</v>
      </c>
      <c r="HD10" s="99">
        <v>945.28</v>
      </c>
      <c r="HE10" s="102" t="s">
        <v>428</v>
      </c>
      <c r="HF10" s="76">
        <v>38</v>
      </c>
      <c r="HG10" s="870">
        <f t="shared" si="23"/>
        <v>35920.639999999999</v>
      </c>
      <c r="HJ10" s="101"/>
      <c r="HK10" s="15">
        <v>3</v>
      </c>
      <c r="HL10" s="330">
        <v>883.1</v>
      </c>
      <c r="HM10" s="398">
        <v>44161</v>
      </c>
      <c r="HN10" s="330">
        <v>883.1</v>
      </c>
      <c r="HO10" s="465" t="s">
        <v>432</v>
      </c>
      <c r="HP10" s="316">
        <v>38</v>
      </c>
      <c r="HQ10" s="388">
        <f t="shared" si="24"/>
        <v>33557.800000000003</v>
      </c>
      <c r="HT10" s="114"/>
      <c r="HU10" s="15">
        <v>3</v>
      </c>
      <c r="HV10" s="74">
        <v>910.4</v>
      </c>
      <c r="HW10" s="412">
        <v>44162</v>
      </c>
      <c r="HX10" s="74">
        <v>910.4</v>
      </c>
      <c r="HY10" s="75" t="s">
        <v>454</v>
      </c>
      <c r="HZ10" s="76">
        <v>38</v>
      </c>
      <c r="IA10" s="870">
        <f t="shared" si="25"/>
        <v>34595.199999999997</v>
      </c>
      <c r="ID10" s="101"/>
      <c r="IE10" s="15">
        <v>3</v>
      </c>
      <c r="IF10" s="330">
        <v>899.5</v>
      </c>
      <c r="IG10" s="359">
        <v>44162</v>
      </c>
      <c r="IH10" s="330">
        <v>899.5</v>
      </c>
      <c r="II10" s="675" t="s">
        <v>437</v>
      </c>
      <c r="IJ10" s="316">
        <v>38</v>
      </c>
      <c r="IK10" s="388">
        <f t="shared" si="26"/>
        <v>34181</v>
      </c>
      <c r="IL10" s="99"/>
      <c r="IM10" s="74"/>
      <c r="IN10" s="101"/>
      <c r="IO10" s="15">
        <v>3</v>
      </c>
      <c r="IP10" s="99">
        <v>879.5</v>
      </c>
      <c r="IQ10" s="412">
        <v>44166</v>
      </c>
      <c r="IR10" s="99">
        <v>879.5</v>
      </c>
      <c r="IS10" s="75" t="s">
        <v>452</v>
      </c>
      <c r="IT10" s="76">
        <v>38</v>
      </c>
      <c r="IU10" s="870">
        <f t="shared" si="27"/>
        <v>33421</v>
      </c>
      <c r="IV10" s="74"/>
      <c r="IX10" s="101"/>
      <c r="IY10" s="15">
        <v>3</v>
      </c>
      <c r="IZ10" s="99">
        <v>843.08</v>
      </c>
      <c r="JA10" s="392">
        <v>44167</v>
      </c>
      <c r="JB10" s="99">
        <v>843.08</v>
      </c>
      <c r="JC10" s="75" t="s">
        <v>478</v>
      </c>
      <c r="JD10" s="76">
        <v>38</v>
      </c>
      <c r="JE10" s="870">
        <f t="shared" si="28"/>
        <v>32037.040000000001</v>
      </c>
      <c r="JH10" s="101"/>
      <c r="JI10" s="15">
        <v>3</v>
      </c>
      <c r="JJ10" s="74">
        <v>897.51</v>
      </c>
      <c r="JK10" s="412">
        <v>44167</v>
      </c>
      <c r="JL10" s="74">
        <v>897.51</v>
      </c>
      <c r="JM10" s="75" t="s">
        <v>476</v>
      </c>
      <c r="JN10" s="76">
        <v>38</v>
      </c>
      <c r="JO10" s="870">
        <f t="shared" si="29"/>
        <v>34105.379999999997</v>
      </c>
      <c r="JR10" s="101"/>
      <c r="JS10" s="15">
        <v>3</v>
      </c>
      <c r="JT10" s="99">
        <v>886.8</v>
      </c>
      <c r="JU10" s="392">
        <v>44168</v>
      </c>
      <c r="JV10" s="99">
        <v>886.8</v>
      </c>
      <c r="JW10" s="102" t="s">
        <v>482</v>
      </c>
      <c r="JX10" s="76">
        <v>39</v>
      </c>
      <c r="JY10" s="870">
        <f t="shared" si="30"/>
        <v>34585.199999999997</v>
      </c>
      <c r="KB10" s="101"/>
      <c r="KC10" s="15">
        <v>3</v>
      </c>
      <c r="KD10" s="99">
        <v>935.8</v>
      </c>
      <c r="KE10" s="392">
        <v>44168</v>
      </c>
      <c r="KF10" s="99">
        <v>935.8</v>
      </c>
      <c r="KG10" s="102" t="s">
        <v>483</v>
      </c>
      <c r="KH10" s="76">
        <v>39</v>
      </c>
      <c r="KI10" s="870">
        <f t="shared" si="31"/>
        <v>36496.199999999997</v>
      </c>
      <c r="KL10" s="101"/>
      <c r="KM10" s="15">
        <v>3</v>
      </c>
      <c r="KN10" s="99">
        <v>967.05</v>
      </c>
      <c r="KO10" s="392">
        <v>44169</v>
      </c>
      <c r="KP10" s="99">
        <v>967.05</v>
      </c>
      <c r="KQ10" s="102" t="s">
        <v>495</v>
      </c>
      <c r="KR10" s="76">
        <v>39</v>
      </c>
      <c r="KS10" s="870">
        <f t="shared" si="32"/>
        <v>37714.949999999997</v>
      </c>
      <c r="KV10" s="101"/>
      <c r="KW10" s="15">
        <v>3</v>
      </c>
      <c r="KX10" s="99">
        <v>880.4</v>
      </c>
      <c r="KY10" s="392">
        <v>44169</v>
      </c>
      <c r="KZ10" s="99">
        <v>880.4</v>
      </c>
      <c r="LA10" s="102" t="s">
        <v>487</v>
      </c>
      <c r="LB10" s="76">
        <v>39</v>
      </c>
      <c r="LC10" s="870">
        <f t="shared" si="33"/>
        <v>34335.599999999999</v>
      </c>
      <c r="LF10" s="101"/>
      <c r="LG10" s="15">
        <v>3</v>
      </c>
      <c r="LH10" s="99">
        <v>874.1</v>
      </c>
      <c r="LI10" s="392">
        <v>44169</v>
      </c>
      <c r="LJ10" s="99">
        <v>874.1</v>
      </c>
      <c r="LK10" s="102" t="s">
        <v>492</v>
      </c>
      <c r="LL10" s="76">
        <v>39</v>
      </c>
      <c r="LM10" s="870">
        <f t="shared" si="34"/>
        <v>34089.9</v>
      </c>
      <c r="LP10" s="101"/>
      <c r="LQ10" s="15">
        <v>3</v>
      </c>
      <c r="LR10" s="472"/>
      <c r="LS10" s="392"/>
      <c r="LT10" s="472"/>
      <c r="LU10" s="102"/>
      <c r="LV10" s="76"/>
      <c r="LY10" s="101"/>
      <c r="LZ10" s="15">
        <v>3</v>
      </c>
      <c r="MA10" s="472"/>
      <c r="MB10" s="392"/>
      <c r="MC10" s="472"/>
      <c r="MD10" s="102"/>
      <c r="ME10" s="76"/>
      <c r="MH10" s="101"/>
      <c r="MI10" s="15">
        <v>3</v>
      </c>
      <c r="MJ10" s="99"/>
      <c r="MK10" s="392"/>
      <c r="ML10" s="99"/>
      <c r="MM10" s="102"/>
      <c r="MN10" s="76"/>
      <c r="MQ10" s="101"/>
      <c r="MR10" s="15">
        <v>3</v>
      </c>
      <c r="MS10" s="472"/>
      <c r="MT10" s="392"/>
      <c r="MU10" s="472"/>
      <c r="MV10" s="102"/>
      <c r="MW10" s="76"/>
      <c r="MZ10" s="101"/>
      <c r="NA10" s="15">
        <v>3</v>
      </c>
      <c r="NB10" s="99"/>
      <c r="NC10" s="392"/>
      <c r="ND10" s="99"/>
      <c r="NE10" s="102"/>
      <c r="NF10" s="76"/>
      <c r="NI10" s="101"/>
      <c r="NJ10" s="15">
        <v>3</v>
      </c>
      <c r="NK10" s="99"/>
      <c r="NL10" s="392"/>
      <c r="NM10" s="99"/>
      <c r="NN10" s="102"/>
      <c r="NO10" s="76"/>
      <c r="NR10" s="101"/>
      <c r="NS10" s="15">
        <v>3</v>
      </c>
      <c r="NT10" s="99"/>
      <c r="NU10" s="392"/>
      <c r="NV10" s="99"/>
      <c r="NW10" s="102"/>
      <c r="NX10" s="76"/>
      <c r="OA10" s="101"/>
      <c r="OB10" s="15">
        <v>3</v>
      </c>
      <c r="OC10" s="99"/>
      <c r="OD10" s="392"/>
      <c r="OE10" s="99"/>
      <c r="OF10" s="102"/>
      <c r="OG10" s="76"/>
      <c r="OJ10" s="101"/>
      <c r="OK10" s="15">
        <v>3</v>
      </c>
      <c r="OL10" s="330"/>
      <c r="OM10" s="398"/>
      <c r="ON10" s="330"/>
      <c r="OO10" s="384"/>
      <c r="OP10" s="316"/>
      <c r="OS10" s="101"/>
      <c r="OT10" s="15">
        <v>3</v>
      </c>
      <c r="OU10" s="99"/>
      <c r="OV10" s="392"/>
      <c r="OW10" s="99"/>
      <c r="OX10" s="102"/>
      <c r="OY10" s="76"/>
      <c r="PB10" s="114"/>
      <c r="PC10" s="15">
        <v>3</v>
      </c>
      <c r="PD10" s="99"/>
      <c r="PE10" s="392"/>
      <c r="PF10" s="99"/>
      <c r="PG10" s="102"/>
      <c r="PH10" s="76"/>
      <c r="PK10" s="114"/>
      <c r="PL10" s="15">
        <v>3</v>
      </c>
      <c r="PM10" s="99"/>
      <c r="PN10" s="148"/>
      <c r="PO10" s="99"/>
      <c r="PP10" s="102"/>
      <c r="PQ10" s="76"/>
      <c r="PT10" s="114"/>
      <c r="PU10" s="15">
        <v>3</v>
      </c>
      <c r="PV10" s="99"/>
      <c r="PW10" s="392"/>
      <c r="PX10" s="99"/>
      <c r="PY10" s="102"/>
      <c r="PZ10" s="76"/>
      <c r="QC10" s="114"/>
      <c r="QD10" s="15">
        <v>3</v>
      </c>
      <c r="QE10" s="99"/>
      <c r="QF10" s="392"/>
      <c r="QG10" s="99"/>
      <c r="QH10" s="102"/>
      <c r="QI10" s="76"/>
      <c r="QL10" s="114"/>
      <c r="QM10" s="15">
        <v>3</v>
      </c>
      <c r="QN10" s="99"/>
      <c r="QO10" s="392"/>
      <c r="QP10" s="99"/>
      <c r="QQ10" s="102"/>
      <c r="QR10" s="76"/>
      <c r="QU10" s="114"/>
      <c r="QV10" s="15">
        <v>3</v>
      </c>
      <c r="QW10" s="99"/>
      <c r="QX10" s="392"/>
      <c r="QY10" s="99"/>
      <c r="QZ10" s="102"/>
      <c r="RA10" s="76"/>
      <c r="RD10" s="114"/>
      <c r="RE10" s="15">
        <v>3</v>
      </c>
      <c r="RF10" s="99"/>
      <c r="RG10" s="148"/>
      <c r="RH10" s="99"/>
      <c r="RI10" s="102"/>
      <c r="RJ10" s="76"/>
      <c r="RM10" s="114"/>
      <c r="RN10" s="15">
        <v>3</v>
      </c>
      <c r="RO10" s="99"/>
      <c r="RP10" s="86"/>
      <c r="RQ10" s="99"/>
      <c r="RR10" s="102"/>
      <c r="RS10" s="76"/>
      <c r="RV10" s="114"/>
      <c r="RW10" s="15">
        <v>3</v>
      </c>
      <c r="RX10" s="99"/>
      <c r="RY10" s="86"/>
      <c r="RZ10" s="99"/>
      <c r="SA10" s="102"/>
      <c r="SB10" s="76"/>
      <c r="SE10" s="114"/>
      <c r="SF10" s="15"/>
      <c r="SG10" s="99"/>
      <c r="SH10" s="86"/>
      <c r="SI10" s="99"/>
      <c r="SJ10" s="102"/>
      <c r="SK10" s="76"/>
      <c r="SN10" s="114"/>
      <c r="SO10" s="15">
        <v>3</v>
      </c>
      <c r="SP10" s="99"/>
      <c r="SQ10" s="471"/>
      <c r="SR10" s="206"/>
      <c r="SS10" s="463"/>
      <c r="ST10" s="462"/>
      <c r="SW10" s="114"/>
      <c r="SX10" s="15">
        <v>3</v>
      </c>
      <c r="SY10" s="99"/>
      <c r="SZ10" s="86"/>
      <c r="TA10" s="99"/>
      <c r="TB10" s="102"/>
      <c r="TC10" s="76"/>
      <c r="TF10" s="114"/>
      <c r="TG10" s="15">
        <v>3</v>
      </c>
      <c r="TH10" s="99"/>
      <c r="TI10" s="86"/>
      <c r="TJ10" s="99"/>
      <c r="TK10" s="102"/>
      <c r="TL10" s="76"/>
      <c r="TO10" s="114"/>
      <c r="TP10" s="15">
        <v>3</v>
      </c>
      <c r="TQ10" s="99"/>
      <c r="TR10" s="86"/>
      <c r="TS10" s="99"/>
      <c r="TT10" s="102"/>
      <c r="TU10" s="76"/>
      <c r="TX10" s="114"/>
      <c r="TY10" s="15">
        <v>3</v>
      </c>
      <c r="TZ10" s="99"/>
      <c r="UA10" s="86"/>
      <c r="UB10" s="99"/>
      <c r="UC10" s="102"/>
      <c r="UD10" s="76"/>
      <c r="UG10" s="114"/>
      <c r="UH10" s="15">
        <v>3</v>
      </c>
      <c r="UI10" s="99"/>
      <c r="UJ10" s="86"/>
      <c r="UK10" s="99"/>
      <c r="UL10" s="102"/>
      <c r="UM10" s="76"/>
      <c r="UP10" s="114"/>
      <c r="UQ10" s="15">
        <v>3</v>
      </c>
      <c r="UR10" s="99"/>
      <c r="US10" s="86"/>
      <c r="UT10" s="99"/>
      <c r="UU10" s="102"/>
      <c r="UV10" s="76"/>
      <c r="UY10" s="114"/>
      <c r="UZ10" s="15">
        <v>3</v>
      </c>
      <c r="VA10" s="99"/>
      <c r="VB10" s="86"/>
      <c r="VC10" s="99"/>
      <c r="VD10" s="102"/>
      <c r="VE10" s="76"/>
      <c r="VH10" s="114"/>
      <c r="VI10" s="15">
        <v>3</v>
      </c>
      <c r="VJ10" s="99"/>
      <c r="VK10" s="86"/>
      <c r="VL10" s="99"/>
      <c r="VM10" s="102"/>
      <c r="VN10" s="76"/>
      <c r="VQ10" s="114"/>
      <c r="VR10" s="15">
        <v>3</v>
      </c>
      <c r="VS10" s="99"/>
      <c r="VT10" s="86"/>
      <c r="VU10" s="99"/>
      <c r="VV10" s="102"/>
      <c r="VW10" s="76"/>
      <c r="VZ10" s="114"/>
      <c r="WA10" s="15">
        <v>3</v>
      </c>
      <c r="WB10" s="99"/>
      <c r="WC10" s="86"/>
      <c r="WD10" s="99"/>
      <c r="WE10" s="102"/>
      <c r="WF10" s="76"/>
      <c r="WI10" s="114"/>
      <c r="WJ10" s="15">
        <v>3</v>
      </c>
      <c r="WK10" s="99"/>
      <c r="WL10" s="86"/>
      <c r="WM10" s="99"/>
      <c r="WN10" s="102"/>
      <c r="WO10" s="76"/>
      <c r="WR10" s="114"/>
      <c r="WS10" s="15">
        <v>3</v>
      </c>
      <c r="WT10" s="99"/>
      <c r="WU10" s="86"/>
      <c r="WV10" s="99"/>
      <c r="WW10" s="102"/>
      <c r="WX10" s="76"/>
      <c r="XA10" s="114"/>
      <c r="XB10" s="15">
        <v>3</v>
      </c>
      <c r="XC10" s="99"/>
      <c r="XD10" s="86"/>
      <c r="XE10" s="99"/>
      <c r="XF10" s="102"/>
      <c r="XG10" s="76"/>
      <c r="XJ10" s="114"/>
      <c r="XK10" s="15">
        <v>3</v>
      </c>
      <c r="XL10" s="99"/>
      <c r="XM10" s="86"/>
      <c r="XN10" s="99"/>
      <c r="XO10" s="102"/>
      <c r="XP10" s="76"/>
      <c r="XS10" s="114"/>
      <c r="XT10" s="15">
        <v>3</v>
      </c>
      <c r="XU10" s="99"/>
      <c r="XV10" s="86"/>
      <c r="XW10" s="99"/>
      <c r="XX10" s="102"/>
      <c r="XY10" s="76"/>
      <c r="YB10" s="114"/>
      <c r="YC10" s="15">
        <v>3</v>
      </c>
      <c r="YD10" s="99"/>
      <c r="YE10" s="86"/>
      <c r="YF10" s="99"/>
      <c r="YG10" s="102"/>
      <c r="YH10" s="76"/>
      <c r="YK10" s="114"/>
      <c r="YL10" s="15">
        <v>3</v>
      </c>
      <c r="YM10" s="99"/>
      <c r="YN10" s="86"/>
      <c r="YO10" s="99"/>
      <c r="YP10" s="102"/>
      <c r="YQ10" s="76"/>
      <c r="YT10" s="114"/>
      <c r="YU10" s="15">
        <v>3</v>
      </c>
      <c r="YV10" s="99"/>
      <c r="YW10" s="86"/>
      <c r="YX10" s="99"/>
      <c r="YY10" s="102"/>
      <c r="YZ10" s="76"/>
      <c r="ZC10" s="114"/>
      <c r="ZD10" s="15">
        <v>3</v>
      </c>
      <c r="ZE10" s="99"/>
      <c r="ZF10" s="86"/>
      <c r="ZG10" s="99"/>
      <c r="ZH10" s="102"/>
      <c r="ZI10" s="76"/>
      <c r="ZL10" s="114"/>
      <c r="ZM10" s="15">
        <v>3</v>
      </c>
      <c r="ZN10" s="99"/>
      <c r="ZO10" s="86"/>
      <c r="ZP10" s="99"/>
      <c r="ZQ10" s="102"/>
      <c r="ZR10" s="76"/>
      <c r="ZU10" s="114"/>
      <c r="ZV10" s="15">
        <v>3</v>
      </c>
      <c r="ZW10" s="99"/>
      <c r="ZX10" s="86"/>
      <c r="ZY10" s="99"/>
      <c r="ZZ10" s="102"/>
      <c r="AAA10" s="76"/>
      <c r="AAD10" s="114"/>
      <c r="AAE10" s="15">
        <v>3</v>
      </c>
      <c r="AAF10" s="99"/>
      <c r="AAG10" s="86"/>
      <c r="AAH10" s="99"/>
      <c r="AAI10" s="102"/>
      <c r="AAJ10" s="76"/>
      <c r="AAM10" s="114"/>
      <c r="AAN10" s="15">
        <v>3</v>
      </c>
      <c r="AAO10" s="99"/>
      <c r="AAP10" s="86"/>
      <c r="AAQ10" s="99"/>
      <c r="AAR10" s="102"/>
      <c r="AAS10" s="76"/>
      <c r="AAV10" s="114"/>
      <c r="AAW10" s="15">
        <v>3</v>
      </c>
      <c r="AAX10" s="99"/>
      <c r="AAY10" s="86"/>
      <c r="AAZ10" s="99"/>
      <c r="ABA10" s="102"/>
      <c r="ABB10" s="76"/>
      <c r="ABE10" s="114"/>
      <c r="ABF10" s="15">
        <v>3</v>
      </c>
      <c r="ABG10" s="99"/>
      <c r="ABH10" s="86"/>
      <c r="ABI10" s="99"/>
      <c r="ABJ10" s="102"/>
      <c r="ABK10" s="76"/>
      <c r="ABN10" s="114"/>
      <c r="ABO10" s="15">
        <v>3</v>
      </c>
      <c r="ABP10" s="99"/>
      <c r="ABQ10" s="86"/>
      <c r="ABR10" s="99"/>
      <c r="ABS10" s="102"/>
      <c r="ABT10" s="76"/>
      <c r="ABW10" s="114"/>
      <c r="ABX10" s="15">
        <v>3</v>
      </c>
      <c r="ABY10" s="99"/>
      <c r="ABZ10" s="86"/>
      <c r="ACA10" s="99"/>
      <c r="ACB10" s="102"/>
      <c r="ACC10" s="76"/>
      <c r="ACF10" s="114"/>
      <c r="ACG10" s="15">
        <v>3</v>
      </c>
      <c r="ACH10" s="99"/>
      <c r="ACI10" s="86"/>
      <c r="ACJ10" s="99"/>
      <c r="ACK10" s="102"/>
      <c r="ACL10" s="76"/>
      <c r="ACO10" s="101"/>
      <c r="ACP10" s="15">
        <v>3</v>
      </c>
      <c r="ACQ10" s="99"/>
      <c r="ACR10" s="86"/>
      <c r="ACS10" s="99"/>
      <c r="ACT10" s="102"/>
      <c r="ACU10" s="76"/>
      <c r="ACX10" s="114"/>
      <c r="ACY10" s="15">
        <v>3</v>
      </c>
      <c r="ACZ10" s="99"/>
      <c r="ADA10" s="86"/>
      <c r="ADB10" s="99"/>
      <c r="ADC10" s="102"/>
      <c r="ADD10" s="76"/>
      <c r="ADG10" s="114"/>
      <c r="ADH10" s="15">
        <v>3</v>
      </c>
      <c r="ADI10" s="99"/>
      <c r="ADJ10" s="86"/>
      <c r="ADK10" s="99"/>
      <c r="ADL10" s="102"/>
      <c r="ADM10" s="76"/>
      <c r="ADP10" s="114"/>
      <c r="ADQ10" s="15">
        <v>3</v>
      </c>
      <c r="ADR10" s="99"/>
      <c r="ADS10" s="86"/>
      <c r="ADT10" s="99"/>
      <c r="ADU10" s="102"/>
      <c r="ADV10" s="76"/>
      <c r="ADY10" s="114"/>
      <c r="ADZ10" s="15">
        <v>3</v>
      </c>
      <c r="AEA10" s="99"/>
      <c r="AEB10" s="86"/>
      <c r="AEC10" s="99"/>
      <c r="AED10" s="102"/>
      <c r="AEE10" s="76"/>
    </row>
    <row r="11" spans="1:811" x14ac:dyDescent="0.3">
      <c r="A11" s="150">
        <v>8</v>
      </c>
      <c r="B11" s="82" t="str">
        <f t="shared" ref="B11:I11" si="36">BY5</f>
        <v>SEABOARD FOODS</v>
      </c>
      <c r="C11" s="82" t="str">
        <f t="shared" si="36"/>
        <v>Seaboard</v>
      </c>
      <c r="D11" s="110" t="str">
        <f t="shared" si="36"/>
        <v>PED. 57442217</v>
      </c>
      <c r="E11" s="148">
        <f t="shared" si="36"/>
        <v>44145</v>
      </c>
      <c r="F11" s="93">
        <f t="shared" si="36"/>
        <v>18910.12</v>
      </c>
      <c r="G11" s="79">
        <f t="shared" si="36"/>
        <v>21</v>
      </c>
      <c r="H11" s="49">
        <f t="shared" si="36"/>
        <v>18922.400000000001</v>
      </c>
      <c r="I11" s="113">
        <f t="shared" si="36"/>
        <v>-12.280000000002474</v>
      </c>
      <c r="K11" s="66"/>
      <c r="L11" s="114"/>
      <c r="M11" s="15">
        <v>4</v>
      </c>
      <c r="N11" s="330">
        <v>789.12</v>
      </c>
      <c r="O11" s="398">
        <v>44139</v>
      </c>
      <c r="P11" s="330">
        <v>789.12</v>
      </c>
      <c r="Q11" s="384" t="s">
        <v>322</v>
      </c>
      <c r="R11" s="316">
        <v>44</v>
      </c>
      <c r="S11" s="316">
        <f t="shared" si="6"/>
        <v>34721.279999999999</v>
      </c>
      <c r="T11" s="288"/>
      <c r="U11" s="66"/>
      <c r="V11" s="114"/>
      <c r="W11" s="15">
        <v>4</v>
      </c>
      <c r="X11" s="330">
        <v>887.7</v>
      </c>
      <c r="Y11" s="398">
        <v>44140</v>
      </c>
      <c r="Z11" s="330">
        <v>887.7</v>
      </c>
      <c r="AA11" s="465" t="s">
        <v>333</v>
      </c>
      <c r="AB11" s="316">
        <v>45</v>
      </c>
      <c r="AC11" s="388">
        <f t="shared" si="7"/>
        <v>39946.5</v>
      </c>
      <c r="AE11" s="66"/>
      <c r="AF11" s="114"/>
      <c r="AG11" s="15">
        <v>4</v>
      </c>
      <c r="AH11" s="99">
        <v>909.4</v>
      </c>
      <c r="AI11" s="392">
        <v>44140</v>
      </c>
      <c r="AJ11" s="99">
        <v>909.4</v>
      </c>
      <c r="AK11" s="102" t="s">
        <v>329</v>
      </c>
      <c r="AL11" s="76">
        <v>45</v>
      </c>
      <c r="AM11" s="894">
        <f t="shared" si="8"/>
        <v>40923</v>
      </c>
      <c r="AO11" s="66"/>
      <c r="AP11" s="114"/>
      <c r="AQ11" s="15">
        <v>4</v>
      </c>
      <c r="AR11" s="385">
        <v>887.2</v>
      </c>
      <c r="AS11" s="398">
        <v>44141</v>
      </c>
      <c r="AT11" s="385">
        <v>887.2</v>
      </c>
      <c r="AU11" s="918" t="s">
        <v>346</v>
      </c>
      <c r="AV11" s="316">
        <v>45</v>
      </c>
      <c r="AX11" s="66"/>
      <c r="AY11" s="114"/>
      <c r="AZ11" s="15">
        <v>4</v>
      </c>
      <c r="BA11" s="99">
        <v>867.7</v>
      </c>
      <c r="BB11" s="148">
        <v>44141</v>
      </c>
      <c r="BC11" s="99">
        <v>867.7</v>
      </c>
      <c r="BD11" s="102" t="s">
        <v>343</v>
      </c>
      <c r="BE11" s="459">
        <v>45</v>
      </c>
      <c r="BG11" s="66"/>
      <c r="BH11" s="114"/>
      <c r="BI11" s="15">
        <v>4</v>
      </c>
      <c r="BJ11" s="99">
        <v>920.3</v>
      </c>
      <c r="BK11" s="148">
        <v>44141</v>
      </c>
      <c r="BL11" s="99">
        <v>920.3</v>
      </c>
      <c r="BM11" s="102" t="s">
        <v>347</v>
      </c>
      <c r="BN11" s="459">
        <v>45</v>
      </c>
      <c r="BP11" s="66"/>
      <c r="BQ11" s="114"/>
      <c r="BR11" s="15">
        <v>4</v>
      </c>
      <c r="BS11" s="99">
        <v>879.82</v>
      </c>
      <c r="BT11" s="460">
        <v>44145</v>
      </c>
      <c r="BU11" s="99">
        <v>879.82</v>
      </c>
      <c r="BV11" s="461" t="s">
        <v>356</v>
      </c>
      <c r="BW11" s="462">
        <v>45</v>
      </c>
      <c r="BX11" s="870">
        <f t="shared" si="9"/>
        <v>39591.9</v>
      </c>
      <c r="BY11" s="66"/>
      <c r="BZ11" s="114"/>
      <c r="CA11" s="15">
        <v>4</v>
      </c>
      <c r="CB11" s="99">
        <v>889.5</v>
      </c>
      <c r="CC11" s="460">
        <v>44146</v>
      </c>
      <c r="CD11" s="99">
        <v>889.5</v>
      </c>
      <c r="CE11" s="463" t="s">
        <v>362</v>
      </c>
      <c r="CF11" s="462">
        <v>45</v>
      </c>
      <c r="CG11" s="870">
        <f t="shared" si="10"/>
        <v>40027.5</v>
      </c>
      <c r="CI11" s="66"/>
      <c r="CJ11" s="114"/>
      <c r="CK11" s="15">
        <v>4</v>
      </c>
      <c r="CL11" s="99">
        <v>928.95</v>
      </c>
      <c r="CM11" s="460">
        <v>44147</v>
      </c>
      <c r="CN11" s="99">
        <v>928.95</v>
      </c>
      <c r="CO11" s="463" t="s">
        <v>366</v>
      </c>
      <c r="CP11" s="462">
        <v>45</v>
      </c>
      <c r="CQ11" s="925">
        <f t="shared" si="11"/>
        <v>41802.75</v>
      </c>
      <c r="CS11" s="66"/>
      <c r="CT11" s="114"/>
      <c r="CU11" s="15">
        <v>4</v>
      </c>
      <c r="CV11" s="99">
        <v>908.5</v>
      </c>
      <c r="CW11" s="392">
        <v>44148</v>
      </c>
      <c r="CX11" s="99">
        <v>908.5</v>
      </c>
      <c r="CY11" s="102" t="s">
        <v>371</v>
      </c>
      <c r="CZ11" s="76">
        <v>45</v>
      </c>
      <c r="DA11" s="870">
        <f t="shared" si="12"/>
        <v>40882.5</v>
      </c>
      <c r="DC11" s="66"/>
      <c r="DD11" s="114"/>
      <c r="DE11" s="15">
        <v>4</v>
      </c>
      <c r="DF11" s="99">
        <v>918.5</v>
      </c>
      <c r="DG11" s="460">
        <v>44148</v>
      </c>
      <c r="DH11" s="99">
        <v>918.5</v>
      </c>
      <c r="DI11" s="463" t="s">
        <v>373</v>
      </c>
      <c r="DJ11" s="462">
        <v>45</v>
      </c>
      <c r="DK11" s="925">
        <f t="shared" si="13"/>
        <v>41332.5</v>
      </c>
      <c r="DM11" s="66"/>
      <c r="DN11" s="114"/>
      <c r="DO11" s="15">
        <v>4</v>
      </c>
      <c r="DP11" s="99">
        <v>910.4</v>
      </c>
      <c r="DQ11" s="460">
        <v>44150</v>
      </c>
      <c r="DR11" s="99">
        <v>910.4</v>
      </c>
      <c r="DS11" s="463" t="s">
        <v>378</v>
      </c>
      <c r="DT11" s="462">
        <v>45</v>
      </c>
      <c r="DU11" s="870">
        <f t="shared" si="14"/>
        <v>40968</v>
      </c>
      <c r="DW11" s="66"/>
      <c r="DX11" s="114"/>
      <c r="DY11" s="15">
        <v>4</v>
      </c>
      <c r="DZ11" s="74">
        <v>852.61</v>
      </c>
      <c r="EA11" s="412">
        <v>44150</v>
      </c>
      <c r="EB11" s="74">
        <v>852.61</v>
      </c>
      <c r="EC11" s="75" t="s">
        <v>386</v>
      </c>
      <c r="ED11" s="76">
        <v>44</v>
      </c>
      <c r="EE11" s="870">
        <f t="shared" si="15"/>
        <v>37514.840000000004</v>
      </c>
      <c r="EG11" s="66"/>
      <c r="EH11" s="114"/>
      <c r="EI11" s="15">
        <v>4</v>
      </c>
      <c r="EJ11" s="74">
        <v>896.7</v>
      </c>
      <c r="EK11" s="412">
        <v>44154</v>
      </c>
      <c r="EL11" s="74">
        <v>896.7</v>
      </c>
      <c r="EM11" s="315" t="s">
        <v>400</v>
      </c>
      <c r="EN11" s="76">
        <v>42</v>
      </c>
      <c r="EO11" s="870">
        <f t="shared" si="16"/>
        <v>37661.4</v>
      </c>
      <c r="EQ11" s="66"/>
      <c r="ER11" s="529"/>
      <c r="ES11" s="15">
        <v>4</v>
      </c>
      <c r="ET11" s="330">
        <v>918.5</v>
      </c>
      <c r="EU11" s="398">
        <v>44154</v>
      </c>
      <c r="EV11" s="330">
        <v>918.5</v>
      </c>
      <c r="EW11" s="315" t="s">
        <v>398</v>
      </c>
      <c r="EX11" s="316">
        <v>42</v>
      </c>
      <c r="EY11" s="388">
        <f t="shared" si="17"/>
        <v>38577</v>
      </c>
      <c r="FA11" s="66"/>
      <c r="FB11" s="114"/>
      <c r="FC11" s="15">
        <v>4</v>
      </c>
      <c r="FD11" s="99">
        <v>851.4</v>
      </c>
      <c r="FE11" s="392">
        <v>44154</v>
      </c>
      <c r="FF11" s="99">
        <v>851.4</v>
      </c>
      <c r="FG11" s="75" t="s">
        <v>404</v>
      </c>
      <c r="FH11" s="76">
        <v>42</v>
      </c>
      <c r="FI11" s="870">
        <f t="shared" si="18"/>
        <v>35758.799999999996</v>
      </c>
      <c r="FK11" s="66"/>
      <c r="FL11" s="114"/>
      <c r="FM11" s="15">
        <v>4</v>
      </c>
      <c r="FN11" s="99">
        <v>923.1</v>
      </c>
      <c r="FO11" s="392">
        <v>44156</v>
      </c>
      <c r="FP11" s="99">
        <v>923.1</v>
      </c>
      <c r="FQ11" s="75" t="s">
        <v>414</v>
      </c>
      <c r="FR11" s="76">
        <v>42</v>
      </c>
      <c r="FS11" s="870">
        <f t="shared" si="19"/>
        <v>38770.200000000004</v>
      </c>
      <c r="FU11" s="66"/>
      <c r="FV11" s="114"/>
      <c r="FW11" s="15">
        <v>4</v>
      </c>
      <c r="FX11" s="314">
        <v>894</v>
      </c>
      <c r="FY11" s="657">
        <v>44156</v>
      </c>
      <c r="FZ11" s="314">
        <v>894</v>
      </c>
      <c r="GA11" s="315" t="s">
        <v>411</v>
      </c>
      <c r="GB11" s="316">
        <v>42</v>
      </c>
      <c r="GC11" s="388">
        <f t="shared" si="20"/>
        <v>37548</v>
      </c>
      <c r="GE11" s="66"/>
      <c r="GF11" s="114"/>
      <c r="GG11" s="15">
        <v>4</v>
      </c>
      <c r="GH11" s="632">
        <v>897.7</v>
      </c>
      <c r="GI11" s="392">
        <v>44159</v>
      </c>
      <c r="GJ11" s="632">
        <v>897.7</v>
      </c>
      <c r="GK11" s="102" t="s">
        <v>418</v>
      </c>
      <c r="GL11" s="76">
        <v>38</v>
      </c>
      <c r="GM11" s="870">
        <f t="shared" si="21"/>
        <v>34112.6</v>
      </c>
      <c r="GO11" s="66"/>
      <c r="GP11" s="114"/>
      <c r="GQ11" s="15">
        <v>4</v>
      </c>
      <c r="GR11" s="99">
        <v>941.04</v>
      </c>
      <c r="GS11" s="392">
        <v>44159</v>
      </c>
      <c r="GT11" s="99">
        <v>941.04</v>
      </c>
      <c r="GU11" s="102" t="s">
        <v>420</v>
      </c>
      <c r="GV11" s="76">
        <v>38</v>
      </c>
      <c r="GW11" s="870">
        <f t="shared" si="22"/>
        <v>35759.519999999997</v>
      </c>
      <c r="GY11" s="66"/>
      <c r="GZ11" s="114"/>
      <c r="HA11" s="15">
        <v>4</v>
      </c>
      <c r="HB11" s="99">
        <v>959.8</v>
      </c>
      <c r="HC11" s="392">
        <v>44160</v>
      </c>
      <c r="HD11" s="99">
        <v>959.8</v>
      </c>
      <c r="HE11" s="102" t="s">
        <v>428</v>
      </c>
      <c r="HF11" s="76">
        <v>38</v>
      </c>
      <c r="HG11" s="870">
        <f t="shared" si="23"/>
        <v>36472.400000000001</v>
      </c>
      <c r="HI11" s="66"/>
      <c r="HJ11" s="114"/>
      <c r="HK11" s="15">
        <v>4</v>
      </c>
      <c r="HL11" s="330">
        <v>788.8</v>
      </c>
      <c r="HM11" s="398">
        <v>44161</v>
      </c>
      <c r="HN11" s="330">
        <v>788.8</v>
      </c>
      <c r="HO11" s="465" t="s">
        <v>432</v>
      </c>
      <c r="HP11" s="316">
        <v>38</v>
      </c>
      <c r="HQ11" s="388">
        <f t="shared" si="24"/>
        <v>29974.399999999998</v>
      </c>
      <c r="HS11" s="66"/>
      <c r="HT11" s="114"/>
      <c r="HU11" s="15">
        <v>4</v>
      </c>
      <c r="HV11" s="74">
        <v>903.1</v>
      </c>
      <c r="HW11" s="412">
        <v>44162</v>
      </c>
      <c r="HX11" s="74">
        <v>903.1</v>
      </c>
      <c r="HY11" s="75" t="s">
        <v>454</v>
      </c>
      <c r="HZ11" s="76">
        <v>38</v>
      </c>
      <c r="IA11" s="870">
        <f t="shared" si="25"/>
        <v>34317.800000000003</v>
      </c>
      <c r="IC11" s="66"/>
      <c r="ID11" s="114"/>
      <c r="IE11" s="15">
        <v>4</v>
      </c>
      <c r="IF11" s="330">
        <v>929.4</v>
      </c>
      <c r="IG11" s="359">
        <v>44162</v>
      </c>
      <c r="IH11" s="330">
        <v>929.4</v>
      </c>
      <c r="II11" s="675" t="s">
        <v>437</v>
      </c>
      <c r="IJ11" s="316">
        <v>38</v>
      </c>
      <c r="IK11" s="388">
        <f t="shared" si="26"/>
        <v>35317.199999999997</v>
      </c>
      <c r="IL11" s="99"/>
      <c r="IM11" s="74"/>
      <c r="IN11" s="114"/>
      <c r="IO11" s="15">
        <v>4</v>
      </c>
      <c r="IP11" s="99">
        <v>896.7</v>
      </c>
      <c r="IQ11" s="412">
        <v>44166</v>
      </c>
      <c r="IR11" s="99">
        <v>896.7</v>
      </c>
      <c r="IS11" s="75" t="s">
        <v>452</v>
      </c>
      <c r="IT11" s="76">
        <v>38</v>
      </c>
      <c r="IU11" s="870">
        <f t="shared" si="27"/>
        <v>34074.6</v>
      </c>
      <c r="IV11" s="74"/>
      <c r="IW11" s="66"/>
      <c r="IX11" s="114"/>
      <c r="IY11" s="15">
        <v>4</v>
      </c>
      <c r="IZ11" s="99">
        <v>885.71</v>
      </c>
      <c r="JA11" s="392">
        <v>44167</v>
      </c>
      <c r="JB11" s="99">
        <v>885.71</v>
      </c>
      <c r="JC11" s="75" t="s">
        <v>478</v>
      </c>
      <c r="JD11" s="76">
        <v>38</v>
      </c>
      <c r="JE11" s="870">
        <f t="shared" si="28"/>
        <v>33656.980000000003</v>
      </c>
      <c r="JG11" s="66"/>
      <c r="JH11" s="114"/>
      <c r="JI11" s="15">
        <v>4</v>
      </c>
      <c r="JJ11" s="74">
        <v>849.89</v>
      </c>
      <c r="JK11" s="412">
        <v>44167</v>
      </c>
      <c r="JL11" s="74">
        <v>849.89</v>
      </c>
      <c r="JM11" s="75" t="s">
        <v>476</v>
      </c>
      <c r="JN11" s="76">
        <v>38</v>
      </c>
      <c r="JO11" s="870">
        <f t="shared" si="29"/>
        <v>32295.82</v>
      </c>
      <c r="JQ11" s="66"/>
      <c r="JR11" s="114"/>
      <c r="JS11" s="15">
        <v>4</v>
      </c>
      <c r="JT11" s="99">
        <v>891.8</v>
      </c>
      <c r="JU11" s="392">
        <v>44168</v>
      </c>
      <c r="JV11" s="99">
        <v>891.8</v>
      </c>
      <c r="JW11" s="102" t="s">
        <v>482</v>
      </c>
      <c r="JX11" s="76">
        <v>39</v>
      </c>
      <c r="JY11" s="870">
        <f t="shared" si="30"/>
        <v>34780.199999999997</v>
      </c>
      <c r="KA11" s="66"/>
      <c r="KB11" s="114"/>
      <c r="KC11" s="15">
        <v>4</v>
      </c>
      <c r="KD11" s="99">
        <v>916.7</v>
      </c>
      <c r="KE11" s="392">
        <v>44168</v>
      </c>
      <c r="KF11" s="99">
        <v>916.7</v>
      </c>
      <c r="KG11" s="102" t="s">
        <v>483</v>
      </c>
      <c r="KH11" s="76">
        <v>39</v>
      </c>
      <c r="KI11" s="870">
        <f t="shared" si="31"/>
        <v>35751.300000000003</v>
      </c>
      <c r="KK11" s="66"/>
      <c r="KL11" s="114"/>
      <c r="KM11" s="15">
        <v>4</v>
      </c>
      <c r="KN11" s="99">
        <v>922.6</v>
      </c>
      <c r="KO11" s="392">
        <v>44169</v>
      </c>
      <c r="KP11" s="99">
        <v>922.6</v>
      </c>
      <c r="KQ11" s="102" t="s">
        <v>495</v>
      </c>
      <c r="KR11" s="76">
        <v>39</v>
      </c>
      <c r="KS11" s="870">
        <f t="shared" si="32"/>
        <v>35981.4</v>
      </c>
      <c r="KU11" s="66"/>
      <c r="KV11" s="114"/>
      <c r="KW11" s="15">
        <v>4</v>
      </c>
      <c r="KX11" s="99">
        <v>904</v>
      </c>
      <c r="KY11" s="392">
        <v>44169</v>
      </c>
      <c r="KZ11" s="99">
        <v>904</v>
      </c>
      <c r="LA11" s="102" t="s">
        <v>487</v>
      </c>
      <c r="LB11" s="76">
        <v>39</v>
      </c>
      <c r="LC11" s="870">
        <f t="shared" si="33"/>
        <v>35256</v>
      </c>
      <c r="LE11" s="66"/>
      <c r="LF11" s="114"/>
      <c r="LG11" s="15">
        <v>4</v>
      </c>
      <c r="LH11" s="99">
        <v>900.4</v>
      </c>
      <c r="LI11" s="392">
        <v>44169</v>
      </c>
      <c r="LJ11" s="99">
        <v>900.4</v>
      </c>
      <c r="LK11" s="102" t="s">
        <v>492</v>
      </c>
      <c r="LL11" s="76">
        <v>39</v>
      </c>
      <c r="LM11" s="870">
        <f t="shared" si="34"/>
        <v>35115.599999999999</v>
      </c>
      <c r="LO11" s="66"/>
      <c r="LP11" s="114"/>
      <c r="LQ11" s="15">
        <v>4</v>
      </c>
      <c r="LR11" s="472"/>
      <c r="LS11" s="392"/>
      <c r="LT11" s="472"/>
      <c r="LU11" s="102"/>
      <c r="LV11" s="76"/>
      <c r="LX11" s="66"/>
      <c r="LY11" s="114"/>
      <c r="LZ11" s="15">
        <v>4</v>
      </c>
      <c r="MA11" s="472"/>
      <c r="MB11" s="392"/>
      <c r="MC11" s="472"/>
      <c r="MD11" s="102"/>
      <c r="ME11" s="76"/>
      <c r="MG11" s="66"/>
      <c r="MH11" s="114"/>
      <c r="MI11" s="15">
        <v>4</v>
      </c>
      <c r="MJ11" s="99"/>
      <c r="MK11" s="392"/>
      <c r="ML11" s="99"/>
      <c r="MM11" s="102"/>
      <c r="MN11" s="76"/>
      <c r="MP11" s="66"/>
      <c r="MQ11" s="114"/>
      <c r="MR11" s="15">
        <v>4</v>
      </c>
      <c r="MS11" s="472"/>
      <c r="MT11" s="392"/>
      <c r="MU11" s="385"/>
      <c r="MV11" s="384"/>
      <c r="MW11" s="76"/>
      <c r="MY11" s="66"/>
      <c r="MZ11" s="114"/>
      <c r="NA11" s="15">
        <v>4</v>
      </c>
      <c r="NB11" s="473"/>
      <c r="NC11" s="392"/>
      <c r="ND11" s="473"/>
      <c r="NE11" s="102"/>
      <c r="NF11" s="76"/>
      <c r="NH11" s="66"/>
      <c r="NI11" s="114"/>
      <c r="NJ11" s="15">
        <v>4</v>
      </c>
      <c r="NK11" s="99"/>
      <c r="NL11" s="392"/>
      <c r="NM11" s="99"/>
      <c r="NN11" s="102"/>
      <c r="NO11" s="76"/>
      <c r="NQ11" s="66"/>
      <c r="NR11" s="114"/>
      <c r="NS11" s="15">
        <v>4</v>
      </c>
      <c r="NT11" s="473"/>
      <c r="NU11" s="392"/>
      <c r="NV11" s="473"/>
      <c r="NW11" s="102"/>
      <c r="NX11" s="76"/>
      <c r="NZ11" s="66"/>
      <c r="OA11" s="114"/>
      <c r="OB11" s="15">
        <v>4</v>
      </c>
      <c r="OC11" s="99"/>
      <c r="OD11" s="392"/>
      <c r="OE11" s="99"/>
      <c r="OF11" s="102"/>
      <c r="OG11" s="76"/>
      <c r="OI11" s="66"/>
      <c r="OJ11" s="114"/>
      <c r="OK11" s="15">
        <v>4</v>
      </c>
      <c r="OL11" s="330"/>
      <c r="OM11" s="398"/>
      <c r="ON11" s="330"/>
      <c r="OO11" s="384"/>
      <c r="OP11" s="316"/>
      <c r="OR11" s="66"/>
      <c r="OS11" s="101"/>
      <c r="OT11" s="15">
        <v>4</v>
      </c>
      <c r="OU11" s="473"/>
      <c r="OV11" s="392"/>
      <c r="OW11" s="473"/>
      <c r="OX11" s="102"/>
      <c r="OY11" s="76"/>
      <c r="PA11" s="66"/>
      <c r="PB11" s="114"/>
      <c r="PC11" s="15">
        <v>4</v>
      </c>
      <c r="PD11" s="99"/>
      <c r="PE11" s="392"/>
      <c r="PF11" s="99"/>
      <c r="PG11" s="102"/>
      <c r="PH11" s="76"/>
      <c r="PJ11" s="66"/>
      <c r="PK11" s="114"/>
      <c r="PL11" s="15">
        <v>4</v>
      </c>
      <c r="PM11" s="99"/>
      <c r="PN11" s="148"/>
      <c r="PO11" s="99"/>
      <c r="PP11" s="102"/>
      <c r="PQ11" s="76"/>
      <c r="PS11" s="66"/>
      <c r="PT11" s="114"/>
      <c r="PU11" s="15">
        <v>4</v>
      </c>
      <c r="PV11" s="99"/>
      <c r="PW11" s="392"/>
      <c r="PX11" s="99"/>
      <c r="PY11" s="102"/>
      <c r="PZ11" s="76"/>
      <c r="QB11" s="66"/>
      <c r="QC11" s="114"/>
      <c r="QD11" s="15">
        <v>4</v>
      </c>
      <c r="QE11" s="99"/>
      <c r="QF11" s="392"/>
      <c r="QG11" s="99"/>
      <c r="QH11" s="102"/>
      <c r="QI11" s="76"/>
      <c r="QK11" s="66"/>
      <c r="QL11" s="114"/>
      <c r="QM11" s="15">
        <v>4</v>
      </c>
      <c r="QN11" s="99"/>
      <c r="QO11" s="392"/>
      <c r="QP11" s="99"/>
      <c r="QQ11" s="102"/>
      <c r="QR11" s="76"/>
      <c r="QT11" s="66"/>
      <c r="QU11" s="114"/>
      <c r="QV11" s="15">
        <v>4</v>
      </c>
      <c r="QW11" s="99"/>
      <c r="QX11" s="392"/>
      <c r="QY11" s="99"/>
      <c r="QZ11" s="102"/>
      <c r="RA11" s="76"/>
      <c r="RD11" s="114"/>
      <c r="RE11" s="15">
        <v>4</v>
      </c>
      <c r="RF11" s="99"/>
      <c r="RG11" s="148"/>
      <c r="RH11" s="99"/>
      <c r="RI11" s="102"/>
      <c r="RJ11" s="76"/>
      <c r="RM11" s="114"/>
      <c r="RN11" s="15">
        <v>4</v>
      </c>
      <c r="RO11" s="99"/>
      <c r="RP11" s="86"/>
      <c r="RQ11" s="99"/>
      <c r="RR11" s="102"/>
      <c r="RS11" s="76"/>
      <c r="RV11" s="114"/>
      <c r="RW11" s="15">
        <v>4</v>
      </c>
      <c r="RX11" s="99"/>
      <c r="RY11" s="86"/>
      <c r="RZ11" s="99"/>
      <c r="SA11" s="102"/>
      <c r="SB11" s="76"/>
      <c r="SE11" s="114"/>
      <c r="SF11" s="15"/>
      <c r="SG11" s="99"/>
      <c r="SH11" s="86"/>
      <c r="SI11" s="99"/>
      <c r="SJ11" s="102"/>
      <c r="SK11" s="76"/>
      <c r="SN11" s="114"/>
      <c r="SO11" s="15">
        <v>4</v>
      </c>
      <c r="SP11" s="99"/>
      <c r="SQ11" s="471"/>
      <c r="SR11" s="206"/>
      <c r="SS11" s="463"/>
      <c r="ST11" s="462"/>
      <c r="SW11" s="114"/>
      <c r="SX11" s="15">
        <v>4</v>
      </c>
      <c r="SY11" s="99"/>
      <c r="SZ11" s="86"/>
      <c r="TA11" s="99"/>
      <c r="TB11" s="102"/>
      <c r="TC11" s="76"/>
      <c r="TF11" s="114"/>
      <c r="TG11" s="15">
        <v>4</v>
      </c>
      <c r="TH11" s="99"/>
      <c r="TI11" s="86"/>
      <c r="TJ11" s="99"/>
      <c r="TK11" s="102"/>
      <c r="TL11" s="76"/>
      <c r="TO11" s="114"/>
      <c r="TP11" s="15">
        <v>4</v>
      </c>
      <c r="TQ11" s="99"/>
      <c r="TR11" s="86"/>
      <c r="TS11" s="99"/>
      <c r="TT11" s="102"/>
      <c r="TU11" s="76"/>
      <c r="TX11" s="114"/>
      <c r="TY11" s="15">
        <v>4</v>
      </c>
      <c r="TZ11" s="99"/>
      <c r="UA11" s="86"/>
      <c r="UB11" s="99"/>
      <c r="UC11" s="102"/>
      <c r="UD11" s="76"/>
      <c r="UG11" s="114"/>
      <c r="UH11" s="15">
        <v>4</v>
      </c>
      <c r="UI11" s="99"/>
      <c r="UJ11" s="86"/>
      <c r="UK11" s="99"/>
      <c r="UL11" s="102"/>
      <c r="UM11" s="76"/>
      <c r="UO11" s="66" t="s">
        <v>33</v>
      </c>
      <c r="UP11" s="114"/>
      <c r="UQ11" s="15">
        <v>4</v>
      </c>
      <c r="UR11" s="99"/>
      <c r="US11" s="86"/>
      <c r="UT11" s="99"/>
      <c r="UU11" s="102"/>
      <c r="UV11" s="76"/>
      <c r="UX11" s="66" t="s">
        <v>33</v>
      </c>
      <c r="UY11" s="114"/>
      <c r="UZ11" s="15">
        <v>4</v>
      </c>
      <c r="VA11" s="99"/>
      <c r="VB11" s="86"/>
      <c r="VC11" s="99"/>
      <c r="VD11" s="102"/>
      <c r="VE11" s="76"/>
      <c r="VG11" s="66" t="s">
        <v>33</v>
      </c>
      <c r="VH11" s="114"/>
      <c r="VI11" s="15">
        <v>4</v>
      </c>
      <c r="VJ11" s="99"/>
      <c r="VK11" s="86"/>
      <c r="VL11" s="99"/>
      <c r="VM11" s="102"/>
      <c r="VN11" s="76"/>
      <c r="VP11" s="66" t="s">
        <v>33</v>
      </c>
      <c r="VQ11" s="114"/>
      <c r="VR11" s="15">
        <v>4</v>
      </c>
      <c r="VS11" s="99"/>
      <c r="VT11" s="86"/>
      <c r="VU11" s="99"/>
      <c r="VV11" s="102"/>
      <c r="VW11" s="76"/>
      <c r="VY11" s="66" t="s">
        <v>33</v>
      </c>
      <c r="VZ11" s="114"/>
      <c r="WA11" s="15">
        <v>4</v>
      </c>
      <c r="WB11" s="99"/>
      <c r="WC11" s="86"/>
      <c r="WD11" s="99"/>
      <c r="WE11" s="102"/>
      <c r="WF11" s="76"/>
      <c r="WH11" s="66" t="s">
        <v>33</v>
      </c>
      <c r="WI11" s="114"/>
      <c r="WJ11" s="15">
        <v>4</v>
      </c>
      <c r="WK11" s="99"/>
      <c r="WL11" s="86"/>
      <c r="WM11" s="99"/>
      <c r="WN11" s="102"/>
      <c r="WO11" s="76"/>
      <c r="WQ11" s="66" t="s">
        <v>33</v>
      </c>
      <c r="WR11" s="114"/>
      <c r="WS11" s="15">
        <v>4</v>
      </c>
      <c r="WT11" s="99"/>
      <c r="WU11" s="86"/>
      <c r="WV11" s="99"/>
      <c r="WW11" s="102"/>
      <c r="WX11" s="76"/>
      <c r="WZ11" s="66" t="s">
        <v>33</v>
      </c>
      <c r="XA11" s="114"/>
      <c r="XB11" s="15">
        <v>4</v>
      </c>
      <c r="XC11" s="99"/>
      <c r="XD11" s="86"/>
      <c r="XE11" s="99"/>
      <c r="XF11" s="102"/>
      <c r="XG11" s="76"/>
      <c r="XI11" s="66" t="s">
        <v>33</v>
      </c>
      <c r="XJ11" s="114"/>
      <c r="XK11" s="15">
        <v>4</v>
      </c>
      <c r="XL11" s="99"/>
      <c r="XM11" s="86"/>
      <c r="XN11" s="99"/>
      <c r="XO11" s="102"/>
      <c r="XP11" s="76"/>
      <c r="XR11" s="66" t="s">
        <v>33</v>
      </c>
      <c r="XS11" s="114"/>
      <c r="XT11" s="15">
        <v>4</v>
      </c>
      <c r="XU11" s="99"/>
      <c r="XV11" s="86"/>
      <c r="XW11" s="99"/>
      <c r="XX11" s="102"/>
      <c r="XY11" s="76"/>
      <c r="YA11" s="66" t="s">
        <v>33</v>
      </c>
      <c r="YB11" s="114"/>
      <c r="YC11" s="15">
        <v>4</v>
      </c>
      <c r="YD11" s="99"/>
      <c r="YE11" s="86"/>
      <c r="YF11" s="99"/>
      <c r="YG11" s="102"/>
      <c r="YH11" s="76"/>
      <c r="YJ11" s="66" t="s">
        <v>33</v>
      </c>
      <c r="YK11" s="114"/>
      <c r="YL11" s="15">
        <v>4</v>
      </c>
      <c r="YM11" s="99"/>
      <c r="YN11" s="86"/>
      <c r="YO11" s="99"/>
      <c r="YP11" s="102"/>
      <c r="YQ11" s="76"/>
      <c r="YS11" s="66" t="s">
        <v>33</v>
      </c>
      <c r="YT11" s="114"/>
      <c r="YU11" s="15">
        <v>4</v>
      </c>
      <c r="YV11" s="99"/>
      <c r="YW11" s="86"/>
      <c r="YX11" s="99"/>
      <c r="YY11" s="102"/>
      <c r="YZ11" s="76"/>
      <c r="ZB11" s="66" t="s">
        <v>33</v>
      </c>
      <c r="ZC11" s="114"/>
      <c r="ZD11" s="15">
        <v>4</v>
      </c>
      <c r="ZE11" s="99"/>
      <c r="ZF11" s="86"/>
      <c r="ZG11" s="99"/>
      <c r="ZH11" s="102"/>
      <c r="ZI11" s="76"/>
      <c r="ZK11" s="66" t="s">
        <v>33</v>
      </c>
      <c r="ZL11" s="114"/>
      <c r="ZM11" s="15">
        <v>4</v>
      </c>
      <c r="ZN11" s="99"/>
      <c r="ZO11" s="86"/>
      <c r="ZP11" s="99"/>
      <c r="ZQ11" s="102"/>
      <c r="ZR11" s="76"/>
      <c r="ZT11" s="66" t="s">
        <v>33</v>
      </c>
      <c r="ZU11" s="114"/>
      <c r="ZV11" s="15">
        <v>4</v>
      </c>
      <c r="ZW11" s="99"/>
      <c r="ZX11" s="86"/>
      <c r="ZY11" s="99"/>
      <c r="ZZ11" s="102"/>
      <c r="AAA11" s="76"/>
      <c r="AAC11" s="66" t="s">
        <v>33</v>
      </c>
      <c r="AAD11" s="114"/>
      <c r="AAE11" s="15">
        <v>4</v>
      </c>
      <c r="AAF11" s="99"/>
      <c r="AAG11" s="86"/>
      <c r="AAH11" s="99"/>
      <c r="AAI11" s="102"/>
      <c r="AAJ11" s="76"/>
      <c r="AAL11" s="66" t="s">
        <v>33</v>
      </c>
      <c r="AAM11" s="114"/>
      <c r="AAN11" s="15">
        <v>4</v>
      </c>
      <c r="AAO11" s="99"/>
      <c r="AAP11" s="86"/>
      <c r="AAQ11" s="99"/>
      <c r="AAR11" s="102"/>
      <c r="AAS11" s="76"/>
      <c r="AAU11" s="66" t="s">
        <v>33</v>
      </c>
      <c r="AAV11" s="114"/>
      <c r="AAW11" s="15">
        <v>4</v>
      </c>
      <c r="AAX11" s="99"/>
      <c r="AAY11" s="86"/>
      <c r="AAZ11" s="99"/>
      <c r="ABA11" s="102"/>
      <c r="ABB11" s="76"/>
      <c r="ABD11" s="66" t="s">
        <v>33</v>
      </c>
      <c r="ABE11" s="114"/>
      <c r="ABF11" s="15">
        <v>4</v>
      </c>
      <c r="ABG11" s="99"/>
      <c r="ABH11" s="86"/>
      <c r="ABI11" s="99"/>
      <c r="ABJ11" s="102"/>
      <c r="ABK11" s="76"/>
      <c r="ABM11" s="66" t="s">
        <v>33</v>
      </c>
      <c r="ABN11" s="114"/>
      <c r="ABO11" s="15">
        <v>4</v>
      </c>
      <c r="ABP11" s="99"/>
      <c r="ABQ11" s="86"/>
      <c r="ABR11" s="99"/>
      <c r="ABS11" s="102"/>
      <c r="ABT11" s="76"/>
      <c r="ABV11" s="66" t="s">
        <v>33</v>
      </c>
      <c r="ABW11" s="114"/>
      <c r="ABX11" s="15">
        <v>4</v>
      </c>
      <c r="ABY11" s="99"/>
      <c r="ABZ11" s="86"/>
      <c r="ACA11" s="99"/>
      <c r="ACB11" s="102"/>
      <c r="ACC11" s="76"/>
      <c r="ACE11" s="66" t="s">
        <v>33</v>
      </c>
      <c r="ACF11" s="114"/>
      <c r="ACG11" s="15">
        <v>4</v>
      </c>
      <c r="ACH11" s="99"/>
      <c r="ACI11" s="86"/>
      <c r="ACJ11" s="99"/>
      <c r="ACK11" s="102"/>
      <c r="ACL11" s="76"/>
      <c r="ACN11" s="66" t="s">
        <v>33</v>
      </c>
      <c r="ACO11" s="114"/>
      <c r="ACP11" s="15">
        <v>4</v>
      </c>
      <c r="ACQ11" s="99"/>
      <c r="ACR11" s="86"/>
      <c r="ACS11" s="99"/>
      <c r="ACT11" s="102"/>
      <c r="ACU11" s="76"/>
      <c r="ACW11" s="66" t="s">
        <v>33</v>
      </c>
      <c r="ACX11" s="114"/>
      <c r="ACY11" s="15">
        <v>4</v>
      </c>
      <c r="ACZ11" s="99"/>
      <c r="ADA11" s="86"/>
      <c r="ADB11" s="99"/>
      <c r="ADC11" s="102"/>
      <c r="ADD11" s="76"/>
      <c r="ADF11" s="66" t="s">
        <v>33</v>
      </c>
      <c r="ADG11" s="114"/>
      <c r="ADH11" s="15">
        <v>4</v>
      </c>
      <c r="ADI11" s="99"/>
      <c r="ADJ11" s="86"/>
      <c r="ADK11" s="99"/>
      <c r="ADL11" s="102"/>
      <c r="ADM11" s="76"/>
      <c r="ADO11" s="66" t="s">
        <v>33</v>
      </c>
      <c r="ADP11" s="114"/>
      <c r="ADQ11" s="15">
        <v>4</v>
      </c>
      <c r="ADR11" s="99"/>
      <c r="ADS11" s="86"/>
      <c r="ADT11" s="99"/>
      <c r="ADU11" s="102"/>
      <c r="ADV11" s="76"/>
      <c r="ADX11" s="66" t="s">
        <v>33</v>
      </c>
      <c r="ADY11" s="114"/>
      <c r="ADZ11" s="15">
        <v>4</v>
      </c>
      <c r="AEA11" s="99"/>
      <c r="AEB11" s="86"/>
      <c r="AEC11" s="99"/>
      <c r="AED11" s="102"/>
      <c r="AEE11" s="76"/>
    </row>
    <row r="12" spans="1:811" x14ac:dyDescent="0.3">
      <c r="A12" s="150">
        <v>9</v>
      </c>
      <c r="B12" s="82" t="str">
        <f t="shared" ref="B12:I12" si="37">CI5</f>
        <v>TYSON FRESH MEAT</v>
      </c>
      <c r="C12" s="82" t="str">
        <f t="shared" si="37"/>
        <v xml:space="preserve">I B P </v>
      </c>
      <c r="D12" s="110" t="str">
        <f t="shared" si="37"/>
        <v>PED. 57499386</v>
      </c>
      <c r="E12" s="148">
        <f t="shared" si="37"/>
        <v>44146</v>
      </c>
      <c r="F12" s="93">
        <f t="shared" si="37"/>
        <v>18738.080000000002</v>
      </c>
      <c r="G12" s="79">
        <f t="shared" si="37"/>
        <v>20</v>
      </c>
      <c r="H12" s="49">
        <f t="shared" si="37"/>
        <v>18804.48</v>
      </c>
      <c r="I12" s="113">
        <f t="shared" si="37"/>
        <v>-66.399999999997817</v>
      </c>
      <c r="L12" s="114"/>
      <c r="M12" s="15">
        <v>5</v>
      </c>
      <c r="N12" s="330">
        <v>864.4</v>
      </c>
      <c r="O12" s="398">
        <v>44139</v>
      </c>
      <c r="P12" s="330">
        <v>864.4</v>
      </c>
      <c r="Q12" s="384" t="s">
        <v>322</v>
      </c>
      <c r="R12" s="316">
        <v>44</v>
      </c>
      <c r="S12" s="316">
        <f t="shared" si="6"/>
        <v>38033.599999999999</v>
      </c>
      <c r="T12" s="288"/>
      <c r="V12" s="114"/>
      <c r="W12" s="15">
        <v>5</v>
      </c>
      <c r="X12" s="330">
        <v>889.5</v>
      </c>
      <c r="Y12" s="398">
        <v>44140</v>
      </c>
      <c r="Z12" s="330">
        <v>889.5</v>
      </c>
      <c r="AA12" s="465" t="s">
        <v>333</v>
      </c>
      <c r="AB12" s="316">
        <v>45</v>
      </c>
      <c r="AC12" s="388">
        <f t="shared" si="7"/>
        <v>40027.5</v>
      </c>
      <c r="AF12" s="114"/>
      <c r="AG12" s="15">
        <v>5</v>
      </c>
      <c r="AH12" s="99">
        <v>903.1</v>
      </c>
      <c r="AI12" s="392">
        <v>44140</v>
      </c>
      <c r="AJ12" s="99">
        <v>903.1</v>
      </c>
      <c r="AK12" s="102" t="s">
        <v>329</v>
      </c>
      <c r="AL12" s="76">
        <v>45</v>
      </c>
      <c r="AM12" s="894">
        <f t="shared" si="8"/>
        <v>40639.5</v>
      </c>
      <c r="AP12" s="114"/>
      <c r="AQ12" s="15">
        <v>5</v>
      </c>
      <c r="AR12" s="385">
        <v>930.8</v>
      </c>
      <c r="AS12" s="398">
        <v>44141</v>
      </c>
      <c r="AT12" s="385">
        <v>930.8</v>
      </c>
      <c r="AU12" s="384" t="s">
        <v>341</v>
      </c>
      <c r="AV12" s="316">
        <v>45</v>
      </c>
      <c r="AY12" s="114"/>
      <c r="AZ12" s="15">
        <v>5</v>
      </c>
      <c r="BA12" s="99">
        <v>890.4</v>
      </c>
      <c r="BB12" s="148">
        <v>44141</v>
      </c>
      <c r="BC12" s="99">
        <v>890.4</v>
      </c>
      <c r="BD12" s="102" t="s">
        <v>343</v>
      </c>
      <c r="BE12" s="459">
        <v>45</v>
      </c>
      <c r="BH12" s="114"/>
      <c r="BI12" s="15">
        <v>5</v>
      </c>
      <c r="BJ12" s="99">
        <v>921.2</v>
      </c>
      <c r="BK12" s="148">
        <v>44141</v>
      </c>
      <c r="BL12" s="99">
        <v>921.2</v>
      </c>
      <c r="BM12" s="102" t="s">
        <v>347</v>
      </c>
      <c r="BN12" s="459">
        <v>45</v>
      </c>
      <c r="BQ12" s="114"/>
      <c r="BR12" s="15">
        <v>5</v>
      </c>
      <c r="BS12" s="99">
        <v>870.75</v>
      </c>
      <c r="BT12" s="460">
        <v>44145</v>
      </c>
      <c r="BU12" s="99">
        <v>870.75</v>
      </c>
      <c r="BV12" s="461" t="s">
        <v>356</v>
      </c>
      <c r="BW12" s="462">
        <v>45</v>
      </c>
      <c r="BX12" s="870">
        <f t="shared" si="9"/>
        <v>39183.75</v>
      </c>
      <c r="BZ12" s="114"/>
      <c r="CA12" s="15">
        <v>5</v>
      </c>
      <c r="CB12" s="99">
        <v>908.5</v>
      </c>
      <c r="CC12" s="460">
        <v>44146</v>
      </c>
      <c r="CD12" s="99">
        <v>908.5</v>
      </c>
      <c r="CE12" s="463" t="s">
        <v>362</v>
      </c>
      <c r="CF12" s="462">
        <v>45</v>
      </c>
      <c r="CG12" s="870">
        <f t="shared" si="10"/>
        <v>40882.5</v>
      </c>
      <c r="CJ12" s="114"/>
      <c r="CK12" s="15">
        <v>5</v>
      </c>
      <c r="CL12" s="99">
        <v>949.82</v>
      </c>
      <c r="CM12" s="460">
        <v>44147</v>
      </c>
      <c r="CN12" s="99">
        <v>949.82</v>
      </c>
      <c r="CO12" s="463" t="s">
        <v>366</v>
      </c>
      <c r="CP12" s="462">
        <v>45</v>
      </c>
      <c r="CQ12" s="925">
        <f t="shared" si="11"/>
        <v>42741.9</v>
      </c>
      <c r="CT12" s="114"/>
      <c r="CU12" s="15">
        <v>5</v>
      </c>
      <c r="CV12" s="99">
        <v>919.4</v>
      </c>
      <c r="CW12" s="392">
        <v>44148</v>
      </c>
      <c r="CX12" s="99">
        <v>919.4</v>
      </c>
      <c r="CY12" s="102" t="s">
        <v>371</v>
      </c>
      <c r="CZ12" s="76">
        <v>45</v>
      </c>
      <c r="DA12" s="870">
        <f t="shared" si="12"/>
        <v>41373</v>
      </c>
      <c r="DD12" s="114"/>
      <c r="DE12" s="15">
        <v>5</v>
      </c>
      <c r="DF12" s="99">
        <v>892.2</v>
      </c>
      <c r="DG12" s="460">
        <v>44148</v>
      </c>
      <c r="DH12" s="99">
        <v>892.2</v>
      </c>
      <c r="DI12" s="463" t="s">
        <v>374</v>
      </c>
      <c r="DJ12" s="462">
        <v>45</v>
      </c>
      <c r="DK12" s="925">
        <f t="shared" si="13"/>
        <v>40149</v>
      </c>
      <c r="DN12" s="114"/>
      <c r="DO12" s="15">
        <v>5</v>
      </c>
      <c r="DP12" s="99">
        <v>901.3</v>
      </c>
      <c r="DQ12" s="460">
        <v>44151</v>
      </c>
      <c r="DR12" s="99">
        <v>901.3</v>
      </c>
      <c r="DS12" s="463" t="s">
        <v>377</v>
      </c>
      <c r="DT12" s="462">
        <v>45</v>
      </c>
      <c r="DU12" s="870">
        <f t="shared" si="14"/>
        <v>40558.5</v>
      </c>
      <c r="DX12" s="114"/>
      <c r="DY12" s="15">
        <v>5</v>
      </c>
      <c r="DZ12" s="74">
        <v>783.67</v>
      </c>
      <c r="EA12" s="412">
        <v>44150</v>
      </c>
      <c r="EB12" s="74">
        <v>783.67</v>
      </c>
      <c r="EC12" s="75" t="s">
        <v>386</v>
      </c>
      <c r="ED12" s="76">
        <v>44</v>
      </c>
      <c r="EE12" s="870">
        <f t="shared" si="15"/>
        <v>34481.479999999996</v>
      </c>
      <c r="EH12" s="114"/>
      <c r="EI12" s="15">
        <v>5</v>
      </c>
      <c r="EJ12" s="74">
        <v>894.9</v>
      </c>
      <c r="EK12" s="412">
        <v>44154</v>
      </c>
      <c r="EL12" s="74">
        <v>894.9</v>
      </c>
      <c r="EM12" s="315" t="s">
        <v>400</v>
      </c>
      <c r="EN12" s="76">
        <v>42</v>
      </c>
      <c r="EO12" s="870">
        <f t="shared" si="16"/>
        <v>37585.799999999996</v>
      </c>
      <c r="ER12" s="529"/>
      <c r="ES12" s="15">
        <v>5</v>
      </c>
      <c r="ET12" s="330">
        <v>914</v>
      </c>
      <c r="EU12" s="398">
        <v>44154</v>
      </c>
      <c r="EV12" s="330">
        <v>914</v>
      </c>
      <c r="EW12" s="315" t="s">
        <v>398</v>
      </c>
      <c r="EX12" s="316">
        <v>42</v>
      </c>
      <c r="EY12" s="388">
        <f t="shared" si="17"/>
        <v>38388</v>
      </c>
      <c r="FB12" s="114"/>
      <c r="FC12" s="15">
        <v>5</v>
      </c>
      <c r="FD12" s="99">
        <v>904</v>
      </c>
      <c r="FE12" s="392">
        <v>44154</v>
      </c>
      <c r="FF12" s="99">
        <v>904</v>
      </c>
      <c r="FG12" s="75" t="s">
        <v>404</v>
      </c>
      <c r="FH12" s="76">
        <v>42</v>
      </c>
      <c r="FI12" s="870">
        <f t="shared" si="18"/>
        <v>37968</v>
      </c>
      <c r="FL12" s="114"/>
      <c r="FM12" s="15">
        <v>5</v>
      </c>
      <c r="FN12" s="99">
        <v>885</v>
      </c>
      <c r="FO12" s="392">
        <v>44156</v>
      </c>
      <c r="FP12" s="99">
        <v>885</v>
      </c>
      <c r="FQ12" s="75" t="s">
        <v>414</v>
      </c>
      <c r="FR12" s="76">
        <v>42</v>
      </c>
      <c r="FS12" s="870">
        <f t="shared" si="19"/>
        <v>37170</v>
      </c>
      <c r="FV12" s="114"/>
      <c r="FW12" s="15">
        <v>5</v>
      </c>
      <c r="FX12" s="314">
        <v>892.2</v>
      </c>
      <c r="FY12" s="657">
        <v>44156</v>
      </c>
      <c r="FZ12" s="314">
        <v>892.2</v>
      </c>
      <c r="GA12" s="315" t="s">
        <v>411</v>
      </c>
      <c r="GB12" s="316">
        <v>42</v>
      </c>
      <c r="GC12" s="388">
        <f t="shared" si="20"/>
        <v>37472.400000000001</v>
      </c>
      <c r="GF12" s="114"/>
      <c r="GG12" s="15">
        <v>5</v>
      </c>
      <c r="GH12" s="632">
        <v>901.3</v>
      </c>
      <c r="GI12" s="392">
        <v>44159</v>
      </c>
      <c r="GJ12" s="632">
        <v>901.3</v>
      </c>
      <c r="GK12" s="102" t="s">
        <v>418</v>
      </c>
      <c r="GL12" s="76">
        <v>38</v>
      </c>
      <c r="GM12" s="870">
        <f t="shared" si="21"/>
        <v>34249.4</v>
      </c>
      <c r="GP12" s="114"/>
      <c r="GQ12" s="15">
        <v>5</v>
      </c>
      <c r="GR12" s="99">
        <v>870.75</v>
      </c>
      <c r="GS12" s="392">
        <v>44159</v>
      </c>
      <c r="GT12" s="99">
        <v>870.75</v>
      </c>
      <c r="GU12" s="102" t="s">
        <v>420</v>
      </c>
      <c r="GV12" s="76">
        <v>38</v>
      </c>
      <c r="GW12" s="870">
        <f t="shared" si="22"/>
        <v>33088.5</v>
      </c>
      <c r="GZ12" s="114"/>
      <c r="HA12" s="15">
        <v>5</v>
      </c>
      <c r="HB12" s="99">
        <v>961.61400000000003</v>
      </c>
      <c r="HC12" s="392">
        <v>44160</v>
      </c>
      <c r="HD12" s="99">
        <v>961.61400000000003</v>
      </c>
      <c r="HE12" s="102" t="s">
        <v>428</v>
      </c>
      <c r="HF12" s="76">
        <v>38</v>
      </c>
      <c r="HG12" s="870">
        <f t="shared" si="23"/>
        <v>36541.332000000002</v>
      </c>
      <c r="HJ12" s="114"/>
      <c r="HK12" s="15">
        <v>5</v>
      </c>
      <c r="HL12" s="330">
        <v>874.1</v>
      </c>
      <c r="HM12" s="398">
        <v>44161</v>
      </c>
      <c r="HN12" s="330">
        <v>874.1</v>
      </c>
      <c r="HO12" s="465" t="s">
        <v>432</v>
      </c>
      <c r="HP12" s="316">
        <v>38</v>
      </c>
      <c r="HQ12" s="388">
        <f t="shared" si="24"/>
        <v>33215.800000000003</v>
      </c>
      <c r="HT12" s="114"/>
      <c r="HU12" s="15">
        <v>5</v>
      </c>
      <c r="HV12" s="74">
        <v>904</v>
      </c>
      <c r="HW12" s="412">
        <v>44162</v>
      </c>
      <c r="HX12" s="74">
        <v>904</v>
      </c>
      <c r="HY12" s="75" t="s">
        <v>454</v>
      </c>
      <c r="HZ12" s="76">
        <v>38</v>
      </c>
      <c r="IA12" s="870">
        <f t="shared" si="25"/>
        <v>34352</v>
      </c>
      <c r="ID12" s="114"/>
      <c r="IE12" s="15">
        <v>5</v>
      </c>
      <c r="IF12" s="330">
        <v>868.6</v>
      </c>
      <c r="IG12" s="359">
        <v>44162</v>
      </c>
      <c r="IH12" s="330">
        <v>868.6</v>
      </c>
      <c r="II12" s="675" t="s">
        <v>437</v>
      </c>
      <c r="IJ12" s="316">
        <v>38</v>
      </c>
      <c r="IK12" s="388">
        <f t="shared" si="26"/>
        <v>33006.800000000003</v>
      </c>
      <c r="IL12" s="99"/>
      <c r="IM12" s="74"/>
      <c r="IN12" s="114"/>
      <c r="IO12" s="15">
        <v>5</v>
      </c>
      <c r="IP12" s="99">
        <v>894.9</v>
      </c>
      <c r="IQ12" s="412">
        <v>44166</v>
      </c>
      <c r="IR12" s="99">
        <v>894.9</v>
      </c>
      <c r="IS12" s="75" t="s">
        <v>452</v>
      </c>
      <c r="IT12" s="76">
        <v>38</v>
      </c>
      <c r="IU12" s="870">
        <f t="shared" si="27"/>
        <v>34006.199999999997</v>
      </c>
      <c r="IV12" s="74"/>
      <c r="IX12" s="114"/>
      <c r="IY12" s="15">
        <v>5</v>
      </c>
      <c r="IZ12" s="99">
        <v>839</v>
      </c>
      <c r="JA12" s="392">
        <v>44167</v>
      </c>
      <c r="JB12" s="99">
        <v>839</v>
      </c>
      <c r="JC12" s="75" t="s">
        <v>478</v>
      </c>
      <c r="JD12" s="76">
        <v>38</v>
      </c>
      <c r="JE12" s="870">
        <f t="shared" si="28"/>
        <v>31882</v>
      </c>
      <c r="JH12" s="114"/>
      <c r="JI12" s="15">
        <v>5</v>
      </c>
      <c r="JJ12" s="74">
        <v>872.11</v>
      </c>
      <c r="JK12" s="412">
        <v>44167</v>
      </c>
      <c r="JL12" s="74">
        <v>872.11</v>
      </c>
      <c r="JM12" s="75" t="s">
        <v>476</v>
      </c>
      <c r="JN12" s="76">
        <v>38</v>
      </c>
      <c r="JO12" s="870">
        <f t="shared" si="29"/>
        <v>33140.18</v>
      </c>
      <c r="JR12" s="114"/>
      <c r="JS12" s="15">
        <v>5</v>
      </c>
      <c r="JT12" s="99">
        <v>920.3</v>
      </c>
      <c r="JU12" s="392">
        <v>44168</v>
      </c>
      <c r="JV12" s="99">
        <v>920.3</v>
      </c>
      <c r="JW12" s="102" t="s">
        <v>482</v>
      </c>
      <c r="JX12" s="76">
        <v>39</v>
      </c>
      <c r="JY12" s="870">
        <f t="shared" si="30"/>
        <v>35891.699999999997</v>
      </c>
      <c r="KB12" s="114"/>
      <c r="KC12" s="15">
        <v>5</v>
      </c>
      <c r="KD12" s="99">
        <v>886.8</v>
      </c>
      <c r="KE12" s="392">
        <v>44168</v>
      </c>
      <c r="KF12" s="99">
        <v>886.8</v>
      </c>
      <c r="KG12" s="102" t="s">
        <v>483</v>
      </c>
      <c r="KH12" s="76">
        <v>39</v>
      </c>
      <c r="KI12" s="870">
        <f t="shared" si="31"/>
        <v>34585.199999999997</v>
      </c>
      <c r="KL12" s="114"/>
      <c r="KM12" s="15">
        <v>5</v>
      </c>
      <c r="KN12" s="99">
        <v>940.75</v>
      </c>
      <c r="KO12" s="392">
        <v>44169</v>
      </c>
      <c r="KP12" s="99">
        <v>940.75</v>
      </c>
      <c r="KQ12" s="102" t="s">
        <v>495</v>
      </c>
      <c r="KR12" s="76">
        <v>39</v>
      </c>
      <c r="KS12" s="870">
        <f t="shared" si="32"/>
        <v>36689.25</v>
      </c>
      <c r="KV12" s="114"/>
      <c r="KW12" s="15">
        <v>5</v>
      </c>
      <c r="KX12" s="99">
        <v>903.1</v>
      </c>
      <c r="KY12" s="392">
        <v>44169</v>
      </c>
      <c r="KZ12" s="99">
        <v>903.1</v>
      </c>
      <c r="LA12" s="102" t="s">
        <v>487</v>
      </c>
      <c r="LB12" s="76">
        <v>39</v>
      </c>
      <c r="LC12" s="870">
        <f t="shared" si="33"/>
        <v>35220.9</v>
      </c>
      <c r="LF12" s="114"/>
      <c r="LG12" s="15">
        <v>5</v>
      </c>
      <c r="LH12" s="99">
        <v>875</v>
      </c>
      <c r="LI12" s="392">
        <v>44169</v>
      </c>
      <c r="LJ12" s="99">
        <v>875</v>
      </c>
      <c r="LK12" s="102" t="s">
        <v>492</v>
      </c>
      <c r="LL12" s="76">
        <v>39</v>
      </c>
      <c r="LM12" s="870">
        <f t="shared" si="34"/>
        <v>34125</v>
      </c>
      <c r="LP12" s="114"/>
      <c r="LQ12" s="15">
        <v>5</v>
      </c>
      <c r="LR12" s="472"/>
      <c r="LS12" s="392"/>
      <c r="LT12" s="472"/>
      <c r="LU12" s="102"/>
      <c r="LV12" s="76"/>
      <c r="LY12" s="114"/>
      <c r="LZ12" s="15">
        <v>5</v>
      </c>
      <c r="MA12" s="472"/>
      <c r="MB12" s="392"/>
      <c r="MC12" s="472"/>
      <c r="MD12" s="102"/>
      <c r="ME12" s="76"/>
      <c r="MH12" s="114"/>
      <c r="MI12" s="15">
        <v>5</v>
      </c>
      <c r="MJ12" s="99"/>
      <c r="MK12" s="392"/>
      <c r="ML12" s="99"/>
      <c r="MM12" s="102"/>
      <c r="MN12" s="76"/>
      <c r="MP12" s="82" t="s">
        <v>45</v>
      </c>
      <c r="MQ12" s="114"/>
      <c r="MR12" s="15">
        <v>5</v>
      </c>
      <c r="MS12" s="472"/>
      <c r="MT12" s="392"/>
      <c r="MU12" s="385"/>
      <c r="MV12" s="384"/>
      <c r="MW12" s="76"/>
      <c r="MZ12" s="114"/>
      <c r="NA12" s="15">
        <v>5</v>
      </c>
      <c r="NB12" s="99"/>
      <c r="NC12" s="392"/>
      <c r="ND12" s="99"/>
      <c r="NE12" s="102"/>
      <c r="NF12" s="76"/>
      <c r="NI12" s="114"/>
      <c r="NJ12" s="15">
        <v>5</v>
      </c>
      <c r="NK12" s="99"/>
      <c r="NL12" s="392"/>
      <c r="NM12" s="99"/>
      <c r="NN12" s="102"/>
      <c r="NO12" s="76"/>
      <c r="NR12" s="114"/>
      <c r="NS12" s="15">
        <v>5</v>
      </c>
      <c r="NT12" s="99"/>
      <c r="NU12" s="392"/>
      <c r="NV12" s="99"/>
      <c r="NW12" s="102"/>
      <c r="NX12" s="76"/>
      <c r="OA12" s="114"/>
      <c r="OB12" s="15">
        <v>5</v>
      </c>
      <c r="OC12" s="99"/>
      <c r="OD12" s="392"/>
      <c r="OE12" s="99"/>
      <c r="OF12" s="102"/>
      <c r="OG12" s="76"/>
      <c r="OJ12" s="114"/>
      <c r="OK12" s="15">
        <v>5</v>
      </c>
      <c r="OL12" s="330"/>
      <c r="OM12" s="398"/>
      <c r="ON12" s="330"/>
      <c r="OO12" s="384"/>
      <c r="OP12" s="316"/>
      <c r="OS12" s="101"/>
      <c r="OT12" s="15">
        <v>5</v>
      </c>
      <c r="OU12" s="99"/>
      <c r="OV12" s="392"/>
      <c r="OW12" s="99"/>
      <c r="OX12" s="102"/>
      <c r="OY12" s="76"/>
      <c r="PB12" s="114"/>
      <c r="PC12" s="15">
        <v>5</v>
      </c>
      <c r="PD12" s="99"/>
      <c r="PE12" s="392"/>
      <c r="PF12" s="99"/>
      <c r="PG12" s="102"/>
      <c r="PH12" s="76"/>
      <c r="PK12" s="114"/>
      <c r="PL12" s="15">
        <v>5</v>
      </c>
      <c r="PM12" s="99"/>
      <c r="PN12" s="148"/>
      <c r="PO12" s="99"/>
      <c r="PP12" s="102"/>
      <c r="PQ12" s="76"/>
      <c r="PT12" s="114"/>
      <c r="PU12" s="15">
        <v>5</v>
      </c>
      <c r="PV12" s="99"/>
      <c r="PW12" s="392"/>
      <c r="PX12" s="99"/>
      <c r="PY12" s="102"/>
      <c r="PZ12" s="76"/>
      <c r="QC12" s="114"/>
      <c r="QD12" s="15">
        <v>5</v>
      </c>
      <c r="QE12" s="99"/>
      <c r="QF12" s="392"/>
      <c r="QG12" s="99"/>
      <c r="QH12" s="102"/>
      <c r="QI12" s="76"/>
      <c r="QL12" s="114"/>
      <c r="QM12" s="15">
        <v>5</v>
      </c>
      <c r="QN12" s="99"/>
      <c r="QO12" s="392"/>
      <c r="QP12" s="99"/>
      <c r="QQ12" s="102"/>
      <c r="QR12" s="76"/>
      <c r="QU12" s="114"/>
      <c r="QV12" s="15">
        <v>5</v>
      </c>
      <c r="QW12" s="99"/>
      <c r="QX12" s="392"/>
      <c r="QY12" s="99"/>
      <c r="QZ12" s="102"/>
      <c r="RA12" s="76"/>
      <c r="RC12" s="66"/>
      <c r="RD12" s="114"/>
      <c r="RE12" s="15">
        <v>5</v>
      </c>
      <c r="RF12" s="99"/>
      <c r="RG12" s="148"/>
      <c r="RH12" s="99"/>
      <c r="RI12" s="102"/>
      <c r="RJ12" s="76"/>
      <c r="RL12" s="66"/>
      <c r="RM12" s="114"/>
      <c r="RN12" s="15">
        <v>5</v>
      </c>
      <c r="RO12" s="99"/>
      <c r="RP12" s="86"/>
      <c r="RQ12" s="99"/>
      <c r="RR12" s="102"/>
      <c r="RS12" s="76"/>
      <c r="RU12" s="66"/>
      <c r="RV12" s="114"/>
      <c r="RW12" s="15">
        <v>5</v>
      </c>
      <c r="RX12" s="99"/>
      <c r="RY12" s="86"/>
      <c r="RZ12" s="99"/>
      <c r="SA12" s="102"/>
      <c r="SB12" s="76"/>
      <c r="SD12" s="66"/>
      <c r="SE12" s="114"/>
      <c r="SF12" s="15"/>
      <c r="SG12" s="99"/>
      <c r="SH12" s="86"/>
      <c r="SI12" s="99"/>
      <c r="SJ12" s="102"/>
      <c r="SK12" s="76"/>
      <c r="SM12" s="66"/>
      <c r="SN12" s="114"/>
      <c r="SO12" s="15">
        <v>5</v>
      </c>
      <c r="SP12" s="99"/>
      <c r="SQ12" s="471"/>
      <c r="SR12" s="206"/>
      <c r="SS12" s="463"/>
      <c r="ST12" s="462"/>
      <c r="SV12" s="66"/>
      <c r="SW12" s="114"/>
      <c r="SX12" s="15">
        <v>5</v>
      </c>
      <c r="SY12" s="99"/>
      <c r="SZ12" s="86"/>
      <c r="TA12" s="99"/>
      <c r="TB12" s="102"/>
      <c r="TC12" s="76"/>
      <c r="TE12" s="66" t="s">
        <v>33</v>
      </c>
      <c r="TF12" s="114"/>
      <c r="TG12" s="15">
        <v>5</v>
      </c>
      <c r="TH12" s="99"/>
      <c r="TI12" s="86"/>
      <c r="TJ12" s="99"/>
      <c r="TK12" s="102"/>
      <c r="TL12" s="76"/>
      <c r="TN12" s="66"/>
      <c r="TO12" s="114"/>
      <c r="TP12" s="15">
        <v>5</v>
      </c>
      <c r="TQ12" s="99"/>
      <c r="TR12" s="86"/>
      <c r="TS12" s="99"/>
      <c r="TT12" s="102"/>
      <c r="TU12" s="76"/>
      <c r="TW12" s="66" t="s">
        <v>33</v>
      </c>
      <c r="TX12" s="114"/>
      <c r="TY12" s="15">
        <v>5</v>
      </c>
      <c r="TZ12" s="99"/>
      <c r="UA12" s="86"/>
      <c r="UB12" s="99"/>
      <c r="UC12" s="102"/>
      <c r="UD12" s="76"/>
      <c r="UF12" s="66" t="s">
        <v>33</v>
      </c>
      <c r="UG12" s="114"/>
      <c r="UH12" s="15">
        <v>5</v>
      </c>
      <c r="UI12" s="99"/>
      <c r="UJ12" s="86"/>
      <c r="UK12" s="99"/>
      <c r="UL12" s="102"/>
      <c r="UM12" s="76"/>
      <c r="UP12" s="114"/>
      <c r="UQ12" s="15">
        <v>5</v>
      </c>
      <c r="UR12" s="99"/>
      <c r="US12" s="86"/>
      <c r="UT12" s="99"/>
      <c r="UU12" s="102"/>
      <c r="UV12" s="76"/>
      <c r="UY12" s="114"/>
      <c r="UZ12" s="15">
        <v>5</v>
      </c>
      <c r="VA12" s="99"/>
      <c r="VB12" s="86"/>
      <c r="VC12" s="99"/>
      <c r="VD12" s="102"/>
      <c r="VE12" s="76"/>
      <c r="VH12" s="114"/>
      <c r="VI12" s="15">
        <v>5</v>
      </c>
      <c r="VJ12" s="99"/>
      <c r="VK12" s="86"/>
      <c r="VL12" s="99"/>
      <c r="VM12" s="102"/>
      <c r="VN12" s="76"/>
      <c r="VQ12" s="114"/>
      <c r="VR12" s="15">
        <v>5</v>
      </c>
      <c r="VS12" s="99"/>
      <c r="VT12" s="86"/>
      <c r="VU12" s="99"/>
      <c r="VV12" s="102"/>
      <c r="VW12" s="76"/>
      <c r="VZ12" s="114"/>
      <c r="WA12" s="15">
        <v>5</v>
      </c>
      <c r="WB12" s="99"/>
      <c r="WC12" s="86"/>
      <c r="WD12" s="99"/>
      <c r="WE12" s="102"/>
      <c r="WF12" s="76"/>
      <c r="WI12" s="114"/>
      <c r="WJ12" s="15">
        <v>5</v>
      </c>
      <c r="WK12" s="99"/>
      <c r="WL12" s="86"/>
      <c r="WM12" s="99"/>
      <c r="WN12" s="102"/>
      <c r="WO12" s="76"/>
      <c r="WR12" s="114"/>
      <c r="WS12" s="15">
        <v>5</v>
      </c>
      <c r="WT12" s="99"/>
      <c r="WU12" s="86"/>
      <c r="WV12" s="99"/>
      <c r="WW12" s="102"/>
      <c r="WX12" s="76"/>
      <c r="XA12" s="114"/>
      <c r="XB12" s="15">
        <v>5</v>
      </c>
      <c r="XC12" s="99"/>
      <c r="XD12" s="86"/>
      <c r="XE12" s="99"/>
      <c r="XF12" s="102"/>
      <c r="XG12" s="76"/>
      <c r="XJ12" s="114"/>
      <c r="XK12" s="15">
        <v>5</v>
      </c>
      <c r="XL12" s="99"/>
      <c r="XM12" s="86"/>
      <c r="XN12" s="99"/>
      <c r="XO12" s="102"/>
      <c r="XP12" s="76"/>
      <c r="XS12" s="114"/>
      <c r="XT12" s="15">
        <v>5</v>
      </c>
      <c r="XU12" s="99"/>
      <c r="XV12" s="86"/>
      <c r="XW12" s="99"/>
      <c r="XX12" s="102"/>
      <c r="XY12" s="76"/>
      <c r="YB12" s="114"/>
      <c r="YC12" s="15">
        <v>5</v>
      </c>
      <c r="YD12" s="99"/>
      <c r="YE12" s="86"/>
      <c r="YF12" s="99"/>
      <c r="YG12" s="102"/>
      <c r="YH12" s="76"/>
      <c r="YK12" s="114"/>
      <c r="YL12" s="15">
        <v>5</v>
      </c>
      <c r="YM12" s="99"/>
      <c r="YN12" s="86"/>
      <c r="YO12" s="99"/>
      <c r="YP12" s="102"/>
      <c r="YQ12" s="76"/>
      <c r="YT12" s="114"/>
      <c r="YU12" s="15">
        <v>5</v>
      </c>
      <c r="YV12" s="99"/>
      <c r="YW12" s="86"/>
      <c r="YX12" s="99"/>
      <c r="YY12" s="102"/>
      <c r="YZ12" s="76"/>
      <c r="ZC12" s="114"/>
      <c r="ZD12" s="15">
        <v>5</v>
      </c>
      <c r="ZE12" s="99"/>
      <c r="ZF12" s="86"/>
      <c r="ZG12" s="99"/>
      <c r="ZH12" s="102"/>
      <c r="ZI12" s="76"/>
      <c r="ZL12" s="114"/>
      <c r="ZM12" s="15">
        <v>5</v>
      </c>
      <c r="ZN12" s="99"/>
      <c r="ZO12" s="86"/>
      <c r="ZP12" s="99"/>
      <c r="ZQ12" s="102"/>
      <c r="ZR12" s="76"/>
      <c r="ZU12" s="114"/>
      <c r="ZV12" s="15">
        <v>5</v>
      </c>
      <c r="ZW12" s="99"/>
      <c r="ZX12" s="86"/>
      <c r="ZY12" s="99"/>
      <c r="ZZ12" s="102"/>
      <c r="AAA12" s="76"/>
      <c r="AAD12" s="114"/>
      <c r="AAE12" s="15">
        <v>5</v>
      </c>
      <c r="AAF12" s="99"/>
      <c r="AAG12" s="86"/>
      <c r="AAH12" s="99"/>
      <c r="AAI12" s="102"/>
      <c r="AAJ12" s="76"/>
      <c r="AAM12" s="114"/>
      <c r="AAN12" s="15">
        <v>5</v>
      </c>
      <c r="AAO12" s="99"/>
      <c r="AAP12" s="86"/>
      <c r="AAQ12" s="99"/>
      <c r="AAR12" s="102"/>
      <c r="AAS12" s="76"/>
      <c r="AAV12" s="114"/>
      <c r="AAW12" s="15">
        <v>5</v>
      </c>
      <c r="AAX12" s="99"/>
      <c r="AAY12" s="86"/>
      <c r="AAZ12" s="99"/>
      <c r="ABA12" s="102"/>
      <c r="ABB12" s="76"/>
      <c r="ABE12" s="114"/>
      <c r="ABF12" s="15">
        <v>5</v>
      </c>
      <c r="ABG12" s="99"/>
      <c r="ABH12" s="86"/>
      <c r="ABI12" s="99"/>
      <c r="ABJ12" s="102"/>
      <c r="ABK12" s="76"/>
      <c r="ABN12" s="114"/>
      <c r="ABO12" s="15">
        <v>5</v>
      </c>
      <c r="ABP12" s="99"/>
      <c r="ABQ12" s="86"/>
      <c r="ABR12" s="99"/>
      <c r="ABS12" s="102"/>
      <c r="ABT12" s="76"/>
      <c r="ABW12" s="114"/>
      <c r="ABX12" s="15">
        <v>5</v>
      </c>
      <c r="ABY12" s="99"/>
      <c r="ABZ12" s="86"/>
      <c r="ACA12" s="99"/>
      <c r="ACB12" s="102"/>
      <c r="ACC12" s="76"/>
      <c r="ACF12" s="114"/>
      <c r="ACG12" s="15">
        <v>5</v>
      </c>
      <c r="ACH12" s="99"/>
      <c r="ACI12" s="86"/>
      <c r="ACJ12" s="99"/>
      <c r="ACK12" s="102"/>
      <c r="ACL12" s="76"/>
      <c r="ACO12" s="114"/>
      <c r="ACP12" s="15">
        <v>5</v>
      </c>
      <c r="ACQ12" s="99"/>
      <c r="ACR12" s="86"/>
      <c r="ACS12" s="99"/>
      <c r="ACT12" s="102"/>
      <c r="ACU12" s="76"/>
      <c r="ACX12" s="114"/>
      <c r="ACY12" s="15">
        <v>5</v>
      </c>
      <c r="ACZ12" s="99"/>
      <c r="ADA12" s="86"/>
      <c r="ADB12" s="99"/>
      <c r="ADC12" s="102"/>
      <c r="ADD12" s="76"/>
      <c r="ADG12" s="114"/>
      <c r="ADH12" s="15">
        <v>5</v>
      </c>
      <c r="ADI12" s="99"/>
      <c r="ADJ12" s="86"/>
      <c r="ADK12" s="99"/>
      <c r="ADL12" s="102"/>
      <c r="ADM12" s="76"/>
      <c r="ADP12" s="114"/>
      <c r="ADQ12" s="15">
        <v>5</v>
      </c>
      <c r="ADR12" s="99"/>
      <c r="ADS12" s="86"/>
      <c r="ADT12" s="99"/>
      <c r="ADU12" s="102"/>
      <c r="ADV12" s="76"/>
      <c r="ADY12" s="114"/>
      <c r="ADZ12" s="15">
        <v>5</v>
      </c>
      <c r="AEA12" s="99"/>
      <c r="AEB12" s="86"/>
      <c r="AEC12" s="99"/>
      <c r="AED12" s="102"/>
      <c r="AEE12" s="76"/>
    </row>
    <row r="13" spans="1:811" x14ac:dyDescent="0.3">
      <c r="A13" s="150">
        <v>10</v>
      </c>
      <c r="B13" s="82" t="str">
        <f t="shared" ref="B13:I13" si="38">CS5</f>
        <v>SEABOARD FOODS</v>
      </c>
      <c r="C13" s="82" t="str">
        <f t="shared" si="38"/>
        <v>Seaborad</v>
      </c>
      <c r="D13" s="110" t="str">
        <f t="shared" si="38"/>
        <v>PED. 57601854</v>
      </c>
      <c r="E13" s="148">
        <f t="shared" si="38"/>
        <v>44148</v>
      </c>
      <c r="F13" s="93">
        <f t="shared" si="38"/>
        <v>18912.96</v>
      </c>
      <c r="G13" s="79">
        <f t="shared" si="38"/>
        <v>21</v>
      </c>
      <c r="H13" s="49">
        <f t="shared" si="38"/>
        <v>18949.5</v>
      </c>
      <c r="I13" s="113">
        <f t="shared" si="38"/>
        <v>-36.540000000000873</v>
      </c>
      <c r="L13" s="114"/>
      <c r="M13" s="15">
        <v>6</v>
      </c>
      <c r="N13" s="330">
        <v>848.53</v>
      </c>
      <c r="O13" s="398">
        <v>44139</v>
      </c>
      <c r="P13" s="330">
        <v>848.53</v>
      </c>
      <c r="Q13" s="384" t="s">
        <v>322</v>
      </c>
      <c r="R13" s="316">
        <v>44</v>
      </c>
      <c r="S13" s="316">
        <f t="shared" si="6"/>
        <v>37335.32</v>
      </c>
      <c r="T13" s="288"/>
      <c r="V13" s="114"/>
      <c r="W13" s="15">
        <v>6</v>
      </c>
      <c r="X13" s="330">
        <v>878.6</v>
      </c>
      <c r="Y13" s="398">
        <v>44140</v>
      </c>
      <c r="Z13" s="330">
        <v>878.6</v>
      </c>
      <c r="AA13" s="465" t="s">
        <v>333</v>
      </c>
      <c r="AB13" s="316">
        <v>45</v>
      </c>
      <c r="AC13" s="388">
        <f t="shared" si="7"/>
        <v>39537</v>
      </c>
      <c r="AF13" s="114"/>
      <c r="AG13" s="15">
        <v>6</v>
      </c>
      <c r="AH13" s="99">
        <v>875</v>
      </c>
      <c r="AI13" s="392">
        <v>44140</v>
      </c>
      <c r="AJ13" s="99">
        <v>875</v>
      </c>
      <c r="AK13" s="102" t="s">
        <v>329</v>
      </c>
      <c r="AL13" s="76">
        <v>45</v>
      </c>
      <c r="AM13" s="894">
        <f t="shared" si="8"/>
        <v>39375</v>
      </c>
      <c r="AP13" s="114"/>
      <c r="AQ13" s="15">
        <v>6</v>
      </c>
      <c r="AR13" s="385">
        <v>936.2</v>
      </c>
      <c r="AS13" s="398">
        <v>44141</v>
      </c>
      <c r="AT13" s="385">
        <v>936.2</v>
      </c>
      <c r="AU13" s="384" t="s">
        <v>341</v>
      </c>
      <c r="AV13" s="316">
        <v>45</v>
      </c>
      <c r="AY13" s="248"/>
      <c r="AZ13" s="15">
        <v>6</v>
      </c>
      <c r="BA13" s="99">
        <v>909.4</v>
      </c>
      <c r="BB13" s="148">
        <v>44141</v>
      </c>
      <c r="BC13" s="99">
        <v>909.4</v>
      </c>
      <c r="BD13" s="102" t="s">
        <v>343</v>
      </c>
      <c r="BE13" s="459">
        <v>45</v>
      </c>
      <c r="BH13" s="248"/>
      <c r="BI13" s="15">
        <v>6</v>
      </c>
      <c r="BJ13" s="99">
        <v>818.7</v>
      </c>
      <c r="BK13" s="148">
        <v>44141</v>
      </c>
      <c r="BL13" s="99">
        <v>818.7</v>
      </c>
      <c r="BM13" s="102" t="s">
        <v>347</v>
      </c>
      <c r="BN13" s="459">
        <v>45</v>
      </c>
      <c r="BQ13" s="114"/>
      <c r="BR13" s="15">
        <v>6</v>
      </c>
      <c r="BS13" s="99">
        <v>872.11</v>
      </c>
      <c r="BT13" s="460">
        <v>44145</v>
      </c>
      <c r="BU13" s="99">
        <v>872.11</v>
      </c>
      <c r="BV13" s="461" t="s">
        <v>356</v>
      </c>
      <c r="BW13" s="462">
        <v>45</v>
      </c>
      <c r="BX13" s="870">
        <f t="shared" si="9"/>
        <v>39244.949999999997</v>
      </c>
      <c r="BZ13" s="114"/>
      <c r="CA13" s="15">
        <v>6</v>
      </c>
      <c r="CB13" s="99">
        <v>895.8</v>
      </c>
      <c r="CC13" s="460">
        <v>44146</v>
      </c>
      <c r="CD13" s="99">
        <v>895.8</v>
      </c>
      <c r="CE13" s="463" t="s">
        <v>361</v>
      </c>
      <c r="CF13" s="462">
        <v>45</v>
      </c>
      <c r="CG13" s="870">
        <f t="shared" si="10"/>
        <v>40311</v>
      </c>
      <c r="CJ13" s="114"/>
      <c r="CK13" s="15">
        <v>6</v>
      </c>
      <c r="CL13" s="99">
        <v>914.44</v>
      </c>
      <c r="CM13" s="460">
        <v>44147</v>
      </c>
      <c r="CN13" s="99">
        <v>914.44</v>
      </c>
      <c r="CO13" s="463" t="s">
        <v>365</v>
      </c>
      <c r="CP13" s="462">
        <v>45</v>
      </c>
      <c r="CQ13" s="925">
        <f t="shared" si="11"/>
        <v>41149.800000000003</v>
      </c>
      <c r="CT13" s="114"/>
      <c r="CU13" s="15">
        <v>6</v>
      </c>
      <c r="CV13" s="99">
        <v>905.8</v>
      </c>
      <c r="CW13" s="392">
        <v>44148</v>
      </c>
      <c r="CX13" s="99">
        <v>905.8</v>
      </c>
      <c r="CY13" s="102" t="s">
        <v>371</v>
      </c>
      <c r="CZ13" s="76">
        <v>45</v>
      </c>
      <c r="DA13" s="870">
        <f t="shared" si="12"/>
        <v>40761</v>
      </c>
      <c r="DD13" s="114"/>
      <c r="DE13" s="15">
        <v>6</v>
      </c>
      <c r="DF13" s="99">
        <v>900.4</v>
      </c>
      <c r="DG13" s="460">
        <v>44148</v>
      </c>
      <c r="DH13" s="99">
        <v>900.4</v>
      </c>
      <c r="DI13" s="463" t="s">
        <v>374</v>
      </c>
      <c r="DJ13" s="462">
        <v>45</v>
      </c>
      <c r="DK13" s="925">
        <f t="shared" si="13"/>
        <v>40518</v>
      </c>
      <c r="DN13" s="114"/>
      <c r="DO13" s="15">
        <v>6</v>
      </c>
      <c r="DP13" s="99">
        <v>908.5</v>
      </c>
      <c r="DQ13" s="460">
        <v>44152</v>
      </c>
      <c r="DR13" s="99">
        <v>908.5</v>
      </c>
      <c r="DS13" s="463" t="s">
        <v>377</v>
      </c>
      <c r="DT13" s="462">
        <v>45</v>
      </c>
      <c r="DU13" s="870">
        <f t="shared" si="14"/>
        <v>40882.5</v>
      </c>
      <c r="DX13" s="114"/>
      <c r="DY13" s="15">
        <v>6</v>
      </c>
      <c r="DZ13" s="74">
        <v>775.51</v>
      </c>
      <c r="EA13" s="412">
        <v>44150</v>
      </c>
      <c r="EB13" s="74">
        <v>775.51</v>
      </c>
      <c r="EC13" s="75" t="s">
        <v>386</v>
      </c>
      <c r="ED13" s="76">
        <v>44</v>
      </c>
      <c r="EE13" s="870">
        <f t="shared" si="15"/>
        <v>34122.44</v>
      </c>
      <c r="EH13" s="114"/>
      <c r="EI13" s="15">
        <v>6</v>
      </c>
      <c r="EJ13" s="74">
        <v>860.5</v>
      </c>
      <c r="EK13" s="412">
        <v>44154</v>
      </c>
      <c r="EL13" s="74">
        <v>860.5</v>
      </c>
      <c r="EM13" s="315" t="s">
        <v>400</v>
      </c>
      <c r="EN13" s="76">
        <v>42</v>
      </c>
      <c r="EO13" s="870">
        <f t="shared" si="16"/>
        <v>36141</v>
      </c>
      <c r="ER13" s="529"/>
      <c r="ES13" s="15">
        <v>6</v>
      </c>
      <c r="ET13" s="330">
        <v>932.1</v>
      </c>
      <c r="EU13" s="398">
        <v>44154</v>
      </c>
      <c r="EV13" s="330">
        <v>932.1</v>
      </c>
      <c r="EW13" s="315" t="s">
        <v>398</v>
      </c>
      <c r="EX13" s="316">
        <v>42</v>
      </c>
      <c r="EY13" s="388">
        <f t="shared" si="17"/>
        <v>39148.200000000004</v>
      </c>
      <c r="FB13" s="114"/>
      <c r="FC13" s="15">
        <v>6</v>
      </c>
      <c r="FD13" s="99">
        <v>869.5</v>
      </c>
      <c r="FE13" s="392">
        <v>44154</v>
      </c>
      <c r="FF13" s="99">
        <v>869.5</v>
      </c>
      <c r="FG13" s="75" t="s">
        <v>404</v>
      </c>
      <c r="FH13" s="76">
        <v>42</v>
      </c>
      <c r="FI13" s="870">
        <f t="shared" si="18"/>
        <v>36519</v>
      </c>
      <c r="FL13" s="114"/>
      <c r="FM13" s="15">
        <v>6</v>
      </c>
      <c r="FN13" s="99">
        <v>896.7</v>
      </c>
      <c r="FO13" s="392">
        <v>44156</v>
      </c>
      <c r="FP13" s="99">
        <v>896.7</v>
      </c>
      <c r="FQ13" s="75" t="s">
        <v>414</v>
      </c>
      <c r="FR13" s="76">
        <v>42</v>
      </c>
      <c r="FS13" s="870">
        <f t="shared" si="19"/>
        <v>37661.4</v>
      </c>
      <c r="FV13" s="114"/>
      <c r="FW13" s="15">
        <v>6</v>
      </c>
      <c r="FX13" s="74">
        <v>885.9</v>
      </c>
      <c r="FY13" s="657">
        <v>44156</v>
      </c>
      <c r="FZ13" s="74">
        <v>885.9</v>
      </c>
      <c r="GA13" s="315" t="s">
        <v>411</v>
      </c>
      <c r="GB13" s="316">
        <v>42</v>
      </c>
      <c r="GC13" s="388">
        <f t="shared" si="20"/>
        <v>37207.799999999996</v>
      </c>
      <c r="GF13" s="114"/>
      <c r="GG13" s="15">
        <v>6</v>
      </c>
      <c r="GH13" s="632">
        <v>862.3</v>
      </c>
      <c r="GI13" s="392">
        <v>44159</v>
      </c>
      <c r="GJ13" s="632">
        <v>862.3</v>
      </c>
      <c r="GK13" s="102" t="s">
        <v>418</v>
      </c>
      <c r="GL13" s="76">
        <v>38</v>
      </c>
      <c r="GM13" s="870">
        <f t="shared" si="21"/>
        <v>32767.399999999998</v>
      </c>
      <c r="GP13" s="114"/>
      <c r="GQ13" s="15">
        <v>6</v>
      </c>
      <c r="GR13" s="99">
        <v>897.05</v>
      </c>
      <c r="GS13" s="392">
        <v>44159</v>
      </c>
      <c r="GT13" s="99">
        <v>897.05</v>
      </c>
      <c r="GU13" s="102" t="s">
        <v>420</v>
      </c>
      <c r="GV13" s="76">
        <v>38</v>
      </c>
      <c r="GW13" s="870">
        <f t="shared" si="22"/>
        <v>34087.9</v>
      </c>
      <c r="GZ13" s="114"/>
      <c r="HA13" s="15">
        <v>6</v>
      </c>
      <c r="HB13" s="99">
        <v>961.61</v>
      </c>
      <c r="HC13" s="392">
        <v>44160</v>
      </c>
      <c r="HD13" s="99">
        <v>961.61</v>
      </c>
      <c r="HE13" s="102" t="s">
        <v>428</v>
      </c>
      <c r="HF13" s="76">
        <v>38</v>
      </c>
      <c r="HG13" s="870">
        <f t="shared" si="23"/>
        <v>36541.18</v>
      </c>
      <c r="HJ13" s="114"/>
      <c r="HK13" s="15">
        <v>6</v>
      </c>
      <c r="HL13" s="330">
        <v>873.2</v>
      </c>
      <c r="HM13" s="398">
        <v>44161</v>
      </c>
      <c r="HN13" s="330">
        <v>873.2</v>
      </c>
      <c r="HO13" s="465" t="s">
        <v>432</v>
      </c>
      <c r="HP13" s="316">
        <v>38</v>
      </c>
      <c r="HQ13" s="388">
        <f t="shared" si="24"/>
        <v>33181.599999999999</v>
      </c>
      <c r="HT13" s="114"/>
      <c r="HU13" s="15">
        <v>6</v>
      </c>
      <c r="HV13" s="74">
        <v>909.4</v>
      </c>
      <c r="HW13" s="412">
        <v>44162</v>
      </c>
      <c r="HX13" s="74">
        <v>909.4</v>
      </c>
      <c r="HY13" s="75" t="s">
        <v>454</v>
      </c>
      <c r="HZ13" s="76">
        <v>38</v>
      </c>
      <c r="IA13" s="870">
        <f t="shared" si="25"/>
        <v>34557.199999999997</v>
      </c>
      <c r="ID13" s="114"/>
      <c r="IE13" s="15">
        <v>6</v>
      </c>
      <c r="IF13" s="330">
        <v>871.3</v>
      </c>
      <c r="IG13" s="359">
        <v>44162</v>
      </c>
      <c r="IH13" s="330">
        <v>871.3</v>
      </c>
      <c r="II13" s="675" t="s">
        <v>437</v>
      </c>
      <c r="IJ13" s="316">
        <v>38</v>
      </c>
      <c r="IK13" s="388">
        <f t="shared" si="26"/>
        <v>33109.4</v>
      </c>
      <c r="IL13" s="99"/>
      <c r="IM13" s="74"/>
      <c r="IN13" s="114"/>
      <c r="IO13" s="15">
        <v>6</v>
      </c>
      <c r="IP13" s="99">
        <v>883.1</v>
      </c>
      <c r="IQ13" s="412">
        <v>44166</v>
      </c>
      <c r="IR13" s="99">
        <v>883.1</v>
      </c>
      <c r="IS13" s="75" t="s">
        <v>452</v>
      </c>
      <c r="IT13" s="76">
        <v>38</v>
      </c>
      <c r="IU13" s="870">
        <f t="shared" si="27"/>
        <v>33557.800000000003</v>
      </c>
      <c r="IV13" s="74"/>
      <c r="IX13" s="114"/>
      <c r="IY13" s="15">
        <v>6</v>
      </c>
      <c r="IZ13" s="99">
        <v>934.69</v>
      </c>
      <c r="JA13" s="392">
        <v>44167</v>
      </c>
      <c r="JB13" s="99">
        <v>934.69</v>
      </c>
      <c r="JC13" s="75" t="s">
        <v>478</v>
      </c>
      <c r="JD13" s="76">
        <v>38</v>
      </c>
      <c r="JE13" s="870">
        <f t="shared" si="28"/>
        <v>35518.22</v>
      </c>
      <c r="JH13" s="114"/>
      <c r="JI13" s="15">
        <v>6</v>
      </c>
      <c r="JJ13" s="74">
        <v>920.63</v>
      </c>
      <c r="JK13" s="412">
        <v>44167</v>
      </c>
      <c r="JL13" s="74">
        <v>920.63</v>
      </c>
      <c r="JM13" s="75" t="s">
        <v>476</v>
      </c>
      <c r="JN13" s="76">
        <v>38</v>
      </c>
      <c r="JO13" s="870">
        <f t="shared" si="29"/>
        <v>34983.94</v>
      </c>
      <c r="JR13" s="114"/>
      <c r="JS13" s="15">
        <v>6</v>
      </c>
      <c r="JT13" s="99">
        <v>885</v>
      </c>
      <c r="JU13" s="392">
        <v>44168</v>
      </c>
      <c r="JV13" s="99">
        <v>885</v>
      </c>
      <c r="JW13" s="102" t="s">
        <v>482</v>
      </c>
      <c r="JX13" s="76">
        <v>39</v>
      </c>
      <c r="JY13" s="870">
        <f t="shared" si="30"/>
        <v>34515</v>
      </c>
      <c r="KB13" s="114"/>
      <c r="KC13" s="15">
        <v>6</v>
      </c>
      <c r="KD13" s="99">
        <v>888.6</v>
      </c>
      <c r="KE13" s="392">
        <v>44168</v>
      </c>
      <c r="KF13" s="99">
        <v>888.6</v>
      </c>
      <c r="KG13" s="102" t="s">
        <v>483</v>
      </c>
      <c r="KH13" s="76">
        <v>39</v>
      </c>
      <c r="KI13" s="870">
        <f t="shared" si="31"/>
        <v>34655.4</v>
      </c>
      <c r="KL13" s="114"/>
      <c r="KM13" s="15">
        <v>6</v>
      </c>
      <c r="KN13" s="99">
        <v>958.89</v>
      </c>
      <c r="KO13" s="392">
        <v>44169</v>
      </c>
      <c r="KP13" s="99">
        <v>958.89</v>
      </c>
      <c r="KQ13" s="102" t="s">
        <v>495</v>
      </c>
      <c r="KR13" s="76">
        <v>39</v>
      </c>
      <c r="KS13" s="870">
        <f t="shared" si="32"/>
        <v>37396.71</v>
      </c>
      <c r="KV13" s="114"/>
      <c r="KW13" s="15">
        <v>6</v>
      </c>
      <c r="KX13" s="99">
        <v>904</v>
      </c>
      <c r="KY13" s="392">
        <v>44169</v>
      </c>
      <c r="KZ13" s="99">
        <v>904</v>
      </c>
      <c r="LA13" s="102" t="s">
        <v>487</v>
      </c>
      <c r="LB13" s="76">
        <v>39</v>
      </c>
      <c r="LC13" s="870">
        <f t="shared" si="33"/>
        <v>35256</v>
      </c>
      <c r="LF13" s="114"/>
      <c r="LG13" s="15">
        <v>6</v>
      </c>
      <c r="LH13" s="99">
        <v>865.9</v>
      </c>
      <c r="LI13" s="392">
        <v>44169</v>
      </c>
      <c r="LJ13" s="99">
        <v>865.9</v>
      </c>
      <c r="LK13" s="102" t="s">
        <v>492</v>
      </c>
      <c r="LL13" s="76">
        <v>39</v>
      </c>
      <c r="LM13" s="870">
        <f t="shared" si="34"/>
        <v>33770.1</v>
      </c>
      <c r="LP13" s="114"/>
      <c r="LQ13" s="15">
        <v>6</v>
      </c>
      <c r="LR13" s="472"/>
      <c r="LS13" s="392"/>
      <c r="LT13" s="472"/>
      <c r="LU13" s="102"/>
      <c r="LV13" s="76"/>
      <c r="LY13" s="114"/>
      <c r="LZ13" s="15">
        <v>6</v>
      </c>
      <c r="MA13" s="472"/>
      <c r="MB13" s="392"/>
      <c r="MC13" s="472"/>
      <c r="MD13" s="102"/>
      <c r="ME13" s="76"/>
      <c r="MH13" s="114"/>
      <c r="MI13" s="15">
        <v>6</v>
      </c>
      <c r="MJ13" s="99"/>
      <c r="MK13" s="392"/>
      <c r="ML13" s="99"/>
      <c r="MM13" s="102"/>
      <c r="MN13" s="76"/>
      <c r="MQ13" s="114"/>
      <c r="MR13" s="15">
        <v>6</v>
      </c>
      <c r="MS13" s="472"/>
      <c r="MT13" s="392"/>
      <c r="MU13" s="385"/>
      <c r="MV13" s="384"/>
      <c r="MW13" s="76"/>
      <c r="MZ13" s="114"/>
      <c r="NA13" s="15">
        <v>6</v>
      </c>
      <c r="NB13" s="99"/>
      <c r="NC13" s="392"/>
      <c r="ND13" s="99"/>
      <c r="NE13" s="102"/>
      <c r="NF13" s="76"/>
      <c r="NI13" s="114"/>
      <c r="NJ13" s="15">
        <v>6</v>
      </c>
      <c r="NK13" s="99"/>
      <c r="NL13" s="392"/>
      <c r="NM13" s="99"/>
      <c r="NN13" s="102"/>
      <c r="NO13" s="76"/>
      <c r="NR13" s="114"/>
      <c r="NS13" s="15">
        <v>6</v>
      </c>
      <c r="NT13" s="99"/>
      <c r="NU13" s="392"/>
      <c r="NV13" s="99"/>
      <c r="NW13" s="102"/>
      <c r="NX13" s="76"/>
      <c r="OA13" s="114"/>
      <c r="OB13" s="15">
        <v>6</v>
      </c>
      <c r="OC13" s="99"/>
      <c r="OD13" s="392"/>
      <c r="OE13" s="99"/>
      <c r="OF13" s="102"/>
      <c r="OG13" s="76"/>
      <c r="OJ13" s="114"/>
      <c r="OK13" s="15">
        <v>6</v>
      </c>
      <c r="OL13" s="330"/>
      <c r="OM13" s="398"/>
      <c r="ON13" s="330"/>
      <c r="OO13" s="384"/>
      <c r="OP13" s="316"/>
      <c r="OS13" s="101"/>
      <c r="OT13" s="15">
        <v>6</v>
      </c>
      <c r="OU13" s="99"/>
      <c r="OV13" s="392"/>
      <c r="OW13" s="99"/>
      <c r="OX13" s="102"/>
      <c r="OY13" s="76"/>
      <c r="PB13" s="114"/>
      <c r="PC13" s="15">
        <v>6</v>
      </c>
      <c r="PD13" s="99"/>
      <c r="PE13" s="392"/>
      <c r="PF13" s="99"/>
      <c r="PG13" s="102"/>
      <c r="PH13" s="76"/>
      <c r="PK13" s="114"/>
      <c r="PL13" s="15">
        <v>6</v>
      </c>
      <c r="PM13" s="99"/>
      <c r="PN13" s="148"/>
      <c r="PO13" s="99"/>
      <c r="PP13" s="102"/>
      <c r="PQ13" s="76"/>
      <c r="PT13" s="114"/>
      <c r="PU13" s="15">
        <v>6</v>
      </c>
      <c r="PV13" s="99"/>
      <c r="PW13" s="392"/>
      <c r="PX13" s="99"/>
      <c r="PY13" s="102"/>
      <c r="PZ13" s="76"/>
      <c r="QC13" s="114"/>
      <c r="QD13" s="15">
        <v>6</v>
      </c>
      <c r="QE13" s="99"/>
      <c r="QF13" s="392"/>
      <c r="QG13" s="99"/>
      <c r="QH13" s="102"/>
      <c r="QI13" s="76"/>
      <c r="QL13" s="114"/>
      <c r="QM13" s="15">
        <v>6</v>
      </c>
      <c r="QN13" s="99"/>
      <c r="QO13" s="392"/>
      <c r="QP13" s="99"/>
      <c r="QQ13" s="102"/>
      <c r="QR13" s="76"/>
      <c r="QU13" s="101"/>
      <c r="QV13" s="15">
        <v>6</v>
      </c>
      <c r="QW13" s="99"/>
      <c r="QX13" s="392"/>
      <c r="QY13" s="99"/>
      <c r="QZ13" s="102"/>
      <c r="RA13" s="76"/>
      <c r="RD13" s="114"/>
      <c r="RE13" s="15">
        <v>6</v>
      </c>
      <c r="RF13" s="99"/>
      <c r="RG13" s="148"/>
      <c r="RH13" s="99"/>
      <c r="RI13" s="102"/>
      <c r="RJ13" s="76"/>
      <c r="RM13" s="114"/>
      <c r="RN13" s="15">
        <v>6</v>
      </c>
      <c r="RO13" s="99"/>
      <c r="RP13" s="86"/>
      <c r="RQ13" s="99"/>
      <c r="RR13" s="102"/>
      <c r="RS13" s="76"/>
      <c r="RV13" s="114"/>
      <c r="RW13" s="15">
        <v>6</v>
      </c>
      <c r="RX13" s="99"/>
      <c r="RY13" s="86"/>
      <c r="RZ13" s="99"/>
      <c r="SA13" s="102"/>
      <c r="SB13" s="76"/>
      <c r="SE13" s="114"/>
      <c r="SF13" s="15"/>
      <c r="SG13" s="99"/>
      <c r="SH13" s="86"/>
      <c r="SI13" s="99"/>
      <c r="SJ13" s="102"/>
      <c r="SK13" s="76"/>
      <c r="SN13" s="114"/>
      <c r="SO13" s="15">
        <v>6</v>
      </c>
      <c r="SP13" s="99"/>
      <c r="SQ13" s="471"/>
      <c r="SR13" s="206"/>
      <c r="SS13" s="463"/>
      <c r="ST13" s="462"/>
      <c r="SW13" s="114"/>
      <c r="SX13" s="15">
        <v>6</v>
      </c>
      <c r="SY13" s="99"/>
      <c r="SZ13" s="86"/>
      <c r="TA13" s="99"/>
      <c r="TB13" s="102"/>
      <c r="TC13" s="76"/>
      <c r="TF13" s="114"/>
      <c r="TG13" s="15">
        <v>6</v>
      </c>
      <c r="TH13" s="99"/>
      <c r="TI13" s="86"/>
      <c r="TJ13" s="99"/>
      <c r="TK13" s="102"/>
      <c r="TL13" s="76"/>
      <c r="TO13" s="114"/>
      <c r="TP13" s="15">
        <v>6</v>
      </c>
      <c r="TQ13" s="99"/>
      <c r="TR13" s="86"/>
      <c r="TS13" s="99"/>
      <c r="TT13" s="102"/>
      <c r="TU13" s="76"/>
      <c r="TX13" s="114"/>
      <c r="TY13" s="15">
        <v>6</v>
      </c>
      <c r="TZ13" s="99"/>
      <c r="UA13" s="86"/>
      <c r="UB13" s="99"/>
      <c r="UC13" s="102"/>
      <c r="UD13" s="76"/>
      <c r="UG13" s="114"/>
      <c r="UH13" s="15">
        <v>6</v>
      </c>
      <c r="UI13" s="99"/>
      <c r="UJ13" s="86"/>
      <c r="UK13" s="99"/>
      <c r="UL13" s="102"/>
      <c r="UM13" s="76"/>
      <c r="UP13" s="114"/>
      <c r="UQ13" s="15">
        <v>6</v>
      </c>
      <c r="UR13" s="99"/>
      <c r="US13" s="86"/>
      <c r="UT13" s="99"/>
      <c r="UU13" s="102"/>
      <c r="UV13" s="76"/>
      <c r="UY13" s="114"/>
      <c r="UZ13" s="15">
        <v>6</v>
      </c>
      <c r="VA13" s="99"/>
      <c r="VB13" s="86"/>
      <c r="VC13" s="99"/>
      <c r="VD13" s="102"/>
      <c r="VE13" s="76"/>
      <c r="VH13" s="114"/>
      <c r="VI13" s="15">
        <v>6</v>
      </c>
      <c r="VJ13" s="99"/>
      <c r="VK13" s="86"/>
      <c r="VL13" s="99"/>
      <c r="VM13" s="102"/>
      <c r="VN13" s="76"/>
      <c r="VQ13" s="114"/>
      <c r="VR13" s="15">
        <v>6</v>
      </c>
      <c r="VS13" s="99"/>
      <c r="VT13" s="86"/>
      <c r="VU13" s="99"/>
      <c r="VV13" s="102"/>
      <c r="VW13" s="76"/>
      <c r="VZ13" s="114"/>
      <c r="WA13" s="15">
        <v>6</v>
      </c>
      <c r="WB13" s="99"/>
      <c r="WC13" s="86"/>
      <c r="WD13" s="99"/>
      <c r="WE13" s="102"/>
      <c r="WF13" s="76"/>
      <c r="WI13" s="114"/>
      <c r="WJ13" s="15">
        <v>6</v>
      </c>
      <c r="WK13" s="99"/>
      <c r="WL13" s="86"/>
      <c r="WM13" s="99"/>
      <c r="WN13" s="102"/>
      <c r="WO13" s="76"/>
      <c r="WR13" s="114"/>
      <c r="WS13" s="15">
        <v>6</v>
      </c>
      <c r="WT13" s="99"/>
      <c r="WU13" s="86"/>
      <c r="WV13" s="99"/>
      <c r="WW13" s="102"/>
      <c r="WX13" s="76"/>
      <c r="XA13" s="114"/>
      <c r="XB13" s="15">
        <v>6</v>
      </c>
      <c r="XC13" s="99"/>
      <c r="XD13" s="86"/>
      <c r="XE13" s="99"/>
      <c r="XF13" s="102"/>
      <c r="XG13" s="76"/>
      <c r="XJ13" s="114"/>
      <c r="XK13" s="15">
        <v>6</v>
      </c>
      <c r="XL13" s="99"/>
      <c r="XM13" s="86"/>
      <c r="XN13" s="99"/>
      <c r="XO13" s="102"/>
      <c r="XP13" s="76"/>
      <c r="XS13" s="114"/>
      <c r="XT13" s="15">
        <v>6</v>
      </c>
      <c r="XU13" s="99"/>
      <c r="XV13" s="86"/>
      <c r="XW13" s="99"/>
      <c r="XX13" s="102"/>
      <c r="XY13" s="76"/>
      <c r="YB13" s="114"/>
      <c r="YC13" s="15">
        <v>6</v>
      </c>
      <c r="YD13" s="99"/>
      <c r="YE13" s="86"/>
      <c r="YF13" s="99"/>
      <c r="YG13" s="102"/>
      <c r="YH13" s="76"/>
      <c r="YK13" s="114"/>
      <c r="YL13" s="15">
        <v>6</v>
      </c>
      <c r="YM13" s="99"/>
      <c r="YN13" s="86"/>
      <c r="YO13" s="99"/>
      <c r="YP13" s="102"/>
      <c r="YQ13" s="76"/>
      <c r="YT13" s="114"/>
      <c r="YU13" s="15">
        <v>6</v>
      </c>
      <c r="YV13" s="99"/>
      <c r="YW13" s="86"/>
      <c r="YX13" s="99"/>
      <c r="YY13" s="102"/>
      <c r="YZ13" s="76"/>
      <c r="ZC13" s="114"/>
      <c r="ZD13" s="15">
        <v>6</v>
      </c>
      <c r="ZE13" s="99"/>
      <c r="ZF13" s="86"/>
      <c r="ZG13" s="99"/>
      <c r="ZH13" s="102"/>
      <c r="ZI13" s="76"/>
      <c r="ZL13" s="114"/>
      <c r="ZM13" s="15">
        <v>6</v>
      </c>
      <c r="ZN13" s="99"/>
      <c r="ZO13" s="86"/>
      <c r="ZP13" s="99"/>
      <c r="ZQ13" s="102"/>
      <c r="ZR13" s="76"/>
      <c r="ZU13" s="114"/>
      <c r="ZV13" s="15">
        <v>6</v>
      </c>
      <c r="ZW13" s="99"/>
      <c r="ZX13" s="86"/>
      <c r="ZY13" s="99"/>
      <c r="ZZ13" s="102"/>
      <c r="AAA13" s="76"/>
      <c r="AAD13" s="114"/>
      <c r="AAE13" s="15">
        <v>6</v>
      </c>
      <c r="AAF13" s="99"/>
      <c r="AAG13" s="86"/>
      <c r="AAH13" s="99"/>
      <c r="AAI13" s="102"/>
      <c r="AAJ13" s="76"/>
      <c r="AAM13" s="114"/>
      <c r="AAN13" s="15">
        <v>6</v>
      </c>
      <c r="AAO13" s="99"/>
      <c r="AAP13" s="86"/>
      <c r="AAQ13" s="99"/>
      <c r="AAR13" s="102"/>
      <c r="AAS13" s="76"/>
      <c r="AAV13" s="114"/>
      <c r="AAW13" s="15">
        <v>6</v>
      </c>
      <c r="AAX13" s="99"/>
      <c r="AAY13" s="86"/>
      <c r="AAZ13" s="99"/>
      <c r="ABA13" s="102"/>
      <c r="ABB13" s="76"/>
      <c r="ABE13" s="114"/>
      <c r="ABF13" s="15">
        <v>6</v>
      </c>
      <c r="ABG13" s="99"/>
      <c r="ABH13" s="86"/>
      <c r="ABI13" s="99"/>
      <c r="ABJ13" s="102"/>
      <c r="ABK13" s="76"/>
      <c r="ABN13" s="114"/>
      <c r="ABO13" s="15">
        <v>6</v>
      </c>
      <c r="ABP13" s="99"/>
      <c r="ABQ13" s="86"/>
      <c r="ABR13" s="99"/>
      <c r="ABS13" s="102"/>
      <c r="ABT13" s="76"/>
      <c r="ABW13" s="114"/>
      <c r="ABX13" s="15">
        <v>6</v>
      </c>
      <c r="ABY13" s="99"/>
      <c r="ABZ13" s="86"/>
      <c r="ACA13" s="99"/>
      <c r="ACB13" s="102"/>
      <c r="ACC13" s="76"/>
      <c r="ACF13" s="114"/>
      <c r="ACG13" s="15">
        <v>6</v>
      </c>
      <c r="ACH13" s="99"/>
      <c r="ACI13" s="86"/>
      <c r="ACJ13" s="99"/>
      <c r="ACK13" s="102"/>
      <c r="ACL13" s="76"/>
      <c r="ACO13" s="114"/>
      <c r="ACP13" s="15">
        <v>6</v>
      </c>
      <c r="ACQ13" s="99"/>
      <c r="ACR13" s="86"/>
      <c r="ACS13" s="99"/>
      <c r="ACT13" s="102"/>
      <c r="ACU13" s="76"/>
      <c r="ACX13" s="114"/>
      <c r="ACY13" s="15">
        <v>6</v>
      </c>
      <c r="ACZ13" s="99"/>
      <c r="ADA13" s="86"/>
      <c r="ADB13" s="99"/>
      <c r="ADC13" s="102"/>
      <c r="ADD13" s="76"/>
      <c r="ADG13" s="114"/>
      <c r="ADH13" s="15">
        <v>6</v>
      </c>
      <c r="ADI13" s="99"/>
      <c r="ADJ13" s="86"/>
      <c r="ADK13" s="99"/>
      <c r="ADL13" s="102"/>
      <c r="ADM13" s="76"/>
      <c r="ADP13" s="114"/>
      <c r="ADQ13" s="15">
        <v>6</v>
      </c>
      <c r="ADR13" s="99"/>
      <c r="ADS13" s="86"/>
      <c r="ADT13" s="99"/>
      <c r="ADU13" s="102"/>
      <c r="ADV13" s="76"/>
      <c r="ADY13" s="114"/>
      <c r="ADZ13" s="15">
        <v>6</v>
      </c>
      <c r="AEA13" s="99"/>
      <c r="AEB13" s="86"/>
      <c r="AEC13" s="99"/>
      <c r="AED13" s="102"/>
      <c r="AEE13" s="76"/>
    </row>
    <row r="14" spans="1:811" x14ac:dyDescent="0.3">
      <c r="A14" s="150">
        <v>11</v>
      </c>
      <c r="B14" s="82" t="str">
        <f t="shared" ref="B14:I14" si="39">DC5</f>
        <v>SEABOARD FOODS</v>
      </c>
      <c r="C14" s="82" t="str">
        <f t="shared" si="39"/>
        <v>Seaboard</v>
      </c>
      <c r="D14" s="110" t="str">
        <f t="shared" si="39"/>
        <v>PED. 57566631</v>
      </c>
      <c r="E14" s="148">
        <f t="shared" si="39"/>
        <v>44148</v>
      </c>
      <c r="F14" s="93">
        <f t="shared" si="39"/>
        <v>18824.259999999998</v>
      </c>
      <c r="G14" s="79">
        <f t="shared" si="39"/>
        <v>21</v>
      </c>
      <c r="H14" s="49">
        <f t="shared" si="39"/>
        <v>18896.900000000001</v>
      </c>
      <c r="I14" s="113">
        <f t="shared" si="39"/>
        <v>-72.640000000003056</v>
      </c>
      <c r="L14" s="114"/>
      <c r="M14" s="15">
        <v>7</v>
      </c>
      <c r="N14" s="330">
        <v>930.61</v>
      </c>
      <c r="O14" s="398">
        <v>44139</v>
      </c>
      <c r="P14" s="330">
        <v>930.61</v>
      </c>
      <c r="Q14" s="384" t="s">
        <v>322</v>
      </c>
      <c r="R14" s="316">
        <v>44</v>
      </c>
      <c r="S14" s="316">
        <f t="shared" si="6"/>
        <v>40946.840000000004</v>
      </c>
      <c r="T14" s="288"/>
      <c r="V14" s="114"/>
      <c r="W14" s="15">
        <v>7</v>
      </c>
      <c r="X14" s="330">
        <v>870.4</v>
      </c>
      <c r="Y14" s="398">
        <v>44140</v>
      </c>
      <c r="Z14" s="330">
        <v>870.4</v>
      </c>
      <c r="AA14" s="465" t="s">
        <v>333</v>
      </c>
      <c r="AB14" s="316">
        <v>45</v>
      </c>
      <c r="AC14" s="388">
        <f t="shared" si="7"/>
        <v>39168</v>
      </c>
      <c r="AF14" s="114"/>
      <c r="AG14" s="15">
        <v>7</v>
      </c>
      <c r="AH14" s="99">
        <v>906.7</v>
      </c>
      <c r="AI14" s="392">
        <v>44140</v>
      </c>
      <c r="AJ14" s="99">
        <v>906.7</v>
      </c>
      <c r="AK14" s="102" t="s">
        <v>329</v>
      </c>
      <c r="AL14" s="76">
        <v>45</v>
      </c>
      <c r="AM14" s="894">
        <f t="shared" si="8"/>
        <v>40801.5</v>
      </c>
      <c r="AP14" s="114"/>
      <c r="AQ14" s="15">
        <v>7</v>
      </c>
      <c r="AR14" s="385">
        <v>908.1</v>
      </c>
      <c r="AS14" s="398">
        <v>44141</v>
      </c>
      <c r="AT14" s="385">
        <v>908.1</v>
      </c>
      <c r="AU14" s="384" t="s">
        <v>341</v>
      </c>
      <c r="AV14" s="316">
        <v>45</v>
      </c>
      <c r="AY14" s="114"/>
      <c r="AZ14" s="15">
        <v>7</v>
      </c>
      <c r="BA14" s="99">
        <v>905.8</v>
      </c>
      <c r="BB14" s="148">
        <v>44141</v>
      </c>
      <c r="BC14" s="99">
        <v>905.8</v>
      </c>
      <c r="BD14" s="102" t="s">
        <v>343</v>
      </c>
      <c r="BE14" s="459">
        <v>45</v>
      </c>
      <c r="BH14" s="114"/>
      <c r="BI14" s="15">
        <v>7</v>
      </c>
      <c r="BJ14" s="99">
        <v>913.1</v>
      </c>
      <c r="BK14" s="148">
        <v>44141</v>
      </c>
      <c r="BL14" s="99">
        <v>913.1</v>
      </c>
      <c r="BM14" s="102" t="s">
        <v>347</v>
      </c>
      <c r="BN14" s="459">
        <v>45</v>
      </c>
      <c r="BQ14" s="114"/>
      <c r="BR14" s="15">
        <v>7</v>
      </c>
      <c r="BS14" s="99">
        <v>925.62</v>
      </c>
      <c r="BT14" s="460">
        <v>44145</v>
      </c>
      <c r="BU14" s="99">
        <v>925.62</v>
      </c>
      <c r="BV14" s="461" t="s">
        <v>356</v>
      </c>
      <c r="BW14" s="462">
        <v>45</v>
      </c>
      <c r="BX14" s="870">
        <f t="shared" si="9"/>
        <v>41652.9</v>
      </c>
      <c r="BZ14" s="114"/>
      <c r="CA14" s="15">
        <v>7</v>
      </c>
      <c r="CB14" s="99">
        <v>936.7</v>
      </c>
      <c r="CC14" s="460">
        <v>44146</v>
      </c>
      <c r="CD14" s="99">
        <v>936.7</v>
      </c>
      <c r="CE14" s="463" t="s">
        <v>361</v>
      </c>
      <c r="CF14" s="462">
        <v>45</v>
      </c>
      <c r="CG14" s="870">
        <f t="shared" si="10"/>
        <v>42151.5</v>
      </c>
      <c r="CJ14" s="114"/>
      <c r="CK14" s="15">
        <v>7</v>
      </c>
      <c r="CL14" s="99">
        <v>942.56</v>
      </c>
      <c r="CM14" s="460">
        <v>44147</v>
      </c>
      <c r="CN14" s="99">
        <v>942.56</v>
      </c>
      <c r="CO14" s="463" t="s">
        <v>366</v>
      </c>
      <c r="CP14" s="462">
        <v>45</v>
      </c>
      <c r="CQ14" s="925">
        <f t="shared" si="11"/>
        <v>42415.199999999997</v>
      </c>
      <c r="CT14" s="114"/>
      <c r="CU14" s="15">
        <v>7</v>
      </c>
      <c r="CV14" s="99">
        <v>866.8</v>
      </c>
      <c r="CW14" s="392">
        <v>44148</v>
      </c>
      <c r="CX14" s="99">
        <v>866.8</v>
      </c>
      <c r="CY14" s="102" t="s">
        <v>371</v>
      </c>
      <c r="CZ14" s="76">
        <v>45</v>
      </c>
      <c r="DA14" s="870">
        <f t="shared" si="12"/>
        <v>39006</v>
      </c>
      <c r="DD14" s="114"/>
      <c r="DE14" s="15">
        <v>7</v>
      </c>
      <c r="DF14" s="99">
        <v>891.3</v>
      </c>
      <c r="DG14" s="460">
        <v>44148</v>
      </c>
      <c r="DH14" s="99">
        <v>891.3</v>
      </c>
      <c r="DI14" s="463" t="s">
        <v>374</v>
      </c>
      <c r="DJ14" s="462">
        <v>45</v>
      </c>
      <c r="DK14" s="925">
        <f t="shared" si="13"/>
        <v>40108.5</v>
      </c>
      <c r="DN14" s="114"/>
      <c r="DO14" s="15">
        <v>7</v>
      </c>
      <c r="DP14" s="99">
        <v>901.3</v>
      </c>
      <c r="DQ14" s="460">
        <v>44153</v>
      </c>
      <c r="DR14" s="99">
        <v>901.3</v>
      </c>
      <c r="DS14" s="463" t="s">
        <v>377</v>
      </c>
      <c r="DT14" s="462">
        <v>45</v>
      </c>
      <c r="DU14" s="870">
        <f t="shared" si="14"/>
        <v>40558.5</v>
      </c>
      <c r="DX14" s="114"/>
      <c r="DY14" s="15">
        <v>7</v>
      </c>
      <c r="DZ14" s="74">
        <v>829.93</v>
      </c>
      <c r="EA14" s="412">
        <v>44150</v>
      </c>
      <c r="EB14" s="74">
        <v>829.93</v>
      </c>
      <c r="EC14" s="75" t="s">
        <v>386</v>
      </c>
      <c r="ED14" s="76">
        <v>44</v>
      </c>
      <c r="EE14" s="870">
        <f t="shared" si="15"/>
        <v>36516.92</v>
      </c>
      <c r="EH14" s="114"/>
      <c r="EI14" s="15">
        <v>7</v>
      </c>
      <c r="EJ14" s="74">
        <v>847.8</v>
      </c>
      <c r="EK14" s="412">
        <v>44154</v>
      </c>
      <c r="EL14" s="74">
        <v>847.8</v>
      </c>
      <c r="EM14" s="315" t="s">
        <v>400</v>
      </c>
      <c r="EN14" s="76">
        <v>42</v>
      </c>
      <c r="EO14" s="870">
        <f t="shared" si="16"/>
        <v>35607.599999999999</v>
      </c>
      <c r="ER14" s="529"/>
      <c r="ES14" s="15">
        <v>7</v>
      </c>
      <c r="ET14" s="330">
        <v>908.5</v>
      </c>
      <c r="EU14" s="398">
        <v>44154</v>
      </c>
      <c r="EV14" s="330">
        <v>908.5</v>
      </c>
      <c r="EW14" s="315" t="s">
        <v>398</v>
      </c>
      <c r="EX14" s="316">
        <v>42</v>
      </c>
      <c r="EY14" s="388">
        <f t="shared" si="17"/>
        <v>38157</v>
      </c>
      <c r="FB14" s="114"/>
      <c r="FC14" s="15">
        <v>7</v>
      </c>
      <c r="FD14" s="99">
        <v>864.1</v>
      </c>
      <c r="FE14" s="392">
        <v>44154</v>
      </c>
      <c r="FF14" s="99">
        <v>864.1</v>
      </c>
      <c r="FG14" s="75" t="s">
        <v>404</v>
      </c>
      <c r="FH14" s="76">
        <v>42</v>
      </c>
      <c r="FI14" s="870">
        <f t="shared" si="18"/>
        <v>36292.200000000004</v>
      </c>
      <c r="FL14" s="114"/>
      <c r="FM14" s="15">
        <v>7</v>
      </c>
      <c r="FN14" s="99">
        <v>885.9</v>
      </c>
      <c r="FO14" s="392">
        <v>44156</v>
      </c>
      <c r="FP14" s="99">
        <v>885.9</v>
      </c>
      <c r="FQ14" s="75" t="s">
        <v>414</v>
      </c>
      <c r="FR14" s="76">
        <v>42</v>
      </c>
      <c r="FS14" s="870">
        <f t="shared" si="19"/>
        <v>37207.799999999996</v>
      </c>
      <c r="FV14" s="114"/>
      <c r="FW14" s="15">
        <v>7</v>
      </c>
      <c r="FX14" s="74">
        <v>876.8</v>
      </c>
      <c r="FY14" s="657">
        <v>44156</v>
      </c>
      <c r="FZ14" s="74">
        <v>876.8</v>
      </c>
      <c r="GA14" s="315" t="s">
        <v>411</v>
      </c>
      <c r="GB14" s="316">
        <v>42</v>
      </c>
      <c r="GC14" s="388">
        <f t="shared" si="20"/>
        <v>36825.599999999999</v>
      </c>
      <c r="GF14" s="114"/>
      <c r="GG14" s="15">
        <v>7</v>
      </c>
      <c r="GH14" s="632">
        <v>896.7</v>
      </c>
      <c r="GI14" s="392">
        <v>44159</v>
      </c>
      <c r="GJ14" s="632">
        <v>896.7</v>
      </c>
      <c r="GK14" s="102" t="s">
        <v>418</v>
      </c>
      <c r="GL14" s="76">
        <v>38</v>
      </c>
      <c r="GM14" s="870">
        <f t="shared" si="21"/>
        <v>34074.6</v>
      </c>
      <c r="GP14" s="114"/>
      <c r="GQ14" s="15">
        <v>7</v>
      </c>
      <c r="GR14" s="99">
        <v>834.47</v>
      </c>
      <c r="GS14" s="392">
        <v>44159</v>
      </c>
      <c r="GT14" s="99">
        <v>834.47</v>
      </c>
      <c r="GU14" s="102" t="s">
        <v>420</v>
      </c>
      <c r="GV14" s="76">
        <v>38</v>
      </c>
      <c r="GW14" s="870">
        <f t="shared" si="22"/>
        <v>31709.86</v>
      </c>
      <c r="GZ14" s="114"/>
      <c r="HA14" s="15">
        <v>7</v>
      </c>
      <c r="HB14" s="99">
        <v>943.47</v>
      </c>
      <c r="HC14" s="392">
        <v>44160</v>
      </c>
      <c r="HD14" s="99">
        <v>943.47</v>
      </c>
      <c r="HE14" s="102" t="s">
        <v>428</v>
      </c>
      <c r="HF14" s="76">
        <v>38</v>
      </c>
      <c r="HG14" s="870">
        <f t="shared" si="23"/>
        <v>35851.86</v>
      </c>
      <c r="HJ14" s="114"/>
      <c r="HK14" s="15">
        <v>7</v>
      </c>
      <c r="HL14" s="330">
        <v>832.3</v>
      </c>
      <c r="HM14" s="398">
        <v>44161</v>
      </c>
      <c r="HN14" s="330">
        <v>832.3</v>
      </c>
      <c r="HO14" s="465" t="s">
        <v>432</v>
      </c>
      <c r="HP14" s="316">
        <v>38</v>
      </c>
      <c r="HQ14" s="388">
        <f t="shared" si="24"/>
        <v>31627.399999999998</v>
      </c>
      <c r="HT14" s="114"/>
      <c r="HU14" s="15">
        <v>7</v>
      </c>
      <c r="HV14" s="74">
        <v>910.4</v>
      </c>
      <c r="HW14" s="412">
        <v>44162</v>
      </c>
      <c r="HX14" s="74">
        <v>910.4</v>
      </c>
      <c r="HY14" s="75" t="s">
        <v>454</v>
      </c>
      <c r="HZ14" s="76">
        <v>38</v>
      </c>
      <c r="IA14" s="870">
        <f t="shared" si="25"/>
        <v>34595.199999999997</v>
      </c>
      <c r="ID14" s="114"/>
      <c r="IE14" s="15">
        <v>7</v>
      </c>
      <c r="IF14" s="330">
        <v>924</v>
      </c>
      <c r="IG14" s="359">
        <v>44162</v>
      </c>
      <c r="IH14" s="330">
        <v>924</v>
      </c>
      <c r="II14" s="675" t="s">
        <v>437</v>
      </c>
      <c r="IJ14" s="316">
        <v>38</v>
      </c>
      <c r="IK14" s="388">
        <f t="shared" si="26"/>
        <v>35112</v>
      </c>
      <c r="IL14" s="99"/>
      <c r="IM14" s="74"/>
      <c r="IN14" s="114"/>
      <c r="IO14" s="15">
        <v>7</v>
      </c>
      <c r="IP14" s="99">
        <v>896.7</v>
      </c>
      <c r="IQ14" s="412">
        <v>44166</v>
      </c>
      <c r="IR14" s="99">
        <v>896.7</v>
      </c>
      <c r="IS14" s="75" t="s">
        <v>452</v>
      </c>
      <c r="IT14" s="76">
        <v>38</v>
      </c>
      <c r="IU14" s="870">
        <f t="shared" si="27"/>
        <v>34074.6</v>
      </c>
      <c r="IV14" s="74"/>
      <c r="IX14" s="114"/>
      <c r="IY14" s="15">
        <v>7</v>
      </c>
      <c r="IZ14" s="99">
        <v>858.5</v>
      </c>
      <c r="JA14" s="392">
        <v>44167</v>
      </c>
      <c r="JB14" s="99">
        <v>858.5</v>
      </c>
      <c r="JC14" s="75" t="s">
        <v>478</v>
      </c>
      <c r="JD14" s="76">
        <v>38</v>
      </c>
      <c r="JE14" s="870">
        <f t="shared" si="28"/>
        <v>32623</v>
      </c>
      <c r="JH14" s="114"/>
      <c r="JI14" s="15">
        <v>7</v>
      </c>
      <c r="JJ14" s="74">
        <v>838.55</v>
      </c>
      <c r="JK14" s="412">
        <v>44167</v>
      </c>
      <c r="JL14" s="74">
        <v>838.55</v>
      </c>
      <c r="JM14" s="75" t="s">
        <v>476</v>
      </c>
      <c r="JN14" s="76">
        <v>38</v>
      </c>
      <c r="JO14" s="870">
        <f t="shared" si="29"/>
        <v>31864.899999999998</v>
      </c>
      <c r="JR14" s="114"/>
      <c r="JS14" s="15">
        <v>7</v>
      </c>
      <c r="JT14" s="99">
        <v>893.1</v>
      </c>
      <c r="JU14" s="392">
        <v>44168</v>
      </c>
      <c r="JV14" s="99">
        <v>893.1</v>
      </c>
      <c r="JW14" s="102" t="s">
        <v>482</v>
      </c>
      <c r="JX14" s="76">
        <v>39</v>
      </c>
      <c r="JY14" s="870">
        <f t="shared" si="30"/>
        <v>34830.9</v>
      </c>
      <c r="KB14" s="114"/>
      <c r="KC14" s="15">
        <v>7</v>
      </c>
      <c r="KD14" s="99">
        <v>937.6</v>
      </c>
      <c r="KE14" s="392">
        <v>44168</v>
      </c>
      <c r="KF14" s="99">
        <v>937.6</v>
      </c>
      <c r="KG14" s="102" t="s">
        <v>483</v>
      </c>
      <c r="KH14" s="76">
        <v>39</v>
      </c>
      <c r="KI14" s="870">
        <f t="shared" si="31"/>
        <v>36566.400000000001</v>
      </c>
      <c r="KL14" s="114"/>
      <c r="KM14" s="15">
        <v>7</v>
      </c>
      <c r="KN14" s="99">
        <v>933.49</v>
      </c>
      <c r="KO14" s="392">
        <v>44169</v>
      </c>
      <c r="KP14" s="99">
        <v>933.49</v>
      </c>
      <c r="KQ14" s="102" t="s">
        <v>495</v>
      </c>
      <c r="KR14" s="76">
        <v>39</v>
      </c>
      <c r="KS14" s="870">
        <f t="shared" si="32"/>
        <v>36406.11</v>
      </c>
      <c r="KV14" s="114"/>
      <c r="KW14" s="15">
        <v>7</v>
      </c>
      <c r="KX14" s="99">
        <v>894</v>
      </c>
      <c r="KY14" s="392">
        <v>44169</v>
      </c>
      <c r="KZ14" s="99">
        <v>894</v>
      </c>
      <c r="LA14" s="102" t="s">
        <v>487</v>
      </c>
      <c r="LB14" s="76">
        <v>39</v>
      </c>
      <c r="LC14" s="870">
        <f t="shared" si="33"/>
        <v>34866</v>
      </c>
      <c r="LF14" s="114"/>
      <c r="LG14" s="15">
        <v>7</v>
      </c>
      <c r="LH14" s="99">
        <v>908.5</v>
      </c>
      <c r="LI14" s="392">
        <v>44169</v>
      </c>
      <c r="LJ14" s="99">
        <v>908.5</v>
      </c>
      <c r="LK14" s="102" t="s">
        <v>492</v>
      </c>
      <c r="LL14" s="76">
        <v>39</v>
      </c>
      <c r="LM14" s="870">
        <f t="shared" si="34"/>
        <v>35431.5</v>
      </c>
      <c r="LP14" s="114"/>
      <c r="LQ14" s="15">
        <v>7</v>
      </c>
      <c r="LR14" s="472"/>
      <c r="LS14" s="392"/>
      <c r="LT14" s="472"/>
      <c r="LU14" s="102"/>
      <c r="LV14" s="76"/>
      <c r="LY14" s="114"/>
      <c r="LZ14" s="15">
        <v>7</v>
      </c>
      <c r="MA14" s="472"/>
      <c r="MB14" s="392"/>
      <c r="MC14" s="472"/>
      <c r="MD14" s="102"/>
      <c r="ME14" s="76"/>
      <c r="MH14" s="114"/>
      <c r="MI14" s="15">
        <v>7</v>
      </c>
      <c r="MJ14" s="99"/>
      <c r="MK14" s="392"/>
      <c r="ML14" s="99"/>
      <c r="MM14" s="102"/>
      <c r="MN14" s="76"/>
      <c r="MQ14" s="114"/>
      <c r="MR14" s="15">
        <v>7</v>
      </c>
      <c r="MS14" s="472"/>
      <c r="MT14" s="392"/>
      <c r="MU14" s="472"/>
      <c r="MV14" s="384"/>
      <c r="MW14" s="76"/>
      <c r="MZ14" s="114"/>
      <c r="NA14" s="15">
        <v>7</v>
      </c>
      <c r="NB14" s="99"/>
      <c r="NC14" s="392"/>
      <c r="ND14" s="99"/>
      <c r="NE14" s="102"/>
      <c r="NF14" s="76"/>
      <c r="NI14" s="114"/>
      <c r="NJ14" s="15">
        <v>7</v>
      </c>
      <c r="NK14" s="99"/>
      <c r="NL14" s="392"/>
      <c r="NM14" s="99"/>
      <c r="NN14" s="102"/>
      <c r="NO14" s="76"/>
      <c r="NR14" s="114"/>
      <c r="NS14" s="15">
        <v>7</v>
      </c>
      <c r="NT14" s="99"/>
      <c r="NU14" s="392"/>
      <c r="NV14" s="99"/>
      <c r="NW14" s="102"/>
      <c r="NX14" s="76"/>
      <c r="OA14" s="114"/>
      <c r="OB14" s="15">
        <v>7</v>
      </c>
      <c r="OC14" s="99"/>
      <c r="OD14" s="392"/>
      <c r="OE14" s="99"/>
      <c r="OF14" s="102"/>
      <c r="OG14" s="76"/>
      <c r="OJ14" s="114"/>
      <c r="OK14" s="15">
        <v>7</v>
      </c>
      <c r="OL14" s="330"/>
      <c r="OM14" s="398"/>
      <c r="ON14" s="330"/>
      <c r="OO14" s="384"/>
      <c r="OP14" s="316"/>
      <c r="OS14" s="101"/>
      <c r="OT14" s="15">
        <v>7</v>
      </c>
      <c r="OU14" s="99"/>
      <c r="OV14" s="392"/>
      <c r="OW14" s="99"/>
      <c r="OX14" s="102"/>
      <c r="OY14" s="76"/>
      <c r="PB14" s="114"/>
      <c r="PC14" s="15">
        <v>7</v>
      </c>
      <c r="PD14" s="99"/>
      <c r="PE14" s="392"/>
      <c r="PF14" s="99"/>
      <c r="PG14" s="102"/>
      <c r="PH14" s="76"/>
      <c r="PK14" s="114"/>
      <c r="PL14" s="15">
        <v>7</v>
      </c>
      <c r="PM14" s="99"/>
      <c r="PN14" s="148"/>
      <c r="PO14" s="99"/>
      <c r="PP14" s="102"/>
      <c r="PQ14" s="76"/>
      <c r="PT14" s="114"/>
      <c r="PU14" s="15">
        <v>7</v>
      </c>
      <c r="PV14" s="99"/>
      <c r="PW14" s="392"/>
      <c r="PX14" s="99"/>
      <c r="PY14" s="102"/>
      <c r="PZ14" s="76"/>
      <c r="QC14" s="114"/>
      <c r="QD14" s="15">
        <v>7</v>
      </c>
      <c r="QE14" s="99"/>
      <c r="QF14" s="392"/>
      <c r="QG14" s="99"/>
      <c r="QH14" s="102"/>
      <c r="QI14" s="76"/>
      <c r="QL14" s="114"/>
      <c r="QM14" s="15">
        <v>7</v>
      </c>
      <c r="QN14" s="99"/>
      <c r="QO14" s="392"/>
      <c r="QP14" s="99"/>
      <c r="QQ14" s="102"/>
      <c r="QR14" s="76"/>
      <c r="QU14" s="114"/>
      <c r="QV14" s="15">
        <v>7</v>
      </c>
      <c r="QW14" s="99"/>
      <c r="QX14" s="392"/>
      <c r="QY14" s="99"/>
      <c r="QZ14" s="102"/>
      <c r="RA14" s="76"/>
      <c r="RD14" s="114"/>
      <c r="RE14" s="15">
        <v>7</v>
      </c>
      <c r="RF14" s="99"/>
      <c r="RG14" s="148"/>
      <c r="RH14" s="99"/>
      <c r="RI14" s="102"/>
      <c r="RJ14" s="76"/>
      <c r="RM14" s="114"/>
      <c r="RN14" s="15">
        <v>7</v>
      </c>
      <c r="RO14" s="99"/>
      <c r="RP14" s="86"/>
      <c r="RQ14" s="99"/>
      <c r="RR14" s="102"/>
      <c r="RS14" s="76"/>
      <c r="RV14" s="114"/>
      <c r="RW14" s="15">
        <v>7</v>
      </c>
      <c r="RX14" s="99"/>
      <c r="RY14" s="86"/>
      <c r="RZ14" s="99"/>
      <c r="SA14" s="102"/>
      <c r="SB14" s="76"/>
      <c r="SE14" s="114"/>
      <c r="SF14" s="15"/>
      <c r="SG14" s="99"/>
      <c r="SH14" s="86"/>
      <c r="SI14" s="99"/>
      <c r="SJ14" s="102"/>
      <c r="SK14" s="76"/>
      <c r="SN14" s="114"/>
      <c r="SO14" s="15">
        <v>7</v>
      </c>
      <c r="SP14" s="99"/>
      <c r="SQ14" s="471"/>
      <c r="SR14" s="206"/>
      <c r="SS14" s="463"/>
      <c r="ST14" s="462"/>
      <c r="SW14" s="114"/>
      <c r="SX14" s="15">
        <v>7</v>
      </c>
      <c r="SY14" s="99"/>
      <c r="SZ14" s="86"/>
      <c r="TA14" s="99"/>
      <c r="TB14" s="102"/>
      <c r="TC14" s="76"/>
      <c r="TF14" s="114"/>
      <c r="TG14" s="15">
        <v>7</v>
      </c>
      <c r="TH14" s="99"/>
      <c r="TI14" s="86"/>
      <c r="TJ14" s="99"/>
      <c r="TK14" s="102"/>
      <c r="TL14" s="76"/>
      <c r="TO14" s="114"/>
      <c r="TP14" s="15">
        <v>7</v>
      </c>
      <c r="TQ14" s="99"/>
      <c r="TR14" s="86"/>
      <c r="TS14" s="99"/>
      <c r="TT14" s="102"/>
      <c r="TU14" s="76"/>
      <c r="TX14" s="114"/>
      <c r="TY14" s="15">
        <v>7</v>
      </c>
      <c r="TZ14" s="99"/>
      <c r="UA14" s="86"/>
      <c r="UB14" s="99"/>
      <c r="UC14" s="102"/>
      <c r="UD14" s="76"/>
      <c r="UG14" s="114"/>
      <c r="UH14" s="15">
        <v>7</v>
      </c>
      <c r="UI14" s="99"/>
      <c r="UJ14" s="86"/>
      <c r="UK14" s="99"/>
      <c r="UL14" s="102"/>
      <c r="UM14" s="76"/>
      <c r="UP14" s="114"/>
      <c r="UQ14" s="15">
        <v>7</v>
      </c>
      <c r="UR14" s="99"/>
      <c r="US14" s="86"/>
      <c r="UT14" s="99"/>
      <c r="UU14" s="102"/>
      <c r="UV14" s="76"/>
      <c r="UY14" s="114"/>
      <c r="UZ14" s="15">
        <v>7</v>
      </c>
      <c r="VA14" s="99"/>
      <c r="VB14" s="86"/>
      <c r="VC14" s="99"/>
      <c r="VD14" s="102"/>
      <c r="VE14" s="76"/>
      <c r="VH14" s="114"/>
      <c r="VI14" s="15">
        <v>7</v>
      </c>
      <c r="VJ14" s="99"/>
      <c r="VK14" s="86"/>
      <c r="VL14" s="99"/>
      <c r="VM14" s="102"/>
      <c r="VN14" s="76"/>
      <c r="VQ14" s="114"/>
      <c r="VR14" s="15">
        <v>7</v>
      </c>
      <c r="VS14" s="99"/>
      <c r="VT14" s="86"/>
      <c r="VU14" s="99"/>
      <c r="VV14" s="102"/>
      <c r="VW14" s="76"/>
      <c r="VZ14" s="114"/>
      <c r="WA14" s="15">
        <v>7</v>
      </c>
      <c r="WB14" s="99"/>
      <c r="WC14" s="86"/>
      <c r="WD14" s="99"/>
      <c r="WE14" s="102"/>
      <c r="WF14" s="76"/>
      <c r="WI14" s="114"/>
      <c r="WJ14" s="15">
        <v>7</v>
      </c>
      <c r="WK14" s="99"/>
      <c r="WL14" s="86"/>
      <c r="WM14" s="99"/>
      <c r="WN14" s="102"/>
      <c r="WO14" s="76"/>
      <c r="WR14" s="114"/>
      <c r="WS14" s="15">
        <v>7</v>
      </c>
      <c r="WT14" s="99"/>
      <c r="WU14" s="86"/>
      <c r="WV14" s="99"/>
      <c r="WW14" s="102"/>
      <c r="WX14" s="76"/>
      <c r="XA14" s="114"/>
      <c r="XB14" s="15">
        <v>7</v>
      </c>
      <c r="XC14" s="99"/>
      <c r="XD14" s="86"/>
      <c r="XE14" s="99"/>
      <c r="XF14" s="102"/>
      <c r="XG14" s="76"/>
      <c r="XJ14" s="114"/>
      <c r="XK14" s="15">
        <v>7</v>
      </c>
      <c r="XL14" s="99"/>
      <c r="XM14" s="86"/>
      <c r="XN14" s="99"/>
      <c r="XO14" s="102"/>
      <c r="XP14" s="76"/>
      <c r="XS14" s="114"/>
      <c r="XT14" s="15">
        <v>7</v>
      </c>
      <c r="XU14" s="99"/>
      <c r="XV14" s="86"/>
      <c r="XW14" s="99"/>
      <c r="XX14" s="102"/>
      <c r="XY14" s="76"/>
      <c r="YB14" s="114"/>
      <c r="YC14" s="15">
        <v>7</v>
      </c>
      <c r="YD14" s="99"/>
      <c r="YE14" s="86"/>
      <c r="YF14" s="99"/>
      <c r="YG14" s="102"/>
      <c r="YH14" s="76"/>
      <c r="YK14" s="114"/>
      <c r="YL14" s="15">
        <v>7</v>
      </c>
      <c r="YM14" s="99"/>
      <c r="YN14" s="86"/>
      <c r="YO14" s="99"/>
      <c r="YP14" s="102"/>
      <c r="YQ14" s="76"/>
      <c r="YT14" s="114"/>
      <c r="YU14" s="15">
        <v>7</v>
      </c>
      <c r="YV14" s="99"/>
      <c r="YW14" s="86"/>
      <c r="YX14" s="99"/>
      <c r="YY14" s="102"/>
      <c r="YZ14" s="76"/>
      <c r="ZC14" s="114"/>
      <c r="ZD14" s="15">
        <v>7</v>
      </c>
      <c r="ZE14" s="99"/>
      <c r="ZF14" s="86"/>
      <c r="ZG14" s="99"/>
      <c r="ZH14" s="102"/>
      <c r="ZI14" s="76"/>
      <c r="ZL14" s="114"/>
      <c r="ZM14" s="15">
        <v>7</v>
      </c>
      <c r="ZN14" s="99"/>
      <c r="ZO14" s="86"/>
      <c r="ZP14" s="99"/>
      <c r="ZQ14" s="102"/>
      <c r="ZR14" s="76"/>
      <c r="ZU14" s="114"/>
      <c r="ZV14" s="15">
        <v>7</v>
      </c>
      <c r="ZW14" s="99"/>
      <c r="ZX14" s="86"/>
      <c r="ZY14" s="99"/>
      <c r="ZZ14" s="102"/>
      <c r="AAA14" s="76"/>
      <c r="AAD14" s="114"/>
      <c r="AAE14" s="15">
        <v>7</v>
      </c>
      <c r="AAF14" s="99"/>
      <c r="AAG14" s="86"/>
      <c r="AAH14" s="99"/>
      <c r="AAI14" s="102"/>
      <c r="AAJ14" s="76"/>
      <c r="AAM14" s="114"/>
      <c r="AAN14" s="15">
        <v>7</v>
      </c>
      <c r="AAO14" s="99"/>
      <c r="AAP14" s="86"/>
      <c r="AAQ14" s="99"/>
      <c r="AAR14" s="102"/>
      <c r="AAS14" s="76"/>
      <c r="AAV14" s="114"/>
      <c r="AAW14" s="15">
        <v>7</v>
      </c>
      <c r="AAX14" s="99"/>
      <c r="AAY14" s="86"/>
      <c r="AAZ14" s="99"/>
      <c r="ABA14" s="102"/>
      <c r="ABB14" s="76"/>
      <c r="ABE14" s="114"/>
      <c r="ABF14" s="15">
        <v>7</v>
      </c>
      <c r="ABG14" s="99"/>
      <c r="ABH14" s="86"/>
      <c r="ABI14" s="99"/>
      <c r="ABJ14" s="102"/>
      <c r="ABK14" s="76"/>
      <c r="ABN14" s="114"/>
      <c r="ABO14" s="15">
        <v>7</v>
      </c>
      <c r="ABP14" s="99"/>
      <c r="ABQ14" s="86"/>
      <c r="ABR14" s="99"/>
      <c r="ABS14" s="102"/>
      <c r="ABT14" s="76"/>
      <c r="ABW14" s="114"/>
      <c r="ABX14" s="15">
        <v>7</v>
      </c>
      <c r="ABY14" s="99"/>
      <c r="ABZ14" s="86"/>
      <c r="ACA14" s="99"/>
      <c r="ACB14" s="102"/>
      <c r="ACC14" s="76"/>
      <c r="ACF14" s="114"/>
      <c r="ACG14" s="15">
        <v>7</v>
      </c>
      <c r="ACH14" s="99"/>
      <c r="ACI14" s="86"/>
      <c r="ACJ14" s="99"/>
      <c r="ACK14" s="102"/>
      <c r="ACL14" s="76"/>
      <c r="ACO14" s="114"/>
      <c r="ACP14" s="15">
        <v>7</v>
      </c>
      <c r="ACQ14" s="99"/>
      <c r="ACR14" s="86"/>
      <c r="ACS14" s="99"/>
      <c r="ACT14" s="102"/>
      <c r="ACU14" s="76"/>
      <c r="ACX14" s="114"/>
      <c r="ACY14" s="15">
        <v>7</v>
      </c>
      <c r="ACZ14" s="99"/>
      <c r="ADA14" s="86"/>
      <c r="ADB14" s="99"/>
      <c r="ADC14" s="102"/>
      <c r="ADD14" s="76"/>
      <c r="ADG14" s="114"/>
      <c r="ADH14" s="15">
        <v>7</v>
      </c>
      <c r="ADI14" s="99"/>
      <c r="ADJ14" s="86"/>
      <c r="ADK14" s="99"/>
      <c r="ADL14" s="102"/>
      <c r="ADM14" s="76"/>
      <c r="ADP14" s="114"/>
      <c r="ADQ14" s="15">
        <v>7</v>
      </c>
      <c r="ADR14" s="99"/>
      <c r="ADS14" s="86"/>
      <c r="ADT14" s="99"/>
      <c r="ADU14" s="102"/>
      <c r="ADV14" s="76"/>
      <c r="ADY14" s="114"/>
      <c r="ADZ14" s="15">
        <v>7</v>
      </c>
      <c r="AEA14" s="99"/>
      <c r="AEB14" s="86"/>
      <c r="AEC14" s="99"/>
      <c r="AED14" s="102"/>
      <c r="AEE14" s="76"/>
    </row>
    <row r="15" spans="1:811" x14ac:dyDescent="0.3">
      <c r="A15" s="150">
        <v>12</v>
      </c>
      <c r="B15" s="82" t="str">
        <f t="shared" ref="B15:I15" si="40">DM5</f>
        <v>SEABOARD FOODS</v>
      </c>
      <c r="C15" s="82" t="str">
        <f t="shared" si="40"/>
        <v>Seaboard</v>
      </c>
      <c r="D15" s="110" t="str">
        <f t="shared" si="40"/>
        <v>PED. 57567088</v>
      </c>
      <c r="E15" s="148">
        <f t="shared" si="40"/>
        <v>44148</v>
      </c>
      <c r="F15" s="93">
        <f t="shared" si="40"/>
        <v>18731.509999999998</v>
      </c>
      <c r="G15" s="79">
        <f t="shared" si="40"/>
        <v>21</v>
      </c>
      <c r="H15" s="49">
        <f t="shared" si="40"/>
        <v>18850.599999999999</v>
      </c>
      <c r="I15" s="113">
        <f t="shared" si="40"/>
        <v>-119.09000000000015</v>
      </c>
      <c r="L15" s="114"/>
      <c r="M15" s="15">
        <v>8</v>
      </c>
      <c r="N15" s="330">
        <v>964.17</v>
      </c>
      <c r="O15" s="398">
        <v>44139</v>
      </c>
      <c r="P15" s="330">
        <v>964.17</v>
      </c>
      <c r="Q15" s="384" t="s">
        <v>322</v>
      </c>
      <c r="R15" s="316">
        <v>44</v>
      </c>
      <c r="S15" s="316">
        <f t="shared" si="6"/>
        <v>42423.479999999996</v>
      </c>
      <c r="T15" s="288"/>
      <c r="V15" s="114"/>
      <c r="W15" s="15">
        <v>8</v>
      </c>
      <c r="X15" s="330">
        <v>891.3</v>
      </c>
      <c r="Y15" s="398">
        <v>44140</v>
      </c>
      <c r="Z15" s="330">
        <v>891.3</v>
      </c>
      <c r="AA15" s="465" t="s">
        <v>333</v>
      </c>
      <c r="AB15" s="316">
        <v>45</v>
      </c>
      <c r="AC15" s="388">
        <f t="shared" si="7"/>
        <v>40108.5</v>
      </c>
      <c r="AF15" s="114"/>
      <c r="AG15" s="15">
        <v>8</v>
      </c>
      <c r="AH15" s="99">
        <v>927.6</v>
      </c>
      <c r="AI15" s="392">
        <v>44140</v>
      </c>
      <c r="AJ15" s="99">
        <v>927.6</v>
      </c>
      <c r="AK15" s="102" t="s">
        <v>329</v>
      </c>
      <c r="AL15" s="76">
        <v>45</v>
      </c>
      <c r="AM15" s="894">
        <f t="shared" si="8"/>
        <v>41742</v>
      </c>
      <c r="AP15" s="114"/>
      <c r="AQ15" s="15">
        <v>8</v>
      </c>
      <c r="AR15" s="385">
        <v>894.5</v>
      </c>
      <c r="AS15" s="398">
        <v>44141</v>
      </c>
      <c r="AT15" s="385">
        <v>894.5</v>
      </c>
      <c r="AU15" s="384" t="s">
        <v>341</v>
      </c>
      <c r="AV15" s="316">
        <v>45</v>
      </c>
      <c r="AY15" s="114"/>
      <c r="AZ15" s="15">
        <v>8</v>
      </c>
      <c r="BA15" s="99">
        <v>898.6</v>
      </c>
      <c r="BB15" s="148">
        <v>44141</v>
      </c>
      <c r="BC15" s="99">
        <v>898.6</v>
      </c>
      <c r="BD15" s="102" t="s">
        <v>343</v>
      </c>
      <c r="BE15" s="459">
        <v>45</v>
      </c>
      <c r="BH15" s="114"/>
      <c r="BI15" s="15">
        <v>8</v>
      </c>
      <c r="BJ15" s="99">
        <v>861.4</v>
      </c>
      <c r="BK15" s="148">
        <v>44141</v>
      </c>
      <c r="BL15" s="99">
        <v>861.4</v>
      </c>
      <c r="BM15" s="102" t="s">
        <v>347</v>
      </c>
      <c r="BN15" s="459">
        <v>45</v>
      </c>
      <c r="BQ15" s="114"/>
      <c r="BR15" s="15">
        <v>8</v>
      </c>
      <c r="BS15" s="99">
        <v>865.31</v>
      </c>
      <c r="BT15" s="460">
        <v>44145</v>
      </c>
      <c r="BU15" s="99">
        <v>865.31</v>
      </c>
      <c r="BV15" s="461" t="s">
        <v>356</v>
      </c>
      <c r="BW15" s="462">
        <v>45</v>
      </c>
      <c r="BX15" s="870">
        <f t="shared" si="9"/>
        <v>38938.949999999997</v>
      </c>
      <c r="BZ15" s="114"/>
      <c r="CA15" s="15">
        <v>8</v>
      </c>
      <c r="CB15" s="99">
        <v>894.9</v>
      </c>
      <c r="CC15" s="460">
        <v>44146</v>
      </c>
      <c r="CD15" s="99">
        <v>894.9</v>
      </c>
      <c r="CE15" s="463" t="s">
        <v>361</v>
      </c>
      <c r="CF15" s="462">
        <v>45</v>
      </c>
      <c r="CG15" s="870">
        <f t="shared" si="10"/>
        <v>40270.5</v>
      </c>
      <c r="CJ15" s="114"/>
      <c r="CK15" s="15">
        <v>8</v>
      </c>
      <c r="CL15" s="99">
        <v>954.35</v>
      </c>
      <c r="CM15" s="460">
        <v>44147</v>
      </c>
      <c r="CN15" s="99">
        <v>954.35</v>
      </c>
      <c r="CO15" s="463" t="s">
        <v>365</v>
      </c>
      <c r="CP15" s="462">
        <v>45</v>
      </c>
      <c r="CQ15" s="925">
        <f t="shared" si="11"/>
        <v>42945.75</v>
      </c>
      <c r="CT15" s="114"/>
      <c r="CU15" s="15">
        <v>8</v>
      </c>
      <c r="CV15" s="99">
        <v>901.3</v>
      </c>
      <c r="CW15" s="392">
        <v>44148</v>
      </c>
      <c r="CX15" s="99">
        <v>901.3</v>
      </c>
      <c r="CY15" s="102" t="s">
        <v>371</v>
      </c>
      <c r="CZ15" s="76">
        <v>45</v>
      </c>
      <c r="DA15" s="870">
        <f t="shared" si="12"/>
        <v>40558.5</v>
      </c>
      <c r="DD15" s="114"/>
      <c r="DE15" s="15">
        <v>8</v>
      </c>
      <c r="DF15" s="99">
        <v>865</v>
      </c>
      <c r="DG15" s="460">
        <v>44148</v>
      </c>
      <c r="DH15" s="99">
        <v>865</v>
      </c>
      <c r="DI15" s="463" t="s">
        <v>373</v>
      </c>
      <c r="DJ15" s="462">
        <v>45</v>
      </c>
      <c r="DK15" s="925">
        <f t="shared" si="13"/>
        <v>38925</v>
      </c>
      <c r="DN15" s="114"/>
      <c r="DO15" s="15">
        <v>8</v>
      </c>
      <c r="DP15" s="99">
        <v>862.3</v>
      </c>
      <c r="DQ15" s="460">
        <v>44154</v>
      </c>
      <c r="DR15" s="99">
        <v>862.3</v>
      </c>
      <c r="DS15" s="463" t="s">
        <v>377</v>
      </c>
      <c r="DT15" s="462">
        <v>45</v>
      </c>
      <c r="DU15" s="870">
        <f t="shared" si="14"/>
        <v>38803.5</v>
      </c>
      <c r="DX15" s="114"/>
      <c r="DY15" s="15">
        <v>8</v>
      </c>
      <c r="DZ15" s="74">
        <v>732.43</v>
      </c>
      <c r="EA15" s="412">
        <v>44150</v>
      </c>
      <c r="EB15" s="74">
        <v>732.43</v>
      </c>
      <c r="EC15" s="75" t="s">
        <v>386</v>
      </c>
      <c r="ED15" s="76">
        <v>44</v>
      </c>
      <c r="EE15" s="870">
        <f t="shared" si="15"/>
        <v>32226.92</v>
      </c>
      <c r="EH15" s="114"/>
      <c r="EI15" s="15">
        <v>8</v>
      </c>
      <c r="EJ15" s="74">
        <v>885</v>
      </c>
      <c r="EK15" s="412">
        <v>44154</v>
      </c>
      <c r="EL15" s="74">
        <v>885</v>
      </c>
      <c r="EM15" s="315" t="s">
        <v>400</v>
      </c>
      <c r="EN15" s="76">
        <v>42</v>
      </c>
      <c r="EO15" s="870">
        <f t="shared" si="16"/>
        <v>37170</v>
      </c>
      <c r="ER15" s="529"/>
      <c r="ES15" s="15">
        <v>8</v>
      </c>
      <c r="ET15" s="330">
        <v>874.1</v>
      </c>
      <c r="EU15" s="398">
        <v>44154</v>
      </c>
      <c r="EV15" s="330">
        <v>874.1</v>
      </c>
      <c r="EW15" s="315" t="s">
        <v>398</v>
      </c>
      <c r="EX15" s="316">
        <v>42</v>
      </c>
      <c r="EY15" s="388">
        <f t="shared" si="17"/>
        <v>36712.200000000004</v>
      </c>
      <c r="FB15" s="114"/>
      <c r="FC15" s="15">
        <v>8</v>
      </c>
      <c r="FD15" s="99">
        <v>869.5</v>
      </c>
      <c r="FE15" s="392">
        <v>44154</v>
      </c>
      <c r="FF15" s="99">
        <v>869.5</v>
      </c>
      <c r="FG15" s="75" t="s">
        <v>404</v>
      </c>
      <c r="FH15" s="76">
        <v>42</v>
      </c>
      <c r="FI15" s="870">
        <f t="shared" si="18"/>
        <v>36519</v>
      </c>
      <c r="FL15" s="114"/>
      <c r="FM15" s="15">
        <v>8</v>
      </c>
      <c r="FN15" s="99">
        <v>877.7</v>
      </c>
      <c r="FO15" s="392">
        <v>44156</v>
      </c>
      <c r="FP15" s="99">
        <v>877.7</v>
      </c>
      <c r="FQ15" s="75" t="s">
        <v>414</v>
      </c>
      <c r="FR15" s="76">
        <v>42</v>
      </c>
      <c r="FS15" s="870">
        <f t="shared" si="19"/>
        <v>36863.4</v>
      </c>
      <c r="FV15" s="114"/>
      <c r="FW15" s="15">
        <v>8</v>
      </c>
      <c r="FX15" s="74">
        <v>875</v>
      </c>
      <c r="FY15" s="657">
        <v>44156</v>
      </c>
      <c r="FZ15" s="74">
        <v>875</v>
      </c>
      <c r="GA15" s="315" t="s">
        <v>411</v>
      </c>
      <c r="GB15" s="316">
        <v>42</v>
      </c>
      <c r="GC15" s="388">
        <f t="shared" si="20"/>
        <v>36750</v>
      </c>
      <c r="GF15" s="114"/>
      <c r="GG15" s="15">
        <v>8</v>
      </c>
      <c r="GH15" s="632">
        <v>897.7</v>
      </c>
      <c r="GI15" s="392">
        <v>44159</v>
      </c>
      <c r="GJ15" s="632">
        <v>897.7</v>
      </c>
      <c r="GK15" s="102" t="s">
        <v>418</v>
      </c>
      <c r="GL15" s="76">
        <v>38</v>
      </c>
      <c r="GM15" s="870">
        <f t="shared" si="21"/>
        <v>34112.6</v>
      </c>
      <c r="GP15" s="114"/>
      <c r="GQ15" s="15">
        <v>8</v>
      </c>
      <c r="GR15" s="99">
        <v>840.82</v>
      </c>
      <c r="GS15" s="392">
        <v>44159</v>
      </c>
      <c r="GT15" s="99">
        <v>840.82</v>
      </c>
      <c r="GU15" s="102" t="s">
        <v>420</v>
      </c>
      <c r="GV15" s="76">
        <v>38</v>
      </c>
      <c r="GW15" s="870">
        <f t="shared" si="22"/>
        <v>31951.160000000003</v>
      </c>
      <c r="GZ15" s="114"/>
      <c r="HA15" s="15">
        <v>8</v>
      </c>
      <c r="HB15" s="99">
        <v>957.07</v>
      </c>
      <c r="HC15" s="392">
        <v>44160</v>
      </c>
      <c r="HD15" s="99">
        <v>957.07</v>
      </c>
      <c r="HE15" s="102" t="s">
        <v>428</v>
      </c>
      <c r="HF15" s="76">
        <v>38</v>
      </c>
      <c r="HG15" s="870">
        <f t="shared" si="23"/>
        <v>36368.660000000003</v>
      </c>
      <c r="HJ15" s="114"/>
      <c r="HK15" s="15">
        <v>8</v>
      </c>
      <c r="HL15" s="330">
        <v>907.6</v>
      </c>
      <c r="HM15" s="398">
        <v>44161</v>
      </c>
      <c r="HN15" s="330">
        <v>907.6</v>
      </c>
      <c r="HO15" s="465" t="s">
        <v>432</v>
      </c>
      <c r="HP15" s="316">
        <v>38</v>
      </c>
      <c r="HQ15" s="388">
        <f t="shared" si="24"/>
        <v>34488.800000000003</v>
      </c>
      <c r="HT15" s="101"/>
      <c r="HU15" s="15">
        <v>8</v>
      </c>
      <c r="HV15" s="74">
        <v>913.1</v>
      </c>
      <c r="HW15" s="412">
        <v>44162</v>
      </c>
      <c r="HX15" s="74">
        <v>913.1</v>
      </c>
      <c r="HY15" s="75" t="s">
        <v>454</v>
      </c>
      <c r="HZ15" s="76">
        <v>38</v>
      </c>
      <c r="IA15" s="870">
        <f t="shared" si="25"/>
        <v>34697.800000000003</v>
      </c>
      <c r="ID15" s="114"/>
      <c r="IE15" s="15">
        <v>8</v>
      </c>
      <c r="IF15" s="330">
        <v>847.8</v>
      </c>
      <c r="IG15" s="359">
        <v>44162</v>
      </c>
      <c r="IH15" s="330">
        <v>847.8</v>
      </c>
      <c r="II15" s="675" t="s">
        <v>437</v>
      </c>
      <c r="IJ15" s="316">
        <v>38</v>
      </c>
      <c r="IK15" s="388">
        <f t="shared" si="26"/>
        <v>32216.399999999998</v>
      </c>
      <c r="IL15" s="99"/>
      <c r="IM15" s="74"/>
      <c r="IN15" s="114"/>
      <c r="IO15" s="15">
        <v>8</v>
      </c>
      <c r="IP15" s="99">
        <v>922.1</v>
      </c>
      <c r="IQ15" s="412">
        <v>44166</v>
      </c>
      <c r="IR15" s="99">
        <v>922.1</v>
      </c>
      <c r="IS15" s="75" t="s">
        <v>452</v>
      </c>
      <c r="IT15" s="76">
        <v>38</v>
      </c>
      <c r="IU15" s="870">
        <f t="shared" si="27"/>
        <v>35039.800000000003</v>
      </c>
      <c r="IV15" s="74"/>
      <c r="IX15" s="114"/>
      <c r="IY15" s="15">
        <v>8</v>
      </c>
      <c r="IZ15" s="99">
        <v>851.7</v>
      </c>
      <c r="JA15" s="392">
        <v>44167</v>
      </c>
      <c r="JB15" s="99">
        <v>851.7</v>
      </c>
      <c r="JC15" s="75" t="s">
        <v>478</v>
      </c>
      <c r="JD15" s="76">
        <v>38</v>
      </c>
      <c r="JE15" s="870">
        <f t="shared" si="28"/>
        <v>32364.600000000002</v>
      </c>
      <c r="JH15" s="114"/>
      <c r="JI15" s="15">
        <v>8</v>
      </c>
      <c r="JJ15" s="74">
        <v>884.35</v>
      </c>
      <c r="JK15" s="412">
        <v>44167</v>
      </c>
      <c r="JL15" s="74">
        <v>884.35</v>
      </c>
      <c r="JM15" s="75" t="s">
        <v>476</v>
      </c>
      <c r="JN15" s="76">
        <v>38</v>
      </c>
      <c r="JO15" s="870">
        <f t="shared" si="29"/>
        <v>33605.300000000003</v>
      </c>
      <c r="JR15" s="114"/>
      <c r="JS15" s="15">
        <v>8</v>
      </c>
      <c r="JT15" s="99">
        <v>869.5</v>
      </c>
      <c r="JU15" s="392">
        <v>44168</v>
      </c>
      <c r="JV15" s="99">
        <v>869.5</v>
      </c>
      <c r="JW15" s="102" t="s">
        <v>482</v>
      </c>
      <c r="JX15" s="76">
        <v>39</v>
      </c>
      <c r="JY15" s="870">
        <f t="shared" si="30"/>
        <v>33910.5</v>
      </c>
      <c r="KB15" s="114"/>
      <c r="KC15" s="15">
        <v>8</v>
      </c>
      <c r="KD15" s="99">
        <v>877.7</v>
      </c>
      <c r="KE15" s="392">
        <v>44168</v>
      </c>
      <c r="KF15" s="99">
        <v>877.7</v>
      </c>
      <c r="KG15" s="102" t="s">
        <v>483</v>
      </c>
      <c r="KH15" s="76">
        <v>39</v>
      </c>
      <c r="KI15" s="870">
        <f t="shared" si="31"/>
        <v>34230.300000000003</v>
      </c>
      <c r="KL15" s="114"/>
      <c r="KM15" s="15">
        <v>8</v>
      </c>
      <c r="KN15" s="99">
        <v>945.28</v>
      </c>
      <c r="KO15" s="392">
        <v>44169</v>
      </c>
      <c r="KP15" s="99">
        <v>945.28</v>
      </c>
      <c r="KQ15" s="102" t="s">
        <v>495</v>
      </c>
      <c r="KR15" s="76">
        <v>39</v>
      </c>
      <c r="KS15" s="870">
        <f t="shared" si="32"/>
        <v>36865.919999999998</v>
      </c>
      <c r="KV15" s="114"/>
      <c r="KW15" s="15">
        <v>8</v>
      </c>
      <c r="KX15" s="99">
        <v>905.8</v>
      </c>
      <c r="KY15" s="392">
        <v>44169</v>
      </c>
      <c r="KZ15" s="99">
        <v>905.8</v>
      </c>
      <c r="LA15" s="102" t="s">
        <v>487</v>
      </c>
      <c r="LB15" s="76">
        <v>39</v>
      </c>
      <c r="LC15" s="870">
        <f t="shared" si="33"/>
        <v>35326.199999999997</v>
      </c>
      <c r="LF15" s="114"/>
      <c r="LG15" s="15">
        <v>8</v>
      </c>
      <c r="LH15" s="99">
        <v>919.4</v>
      </c>
      <c r="LI15" s="392">
        <v>44169</v>
      </c>
      <c r="LJ15" s="99">
        <v>919.4</v>
      </c>
      <c r="LK15" s="102" t="s">
        <v>492</v>
      </c>
      <c r="LL15" s="76">
        <v>39</v>
      </c>
      <c r="LM15" s="870">
        <f t="shared" si="34"/>
        <v>35856.6</v>
      </c>
      <c r="LP15" s="114"/>
      <c r="LQ15" s="15">
        <v>8</v>
      </c>
      <c r="LR15" s="472"/>
      <c r="LS15" s="392"/>
      <c r="LT15" s="472"/>
      <c r="LU15" s="102"/>
      <c r="LV15" s="76"/>
      <c r="LY15" s="114"/>
      <c r="LZ15" s="15">
        <v>8</v>
      </c>
      <c r="MA15" s="472"/>
      <c r="MB15" s="392"/>
      <c r="MC15" s="472"/>
      <c r="MD15" s="102"/>
      <c r="ME15" s="76"/>
      <c r="MH15" s="114"/>
      <c r="MI15" s="15">
        <v>8</v>
      </c>
      <c r="MJ15" s="99"/>
      <c r="MK15" s="392"/>
      <c r="ML15" s="99"/>
      <c r="MM15" s="102"/>
      <c r="MN15" s="76"/>
      <c r="MQ15" s="114"/>
      <c r="MR15" s="15">
        <v>8</v>
      </c>
      <c r="MS15" s="472"/>
      <c r="MT15" s="392"/>
      <c r="MU15" s="472"/>
      <c r="MV15" s="384"/>
      <c r="MW15" s="76"/>
      <c r="MZ15" s="114"/>
      <c r="NA15" s="15">
        <v>8</v>
      </c>
      <c r="NB15" s="99"/>
      <c r="NC15" s="392"/>
      <c r="ND15" s="99"/>
      <c r="NE15" s="102"/>
      <c r="NF15" s="76"/>
      <c r="NI15" s="114"/>
      <c r="NJ15" s="15">
        <v>8</v>
      </c>
      <c r="NK15" s="99"/>
      <c r="NL15" s="392"/>
      <c r="NM15" s="99"/>
      <c r="NN15" s="102"/>
      <c r="NO15" s="76"/>
      <c r="NR15" s="114"/>
      <c r="NS15" s="15">
        <v>8</v>
      </c>
      <c r="NT15" s="99"/>
      <c r="NU15" s="392"/>
      <c r="NV15" s="99"/>
      <c r="NW15" s="102"/>
      <c r="NX15" s="76"/>
      <c r="OA15" s="114"/>
      <c r="OB15" s="15">
        <v>8</v>
      </c>
      <c r="OC15" s="99"/>
      <c r="OD15" s="392"/>
      <c r="OE15" s="99"/>
      <c r="OF15" s="102"/>
      <c r="OG15" s="76"/>
      <c r="OJ15" s="114"/>
      <c r="OK15" s="15">
        <v>8</v>
      </c>
      <c r="OL15" s="330"/>
      <c r="OM15" s="398"/>
      <c r="ON15" s="330"/>
      <c r="OO15" s="384"/>
      <c r="OP15" s="316"/>
      <c r="OS15" s="101"/>
      <c r="OT15" s="15">
        <v>8</v>
      </c>
      <c r="OU15" s="99"/>
      <c r="OV15" s="392"/>
      <c r="OW15" s="99"/>
      <c r="OX15" s="102"/>
      <c r="OY15" s="76"/>
      <c r="PB15" s="114"/>
      <c r="PC15" s="15">
        <v>8</v>
      </c>
      <c r="PD15" s="99"/>
      <c r="PE15" s="392"/>
      <c r="PF15" s="99"/>
      <c r="PG15" s="102"/>
      <c r="PH15" s="76"/>
      <c r="PK15" s="114"/>
      <c r="PL15" s="15">
        <v>8</v>
      </c>
      <c r="PM15" s="99"/>
      <c r="PN15" s="148"/>
      <c r="PO15" s="99"/>
      <c r="PP15" s="102"/>
      <c r="PQ15" s="76"/>
      <c r="PT15" s="114"/>
      <c r="PU15" s="15">
        <v>8</v>
      </c>
      <c r="PV15" s="99"/>
      <c r="PW15" s="392"/>
      <c r="PX15" s="99"/>
      <c r="PY15" s="102"/>
      <c r="PZ15" s="76"/>
      <c r="QC15" s="114"/>
      <c r="QD15" s="15">
        <v>8</v>
      </c>
      <c r="QE15" s="99"/>
      <c r="QF15" s="392"/>
      <c r="QG15" s="99"/>
      <c r="QH15" s="102"/>
      <c r="QI15" s="76"/>
      <c r="QL15" s="114"/>
      <c r="QM15" s="15">
        <v>8</v>
      </c>
      <c r="QN15" s="99"/>
      <c r="QO15" s="392"/>
      <c r="QP15" s="99"/>
      <c r="QQ15" s="102"/>
      <c r="QR15" s="76"/>
      <c r="QU15" s="114"/>
      <c r="QV15" s="15">
        <v>8</v>
      </c>
      <c r="QW15" s="99"/>
      <c r="QX15" s="392"/>
      <c r="QY15" s="99"/>
      <c r="QZ15" s="102"/>
      <c r="RA15" s="76"/>
      <c r="RD15" s="114"/>
      <c r="RE15" s="15">
        <v>8</v>
      </c>
      <c r="RF15" s="99"/>
      <c r="RG15" s="148"/>
      <c r="RH15" s="99"/>
      <c r="RI15" s="102"/>
      <c r="RJ15" s="76"/>
      <c r="RM15" s="114"/>
      <c r="RN15" s="15">
        <v>8</v>
      </c>
      <c r="RO15" s="99"/>
      <c r="RP15" s="86"/>
      <c r="RQ15" s="99"/>
      <c r="RR15" s="102"/>
      <c r="RS15" s="76"/>
      <c r="RV15" s="114"/>
      <c r="RW15" s="15">
        <v>8</v>
      </c>
      <c r="RX15" s="99"/>
      <c r="RY15" s="86"/>
      <c r="RZ15" s="99"/>
      <c r="SA15" s="102"/>
      <c r="SB15" s="76"/>
      <c r="SE15" s="114"/>
      <c r="SF15" s="15"/>
      <c r="SG15" s="99"/>
      <c r="SH15" s="86"/>
      <c r="SI15" s="99"/>
      <c r="SJ15" s="102"/>
      <c r="SK15" s="76"/>
      <c r="SN15" s="114"/>
      <c r="SO15" s="15">
        <v>8</v>
      </c>
      <c r="SP15" s="99"/>
      <c r="SQ15" s="471"/>
      <c r="SR15" s="206"/>
      <c r="SS15" s="463"/>
      <c r="ST15" s="462"/>
      <c r="SW15" s="114"/>
      <c r="SX15" s="15">
        <v>8</v>
      </c>
      <c r="SY15" s="99"/>
      <c r="SZ15" s="86"/>
      <c r="TA15" s="99"/>
      <c r="TB15" s="102"/>
      <c r="TC15" s="76"/>
      <c r="TF15" s="114"/>
      <c r="TG15" s="15">
        <v>8</v>
      </c>
      <c r="TH15" s="99"/>
      <c r="TI15" s="86"/>
      <c r="TJ15" s="99"/>
      <c r="TK15" s="102"/>
      <c r="TL15" s="76"/>
      <c r="TO15" s="114"/>
      <c r="TP15" s="15">
        <v>8</v>
      </c>
      <c r="TQ15" s="99"/>
      <c r="TR15" s="86"/>
      <c r="TS15" s="99"/>
      <c r="TT15" s="102"/>
      <c r="TU15" s="76"/>
      <c r="TX15" s="114"/>
      <c r="TY15" s="15">
        <v>8</v>
      </c>
      <c r="TZ15" s="99"/>
      <c r="UA15" s="86"/>
      <c r="UB15" s="99"/>
      <c r="UC15" s="102"/>
      <c r="UD15" s="76"/>
      <c r="UG15" s="114"/>
      <c r="UH15" s="15">
        <v>8</v>
      </c>
      <c r="UI15" s="99"/>
      <c r="UJ15" s="86"/>
      <c r="UK15" s="99"/>
      <c r="UL15" s="102"/>
      <c r="UM15" s="76"/>
      <c r="UP15" s="114"/>
      <c r="UQ15" s="15">
        <v>8</v>
      </c>
      <c r="UR15" s="99"/>
      <c r="US15" s="86"/>
      <c r="UT15" s="99"/>
      <c r="UU15" s="102"/>
      <c r="UV15" s="76"/>
      <c r="UY15" s="114"/>
      <c r="UZ15" s="15">
        <v>8</v>
      </c>
      <c r="VA15" s="99"/>
      <c r="VB15" s="86"/>
      <c r="VC15" s="99"/>
      <c r="VD15" s="102"/>
      <c r="VE15" s="76"/>
      <c r="VH15" s="114"/>
      <c r="VI15" s="15">
        <v>8</v>
      </c>
      <c r="VJ15" s="99"/>
      <c r="VK15" s="86"/>
      <c r="VL15" s="99"/>
      <c r="VM15" s="102"/>
      <c r="VN15" s="76"/>
      <c r="VQ15" s="114"/>
      <c r="VR15" s="15">
        <v>8</v>
      </c>
      <c r="VS15" s="99"/>
      <c r="VT15" s="86"/>
      <c r="VU15" s="99"/>
      <c r="VV15" s="102"/>
      <c r="VW15" s="76"/>
      <c r="VZ15" s="114"/>
      <c r="WA15" s="15">
        <v>8</v>
      </c>
      <c r="WB15" s="99"/>
      <c r="WC15" s="86"/>
      <c r="WD15" s="99"/>
      <c r="WE15" s="102"/>
      <c r="WF15" s="76"/>
      <c r="WI15" s="114"/>
      <c r="WJ15" s="15">
        <v>8</v>
      </c>
      <c r="WK15" s="99"/>
      <c r="WL15" s="86"/>
      <c r="WM15" s="99"/>
      <c r="WN15" s="102"/>
      <c r="WO15" s="76"/>
      <c r="WR15" s="114"/>
      <c r="WS15" s="15">
        <v>8</v>
      </c>
      <c r="WT15" s="99"/>
      <c r="WU15" s="86"/>
      <c r="WV15" s="99"/>
      <c r="WW15" s="102"/>
      <c r="WX15" s="76"/>
      <c r="XA15" s="114"/>
      <c r="XB15" s="15">
        <v>8</v>
      </c>
      <c r="XC15" s="99"/>
      <c r="XD15" s="86"/>
      <c r="XE15" s="99"/>
      <c r="XF15" s="102"/>
      <c r="XG15" s="76"/>
      <c r="XJ15" s="114"/>
      <c r="XK15" s="15">
        <v>8</v>
      </c>
      <c r="XL15" s="99"/>
      <c r="XM15" s="86"/>
      <c r="XN15" s="99"/>
      <c r="XO15" s="102"/>
      <c r="XP15" s="76"/>
      <c r="XS15" s="114"/>
      <c r="XT15" s="15">
        <v>8</v>
      </c>
      <c r="XU15" s="99"/>
      <c r="XV15" s="86"/>
      <c r="XW15" s="99"/>
      <c r="XX15" s="102"/>
      <c r="XY15" s="76"/>
      <c r="YB15" s="114"/>
      <c r="YC15" s="15">
        <v>8</v>
      </c>
      <c r="YD15" s="99"/>
      <c r="YE15" s="86"/>
      <c r="YF15" s="99"/>
      <c r="YG15" s="102"/>
      <c r="YH15" s="76"/>
      <c r="YK15" s="114"/>
      <c r="YL15" s="15">
        <v>8</v>
      </c>
      <c r="YM15" s="99"/>
      <c r="YN15" s="86"/>
      <c r="YO15" s="99"/>
      <c r="YP15" s="102"/>
      <c r="YQ15" s="76"/>
      <c r="YT15" s="114"/>
      <c r="YU15" s="15">
        <v>8</v>
      </c>
      <c r="YV15" s="99"/>
      <c r="YW15" s="86"/>
      <c r="YX15" s="99"/>
      <c r="YY15" s="102"/>
      <c r="YZ15" s="76"/>
      <c r="ZC15" s="114"/>
      <c r="ZD15" s="15">
        <v>8</v>
      </c>
      <c r="ZE15" s="99"/>
      <c r="ZF15" s="86"/>
      <c r="ZG15" s="99"/>
      <c r="ZH15" s="102"/>
      <c r="ZI15" s="76"/>
      <c r="ZL15" s="114"/>
      <c r="ZM15" s="15">
        <v>8</v>
      </c>
      <c r="ZN15" s="99"/>
      <c r="ZO15" s="86"/>
      <c r="ZP15" s="99"/>
      <c r="ZQ15" s="102"/>
      <c r="ZR15" s="76"/>
      <c r="ZU15" s="114"/>
      <c r="ZV15" s="15">
        <v>8</v>
      </c>
      <c r="ZW15" s="99"/>
      <c r="ZX15" s="86"/>
      <c r="ZY15" s="99"/>
      <c r="ZZ15" s="102"/>
      <c r="AAA15" s="76"/>
      <c r="AAD15" s="114"/>
      <c r="AAE15" s="15">
        <v>8</v>
      </c>
      <c r="AAF15" s="99"/>
      <c r="AAG15" s="86"/>
      <c r="AAH15" s="99"/>
      <c r="AAI15" s="102"/>
      <c r="AAJ15" s="76"/>
      <c r="AAM15" s="114"/>
      <c r="AAN15" s="15">
        <v>8</v>
      </c>
      <c r="AAO15" s="99"/>
      <c r="AAP15" s="86"/>
      <c r="AAQ15" s="99"/>
      <c r="AAR15" s="102"/>
      <c r="AAS15" s="76"/>
      <c r="AAV15" s="114"/>
      <c r="AAW15" s="15">
        <v>8</v>
      </c>
      <c r="AAX15" s="99"/>
      <c r="AAY15" s="86"/>
      <c r="AAZ15" s="99"/>
      <c r="ABA15" s="102"/>
      <c r="ABB15" s="76"/>
      <c r="ABE15" s="114"/>
      <c r="ABF15" s="15">
        <v>8</v>
      </c>
      <c r="ABG15" s="99"/>
      <c r="ABH15" s="86"/>
      <c r="ABI15" s="99"/>
      <c r="ABJ15" s="102"/>
      <c r="ABK15" s="76"/>
      <c r="ABN15" s="114"/>
      <c r="ABO15" s="15">
        <v>8</v>
      </c>
      <c r="ABP15" s="99"/>
      <c r="ABQ15" s="86"/>
      <c r="ABR15" s="99"/>
      <c r="ABS15" s="102"/>
      <c r="ABT15" s="76"/>
      <c r="ABW15" s="114"/>
      <c r="ABX15" s="15">
        <v>8</v>
      </c>
      <c r="ABY15" s="99"/>
      <c r="ABZ15" s="86"/>
      <c r="ACA15" s="99"/>
      <c r="ACB15" s="102"/>
      <c r="ACC15" s="76"/>
      <c r="ACF15" s="114"/>
      <c r="ACG15" s="15">
        <v>8</v>
      </c>
      <c r="ACH15" s="99"/>
      <c r="ACI15" s="86"/>
      <c r="ACJ15" s="99"/>
      <c r="ACK15" s="102"/>
      <c r="ACL15" s="76"/>
      <c r="ACO15" s="114"/>
      <c r="ACP15" s="15">
        <v>8</v>
      </c>
      <c r="ACQ15" s="99"/>
      <c r="ACR15" s="86"/>
      <c r="ACS15" s="99"/>
      <c r="ACT15" s="102"/>
      <c r="ACU15" s="76"/>
      <c r="ACX15" s="114"/>
      <c r="ACY15" s="15">
        <v>8</v>
      </c>
      <c r="ACZ15" s="99"/>
      <c r="ADA15" s="86"/>
      <c r="ADB15" s="99"/>
      <c r="ADC15" s="102"/>
      <c r="ADD15" s="76"/>
      <c r="ADG15" s="114"/>
      <c r="ADH15" s="15">
        <v>8</v>
      </c>
      <c r="ADI15" s="99"/>
      <c r="ADJ15" s="86"/>
      <c r="ADK15" s="99"/>
      <c r="ADL15" s="102"/>
      <c r="ADM15" s="76"/>
      <c r="ADP15" s="114"/>
      <c r="ADQ15" s="15">
        <v>8</v>
      </c>
      <c r="ADR15" s="99"/>
      <c r="ADS15" s="86"/>
      <c r="ADT15" s="99"/>
      <c r="ADU15" s="102"/>
      <c r="ADV15" s="76"/>
      <c r="ADY15" s="114"/>
      <c r="ADZ15" s="15">
        <v>8</v>
      </c>
      <c r="AEA15" s="99"/>
      <c r="AEB15" s="86"/>
      <c r="AEC15" s="99"/>
      <c r="AED15" s="102"/>
      <c r="AEE15" s="76"/>
    </row>
    <row r="16" spans="1:811" x14ac:dyDescent="0.3">
      <c r="A16" s="150">
        <v>13</v>
      </c>
      <c r="B16" s="82" t="str">
        <f t="shared" ref="B16:I16" si="41">DW5</f>
        <v>SMITHFIELD FRESH MEAT</v>
      </c>
      <c r="C16" s="82" t="str">
        <f t="shared" si="41"/>
        <v>Smithfield</v>
      </c>
      <c r="D16" s="110" t="str">
        <f t="shared" si="41"/>
        <v>PED. 57660569</v>
      </c>
      <c r="E16" s="148">
        <f t="shared" si="41"/>
        <v>44150</v>
      </c>
      <c r="F16" s="93">
        <f t="shared" si="41"/>
        <v>16469.419999999998</v>
      </c>
      <c r="G16" s="79">
        <f t="shared" si="41"/>
        <v>20</v>
      </c>
      <c r="H16" s="49">
        <f t="shared" si="41"/>
        <v>16741.060000000001</v>
      </c>
      <c r="I16" s="113">
        <f t="shared" si="41"/>
        <v>-271.64000000000306</v>
      </c>
      <c r="L16" s="114"/>
      <c r="M16" s="15">
        <v>9</v>
      </c>
      <c r="N16" s="330">
        <v>932.43</v>
      </c>
      <c r="O16" s="398">
        <v>44139</v>
      </c>
      <c r="P16" s="330">
        <v>932.43</v>
      </c>
      <c r="Q16" s="384" t="s">
        <v>322</v>
      </c>
      <c r="R16" s="316">
        <v>44</v>
      </c>
      <c r="S16" s="316">
        <f t="shared" si="6"/>
        <v>41026.92</v>
      </c>
      <c r="T16" s="288"/>
      <c r="V16" s="114"/>
      <c r="W16" s="15">
        <v>9</v>
      </c>
      <c r="X16" s="330">
        <v>862.3</v>
      </c>
      <c r="Y16" s="398">
        <v>44140</v>
      </c>
      <c r="Z16" s="330">
        <v>862.3</v>
      </c>
      <c r="AA16" s="465" t="s">
        <v>333</v>
      </c>
      <c r="AB16" s="316">
        <v>45</v>
      </c>
      <c r="AC16" s="388">
        <f t="shared" si="7"/>
        <v>38803.5</v>
      </c>
      <c r="AF16" s="114"/>
      <c r="AG16" s="15">
        <v>9</v>
      </c>
      <c r="AH16" s="99">
        <v>940.3</v>
      </c>
      <c r="AI16" s="392">
        <v>44140</v>
      </c>
      <c r="AJ16" s="99">
        <v>940.3</v>
      </c>
      <c r="AK16" s="102" t="s">
        <v>329</v>
      </c>
      <c r="AL16" s="76">
        <v>45</v>
      </c>
      <c r="AM16" s="894">
        <f t="shared" si="8"/>
        <v>42313.5</v>
      </c>
      <c r="AP16" s="114"/>
      <c r="AQ16" s="15">
        <v>9</v>
      </c>
      <c r="AR16" s="385">
        <v>916.3</v>
      </c>
      <c r="AS16" s="398">
        <v>44141</v>
      </c>
      <c r="AT16" s="385">
        <v>916.3</v>
      </c>
      <c r="AU16" s="384" t="s">
        <v>341</v>
      </c>
      <c r="AV16" s="316">
        <v>45</v>
      </c>
      <c r="AY16" s="114"/>
      <c r="AZ16" s="15">
        <v>9</v>
      </c>
      <c r="BA16" s="99">
        <v>914.9</v>
      </c>
      <c r="BB16" s="148">
        <v>44141</v>
      </c>
      <c r="BC16" s="99">
        <v>914.9</v>
      </c>
      <c r="BD16" s="102" t="s">
        <v>343</v>
      </c>
      <c r="BE16" s="459">
        <v>45</v>
      </c>
      <c r="BH16" s="114"/>
      <c r="BI16" s="15">
        <v>9</v>
      </c>
      <c r="BJ16" s="99">
        <v>923.1</v>
      </c>
      <c r="BK16" s="148">
        <v>44141</v>
      </c>
      <c r="BL16" s="99">
        <v>923.1</v>
      </c>
      <c r="BM16" s="102" t="s">
        <v>347</v>
      </c>
      <c r="BN16" s="459">
        <v>45</v>
      </c>
      <c r="BQ16" s="114"/>
      <c r="BR16" s="15">
        <v>9</v>
      </c>
      <c r="BS16" s="99">
        <v>884.81</v>
      </c>
      <c r="BT16" s="460">
        <v>44145</v>
      </c>
      <c r="BU16" s="99">
        <v>884.81</v>
      </c>
      <c r="BV16" s="461" t="s">
        <v>356</v>
      </c>
      <c r="BW16" s="462">
        <v>45</v>
      </c>
      <c r="BX16" s="870">
        <f t="shared" si="9"/>
        <v>39816.449999999997</v>
      </c>
      <c r="BZ16" s="114"/>
      <c r="CA16" s="15">
        <v>9</v>
      </c>
      <c r="CB16" s="99">
        <v>911.3</v>
      </c>
      <c r="CC16" s="460">
        <v>44146</v>
      </c>
      <c r="CD16" s="99">
        <v>911.3</v>
      </c>
      <c r="CE16" s="463" t="s">
        <v>361</v>
      </c>
      <c r="CF16" s="462">
        <v>45</v>
      </c>
      <c r="CG16" s="870">
        <f t="shared" si="10"/>
        <v>41008.5</v>
      </c>
      <c r="CJ16" s="114"/>
      <c r="CK16" s="15">
        <v>9</v>
      </c>
      <c r="CL16" s="99">
        <v>935.3</v>
      </c>
      <c r="CM16" s="460">
        <v>44147</v>
      </c>
      <c r="CN16" s="99">
        <v>935.3</v>
      </c>
      <c r="CO16" s="463" t="s">
        <v>364</v>
      </c>
      <c r="CP16" s="462">
        <v>45</v>
      </c>
      <c r="CQ16" s="925">
        <f t="shared" si="11"/>
        <v>42088.5</v>
      </c>
      <c r="CT16" s="114"/>
      <c r="CU16" s="15">
        <v>9</v>
      </c>
      <c r="CV16" s="99">
        <v>928.5</v>
      </c>
      <c r="CW16" s="392">
        <v>44148</v>
      </c>
      <c r="CX16" s="99">
        <v>928.5</v>
      </c>
      <c r="CY16" s="102" t="s">
        <v>371</v>
      </c>
      <c r="CZ16" s="76">
        <v>45</v>
      </c>
      <c r="DA16" s="870">
        <f t="shared" si="12"/>
        <v>41782.5</v>
      </c>
      <c r="DD16" s="114"/>
      <c r="DE16" s="15">
        <v>9</v>
      </c>
      <c r="DF16" s="99">
        <v>880.4</v>
      </c>
      <c r="DG16" s="460">
        <v>44148</v>
      </c>
      <c r="DH16" s="99">
        <v>880.4</v>
      </c>
      <c r="DI16" s="461" t="s">
        <v>373</v>
      </c>
      <c r="DJ16" s="462">
        <v>45</v>
      </c>
      <c r="DK16" s="925">
        <f t="shared" si="13"/>
        <v>39618</v>
      </c>
      <c r="DN16" s="114"/>
      <c r="DO16" s="15">
        <v>9</v>
      </c>
      <c r="DP16" s="99">
        <v>894.9</v>
      </c>
      <c r="DQ16" s="460">
        <v>44155</v>
      </c>
      <c r="DR16" s="99">
        <v>894.9</v>
      </c>
      <c r="DS16" s="463" t="s">
        <v>377</v>
      </c>
      <c r="DT16" s="462">
        <v>45</v>
      </c>
      <c r="DU16" s="870">
        <f t="shared" si="14"/>
        <v>40270.5</v>
      </c>
      <c r="DX16" s="114"/>
      <c r="DY16" s="15">
        <v>9</v>
      </c>
      <c r="DZ16" s="74">
        <v>873.47</v>
      </c>
      <c r="EA16" s="412">
        <v>44150</v>
      </c>
      <c r="EB16" s="74">
        <v>873.47</v>
      </c>
      <c r="EC16" s="75" t="s">
        <v>386</v>
      </c>
      <c r="ED16" s="76">
        <v>44</v>
      </c>
      <c r="EE16" s="870">
        <f t="shared" si="15"/>
        <v>38432.68</v>
      </c>
      <c r="EH16" s="114"/>
      <c r="EI16" s="15">
        <v>9</v>
      </c>
      <c r="EJ16" s="74">
        <v>903.1</v>
      </c>
      <c r="EK16" s="412">
        <v>44154</v>
      </c>
      <c r="EL16" s="74">
        <v>903.1</v>
      </c>
      <c r="EM16" s="315" t="s">
        <v>400</v>
      </c>
      <c r="EN16" s="76">
        <v>42</v>
      </c>
      <c r="EO16" s="870">
        <f t="shared" si="16"/>
        <v>37930.200000000004</v>
      </c>
      <c r="ER16" s="529"/>
      <c r="ES16" s="15">
        <v>9</v>
      </c>
      <c r="ET16" s="330">
        <v>882.2</v>
      </c>
      <c r="EU16" s="398">
        <v>44154</v>
      </c>
      <c r="EV16" s="330">
        <v>882.2</v>
      </c>
      <c r="EW16" s="315" t="s">
        <v>398</v>
      </c>
      <c r="EX16" s="316">
        <v>42</v>
      </c>
      <c r="EY16" s="388">
        <f t="shared" si="17"/>
        <v>37052.400000000001</v>
      </c>
      <c r="FB16" s="114"/>
      <c r="FC16" s="15">
        <v>9</v>
      </c>
      <c r="FD16" s="99">
        <v>918.5</v>
      </c>
      <c r="FE16" s="392">
        <v>44154</v>
      </c>
      <c r="FF16" s="99">
        <v>918.5</v>
      </c>
      <c r="FG16" s="75" t="s">
        <v>404</v>
      </c>
      <c r="FH16" s="76">
        <v>42</v>
      </c>
      <c r="FI16" s="870">
        <f t="shared" si="18"/>
        <v>38577</v>
      </c>
      <c r="FL16" s="114"/>
      <c r="FM16" s="15">
        <v>9</v>
      </c>
      <c r="FN16" s="99">
        <v>921.2</v>
      </c>
      <c r="FO16" s="392">
        <v>44156</v>
      </c>
      <c r="FP16" s="99">
        <v>921.2</v>
      </c>
      <c r="FQ16" s="75" t="s">
        <v>414</v>
      </c>
      <c r="FR16" s="76">
        <v>42</v>
      </c>
      <c r="FS16" s="870">
        <f t="shared" si="19"/>
        <v>38690.400000000001</v>
      </c>
      <c r="FV16" s="114"/>
      <c r="FW16" s="15">
        <v>9</v>
      </c>
      <c r="FX16" s="74">
        <v>922.1</v>
      </c>
      <c r="FY16" s="657">
        <v>44156</v>
      </c>
      <c r="FZ16" s="74">
        <v>922.1</v>
      </c>
      <c r="GA16" s="315" t="s">
        <v>411</v>
      </c>
      <c r="GB16" s="316">
        <v>42</v>
      </c>
      <c r="GC16" s="388">
        <f t="shared" si="20"/>
        <v>38728.200000000004</v>
      </c>
      <c r="GF16" s="114"/>
      <c r="GG16" s="15">
        <v>9</v>
      </c>
      <c r="GH16" s="632">
        <v>907.6</v>
      </c>
      <c r="GI16" s="392">
        <v>44159</v>
      </c>
      <c r="GJ16" s="632">
        <v>907.6</v>
      </c>
      <c r="GK16" s="102" t="s">
        <v>418</v>
      </c>
      <c r="GL16" s="76">
        <v>38</v>
      </c>
      <c r="GM16" s="870">
        <f t="shared" si="21"/>
        <v>34488.800000000003</v>
      </c>
      <c r="GP16" s="114"/>
      <c r="GQ16" s="15">
        <v>9</v>
      </c>
      <c r="GR16" s="99">
        <v>925.17</v>
      </c>
      <c r="GS16" s="392">
        <v>44159</v>
      </c>
      <c r="GT16" s="99">
        <v>925.17</v>
      </c>
      <c r="GU16" s="102" t="s">
        <v>420</v>
      </c>
      <c r="GV16" s="76">
        <v>38</v>
      </c>
      <c r="GW16" s="870">
        <f t="shared" si="22"/>
        <v>35156.46</v>
      </c>
      <c r="GZ16" s="114"/>
      <c r="HA16" s="15">
        <v>9</v>
      </c>
      <c r="HB16" s="99">
        <v>971.59</v>
      </c>
      <c r="HC16" s="392">
        <v>44160</v>
      </c>
      <c r="HD16" s="99">
        <v>971.59</v>
      </c>
      <c r="HE16" s="102" t="s">
        <v>428</v>
      </c>
      <c r="HF16" s="76">
        <v>38</v>
      </c>
      <c r="HG16" s="870">
        <f t="shared" si="23"/>
        <v>36920.42</v>
      </c>
      <c r="HJ16" s="114"/>
      <c r="HK16" s="15">
        <v>9</v>
      </c>
      <c r="HL16" s="330">
        <v>887.7</v>
      </c>
      <c r="HM16" s="398">
        <v>44161</v>
      </c>
      <c r="HN16" s="330">
        <v>887.7</v>
      </c>
      <c r="HO16" s="465" t="s">
        <v>432</v>
      </c>
      <c r="HP16" s="316">
        <v>38</v>
      </c>
      <c r="HQ16" s="388">
        <f t="shared" si="24"/>
        <v>33732.6</v>
      </c>
      <c r="HT16" s="101"/>
      <c r="HU16" s="15">
        <v>9</v>
      </c>
      <c r="HV16" s="74">
        <v>894.9</v>
      </c>
      <c r="HW16" s="412">
        <v>44162</v>
      </c>
      <c r="HX16" s="74">
        <v>894.9</v>
      </c>
      <c r="HY16" s="75" t="s">
        <v>454</v>
      </c>
      <c r="HZ16" s="76">
        <v>38</v>
      </c>
      <c r="IA16" s="870">
        <f t="shared" si="25"/>
        <v>34006.199999999997</v>
      </c>
      <c r="ID16" s="114"/>
      <c r="IE16" s="15">
        <v>9</v>
      </c>
      <c r="IF16" s="330">
        <v>892.2</v>
      </c>
      <c r="IG16" s="359">
        <v>44162</v>
      </c>
      <c r="IH16" s="330">
        <v>892.2</v>
      </c>
      <c r="II16" s="675" t="s">
        <v>437</v>
      </c>
      <c r="IJ16" s="316">
        <v>38</v>
      </c>
      <c r="IK16" s="388">
        <f t="shared" si="26"/>
        <v>33903.599999999999</v>
      </c>
      <c r="IL16" s="99"/>
      <c r="IM16" s="74"/>
      <c r="IN16" s="114"/>
      <c r="IO16" s="15">
        <v>9</v>
      </c>
      <c r="IP16" s="99">
        <v>865</v>
      </c>
      <c r="IQ16" s="412">
        <v>44166</v>
      </c>
      <c r="IR16" s="99">
        <v>865</v>
      </c>
      <c r="IS16" s="75" t="s">
        <v>452</v>
      </c>
      <c r="IT16" s="76">
        <v>38</v>
      </c>
      <c r="IU16" s="870">
        <f t="shared" si="27"/>
        <v>32870</v>
      </c>
      <c r="IV16" s="74"/>
      <c r="IX16" s="114"/>
      <c r="IY16" s="15">
        <v>9</v>
      </c>
      <c r="IZ16" s="99">
        <v>813.61</v>
      </c>
      <c r="JA16" s="392">
        <v>44167</v>
      </c>
      <c r="JB16" s="99">
        <v>813.61</v>
      </c>
      <c r="JC16" s="75" t="s">
        <v>478</v>
      </c>
      <c r="JD16" s="76">
        <v>38</v>
      </c>
      <c r="JE16" s="870">
        <f t="shared" si="28"/>
        <v>30917.18</v>
      </c>
      <c r="JH16" s="114"/>
      <c r="JI16" s="15">
        <v>9</v>
      </c>
      <c r="JJ16" s="74">
        <v>903.4</v>
      </c>
      <c r="JK16" s="412">
        <v>44167</v>
      </c>
      <c r="JL16" s="74">
        <v>903.4</v>
      </c>
      <c r="JM16" s="75" t="s">
        <v>476</v>
      </c>
      <c r="JN16" s="76">
        <v>38</v>
      </c>
      <c r="JO16" s="870">
        <f t="shared" si="29"/>
        <v>34329.199999999997</v>
      </c>
      <c r="JR16" s="114"/>
      <c r="JS16" s="15">
        <v>9</v>
      </c>
      <c r="JT16" s="99">
        <v>863.2</v>
      </c>
      <c r="JU16" s="392">
        <v>44168</v>
      </c>
      <c r="JV16" s="99">
        <v>863.2</v>
      </c>
      <c r="JW16" s="102" t="s">
        <v>482</v>
      </c>
      <c r="JX16" s="76">
        <v>39</v>
      </c>
      <c r="JY16" s="870">
        <f t="shared" si="30"/>
        <v>33664.800000000003</v>
      </c>
      <c r="KB16" s="114"/>
      <c r="KC16" s="15">
        <v>9</v>
      </c>
      <c r="KD16" s="99">
        <v>937.6</v>
      </c>
      <c r="KE16" s="392">
        <v>44168</v>
      </c>
      <c r="KF16" s="99">
        <v>937.6</v>
      </c>
      <c r="KG16" s="102" t="s">
        <v>483</v>
      </c>
      <c r="KH16" s="76">
        <v>39</v>
      </c>
      <c r="KI16" s="870">
        <f t="shared" si="31"/>
        <v>36566.400000000001</v>
      </c>
      <c r="KL16" s="114"/>
      <c r="KM16" s="15">
        <v>9</v>
      </c>
      <c r="KN16" s="99">
        <v>957.98</v>
      </c>
      <c r="KO16" s="392">
        <v>44169</v>
      </c>
      <c r="KP16" s="99">
        <v>957.98</v>
      </c>
      <c r="KQ16" s="102" t="s">
        <v>495</v>
      </c>
      <c r="KR16" s="76">
        <v>39</v>
      </c>
      <c r="KS16" s="870">
        <f t="shared" si="32"/>
        <v>37361.22</v>
      </c>
      <c r="KV16" s="114"/>
      <c r="KW16" s="15">
        <v>9</v>
      </c>
      <c r="KX16" s="99">
        <v>813.3</v>
      </c>
      <c r="KY16" s="392">
        <v>44169</v>
      </c>
      <c r="KZ16" s="99">
        <v>813.3</v>
      </c>
      <c r="LA16" s="102" t="s">
        <v>487</v>
      </c>
      <c r="LB16" s="76">
        <v>39</v>
      </c>
      <c r="LC16" s="870">
        <f t="shared" si="33"/>
        <v>31718.699999999997</v>
      </c>
      <c r="LF16" s="114"/>
      <c r="LG16" s="15">
        <v>9</v>
      </c>
      <c r="LH16" s="99">
        <v>907.6</v>
      </c>
      <c r="LI16" s="392">
        <v>44169</v>
      </c>
      <c r="LJ16" s="99">
        <v>907.6</v>
      </c>
      <c r="LK16" s="102" t="s">
        <v>492</v>
      </c>
      <c r="LL16" s="76">
        <v>39</v>
      </c>
      <c r="LM16" s="870">
        <f t="shared" si="34"/>
        <v>35396.400000000001</v>
      </c>
      <c r="LP16" s="114"/>
      <c r="LQ16" s="15">
        <v>9</v>
      </c>
      <c r="LR16" s="472"/>
      <c r="LS16" s="392"/>
      <c r="LT16" s="472"/>
      <c r="LU16" s="102"/>
      <c r="LV16" s="76"/>
      <c r="LY16" s="114"/>
      <c r="LZ16" s="15">
        <v>9</v>
      </c>
      <c r="MA16" s="472"/>
      <c r="MB16" s="392"/>
      <c r="MC16" s="472"/>
      <c r="MD16" s="102"/>
      <c r="ME16" s="76"/>
      <c r="MH16" s="114"/>
      <c r="MI16" s="15">
        <v>9</v>
      </c>
      <c r="MJ16" s="99"/>
      <c r="MK16" s="392"/>
      <c r="ML16" s="99"/>
      <c r="MM16" s="102"/>
      <c r="MN16" s="76"/>
      <c r="MQ16" s="114"/>
      <c r="MR16" s="15">
        <v>9</v>
      </c>
      <c r="MS16" s="472"/>
      <c r="MT16" s="392"/>
      <c r="MU16" s="472"/>
      <c r="MV16" s="384"/>
      <c r="MW16" s="76"/>
      <c r="MZ16" s="114"/>
      <c r="NA16" s="15">
        <v>9</v>
      </c>
      <c r="NB16" s="99"/>
      <c r="NC16" s="392"/>
      <c r="ND16" s="99"/>
      <c r="NE16" s="102"/>
      <c r="NF16" s="76"/>
      <c r="NI16" s="114"/>
      <c r="NJ16" s="15">
        <v>9</v>
      </c>
      <c r="NK16" s="99"/>
      <c r="NL16" s="392"/>
      <c r="NM16" s="99"/>
      <c r="NN16" s="102"/>
      <c r="NO16" s="76"/>
      <c r="NR16" s="114"/>
      <c r="NS16" s="15">
        <v>9</v>
      </c>
      <c r="NT16" s="99"/>
      <c r="NU16" s="392"/>
      <c r="NV16" s="99"/>
      <c r="NW16" s="102"/>
      <c r="NX16" s="76"/>
      <c r="OA16" s="114"/>
      <c r="OB16" s="15">
        <v>9</v>
      </c>
      <c r="OC16" s="99"/>
      <c r="OD16" s="392"/>
      <c r="OE16" s="99"/>
      <c r="OF16" s="102"/>
      <c r="OG16" s="76"/>
      <c r="OJ16" s="114"/>
      <c r="OK16" s="15">
        <v>9</v>
      </c>
      <c r="OL16" s="330"/>
      <c r="OM16" s="398"/>
      <c r="ON16" s="330"/>
      <c r="OO16" s="384"/>
      <c r="OP16" s="316"/>
      <c r="OS16" s="101"/>
      <c r="OT16" s="15">
        <v>9</v>
      </c>
      <c r="OU16" s="99"/>
      <c r="OV16" s="392"/>
      <c r="OW16" s="99"/>
      <c r="OX16" s="102"/>
      <c r="OY16" s="76"/>
      <c r="PA16" s="82" t="s">
        <v>41</v>
      </c>
      <c r="PB16" s="114"/>
      <c r="PC16" s="15">
        <v>9</v>
      </c>
      <c r="PD16" s="99"/>
      <c r="PE16" s="392"/>
      <c r="PF16" s="99"/>
      <c r="PG16" s="102"/>
      <c r="PH16" s="76"/>
      <c r="PK16" s="114"/>
      <c r="PL16" s="15">
        <v>9</v>
      </c>
      <c r="PM16" s="99"/>
      <c r="PN16" s="148"/>
      <c r="PO16" s="99"/>
      <c r="PP16" s="102"/>
      <c r="PQ16" s="76"/>
      <c r="PT16" s="114"/>
      <c r="PU16" s="15">
        <v>9</v>
      </c>
      <c r="PV16" s="99"/>
      <c r="PW16" s="392"/>
      <c r="PX16" s="99"/>
      <c r="PY16" s="102"/>
      <c r="PZ16" s="76"/>
      <c r="QC16" s="114"/>
      <c r="QD16" s="15">
        <v>9</v>
      </c>
      <c r="QE16" s="99"/>
      <c r="QF16" s="392"/>
      <c r="QG16" s="99"/>
      <c r="QH16" s="102"/>
      <c r="QI16" s="76"/>
      <c r="QL16" s="114"/>
      <c r="QM16" s="15">
        <v>9</v>
      </c>
      <c r="QN16" s="99"/>
      <c r="QO16" s="392"/>
      <c r="QP16" s="99"/>
      <c r="QQ16" s="102"/>
      <c r="QR16" s="76"/>
      <c r="QU16" s="114"/>
      <c r="QV16" s="15">
        <v>9</v>
      </c>
      <c r="QW16" s="99"/>
      <c r="QX16" s="392"/>
      <c r="QY16" s="99"/>
      <c r="QZ16" s="102"/>
      <c r="RA16" s="76"/>
      <c r="RD16" s="114"/>
      <c r="RE16" s="15">
        <v>9</v>
      </c>
      <c r="RF16" s="99"/>
      <c r="RG16" s="148"/>
      <c r="RH16" s="99"/>
      <c r="RI16" s="102"/>
      <c r="RJ16" s="76"/>
      <c r="RM16" s="114"/>
      <c r="RN16" s="15">
        <v>9</v>
      </c>
      <c r="RO16" s="99"/>
      <c r="RP16" s="86"/>
      <c r="RQ16" s="99"/>
      <c r="RR16" s="102"/>
      <c r="RS16" s="76"/>
      <c r="RV16" s="114"/>
      <c r="RW16" s="15">
        <v>9</v>
      </c>
      <c r="RX16" s="99"/>
      <c r="RY16" s="86"/>
      <c r="RZ16" s="99"/>
      <c r="SA16" s="102"/>
      <c r="SB16" s="76"/>
      <c r="SE16" s="114"/>
      <c r="SF16" s="15"/>
      <c r="SG16" s="99"/>
      <c r="SH16" s="86"/>
      <c r="SI16" s="99"/>
      <c r="SJ16" s="102"/>
      <c r="SK16" s="76"/>
      <c r="SN16" s="114"/>
      <c r="SO16" s="15">
        <v>9</v>
      </c>
      <c r="SP16" s="99"/>
      <c r="SQ16" s="471"/>
      <c r="SR16" s="206"/>
      <c r="SS16" s="463"/>
      <c r="ST16" s="462"/>
      <c r="SW16" s="114"/>
      <c r="SX16" s="15">
        <v>9</v>
      </c>
      <c r="SY16" s="99"/>
      <c r="SZ16" s="86"/>
      <c r="TA16" s="99"/>
      <c r="TB16" s="102"/>
      <c r="TC16" s="76"/>
      <c r="TF16" s="114"/>
      <c r="TG16" s="15">
        <v>9</v>
      </c>
      <c r="TH16" s="99"/>
      <c r="TI16" s="86"/>
      <c r="TJ16" s="99"/>
      <c r="TK16" s="102"/>
      <c r="TL16" s="76"/>
      <c r="TO16" s="114"/>
      <c r="TP16" s="15">
        <v>9</v>
      </c>
      <c r="TQ16" s="99"/>
      <c r="TR16" s="86"/>
      <c r="TS16" s="99"/>
      <c r="TT16" s="102"/>
      <c r="TU16" s="76"/>
      <c r="TX16" s="114"/>
      <c r="TY16" s="15">
        <v>9</v>
      </c>
      <c r="TZ16" s="99"/>
      <c r="UA16" s="86"/>
      <c r="UB16" s="99"/>
      <c r="UC16" s="102"/>
      <c r="UD16" s="76"/>
      <c r="UG16" s="114"/>
      <c r="UH16" s="15">
        <v>9</v>
      </c>
      <c r="UI16" s="99"/>
      <c r="UJ16" s="86"/>
      <c r="UK16" s="99"/>
      <c r="UL16" s="102"/>
      <c r="UM16" s="76"/>
      <c r="UP16" s="114"/>
      <c r="UQ16" s="15">
        <v>9</v>
      </c>
      <c r="UR16" s="99"/>
      <c r="US16" s="86"/>
      <c r="UT16" s="99"/>
      <c r="UU16" s="102"/>
      <c r="UV16" s="76"/>
      <c r="UY16" s="114"/>
      <c r="UZ16" s="15">
        <v>9</v>
      </c>
      <c r="VA16" s="99"/>
      <c r="VB16" s="86"/>
      <c r="VC16" s="99"/>
      <c r="VD16" s="102"/>
      <c r="VE16" s="76"/>
      <c r="VH16" s="114"/>
      <c r="VI16" s="15">
        <v>9</v>
      </c>
      <c r="VJ16" s="99"/>
      <c r="VK16" s="86"/>
      <c r="VL16" s="99"/>
      <c r="VM16" s="102"/>
      <c r="VN16" s="76"/>
      <c r="VQ16" s="114"/>
      <c r="VR16" s="15">
        <v>9</v>
      </c>
      <c r="VS16" s="99"/>
      <c r="VT16" s="86"/>
      <c r="VU16" s="99"/>
      <c r="VV16" s="102"/>
      <c r="VW16" s="76"/>
      <c r="VZ16" s="114"/>
      <c r="WA16" s="15">
        <v>9</v>
      </c>
      <c r="WB16" s="99"/>
      <c r="WC16" s="86"/>
      <c r="WD16" s="99"/>
      <c r="WE16" s="102"/>
      <c r="WF16" s="76"/>
      <c r="WI16" s="114"/>
      <c r="WJ16" s="15">
        <v>9</v>
      </c>
      <c r="WK16" s="99"/>
      <c r="WL16" s="86"/>
      <c r="WM16" s="99"/>
      <c r="WN16" s="102"/>
      <c r="WO16" s="76"/>
      <c r="WR16" s="114"/>
      <c r="WS16" s="15">
        <v>9</v>
      </c>
      <c r="WT16" s="99"/>
      <c r="WU16" s="86"/>
      <c r="WV16" s="99"/>
      <c r="WW16" s="102"/>
      <c r="WX16" s="76"/>
      <c r="XA16" s="114"/>
      <c r="XB16" s="15">
        <v>9</v>
      </c>
      <c r="XC16" s="99"/>
      <c r="XD16" s="86"/>
      <c r="XE16" s="99"/>
      <c r="XF16" s="102"/>
      <c r="XG16" s="76"/>
      <c r="XJ16" s="114"/>
      <c r="XK16" s="15">
        <v>9</v>
      </c>
      <c r="XL16" s="99"/>
      <c r="XM16" s="86"/>
      <c r="XN16" s="99"/>
      <c r="XO16" s="102"/>
      <c r="XP16" s="76"/>
      <c r="XS16" s="114"/>
      <c r="XT16" s="15">
        <v>9</v>
      </c>
      <c r="XU16" s="99"/>
      <c r="XV16" s="86"/>
      <c r="XW16" s="99"/>
      <c r="XX16" s="102"/>
      <c r="XY16" s="76"/>
      <c r="YB16" s="114"/>
      <c r="YC16" s="15">
        <v>9</v>
      </c>
      <c r="YD16" s="99"/>
      <c r="YE16" s="86"/>
      <c r="YF16" s="99"/>
      <c r="YG16" s="102"/>
      <c r="YH16" s="76"/>
      <c r="YK16" s="114"/>
      <c r="YL16" s="15">
        <v>9</v>
      </c>
      <c r="YM16" s="99"/>
      <c r="YN16" s="86"/>
      <c r="YO16" s="99"/>
      <c r="YP16" s="102"/>
      <c r="YQ16" s="76"/>
      <c r="YT16" s="114"/>
      <c r="YU16" s="15">
        <v>9</v>
      </c>
      <c r="YV16" s="99"/>
      <c r="YW16" s="86"/>
      <c r="YX16" s="99"/>
      <c r="YY16" s="102"/>
      <c r="YZ16" s="76"/>
      <c r="ZC16" s="114"/>
      <c r="ZD16" s="15">
        <v>9</v>
      </c>
      <c r="ZE16" s="99"/>
      <c r="ZF16" s="86"/>
      <c r="ZG16" s="99"/>
      <c r="ZH16" s="102"/>
      <c r="ZI16" s="76"/>
      <c r="ZL16" s="114"/>
      <c r="ZM16" s="15">
        <v>9</v>
      </c>
      <c r="ZN16" s="99"/>
      <c r="ZO16" s="86"/>
      <c r="ZP16" s="99"/>
      <c r="ZQ16" s="102"/>
      <c r="ZR16" s="76"/>
      <c r="ZU16" s="114"/>
      <c r="ZV16" s="15">
        <v>9</v>
      </c>
      <c r="ZW16" s="99"/>
      <c r="ZX16" s="86"/>
      <c r="ZY16" s="99"/>
      <c r="ZZ16" s="102"/>
      <c r="AAA16" s="76"/>
      <c r="AAD16" s="114"/>
      <c r="AAE16" s="15">
        <v>9</v>
      </c>
      <c r="AAF16" s="99"/>
      <c r="AAG16" s="86"/>
      <c r="AAH16" s="99"/>
      <c r="AAI16" s="102"/>
      <c r="AAJ16" s="76"/>
      <c r="AAM16" s="114"/>
      <c r="AAN16" s="15">
        <v>9</v>
      </c>
      <c r="AAO16" s="99"/>
      <c r="AAP16" s="86"/>
      <c r="AAQ16" s="99"/>
      <c r="AAR16" s="102"/>
      <c r="AAS16" s="76"/>
      <c r="AAV16" s="114"/>
      <c r="AAW16" s="15">
        <v>9</v>
      </c>
      <c r="AAX16" s="99"/>
      <c r="AAY16" s="86"/>
      <c r="AAZ16" s="99"/>
      <c r="ABA16" s="102"/>
      <c r="ABB16" s="76"/>
      <c r="ABE16" s="114"/>
      <c r="ABF16" s="15">
        <v>9</v>
      </c>
      <c r="ABG16" s="99"/>
      <c r="ABH16" s="86"/>
      <c r="ABI16" s="99"/>
      <c r="ABJ16" s="102"/>
      <c r="ABK16" s="76"/>
      <c r="ABN16" s="114"/>
      <c r="ABO16" s="15">
        <v>9</v>
      </c>
      <c r="ABP16" s="99"/>
      <c r="ABQ16" s="86"/>
      <c r="ABR16" s="99"/>
      <c r="ABS16" s="102"/>
      <c r="ABT16" s="76"/>
      <c r="ABW16" s="114"/>
      <c r="ABX16" s="15">
        <v>9</v>
      </c>
      <c r="ABY16" s="99"/>
      <c r="ABZ16" s="86"/>
      <c r="ACA16" s="99"/>
      <c r="ACB16" s="102"/>
      <c r="ACC16" s="76"/>
      <c r="ACF16" s="114"/>
      <c r="ACG16" s="15">
        <v>9</v>
      </c>
      <c r="ACH16" s="99"/>
      <c r="ACI16" s="86"/>
      <c r="ACJ16" s="99"/>
      <c r="ACK16" s="102"/>
      <c r="ACL16" s="76"/>
      <c r="ACO16" s="114"/>
      <c r="ACP16" s="15">
        <v>9</v>
      </c>
      <c r="ACQ16" s="99"/>
      <c r="ACR16" s="86"/>
      <c r="ACS16" s="99"/>
      <c r="ACT16" s="102"/>
      <c r="ACU16" s="76"/>
      <c r="ACX16" s="114"/>
      <c r="ACY16" s="15">
        <v>9</v>
      </c>
      <c r="ACZ16" s="99"/>
      <c r="ADA16" s="86"/>
      <c r="ADB16" s="99"/>
      <c r="ADC16" s="102"/>
      <c r="ADD16" s="76"/>
      <c r="ADG16" s="114"/>
      <c r="ADH16" s="15">
        <v>9</v>
      </c>
      <c r="ADI16" s="99"/>
      <c r="ADJ16" s="86"/>
      <c r="ADK16" s="99"/>
      <c r="ADL16" s="102"/>
      <c r="ADM16" s="76"/>
      <c r="ADP16" s="114"/>
      <c r="ADQ16" s="15">
        <v>9</v>
      </c>
      <c r="ADR16" s="99"/>
      <c r="ADS16" s="86"/>
      <c r="ADT16" s="99"/>
      <c r="ADU16" s="102"/>
      <c r="ADV16" s="76"/>
      <c r="ADY16" s="114"/>
      <c r="ADZ16" s="15">
        <v>9</v>
      </c>
      <c r="AEA16" s="99"/>
      <c r="AEB16" s="86"/>
      <c r="AEC16" s="99"/>
      <c r="AED16" s="102"/>
      <c r="AEE16" s="76"/>
    </row>
    <row r="17" spans="1:811" x14ac:dyDescent="0.3">
      <c r="A17" s="150">
        <v>14</v>
      </c>
      <c r="B17" s="82" t="str">
        <f t="shared" ref="B17:I17" si="42">EG5</f>
        <v>SEABOARD FOODS</v>
      </c>
      <c r="C17" s="82" t="str">
        <f t="shared" si="42"/>
        <v>Seaboard</v>
      </c>
      <c r="D17" s="110" t="str">
        <f t="shared" si="42"/>
        <v>PED. 57756642</v>
      </c>
      <c r="E17" s="148">
        <f t="shared" si="42"/>
        <v>44154</v>
      </c>
      <c r="F17" s="93">
        <f t="shared" si="42"/>
        <v>18548.990000000002</v>
      </c>
      <c r="G17" s="79">
        <f t="shared" si="42"/>
        <v>21</v>
      </c>
      <c r="H17" s="49">
        <f t="shared" si="42"/>
        <v>18612.8</v>
      </c>
      <c r="I17" s="113">
        <f t="shared" si="42"/>
        <v>-63.809999999997672</v>
      </c>
      <c r="L17" s="114"/>
      <c r="M17" s="15">
        <v>10</v>
      </c>
      <c r="N17" s="330">
        <v>912.47</v>
      </c>
      <c r="O17" s="398">
        <v>44139</v>
      </c>
      <c r="P17" s="330">
        <v>912.47</v>
      </c>
      <c r="Q17" s="384" t="s">
        <v>322</v>
      </c>
      <c r="R17" s="316">
        <v>44</v>
      </c>
      <c r="S17" s="316">
        <f t="shared" si="6"/>
        <v>40148.68</v>
      </c>
      <c r="T17" s="288"/>
      <c r="V17" s="114"/>
      <c r="W17" s="15">
        <v>10</v>
      </c>
      <c r="X17" s="330">
        <v>862.3</v>
      </c>
      <c r="Y17" s="398">
        <v>44140</v>
      </c>
      <c r="Z17" s="330">
        <v>862.3</v>
      </c>
      <c r="AA17" s="465" t="s">
        <v>333</v>
      </c>
      <c r="AB17" s="316">
        <v>45</v>
      </c>
      <c r="AC17" s="388">
        <f t="shared" si="7"/>
        <v>38803.5</v>
      </c>
      <c r="AF17" s="114"/>
      <c r="AG17" s="15">
        <v>10</v>
      </c>
      <c r="AH17" s="99">
        <v>912.2</v>
      </c>
      <c r="AI17" s="392">
        <v>44140</v>
      </c>
      <c r="AJ17" s="99">
        <v>912.2</v>
      </c>
      <c r="AK17" s="102" t="s">
        <v>329</v>
      </c>
      <c r="AL17" s="76">
        <v>45</v>
      </c>
      <c r="AM17" s="894">
        <f t="shared" si="8"/>
        <v>41049</v>
      </c>
      <c r="AP17" s="114"/>
      <c r="AQ17" s="15">
        <v>10</v>
      </c>
      <c r="AR17" s="385">
        <v>905.4</v>
      </c>
      <c r="AS17" s="398">
        <v>44141</v>
      </c>
      <c r="AT17" s="385">
        <v>905.4</v>
      </c>
      <c r="AU17" s="384" t="s">
        <v>341</v>
      </c>
      <c r="AV17" s="316">
        <v>45</v>
      </c>
      <c r="AY17" s="114"/>
      <c r="AZ17" s="15">
        <v>10</v>
      </c>
      <c r="BA17" s="99">
        <v>889.5</v>
      </c>
      <c r="BB17" s="148">
        <v>44141</v>
      </c>
      <c r="BC17" s="99">
        <v>889.5</v>
      </c>
      <c r="BD17" s="102" t="s">
        <v>343</v>
      </c>
      <c r="BE17" s="459">
        <v>45</v>
      </c>
      <c r="BH17" s="114"/>
      <c r="BI17" s="15">
        <v>10</v>
      </c>
      <c r="BJ17" s="99">
        <v>896.7</v>
      </c>
      <c r="BK17" s="148">
        <v>44141</v>
      </c>
      <c r="BL17" s="99">
        <v>896.7</v>
      </c>
      <c r="BM17" s="102" t="s">
        <v>347</v>
      </c>
      <c r="BN17" s="459">
        <v>45</v>
      </c>
      <c r="BQ17" s="114"/>
      <c r="BR17" s="15">
        <v>10</v>
      </c>
      <c r="BS17" s="74">
        <v>851.7</v>
      </c>
      <c r="BT17" s="460">
        <v>44145</v>
      </c>
      <c r="BU17" s="74">
        <v>851.7</v>
      </c>
      <c r="BV17" s="461" t="s">
        <v>356</v>
      </c>
      <c r="BW17" s="462">
        <v>45</v>
      </c>
      <c r="BX17" s="870">
        <f t="shared" si="9"/>
        <v>38326.5</v>
      </c>
      <c r="BZ17" s="114"/>
      <c r="CA17" s="15">
        <v>10</v>
      </c>
      <c r="CB17" s="99">
        <v>901.3</v>
      </c>
      <c r="CC17" s="460">
        <v>44146</v>
      </c>
      <c r="CD17" s="99">
        <v>901.3</v>
      </c>
      <c r="CE17" s="463" t="s">
        <v>361</v>
      </c>
      <c r="CF17" s="462">
        <v>45</v>
      </c>
      <c r="CG17" s="870">
        <f t="shared" si="10"/>
        <v>40558.5</v>
      </c>
      <c r="CJ17" s="114"/>
      <c r="CK17" s="15">
        <v>10</v>
      </c>
      <c r="CL17" s="99">
        <v>940.75</v>
      </c>
      <c r="CM17" s="460">
        <v>44147</v>
      </c>
      <c r="CN17" s="99">
        <v>940.75</v>
      </c>
      <c r="CO17" s="463" t="s">
        <v>364</v>
      </c>
      <c r="CP17" s="462">
        <v>45</v>
      </c>
      <c r="CQ17" s="925">
        <f t="shared" si="11"/>
        <v>42333.75</v>
      </c>
      <c r="CT17" s="114"/>
      <c r="CU17" s="15">
        <v>10</v>
      </c>
      <c r="CV17" s="99">
        <v>893.1</v>
      </c>
      <c r="CW17" s="392">
        <v>44148</v>
      </c>
      <c r="CX17" s="99">
        <v>893.1</v>
      </c>
      <c r="CY17" s="102" t="s">
        <v>371</v>
      </c>
      <c r="CZ17" s="76">
        <v>45</v>
      </c>
      <c r="DA17" s="870">
        <f t="shared" si="12"/>
        <v>40189.5</v>
      </c>
      <c r="DD17" s="114"/>
      <c r="DE17" s="15">
        <v>10</v>
      </c>
      <c r="DF17" s="74">
        <v>904.9</v>
      </c>
      <c r="DG17" s="460">
        <v>44148</v>
      </c>
      <c r="DH17" s="99">
        <v>904.9</v>
      </c>
      <c r="DI17" s="463" t="s">
        <v>374</v>
      </c>
      <c r="DJ17" s="462">
        <v>45</v>
      </c>
      <c r="DK17" s="925">
        <f t="shared" si="13"/>
        <v>40720.5</v>
      </c>
      <c r="DN17" s="114"/>
      <c r="DO17" s="15">
        <v>10</v>
      </c>
      <c r="DP17" s="74">
        <v>910.4</v>
      </c>
      <c r="DQ17" s="460">
        <v>44156</v>
      </c>
      <c r="DR17" s="99">
        <v>910.4</v>
      </c>
      <c r="DS17" s="463" t="s">
        <v>377</v>
      </c>
      <c r="DT17" s="462">
        <v>45</v>
      </c>
      <c r="DU17" s="870">
        <f t="shared" si="14"/>
        <v>40968</v>
      </c>
      <c r="DX17" s="114"/>
      <c r="DY17" s="15">
        <v>10</v>
      </c>
      <c r="DZ17" s="74">
        <v>888.89</v>
      </c>
      <c r="EA17" s="412">
        <v>44150</v>
      </c>
      <c r="EB17" s="74">
        <v>888.89</v>
      </c>
      <c r="EC17" s="75" t="s">
        <v>386</v>
      </c>
      <c r="ED17" s="76">
        <v>44</v>
      </c>
      <c r="EE17" s="870">
        <f t="shared" si="15"/>
        <v>39111.159999999996</v>
      </c>
      <c r="EH17" s="114"/>
      <c r="EI17" s="15">
        <v>10</v>
      </c>
      <c r="EJ17" s="74">
        <v>884</v>
      </c>
      <c r="EK17" s="412">
        <v>44154</v>
      </c>
      <c r="EL17" s="74">
        <v>884</v>
      </c>
      <c r="EM17" s="315" t="s">
        <v>400</v>
      </c>
      <c r="EN17" s="76">
        <v>42</v>
      </c>
      <c r="EO17" s="870">
        <f t="shared" si="16"/>
        <v>37128</v>
      </c>
      <c r="ER17" s="114"/>
      <c r="ES17" s="15">
        <v>10</v>
      </c>
      <c r="ET17" s="330">
        <v>879.5</v>
      </c>
      <c r="EU17" s="398">
        <v>44154</v>
      </c>
      <c r="EV17" s="330">
        <v>879.5</v>
      </c>
      <c r="EW17" s="315" t="s">
        <v>398</v>
      </c>
      <c r="EX17" s="316">
        <v>42</v>
      </c>
      <c r="EY17" s="388">
        <f t="shared" si="17"/>
        <v>36939</v>
      </c>
      <c r="FB17" s="114"/>
      <c r="FC17" s="15">
        <v>10</v>
      </c>
      <c r="FD17" s="74">
        <v>894.9</v>
      </c>
      <c r="FE17" s="392">
        <v>44154</v>
      </c>
      <c r="FF17" s="74">
        <v>894.9</v>
      </c>
      <c r="FG17" s="75" t="s">
        <v>404</v>
      </c>
      <c r="FH17" s="76">
        <v>42</v>
      </c>
      <c r="FI17" s="870">
        <f t="shared" si="18"/>
        <v>37585.799999999996</v>
      </c>
      <c r="FL17" s="114"/>
      <c r="FM17" s="15">
        <v>10</v>
      </c>
      <c r="FN17" s="99">
        <v>847.8</v>
      </c>
      <c r="FO17" s="392">
        <v>44156</v>
      </c>
      <c r="FP17" s="99">
        <v>847.8</v>
      </c>
      <c r="FQ17" s="75" t="s">
        <v>414</v>
      </c>
      <c r="FR17" s="76">
        <v>42</v>
      </c>
      <c r="FS17" s="870">
        <f t="shared" si="19"/>
        <v>35607.599999999999</v>
      </c>
      <c r="FV17" s="114"/>
      <c r="FW17" s="15">
        <v>10</v>
      </c>
      <c r="FX17" s="74">
        <v>834.2</v>
      </c>
      <c r="FY17" s="657">
        <v>44156</v>
      </c>
      <c r="FZ17" s="74">
        <v>834.2</v>
      </c>
      <c r="GA17" s="315" t="s">
        <v>411</v>
      </c>
      <c r="GB17" s="316">
        <v>42</v>
      </c>
      <c r="GC17" s="388">
        <f t="shared" si="20"/>
        <v>35036.400000000001</v>
      </c>
      <c r="GF17" s="114"/>
      <c r="GG17" s="15">
        <v>10</v>
      </c>
      <c r="GH17" s="632">
        <v>907.6</v>
      </c>
      <c r="GI17" s="392">
        <v>44159</v>
      </c>
      <c r="GJ17" s="632">
        <v>907.6</v>
      </c>
      <c r="GK17" s="102" t="s">
        <v>418</v>
      </c>
      <c r="GL17" s="76">
        <v>38</v>
      </c>
      <c r="GM17" s="870">
        <f t="shared" si="21"/>
        <v>34488.800000000003</v>
      </c>
      <c r="GP17" s="114"/>
      <c r="GQ17" s="15">
        <v>10</v>
      </c>
      <c r="GR17" s="99">
        <v>874.83</v>
      </c>
      <c r="GS17" s="392">
        <v>44159</v>
      </c>
      <c r="GT17" s="99">
        <v>874.83</v>
      </c>
      <c r="GU17" s="102" t="s">
        <v>420</v>
      </c>
      <c r="GV17" s="76">
        <v>38</v>
      </c>
      <c r="GW17" s="870">
        <f t="shared" si="22"/>
        <v>33243.54</v>
      </c>
      <c r="GZ17" s="114"/>
      <c r="HA17" s="15">
        <v>10</v>
      </c>
      <c r="HB17" s="99">
        <v>961.61</v>
      </c>
      <c r="HC17" s="392">
        <v>44160</v>
      </c>
      <c r="HD17" s="99">
        <v>961.61</v>
      </c>
      <c r="HE17" s="102" t="s">
        <v>428</v>
      </c>
      <c r="HF17" s="76">
        <v>38</v>
      </c>
      <c r="HG17" s="870">
        <f t="shared" si="23"/>
        <v>36541.18</v>
      </c>
      <c r="HJ17" s="114"/>
      <c r="HK17" s="15">
        <v>10</v>
      </c>
      <c r="HL17" s="330">
        <v>901.3</v>
      </c>
      <c r="HM17" s="398">
        <v>44161</v>
      </c>
      <c r="HN17" s="330">
        <v>901.3</v>
      </c>
      <c r="HO17" s="465" t="s">
        <v>432</v>
      </c>
      <c r="HP17" s="316">
        <v>38</v>
      </c>
      <c r="HQ17" s="388">
        <f t="shared" si="24"/>
        <v>34249.4</v>
      </c>
      <c r="HT17" s="101"/>
      <c r="HU17" s="15">
        <v>10</v>
      </c>
      <c r="HV17" s="74">
        <v>926.7</v>
      </c>
      <c r="HW17" s="412">
        <v>44162</v>
      </c>
      <c r="HX17" s="74">
        <v>926.7</v>
      </c>
      <c r="HY17" s="75" t="s">
        <v>454</v>
      </c>
      <c r="HZ17" s="76">
        <v>38</v>
      </c>
      <c r="IA17" s="870">
        <f t="shared" si="25"/>
        <v>35214.6</v>
      </c>
      <c r="ID17" s="114"/>
      <c r="IE17" s="15">
        <v>10</v>
      </c>
      <c r="IF17" s="330">
        <v>929.4</v>
      </c>
      <c r="IG17" s="359">
        <v>44162</v>
      </c>
      <c r="IH17" s="330">
        <v>929.4</v>
      </c>
      <c r="II17" s="675" t="s">
        <v>437</v>
      </c>
      <c r="IJ17" s="316">
        <v>38</v>
      </c>
      <c r="IK17" s="388">
        <f t="shared" si="26"/>
        <v>35317.199999999997</v>
      </c>
      <c r="IL17" s="99"/>
      <c r="IM17" s="74"/>
      <c r="IN17" s="114"/>
      <c r="IO17" s="15">
        <v>10</v>
      </c>
      <c r="IP17" s="99">
        <v>886.8</v>
      </c>
      <c r="IQ17" s="412">
        <v>44166</v>
      </c>
      <c r="IR17" s="99">
        <v>886.8</v>
      </c>
      <c r="IS17" s="75" t="s">
        <v>452</v>
      </c>
      <c r="IT17" s="76">
        <v>38</v>
      </c>
      <c r="IU17" s="870">
        <f t="shared" si="27"/>
        <v>33698.400000000001</v>
      </c>
      <c r="IV17" s="74"/>
      <c r="IX17" s="114"/>
      <c r="IY17" s="15">
        <v>10</v>
      </c>
      <c r="IZ17" s="99">
        <v>902.04</v>
      </c>
      <c r="JA17" s="392">
        <v>44167</v>
      </c>
      <c r="JB17" s="99">
        <v>902.04</v>
      </c>
      <c r="JC17" s="75" t="s">
        <v>478</v>
      </c>
      <c r="JD17" s="76">
        <v>38</v>
      </c>
      <c r="JE17" s="870">
        <f t="shared" si="28"/>
        <v>34277.519999999997</v>
      </c>
      <c r="JH17" s="114"/>
      <c r="JI17" s="15">
        <v>10</v>
      </c>
      <c r="JJ17" s="74">
        <v>881.63</v>
      </c>
      <c r="JK17" s="412">
        <v>44167</v>
      </c>
      <c r="JL17" s="74">
        <v>881.63</v>
      </c>
      <c r="JM17" s="75" t="s">
        <v>476</v>
      </c>
      <c r="JN17" s="76">
        <v>38</v>
      </c>
      <c r="JO17" s="870">
        <f t="shared" si="29"/>
        <v>33501.94</v>
      </c>
      <c r="JR17" s="114"/>
      <c r="JS17" s="15">
        <v>10</v>
      </c>
      <c r="JT17" s="99">
        <v>895.8</v>
      </c>
      <c r="JU17" s="392">
        <v>44168</v>
      </c>
      <c r="JV17" s="99">
        <v>895.8</v>
      </c>
      <c r="JW17" s="102" t="s">
        <v>482</v>
      </c>
      <c r="JX17" s="76">
        <v>39</v>
      </c>
      <c r="JY17" s="870">
        <f t="shared" si="30"/>
        <v>34936.199999999997</v>
      </c>
      <c r="KB17" s="114"/>
      <c r="KC17" s="15">
        <v>10</v>
      </c>
      <c r="KD17" s="99">
        <v>890.4</v>
      </c>
      <c r="KE17" s="392">
        <v>44168</v>
      </c>
      <c r="KF17" s="99">
        <v>890.4</v>
      </c>
      <c r="KG17" s="102" t="s">
        <v>483</v>
      </c>
      <c r="KH17" s="76">
        <v>39</v>
      </c>
      <c r="KI17" s="870">
        <f t="shared" si="31"/>
        <v>34725.599999999999</v>
      </c>
      <c r="KL17" s="114"/>
      <c r="KM17" s="15">
        <v>10</v>
      </c>
      <c r="KN17" s="99">
        <v>938.02</v>
      </c>
      <c r="KO17" s="392">
        <v>44169</v>
      </c>
      <c r="KP17" s="99">
        <v>938.02</v>
      </c>
      <c r="KQ17" s="102" t="s">
        <v>495</v>
      </c>
      <c r="KR17" s="76">
        <v>39</v>
      </c>
      <c r="KS17" s="870">
        <f t="shared" si="32"/>
        <v>36582.78</v>
      </c>
      <c r="KV17" s="114"/>
      <c r="KW17" s="15">
        <v>10</v>
      </c>
      <c r="KX17" s="99">
        <v>883.1</v>
      </c>
      <c r="KY17" s="392">
        <v>44169</v>
      </c>
      <c r="KZ17" s="99">
        <v>883.1</v>
      </c>
      <c r="LA17" s="102" t="s">
        <v>487</v>
      </c>
      <c r="LB17" s="76">
        <v>39</v>
      </c>
      <c r="LC17" s="870">
        <f t="shared" si="33"/>
        <v>34440.9</v>
      </c>
      <c r="LF17" s="114"/>
      <c r="LG17" s="15">
        <v>10</v>
      </c>
      <c r="LH17" s="74">
        <v>857.7</v>
      </c>
      <c r="LI17" s="392">
        <v>44169</v>
      </c>
      <c r="LJ17" s="74">
        <v>857.7</v>
      </c>
      <c r="LK17" s="102" t="s">
        <v>492</v>
      </c>
      <c r="LL17" s="76">
        <v>39</v>
      </c>
      <c r="LM17" s="870">
        <f t="shared" si="34"/>
        <v>33450.300000000003</v>
      </c>
      <c r="LP17" s="114"/>
      <c r="LQ17" s="15">
        <v>10</v>
      </c>
      <c r="LR17" s="472"/>
      <c r="LS17" s="392"/>
      <c r="LT17" s="472"/>
      <c r="LU17" s="102"/>
      <c r="LV17" s="76"/>
      <c r="LY17" s="114"/>
      <c r="LZ17" s="15">
        <v>10</v>
      </c>
      <c r="MA17" s="472"/>
      <c r="MB17" s="392"/>
      <c r="MC17" s="472"/>
      <c r="MD17" s="102"/>
      <c r="ME17" s="76"/>
      <c r="MH17" s="114"/>
      <c r="MI17" s="15">
        <v>10</v>
      </c>
      <c r="MJ17" s="74"/>
      <c r="MK17" s="392"/>
      <c r="ML17" s="74"/>
      <c r="MM17" s="102"/>
      <c r="MN17" s="76"/>
      <c r="MQ17" s="114"/>
      <c r="MR17" s="15">
        <v>10</v>
      </c>
      <c r="MS17" s="472"/>
      <c r="MT17" s="392"/>
      <c r="MU17" s="472"/>
      <c r="MV17" s="384"/>
      <c r="MW17" s="76"/>
      <c r="MZ17" s="114"/>
      <c r="NA17" s="15">
        <v>10</v>
      </c>
      <c r="NB17" s="99"/>
      <c r="NC17" s="392"/>
      <c r="ND17" s="99"/>
      <c r="NE17" s="102"/>
      <c r="NF17" s="76"/>
      <c r="NI17" s="114"/>
      <c r="NJ17" s="15">
        <v>10</v>
      </c>
      <c r="NK17" s="74"/>
      <c r="NL17" s="392"/>
      <c r="NM17" s="74"/>
      <c r="NN17" s="102"/>
      <c r="NO17" s="76"/>
      <c r="NR17" s="114"/>
      <c r="NS17" s="15">
        <v>10</v>
      </c>
      <c r="NT17" s="99"/>
      <c r="NU17" s="392"/>
      <c r="NV17" s="99"/>
      <c r="NW17" s="102"/>
      <c r="NX17" s="76"/>
      <c r="OA17" s="114"/>
      <c r="OB17" s="15">
        <v>10</v>
      </c>
      <c r="OC17" s="74"/>
      <c r="OD17" s="392"/>
      <c r="OE17" s="74"/>
      <c r="OF17" s="102"/>
      <c r="OG17" s="76"/>
      <c r="OJ17" s="114"/>
      <c r="OK17" s="15">
        <v>10</v>
      </c>
      <c r="OL17" s="314"/>
      <c r="OM17" s="398"/>
      <c r="ON17" s="314"/>
      <c r="OO17" s="384"/>
      <c r="OP17" s="316"/>
      <c r="OS17" s="101"/>
      <c r="OT17" s="15">
        <v>10</v>
      </c>
      <c r="OU17" s="99"/>
      <c r="OV17" s="392"/>
      <c r="OW17" s="99"/>
      <c r="OX17" s="102"/>
      <c r="OY17" s="76"/>
      <c r="PB17" s="114"/>
      <c r="PC17" s="15">
        <v>10</v>
      </c>
      <c r="PD17" s="74"/>
      <c r="PE17" s="392"/>
      <c r="PF17" s="74"/>
      <c r="PG17" s="102"/>
      <c r="PH17" s="76"/>
      <c r="PK17" s="114"/>
      <c r="PL17" s="15">
        <v>10</v>
      </c>
      <c r="PM17" s="74"/>
      <c r="PN17" s="148"/>
      <c r="PO17" s="74"/>
      <c r="PP17" s="102"/>
      <c r="PQ17" s="76"/>
      <c r="PT17" s="114"/>
      <c r="PU17" s="15">
        <v>10</v>
      </c>
      <c r="PV17" s="74"/>
      <c r="PW17" s="392"/>
      <c r="PX17" s="99"/>
      <c r="PY17" s="102"/>
      <c r="PZ17" s="76"/>
      <c r="QC17" s="114"/>
      <c r="QD17" s="15">
        <v>10</v>
      </c>
      <c r="QE17" s="74"/>
      <c r="QF17" s="392"/>
      <c r="QG17" s="74"/>
      <c r="QH17" s="102"/>
      <c r="QI17" s="76"/>
      <c r="QL17" s="114"/>
      <c r="QM17" s="15">
        <v>10</v>
      </c>
      <c r="QN17" s="74"/>
      <c r="QO17" s="392"/>
      <c r="QP17" s="74"/>
      <c r="QQ17" s="102"/>
      <c r="QR17" s="76"/>
      <c r="QU17" s="114"/>
      <c r="QV17" s="15">
        <v>10</v>
      </c>
      <c r="QW17" s="74"/>
      <c r="QX17" s="392"/>
      <c r="QY17" s="74"/>
      <c r="QZ17" s="102"/>
      <c r="RA17" s="76"/>
      <c r="RD17" s="114"/>
      <c r="RE17" s="15">
        <v>10</v>
      </c>
      <c r="RF17" s="74"/>
      <c r="RG17" s="148"/>
      <c r="RH17" s="74"/>
      <c r="RI17" s="102"/>
      <c r="RJ17" s="76"/>
      <c r="RM17" s="114"/>
      <c r="RN17" s="15">
        <v>10</v>
      </c>
      <c r="RO17" s="74"/>
      <c r="RP17" s="86"/>
      <c r="RQ17" s="74"/>
      <c r="RR17" s="102"/>
      <c r="RS17" s="76"/>
      <c r="RV17" s="114"/>
      <c r="RW17" s="15">
        <v>10</v>
      </c>
      <c r="RX17" s="74"/>
      <c r="RY17" s="86"/>
      <c r="RZ17" s="74"/>
      <c r="SA17" s="102"/>
      <c r="SB17" s="76"/>
      <c r="SE17" s="114"/>
      <c r="SF17" s="15"/>
      <c r="SG17" s="74"/>
      <c r="SH17" s="86"/>
      <c r="SI17" s="74"/>
      <c r="SJ17" s="102"/>
      <c r="SK17" s="76"/>
      <c r="SN17" s="114"/>
      <c r="SO17" s="15">
        <v>10</v>
      </c>
      <c r="SP17" s="74"/>
      <c r="SQ17" s="471"/>
      <c r="SR17" s="206"/>
      <c r="SS17" s="463"/>
      <c r="ST17" s="462"/>
      <c r="SW17" s="114"/>
      <c r="SX17" s="15">
        <v>10</v>
      </c>
      <c r="SY17" s="74"/>
      <c r="SZ17" s="86"/>
      <c r="TA17" s="99"/>
      <c r="TB17" s="102"/>
      <c r="TC17" s="76"/>
      <c r="TF17" s="114"/>
      <c r="TG17" s="15">
        <v>10</v>
      </c>
      <c r="TH17" s="74"/>
      <c r="TI17" s="86"/>
      <c r="TJ17" s="74"/>
      <c r="TK17" s="102"/>
      <c r="TL17" s="76"/>
      <c r="TO17" s="114"/>
      <c r="TP17" s="15">
        <v>10</v>
      </c>
      <c r="TQ17" s="74"/>
      <c r="TR17" s="86"/>
      <c r="TS17" s="99"/>
      <c r="TT17" s="102"/>
      <c r="TU17" s="76"/>
      <c r="TX17" s="114"/>
      <c r="TY17" s="15">
        <v>10</v>
      </c>
      <c r="TZ17" s="74"/>
      <c r="UA17" s="86"/>
      <c r="UB17" s="74"/>
      <c r="UC17" s="102"/>
      <c r="UD17" s="76"/>
      <c r="UG17" s="114"/>
      <c r="UH17" s="15">
        <v>10</v>
      </c>
      <c r="UI17" s="74"/>
      <c r="UJ17" s="86"/>
      <c r="UK17" s="74"/>
      <c r="UL17" s="102"/>
      <c r="UM17" s="76"/>
      <c r="UP17" s="114"/>
      <c r="UQ17" s="15">
        <v>10</v>
      </c>
      <c r="UR17" s="74"/>
      <c r="US17" s="86"/>
      <c r="UT17" s="74"/>
      <c r="UU17" s="102"/>
      <c r="UV17" s="76"/>
      <c r="UY17" s="114"/>
      <c r="UZ17" s="15">
        <v>10</v>
      </c>
      <c r="VA17" s="74"/>
      <c r="VB17" s="86"/>
      <c r="VC17" s="99"/>
      <c r="VD17" s="102"/>
      <c r="VE17" s="76"/>
      <c r="VH17" s="114"/>
      <c r="VI17" s="15">
        <v>10</v>
      </c>
      <c r="VJ17" s="74"/>
      <c r="VK17" s="86"/>
      <c r="VL17" s="74"/>
      <c r="VM17" s="102"/>
      <c r="VN17" s="76"/>
      <c r="VQ17" s="114"/>
      <c r="VR17" s="15">
        <v>10</v>
      </c>
      <c r="VS17" s="74"/>
      <c r="VT17" s="86"/>
      <c r="VU17" s="99"/>
      <c r="VV17" s="102"/>
      <c r="VW17" s="76"/>
      <c r="VZ17" s="114"/>
      <c r="WA17" s="15">
        <v>10</v>
      </c>
      <c r="WB17" s="74"/>
      <c r="WC17" s="86"/>
      <c r="WD17" s="99"/>
      <c r="WE17" s="102"/>
      <c r="WF17" s="76"/>
      <c r="WI17" s="114"/>
      <c r="WJ17" s="15">
        <v>10</v>
      </c>
      <c r="WK17" s="74"/>
      <c r="WL17" s="86"/>
      <c r="WM17" s="74"/>
      <c r="WN17" s="102"/>
      <c r="WO17" s="76"/>
      <c r="WR17" s="114"/>
      <c r="WS17" s="15">
        <v>10</v>
      </c>
      <c r="WT17" s="74"/>
      <c r="WU17" s="86"/>
      <c r="WV17" s="99"/>
      <c r="WW17" s="102"/>
      <c r="WX17" s="76"/>
      <c r="XA17" s="114"/>
      <c r="XB17" s="15">
        <v>10</v>
      </c>
      <c r="XC17" s="74"/>
      <c r="XD17" s="86"/>
      <c r="XE17" s="99"/>
      <c r="XF17" s="102"/>
      <c r="XG17" s="76"/>
      <c r="XJ17" s="114"/>
      <c r="XK17" s="15">
        <v>10</v>
      </c>
      <c r="XL17" s="74"/>
      <c r="XM17" s="86"/>
      <c r="XN17" s="99"/>
      <c r="XO17" s="102"/>
      <c r="XP17" s="76"/>
      <c r="XS17" s="114"/>
      <c r="XT17" s="15">
        <v>10</v>
      </c>
      <c r="XU17" s="74"/>
      <c r="XV17" s="86"/>
      <c r="XW17" s="99"/>
      <c r="XX17" s="102"/>
      <c r="XY17" s="76"/>
      <c r="YB17" s="114"/>
      <c r="YC17" s="15">
        <v>10</v>
      </c>
      <c r="YD17" s="74"/>
      <c r="YE17" s="86"/>
      <c r="YF17" s="99"/>
      <c r="YG17" s="102"/>
      <c r="YH17" s="76"/>
      <c r="YK17" s="114"/>
      <c r="YL17" s="15">
        <v>10</v>
      </c>
      <c r="YM17" s="74"/>
      <c r="YN17" s="86"/>
      <c r="YO17" s="99"/>
      <c r="YP17" s="102"/>
      <c r="YQ17" s="76"/>
      <c r="YT17" s="114"/>
      <c r="YU17" s="15">
        <v>10</v>
      </c>
      <c r="YV17" s="74"/>
      <c r="YW17" s="86"/>
      <c r="YX17" s="99"/>
      <c r="YY17" s="102"/>
      <c r="YZ17" s="76"/>
      <c r="ZC17" s="114"/>
      <c r="ZD17" s="15">
        <v>10</v>
      </c>
      <c r="ZE17" s="74"/>
      <c r="ZF17" s="86"/>
      <c r="ZG17" s="74"/>
      <c r="ZH17" s="102"/>
      <c r="ZI17" s="76"/>
      <c r="ZL17" s="114"/>
      <c r="ZM17" s="15">
        <v>10</v>
      </c>
      <c r="ZN17" s="74"/>
      <c r="ZO17" s="86"/>
      <c r="ZP17" s="99"/>
      <c r="ZQ17" s="102"/>
      <c r="ZR17" s="76"/>
      <c r="ZU17" s="114"/>
      <c r="ZV17" s="15">
        <v>10</v>
      </c>
      <c r="ZW17" s="74"/>
      <c r="ZX17" s="86"/>
      <c r="ZY17" s="99"/>
      <c r="ZZ17" s="102"/>
      <c r="AAA17" s="76"/>
      <c r="AAD17" s="114"/>
      <c r="AAE17" s="15">
        <v>10</v>
      </c>
      <c r="AAF17" s="74"/>
      <c r="AAG17" s="86"/>
      <c r="AAH17" s="99"/>
      <c r="AAI17" s="102"/>
      <c r="AAJ17" s="76"/>
      <c r="AAM17" s="114"/>
      <c r="AAN17" s="15">
        <v>10</v>
      </c>
      <c r="AAO17" s="74"/>
      <c r="AAP17" s="86"/>
      <c r="AAQ17" s="99"/>
      <c r="AAR17" s="102"/>
      <c r="AAS17" s="76"/>
      <c r="AAV17" s="114"/>
      <c r="AAW17" s="15">
        <v>10</v>
      </c>
      <c r="AAX17" s="74"/>
      <c r="AAY17" s="86"/>
      <c r="AAZ17" s="99"/>
      <c r="ABA17" s="102"/>
      <c r="ABB17" s="76"/>
      <c r="ABE17" s="114"/>
      <c r="ABF17" s="15">
        <v>10</v>
      </c>
      <c r="ABG17" s="74"/>
      <c r="ABH17" s="86"/>
      <c r="ABI17" s="99"/>
      <c r="ABJ17" s="102"/>
      <c r="ABK17" s="76"/>
      <c r="ABN17" s="114"/>
      <c r="ABO17" s="15">
        <v>10</v>
      </c>
      <c r="ABP17" s="74"/>
      <c r="ABQ17" s="86"/>
      <c r="ABR17" s="99"/>
      <c r="ABS17" s="102"/>
      <c r="ABT17" s="76"/>
      <c r="ABW17" s="114"/>
      <c r="ABX17" s="15">
        <v>10</v>
      </c>
      <c r="ABY17" s="74"/>
      <c r="ABZ17" s="86"/>
      <c r="ACA17" s="99"/>
      <c r="ACB17" s="102"/>
      <c r="ACC17" s="76"/>
      <c r="ACF17" s="114"/>
      <c r="ACG17" s="15">
        <v>10</v>
      </c>
      <c r="ACH17" s="74"/>
      <c r="ACI17" s="86"/>
      <c r="ACJ17" s="99"/>
      <c r="ACK17" s="102"/>
      <c r="ACL17" s="76"/>
      <c r="ACO17" s="114"/>
      <c r="ACP17" s="15">
        <v>10</v>
      </c>
      <c r="ACQ17" s="74"/>
      <c r="ACR17" s="86"/>
      <c r="ACS17" s="99"/>
      <c r="ACT17" s="102"/>
      <c r="ACU17" s="76"/>
      <c r="ACX17" s="114"/>
      <c r="ACY17" s="15">
        <v>10</v>
      </c>
      <c r="ACZ17" s="74"/>
      <c r="ADA17" s="86"/>
      <c r="ADB17" s="99"/>
      <c r="ADC17" s="102"/>
      <c r="ADD17" s="76"/>
      <c r="ADG17" s="114"/>
      <c r="ADH17" s="15">
        <v>10</v>
      </c>
      <c r="ADI17" s="74"/>
      <c r="ADJ17" s="86"/>
      <c r="ADK17" s="99"/>
      <c r="ADL17" s="102"/>
      <c r="ADM17" s="76"/>
      <c r="ADP17" s="114"/>
      <c r="ADQ17" s="15">
        <v>10</v>
      </c>
      <c r="ADR17" s="74"/>
      <c r="ADS17" s="86"/>
      <c r="ADT17" s="99"/>
      <c r="ADU17" s="102"/>
      <c r="ADV17" s="76"/>
      <c r="ADY17" s="114"/>
      <c r="ADZ17" s="15">
        <v>10</v>
      </c>
      <c r="AEA17" s="74"/>
      <c r="AEB17" s="86"/>
      <c r="AEC17" s="99"/>
      <c r="AED17" s="102"/>
      <c r="AEE17" s="76"/>
    </row>
    <row r="18" spans="1:811" x14ac:dyDescent="0.3">
      <c r="A18" s="150">
        <v>15</v>
      </c>
      <c r="B18" s="82" t="str">
        <f t="shared" ref="B18:I18" si="43">EQ5</f>
        <v>SEABOARD FOODS</v>
      </c>
      <c r="C18" s="82" t="str">
        <f t="shared" si="43"/>
        <v>Seaboard</v>
      </c>
      <c r="D18" s="110" t="str">
        <f t="shared" si="43"/>
        <v>PED. 57811962</v>
      </c>
      <c r="E18" s="148">
        <f t="shared" si="43"/>
        <v>44154</v>
      </c>
      <c r="F18" s="93">
        <f t="shared" si="43"/>
        <v>18634.07</v>
      </c>
      <c r="G18" s="79">
        <f t="shared" si="43"/>
        <v>21</v>
      </c>
      <c r="H18" s="49">
        <f t="shared" si="43"/>
        <v>18807.3</v>
      </c>
      <c r="I18" s="113">
        <f t="shared" si="43"/>
        <v>-173.22999999999956</v>
      </c>
      <c r="L18" s="114"/>
      <c r="M18" s="15">
        <v>11</v>
      </c>
      <c r="N18" s="330">
        <v>887.07</v>
      </c>
      <c r="O18" s="398">
        <v>44139</v>
      </c>
      <c r="P18" s="330">
        <v>887.07</v>
      </c>
      <c r="Q18" s="384" t="s">
        <v>323</v>
      </c>
      <c r="R18" s="316">
        <v>44</v>
      </c>
      <c r="S18" s="316">
        <f t="shared" si="6"/>
        <v>39031.08</v>
      </c>
      <c r="T18" s="288"/>
      <c r="V18" s="114"/>
      <c r="W18" s="15">
        <v>11</v>
      </c>
      <c r="X18" s="330">
        <v>870.4</v>
      </c>
      <c r="Y18" s="398">
        <v>44140</v>
      </c>
      <c r="Z18" s="330">
        <v>870.4</v>
      </c>
      <c r="AA18" s="465" t="s">
        <v>334</v>
      </c>
      <c r="AB18" s="316">
        <v>45</v>
      </c>
      <c r="AC18" s="388">
        <f t="shared" si="7"/>
        <v>39168</v>
      </c>
      <c r="AF18" s="114"/>
      <c r="AG18" s="15">
        <v>11</v>
      </c>
      <c r="AH18" s="74">
        <v>873.2</v>
      </c>
      <c r="AI18" s="392">
        <v>44140</v>
      </c>
      <c r="AJ18" s="74">
        <v>873.2</v>
      </c>
      <c r="AK18" s="102" t="s">
        <v>330</v>
      </c>
      <c r="AL18" s="76">
        <v>45</v>
      </c>
      <c r="AM18" s="894">
        <f t="shared" si="8"/>
        <v>39294</v>
      </c>
      <c r="AP18" s="114"/>
      <c r="AQ18" s="15">
        <v>11</v>
      </c>
      <c r="AR18" s="385">
        <v>902.6</v>
      </c>
      <c r="AS18" s="398">
        <v>44141</v>
      </c>
      <c r="AT18" s="385">
        <v>902.6</v>
      </c>
      <c r="AU18" s="384" t="s">
        <v>341</v>
      </c>
      <c r="AV18" s="316">
        <v>45</v>
      </c>
      <c r="AY18" s="114"/>
      <c r="AZ18" s="15">
        <v>11</v>
      </c>
      <c r="BA18" s="99">
        <v>872.3</v>
      </c>
      <c r="BB18" s="148">
        <v>44141</v>
      </c>
      <c r="BC18" s="99">
        <v>872.3</v>
      </c>
      <c r="BD18" s="102" t="s">
        <v>344</v>
      </c>
      <c r="BE18" s="459">
        <v>45</v>
      </c>
      <c r="BH18" s="114"/>
      <c r="BI18" s="15">
        <v>11</v>
      </c>
      <c r="BJ18" s="99">
        <v>856.8</v>
      </c>
      <c r="BK18" s="148">
        <v>44141</v>
      </c>
      <c r="BL18" s="99">
        <v>856.8</v>
      </c>
      <c r="BM18" s="102" t="s">
        <v>348</v>
      </c>
      <c r="BN18" s="459">
        <v>45</v>
      </c>
      <c r="BQ18" s="114"/>
      <c r="BR18" s="15">
        <v>11</v>
      </c>
      <c r="BS18" s="99">
        <v>861.22</v>
      </c>
      <c r="BT18" s="460">
        <v>44145</v>
      </c>
      <c r="BU18" s="99">
        <v>861.22</v>
      </c>
      <c r="BV18" s="463" t="s">
        <v>357</v>
      </c>
      <c r="BW18" s="462">
        <v>45</v>
      </c>
      <c r="BX18" s="870">
        <f t="shared" si="9"/>
        <v>38754.9</v>
      </c>
      <c r="BZ18" s="114"/>
      <c r="CA18" s="15">
        <v>11</v>
      </c>
      <c r="CB18" s="74">
        <v>891.3</v>
      </c>
      <c r="CC18" s="460">
        <v>44146</v>
      </c>
      <c r="CD18" s="99">
        <v>891.3</v>
      </c>
      <c r="CE18" s="463" t="s">
        <v>361</v>
      </c>
      <c r="CF18" s="462">
        <v>45</v>
      </c>
      <c r="CG18" s="870">
        <f t="shared" si="10"/>
        <v>40108.5</v>
      </c>
      <c r="CJ18" s="114"/>
      <c r="CK18" s="15">
        <v>11</v>
      </c>
      <c r="CL18" s="74">
        <v>962.52</v>
      </c>
      <c r="CM18" s="460">
        <v>44147</v>
      </c>
      <c r="CN18" s="99">
        <v>962.52</v>
      </c>
      <c r="CO18" s="463" t="s">
        <v>364</v>
      </c>
      <c r="CP18" s="462">
        <v>45</v>
      </c>
      <c r="CQ18" s="925">
        <f t="shared" si="11"/>
        <v>43313.4</v>
      </c>
      <c r="CT18" s="114"/>
      <c r="CU18" s="15">
        <v>11</v>
      </c>
      <c r="CV18" s="99">
        <v>904.9</v>
      </c>
      <c r="CW18" s="392">
        <v>44148</v>
      </c>
      <c r="CX18" s="99">
        <v>904.9</v>
      </c>
      <c r="CY18" s="102" t="s">
        <v>372</v>
      </c>
      <c r="CZ18" s="76">
        <v>45</v>
      </c>
      <c r="DA18" s="870">
        <f t="shared" si="12"/>
        <v>40720.5</v>
      </c>
      <c r="DD18" s="114"/>
      <c r="DE18" s="15">
        <v>11</v>
      </c>
      <c r="DF18" s="99">
        <v>908.5</v>
      </c>
      <c r="DG18" s="460">
        <v>44148</v>
      </c>
      <c r="DH18" s="99">
        <v>908.5</v>
      </c>
      <c r="DI18" s="463" t="s">
        <v>374</v>
      </c>
      <c r="DJ18" s="462">
        <v>45</v>
      </c>
      <c r="DK18" s="925">
        <f t="shared" si="13"/>
        <v>40882.5</v>
      </c>
      <c r="DN18" s="114"/>
      <c r="DO18" s="15">
        <v>11</v>
      </c>
      <c r="DP18" s="99">
        <v>894.9</v>
      </c>
      <c r="DQ18" s="460">
        <v>44148</v>
      </c>
      <c r="DR18" s="99">
        <v>894.9</v>
      </c>
      <c r="DS18" s="463" t="s">
        <v>376</v>
      </c>
      <c r="DT18" s="462">
        <v>45</v>
      </c>
      <c r="DU18" s="870">
        <f t="shared" si="14"/>
        <v>40270.5</v>
      </c>
      <c r="DX18" s="114"/>
      <c r="DY18" s="15">
        <v>11</v>
      </c>
      <c r="DZ18" s="74">
        <v>836.28</v>
      </c>
      <c r="EA18" s="412">
        <v>44150</v>
      </c>
      <c r="EB18" s="74">
        <v>836.28</v>
      </c>
      <c r="EC18" s="75" t="s">
        <v>387</v>
      </c>
      <c r="ED18" s="76">
        <v>44</v>
      </c>
      <c r="EE18" s="870">
        <f t="shared" si="15"/>
        <v>36796.32</v>
      </c>
      <c r="EH18" s="114"/>
      <c r="EI18" s="15">
        <v>11</v>
      </c>
      <c r="EJ18" s="74">
        <v>829.6</v>
      </c>
      <c r="EK18" s="412">
        <v>44154</v>
      </c>
      <c r="EL18" s="74">
        <v>829.6</v>
      </c>
      <c r="EM18" s="315" t="s">
        <v>400</v>
      </c>
      <c r="EN18" s="76">
        <v>42</v>
      </c>
      <c r="EO18" s="870">
        <f t="shared" si="16"/>
        <v>34843.200000000004</v>
      </c>
      <c r="ER18" s="114"/>
      <c r="ES18" s="15">
        <v>11</v>
      </c>
      <c r="ET18" s="330">
        <v>911.3</v>
      </c>
      <c r="EU18" s="398">
        <v>44154</v>
      </c>
      <c r="EV18" s="330">
        <v>911.3</v>
      </c>
      <c r="EW18" s="315" t="s">
        <v>399</v>
      </c>
      <c r="EX18" s="316">
        <v>42</v>
      </c>
      <c r="EY18" s="388">
        <f t="shared" si="17"/>
        <v>38274.6</v>
      </c>
      <c r="FB18" s="114"/>
      <c r="FC18" s="15">
        <v>11</v>
      </c>
      <c r="FD18" s="99">
        <v>884</v>
      </c>
      <c r="FE18" s="392">
        <v>44154</v>
      </c>
      <c r="FF18" s="99">
        <v>884</v>
      </c>
      <c r="FG18" s="75" t="s">
        <v>405</v>
      </c>
      <c r="FH18" s="76">
        <v>42</v>
      </c>
      <c r="FI18" s="870">
        <f t="shared" si="18"/>
        <v>37128</v>
      </c>
      <c r="FL18" s="114"/>
      <c r="FM18" s="15">
        <v>11</v>
      </c>
      <c r="FN18" s="99">
        <v>904.9</v>
      </c>
      <c r="FO18" s="392">
        <v>44156</v>
      </c>
      <c r="FP18" s="99">
        <v>904.9</v>
      </c>
      <c r="FQ18" s="75" t="s">
        <v>415</v>
      </c>
      <c r="FR18" s="76">
        <v>42</v>
      </c>
      <c r="FS18" s="870">
        <f t="shared" si="19"/>
        <v>38005.799999999996</v>
      </c>
      <c r="FV18" s="114"/>
      <c r="FW18" s="15">
        <v>11</v>
      </c>
      <c r="FX18" s="74">
        <v>877.7</v>
      </c>
      <c r="FY18" s="657">
        <v>44156</v>
      </c>
      <c r="FZ18" s="74">
        <v>877.7</v>
      </c>
      <c r="GA18" s="315" t="s">
        <v>412</v>
      </c>
      <c r="GB18" s="316">
        <v>42</v>
      </c>
      <c r="GC18" s="388">
        <f t="shared" si="20"/>
        <v>36863.4</v>
      </c>
      <c r="GD18" s="76"/>
      <c r="GF18" s="114"/>
      <c r="GG18" s="15">
        <v>11</v>
      </c>
      <c r="GH18" s="632">
        <v>894.9</v>
      </c>
      <c r="GI18" s="392">
        <v>44159</v>
      </c>
      <c r="GJ18" s="632">
        <v>894.9</v>
      </c>
      <c r="GK18" s="102" t="s">
        <v>419</v>
      </c>
      <c r="GL18" s="76">
        <v>38</v>
      </c>
      <c r="GM18" s="870">
        <f t="shared" si="21"/>
        <v>34006.199999999997</v>
      </c>
      <c r="GP18" s="114"/>
      <c r="GQ18" s="15">
        <v>11</v>
      </c>
      <c r="GR18" s="99">
        <v>924.72</v>
      </c>
      <c r="GS18" s="392">
        <v>44159</v>
      </c>
      <c r="GT18" s="99">
        <v>924.72</v>
      </c>
      <c r="GU18" s="102" t="s">
        <v>421</v>
      </c>
      <c r="GV18" s="76">
        <v>38</v>
      </c>
      <c r="GW18" s="870">
        <f t="shared" si="22"/>
        <v>35139.360000000001</v>
      </c>
      <c r="GZ18" s="114"/>
      <c r="HA18" s="15">
        <v>11</v>
      </c>
      <c r="HB18" s="99">
        <v>911.72</v>
      </c>
      <c r="HC18" s="392">
        <v>44160</v>
      </c>
      <c r="HD18" s="99">
        <v>911.72</v>
      </c>
      <c r="HE18" s="102" t="s">
        <v>429</v>
      </c>
      <c r="HF18" s="76">
        <v>38</v>
      </c>
      <c r="HG18" s="870">
        <f t="shared" si="23"/>
        <v>34645.360000000001</v>
      </c>
      <c r="HJ18" s="114"/>
      <c r="HK18" s="15">
        <v>11</v>
      </c>
      <c r="HL18" s="330">
        <v>893.1</v>
      </c>
      <c r="HM18" s="398">
        <v>44161</v>
      </c>
      <c r="HN18" s="330">
        <v>893.1</v>
      </c>
      <c r="HO18" s="465" t="s">
        <v>434</v>
      </c>
      <c r="HP18" s="316">
        <v>38</v>
      </c>
      <c r="HQ18" s="388">
        <f t="shared" si="24"/>
        <v>33937.800000000003</v>
      </c>
      <c r="HT18" s="101"/>
      <c r="HU18" s="15">
        <v>11</v>
      </c>
      <c r="HV18" s="74">
        <v>883.1</v>
      </c>
      <c r="HW18" s="412">
        <v>44162</v>
      </c>
      <c r="HX18" s="74">
        <v>883.1</v>
      </c>
      <c r="HY18" s="75" t="s">
        <v>435</v>
      </c>
      <c r="HZ18" s="76">
        <v>38</v>
      </c>
      <c r="IA18" s="870">
        <f t="shared" si="25"/>
        <v>33557.800000000003</v>
      </c>
      <c r="ID18" s="114"/>
      <c r="IE18" s="15">
        <v>11</v>
      </c>
      <c r="IF18" s="330">
        <v>922.1</v>
      </c>
      <c r="IG18" s="359">
        <v>44162</v>
      </c>
      <c r="IH18" s="330">
        <v>922.1</v>
      </c>
      <c r="II18" s="675" t="s">
        <v>438</v>
      </c>
      <c r="IJ18" s="316">
        <v>38</v>
      </c>
      <c r="IK18" s="388">
        <f t="shared" si="26"/>
        <v>35039.800000000003</v>
      </c>
      <c r="IL18" s="99"/>
      <c r="IM18" s="74"/>
      <c r="IN18" s="114"/>
      <c r="IO18" s="15">
        <v>11</v>
      </c>
      <c r="IP18" s="99">
        <v>890.4</v>
      </c>
      <c r="IQ18" s="412">
        <v>44166</v>
      </c>
      <c r="IR18" s="99">
        <v>890.4</v>
      </c>
      <c r="IS18" s="75" t="s">
        <v>453</v>
      </c>
      <c r="IT18" s="76">
        <v>38</v>
      </c>
      <c r="IU18" s="870">
        <f t="shared" si="27"/>
        <v>33835.199999999997</v>
      </c>
      <c r="IV18" s="113"/>
      <c r="IX18" s="114"/>
      <c r="IY18" s="15">
        <v>11</v>
      </c>
      <c r="IZ18" s="99">
        <v>864.4</v>
      </c>
      <c r="JA18" s="392">
        <v>44167</v>
      </c>
      <c r="JB18" s="99">
        <v>864.4</v>
      </c>
      <c r="JC18" s="75" t="s">
        <v>479</v>
      </c>
      <c r="JD18" s="76">
        <v>38</v>
      </c>
      <c r="JE18" s="870">
        <f t="shared" si="28"/>
        <v>32847.199999999997</v>
      </c>
      <c r="JH18" s="114"/>
      <c r="JI18" s="15">
        <v>11</v>
      </c>
      <c r="JJ18" s="74">
        <v>892.52</v>
      </c>
      <c r="JK18" s="412">
        <v>44167</v>
      </c>
      <c r="JL18" s="74">
        <v>892.52</v>
      </c>
      <c r="JM18" s="75" t="s">
        <v>477</v>
      </c>
      <c r="JN18" s="76">
        <v>38</v>
      </c>
      <c r="JO18" s="870">
        <f t="shared" si="29"/>
        <v>33915.760000000002</v>
      </c>
      <c r="JR18" s="114"/>
      <c r="JS18" s="15">
        <v>11</v>
      </c>
      <c r="JT18" s="99">
        <v>915.8</v>
      </c>
      <c r="JU18" s="392">
        <v>44168</v>
      </c>
      <c r="JV18" s="99">
        <v>915.8</v>
      </c>
      <c r="JW18" s="102" t="s">
        <v>481</v>
      </c>
      <c r="JX18" s="76">
        <v>39</v>
      </c>
      <c r="JY18" s="870">
        <f t="shared" si="30"/>
        <v>35716.199999999997</v>
      </c>
      <c r="KB18" s="114"/>
      <c r="KC18" s="15">
        <v>11</v>
      </c>
      <c r="KD18" s="99">
        <v>891.3</v>
      </c>
      <c r="KE18" s="392">
        <v>44168</v>
      </c>
      <c r="KF18" s="99">
        <v>891.3</v>
      </c>
      <c r="KG18" s="102" t="s">
        <v>484</v>
      </c>
      <c r="KH18" s="76">
        <v>39</v>
      </c>
      <c r="KI18" s="870">
        <f t="shared" si="31"/>
        <v>34760.699999999997</v>
      </c>
      <c r="KL18" s="114"/>
      <c r="KM18" s="15">
        <v>11</v>
      </c>
      <c r="KN18" s="99">
        <v>945.28</v>
      </c>
      <c r="KO18" s="392">
        <v>44169</v>
      </c>
      <c r="KP18" s="99">
        <v>945.28</v>
      </c>
      <c r="KQ18" s="102" t="s">
        <v>496</v>
      </c>
      <c r="KR18" s="76">
        <v>39</v>
      </c>
      <c r="KS18" s="870">
        <f t="shared" si="32"/>
        <v>36865.919999999998</v>
      </c>
      <c r="KV18" s="114"/>
      <c r="KW18" s="15">
        <v>11</v>
      </c>
      <c r="KX18" s="99">
        <v>865</v>
      </c>
      <c r="KY18" s="392">
        <v>44169</v>
      </c>
      <c r="KZ18" s="99">
        <v>865</v>
      </c>
      <c r="LA18" s="102" t="s">
        <v>488</v>
      </c>
      <c r="LB18" s="76">
        <v>39</v>
      </c>
      <c r="LC18" s="870">
        <f t="shared" si="33"/>
        <v>33735</v>
      </c>
      <c r="LF18" s="114"/>
      <c r="LG18" s="15">
        <v>11</v>
      </c>
      <c r="LH18" s="99">
        <v>885</v>
      </c>
      <c r="LI18" s="392">
        <v>44169</v>
      </c>
      <c r="LJ18" s="99">
        <v>885</v>
      </c>
      <c r="LK18" s="102" t="s">
        <v>493</v>
      </c>
      <c r="LL18" s="76">
        <v>39</v>
      </c>
      <c r="LM18" s="870">
        <f t="shared" si="34"/>
        <v>34515</v>
      </c>
      <c r="LP18" s="114"/>
      <c r="LQ18" s="15">
        <v>11</v>
      </c>
      <c r="LR18" s="472"/>
      <c r="LS18" s="392"/>
      <c r="LT18" s="472"/>
      <c r="LU18" s="102"/>
      <c r="LV18" s="76"/>
      <c r="LY18" s="114"/>
      <c r="LZ18" s="15">
        <v>11</v>
      </c>
      <c r="MA18" s="472"/>
      <c r="MB18" s="392"/>
      <c r="MC18" s="472"/>
      <c r="MD18" s="102"/>
      <c r="ME18" s="76"/>
      <c r="MH18" s="114"/>
      <c r="MI18" s="15">
        <v>11</v>
      </c>
      <c r="MJ18" s="99"/>
      <c r="MK18" s="392"/>
      <c r="ML18" s="99"/>
      <c r="MM18" s="102"/>
      <c r="MN18" s="76"/>
      <c r="MQ18" s="114"/>
      <c r="MR18" s="15">
        <v>11</v>
      </c>
      <c r="MS18" s="472"/>
      <c r="MT18" s="392"/>
      <c r="MU18" s="472"/>
      <c r="MV18" s="384"/>
      <c r="MW18" s="76"/>
      <c r="MZ18" s="114"/>
      <c r="NA18" s="15">
        <v>11</v>
      </c>
      <c r="NB18" s="99"/>
      <c r="NC18" s="392"/>
      <c r="ND18" s="99"/>
      <c r="NE18" s="102"/>
      <c r="NF18" s="76"/>
      <c r="NI18" s="114"/>
      <c r="NJ18" s="15">
        <v>11</v>
      </c>
      <c r="NK18" s="99"/>
      <c r="NL18" s="392"/>
      <c r="NM18" s="99"/>
      <c r="NN18" s="102"/>
      <c r="NO18" s="76"/>
      <c r="NR18" s="114"/>
      <c r="NS18" s="15">
        <v>11</v>
      </c>
      <c r="NT18" s="99"/>
      <c r="NU18" s="392"/>
      <c r="NV18" s="99"/>
      <c r="NW18" s="102"/>
      <c r="NX18" s="76"/>
      <c r="OA18" s="114"/>
      <c r="OB18" s="15">
        <v>11</v>
      </c>
      <c r="OC18" s="99"/>
      <c r="OD18" s="392"/>
      <c r="OE18" s="99"/>
      <c r="OF18" s="102"/>
      <c r="OG18" s="76"/>
      <c r="OJ18" s="114"/>
      <c r="OK18" s="15">
        <v>11</v>
      </c>
      <c r="OL18" s="330"/>
      <c r="OM18" s="398"/>
      <c r="ON18" s="330"/>
      <c r="OO18" s="384"/>
      <c r="OP18" s="316"/>
      <c r="OS18" s="101"/>
      <c r="OT18" s="15">
        <v>11</v>
      </c>
      <c r="OU18" s="99"/>
      <c r="OV18" s="392"/>
      <c r="OW18" s="99"/>
      <c r="OX18" s="102"/>
      <c r="OY18" s="76"/>
      <c r="PB18" s="114"/>
      <c r="PC18" s="15">
        <v>11</v>
      </c>
      <c r="PD18" s="99"/>
      <c r="PE18" s="392"/>
      <c r="PF18" s="99"/>
      <c r="PG18" s="102"/>
      <c r="PH18" s="76"/>
      <c r="PK18" s="114"/>
      <c r="PL18" s="15">
        <v>11</v>
      </c>
      <c r="PM18" s="99"/>
      <c r="PN18" s="148"/>
      <c r="PO18" s="99"/>
      <c r="PP18" s="102"/>
      <c r="PQ18" s="76"/>
      <c r="PT18" s="114"/>
      <c r="PU18" s="15">
        <v>11</v>
      </c>
      <c r="PV18" s="99"/>
      <c r="PW18" s="392"/>
      <c r="PX18" s="99"/>
      <c r="PY18" s="102"/>
      <c r="PZ18" s="76"/>
      <c r="QC18" s="114"/>
      <c r="QD18" s="15">
        <v>11</v>
      </c>
      <c r="QE18" s="99"/>
      <c r="QF18" s="392"/>
      <c r="QG18" s="99"/>
      <c r="QH18" s="102"/>
      <c r="QI18" s="76"/>
      <c r="QL18" s="114"/>
      <c r="QM18" s="15">
        <v>11</v>
      </c>
      <c r="QN18" s="99"/>
      <c r="QO18" s="392"/>
      <c r="QP18" s="99"/>
      <c r="QQ18" s="102"/>
      <c r="QR18" s="76"/>
      <c r="QU18" s="114"/>
      <c r="QV18" s="15">
        <v>11</v>
      </c>
      <c r="QW18" s="99"/>
      <c r="QX18" s="392"/>
      <c r="QY18" s="99"/>
      <c r="QZ18" s="102"/>
      <c r="RA18" s="459"/>
      <c r="RD18" s="114"/>
      <c r="RE18" s="15">
        <v>11</v>
      </c>
      <c r="RF18" s="99"/>
      <c r="RG18" s="148"/>
      <c r="RH18" s="99"/>
      <c r="RI18" s="102"/>
      <c r="RJ18" s="76"/>
      <c r="RM18" s="114"/>
      <c r="RN18" s="15">
        <v>11</v>
      </c>
      <c r="RO18" s="99"/>
      <c r="RP18" s="86"/>
      <c r="RQ18" s="99"/>
      <c r="RR18" s="102"/>
      <c r="RS18" s="76"/>
      <c r="RV18" s="114"/>
      <c r="RW18" s="15">
        <v>11</v>
      </c>
      <c r="RX18" s="99"/>
      <c r="RY18" s="86"/>
      <c r="RZ18" s="99"/>
      <c r="SA18" s="102"/>
      <c r="SB18" s="76"/>
      <c r="SE18" s="114"/>
      <c r="SF18" s="15"/>
      <c r="SG18" s="99"/>
      <c r="SH18" s="86"/>
      <c r="SI18" s="99"/>
      <c r="SJ18" s="102"/>
      <c r="SK18" s="76"/>
      <c r="SN18" s="114"/>
      <c r="SO18" s="15">
        <v>11</v>
      </c>
      <c r="SP18" s="99"/>
      <c r="SQ18" s="471"/>
      <c r="SR18" s="206"/>
      <c r="SS18" s="463"/>
      <c r="ST18" s="462"/>
      <c r="SW18" s="114"/>
      <c r="SX18" s="15">
        <v>11</v>
      </c>
      <c r="SY18" s="99"/>
      <c r="SZ18" s="86"/>
      <c r="TA18" s="99"/>
      <c r="TB18" s="102"/>
      <c r="TC18" s="76"/>
      <c r="TF18" s="114"/>
      <c r="TG18" s="15">
        <v>11</v>
      </c>
      <c r="TH18" s="99"/>
      <c r="TI18" s="86"/>
      <c r="TJ18" s="99"/>
      <c r="TK18" s="102"/>
      <c r="TL18" s="76"/>
      <c r="TO18" s="114"/>
      <c r="TP18" s="15">
        <v>11</v>
      </c>
      <c r="TQ18" s="99"/>
      <c r="TR18" s="86"/>
      <c r="TS18" s="99"/>
      <c r="TT18" s="102"/>
      <c r="TU18" s="76"/>
      <c r="TX18" s="114"/>
      <c r="TY18" s="15">
        <v>11</v>
      </c>
      <c r="TZ18" s="99"/>
      <c r="UA18" s="86"/>
      <c r="UB18" s="99"/>
      <c r="UC18" s="102"/>
      <c r="UD18" s="76"/>
      <c r="UG18" s="114"/>
      <c r="UH18" s="15">
        <v>11</v>
      </c>
      <c r="UI18" s="99"/>
      <c r="UJ18" s="86"/>
      <c r="UK18" s="99"/>
      <c r="UL18" s="102"/>
      <c r="UM18" s="76"/>
      <c r="UP18" s="114"/>
      <c r="UQ18" s="15">
        <v>11</v>
      </c>
      <c r="UR18" s="99"/>
      <c r="US18" s="86"/>
      <c r="UT18" s="99"/>
      <c r="UU18" s="102"/>
      <c r="UV18" s="76"/>
      <c r="UY18" s="114"/>
      <c r="UZ18" s="15">
        <v>11</v>
      </c>
      <c r="VA18" s="99"/>
      <c r="VB18" s="86"/>
      <c r="VC18" s="99"/>
      <c r="VD18" s="102"/>
      <c r="VE18" s="76"/>
      <c r="VH18" s="114"/>
      <c r="VI18" s="15">
        <v>11</v>
      </c>
      <c r="VJ18" s="99"/>
      <c r="VK18" s="86"/>
      <c r="VL18" s="99"/>
      <c r="VM18" s="102"/>
      <c r="VN18" s="76"/>
      <c r="VQ18" s="114"/>
      <c r="VR18" s="15">
        <v>11</v>
      </c>
      <c r="VS18" s="99"/>
      <c r="VT18" s="86"/>
      <c r="VU18" s="99"/>
      <c r="VV18" s="102"/>
      <c r="VW18" s="76"/>
      <c r="VZ18" s="114"/>
      <c r="WA18" s="15">
        <v>11</v>
      </c>
      <c r="WB18" s="99"/>
      <c r="WC18" s="86"/>
      <c r="WD18" s="99"/>
      <c r="WE18" s="102"/>
      <c r="WF18" s="76"/>
      <c r="WI18" s="114"/>
      <c r="WJ18" s="15">
        <v>11</v>
      </c>
      <c r="WK18" s="99"/>
      <c r="WL18" s="86"/>
      <c r="WM18" s="99"/>
      <c r="WN18" s="102"/>
      <c r="WO18" s="76"/>
      <c r="WR18" s="114"/>
      <c r="WS18" s="15">
        <v>11</v>
      </c>
      <c r="WT18" s="99"/>
      <c r="WU18" s="86"/>
      <c r="WV18" s="99"/>
      <c r="WW18" s="102"/>
      <c r="WX18" s="76"/>
      <c r="XA18" s="114"/>
      <c r="XB18" s="15">
        <v>11</v>
      </c>
      <c r="XC18" s="99"/>
      <c r="XD18" s="86"/>
      <c r="XE18" s="99"/>
      <c r="XF18" s="102"/>
      <c r="XG18" s="76"/>
      <c r="XJ18" s="114"/>
      <c r="XK18" s="15">
        <v>11</v>
      </c>
      <c r="XL18" s="99"/>
      <c r="XM18" s="86"/>
      <c r="XN18" s="99"/>
      <c r="XO18" s="102"/>
      <c r="XP18" s="76"/>
      <c r="XS18" s="114"/>
      <c r="XT18" s="15">
        <v>11</v>
      </c>
      <c r="XU18" s="99"/>
      <c r="XV18" s="86"/>
      <c r="XW18" s="99"/>
      <c r="XX18" s="102"/>
      <c r="XY18" s="76"/>
      <c r="YB18" s="114"/>
      <c r="YC18" s="15">
        <v>11</v>
      </c>
      <c r="YD18" s="99"/>
      <c r="YE18" s="86"/>
      <c r="YF18" s="99"/>
      <c r="YG18" s="102"/>
      <c r="YH18" s="76"/>
      <c r="YK18" s="114"/>
      <c r="YL18" s="15">
        <v>11</v>
      </c>
      <c r="YM18" s="99"/>
      <c r="YN18" s="86"/>
      <c r="YO18" s="99"/>
      <c r="YP18" s="102"/>
      <c r="YQ18" s="76"/>
      <c r="YT18" s="114"/>
      <c r="YU18" s="15">
        <v>11</v>
      </c>
      <c r="YV18" s="99"/>
      <c r="YW18" s="86"/>
      <c r="YX18" s="99"/>
      <c r="YY18" s="102"/>
      <c r="YZ18" s="76"/>
      <c r="ZC18" s="114"/>
      <c r="ZD18" s="15">
        <v>11</v>
      </c>
      <c r="ZE18" s="99"/>
      <c r="ZF18" s="86"/>
      <c r="ZG18" s="99"/>
      <c r="ZH18" s="102"/>
      <c r="ZI18" s="76"/>
      <c r="ZL18" s="114"/>
      <c r="ZM18" s="15">
        <v>11</v>
      </c>
      <c r="ZN18" s="99"/>
      <c r="ZO18" s="86"/>
      <c r="ZP18" s="99"/>
      <c r="ZQ18" s="102"/>
      <c r="ZR18" s="76"/>
      <c r="ZU18" s="114"/>
      <c r="ZV18" s="15">
        <v>11</v>
      </c>
      <c r="ZW18" s="99"/>
      <c r="ZX18" s="86"/>
      <c r="ZY18" s="99"/>
      <c r="ZZ18" s="102"/>
      <c r="AAA18" s="76"/>
      <c r="AAD18" s="114"/>
      <c r="AAE18" s="15">
        <v>11</v>
      </c>
      <c r="AAF18" s="99"/>
      <c r="AAG18" s="86"/>
      <c r="AAH18" s="99"/>
      <c r="AAI18" s="102"/>
      <c r="AAJ18" s="76"/>
      <c r="AAM18" s="114"/>
      <c r="AAN18" s="15">
        <v>11</v>
      </c>
      <c r="AAO18" s="99"/>
      <c r="AAP18" s="86"/>
      <c r="AAQ18" s="99"/>
      <c r="AAR18" s="102"/>
      <c r="AAS18" s="76"/>
      <c r="AAV18" s="114"/>
      <c r="AAW18" s="15">
        <v>11</v>
      </c>
      <c r="AAX18" s="99"/>
      <c r="AAY18" s="86"/>
      <c r="AAZ18" s="99"/>
      <c r="ABA18" s="102"/>
      <c r="ABB18" s="76"/>
      <c r="ABE18" s="114"/>
      <c r="ABF18" s="15">
        <v>11</v>
      </c>
      <c r="ABG18" s="99"/>
      <c r="ABH18" s="86"/>
      <c r="ABI18" s="99"/>
      <c r="ABJ18" s="102"/>
      <c r="ABK18" s="76"/>
      <c r="ABN18" s="114"/>
      <c r="ABO18" s="15">
        <v>11</v>
      </c>
      <c r="ABP18" s="99"/>
      <c r="ABQ18" s="86"/>
      <c r="ABR18" s="99"/>
      <c r="ABS18" s="102"/>
      <c r="ABT18" s="76"/>
      <c r="ABW18" s="114"/>
      <c r="ABX18" s="15">
        <v>11</v>
      </c>
      <c r="ABY18" s="99"/>
      <c r="ABZ18" s="86"/>
      <c r="ACA18" s="99"/>
      <c r="ACB18" s="102"/>
      <c r="ACC18" s="76"/>
      <c r="ACF18" s="114"/>
      <c r="ACG18" s="15">
        <v>11</v>
      </c>
      <c r="ACH18" s="99"/>
      <c r="ACI18" s="86"/>
      <c r="ACJ18" s="99"/>
      <c r="ACK18" s="102"/>
      <c r="ACL18" s="76"/>
      <c r="ACO18" s="114"/>
      <c r="ACP18" s="15">
        <v>11</v>
      </c>
      <c r="ACQ18" s="99"/>
      <c r="ACR18" s="86"/>
      <c r="ACS18" s="99"/>
      <c r="ACT18" s="102"/>
      <c r="ACU18" s="76"/>
      <c r="ACX18" s="114"/>
      <c r="ACY18" s="15">
        <v>11</v>
      </c>
      <c r="ACZ18" s="99"/>
      <c r="ADA18" s="86"/>
      <c r="ADB18" s="99"/>
      <c r="ADC18" s="102"/>
      <c r="ADD18" s="76"/>
      <c r="ADG18" s="114"/>
      <c r="ADH18" s="15">
        <v>11</v>
      </c>
      <c r="ADI18" s="99"/>
      <c r="ADJ18" s="86"/>
      <c r="ADK18" s="99"/>
      <c r="ADL18" s="102"/>
      <c r="ADM18" s="76"/>
      <c r="ADP18" s="114"/>
      <c r="ADQ18" s="15">
        <v>11</v>
      </c>
      <c r="ADR18" s="99"/>
      <c r="ADS18" s="86"/>
      <c r="ADT18" s="99"/>
      <c r="ADU18" s="102"/>
      <c r="ADV18" s="76"/>
      <c r="ADY18" s="114"/>
      <c r="ADZ18" s="15">
        <v>11</v>
      </c>
      <c r="AEA18" s="99"/>
      <c r="AEB18" s="86"/>
      <c r="AEC18" s="99"/>
      <c r="AED18" s="102"/>
      <c r="AEE18" s="76"/>
    </row>
    <row r="19" spans="1:811" x14ac:dyDescent="0.3">
      <c r="A19" s="150">
        <v>16</v>
      </c>
      <c r="B19" s="82" t="str">
        <f t="shared" ref="B19:I19" si="44">FA5</f>
        <v>SEABOARD FOODS</v>
      </c>
      <c r="C19" s="82" t="str">
        <f t="shared" si="44"/>
        <v>Seaboard</v>
      </c>
      <c r="D19" s="110" t="str">
        <f t="shared" si="44"/>
        <v>PED. 57812556</v>
      </c>
      <c r="E19" s="148">
        <f t="shared" si="44"/>
        <v>44154</v>
      </c>
      <c r="F19" s="93">
        <f t="shared" si="44"/>
        <v>18555.38</v>
      </c>
      <c r="G19" s="79">
        <f t="shared" si="44"/>
        <v>21</v>
      </c>
      <c r="H19" s="49">
        <f t="shared" si="44"/>
        <v>18673.8</v>
      </c>
      <c r="I19" s="113">
        <f t="shared" si="44"/>
        <v>-118.41999999999825</v>
      </c>
      <c r="L19" s="114"/>
      <c r="M19" s="15">
        <v>12</v>
      </c>
      <c r="N19" s="330">
        <v>897.51</v>
      </c>
      <c r="O19" s="398">
        <v>44139</v>
      </c>
      <c r="P19" s="330">
        <v>897.51</v>
      </c>
      <c r="Q19" s="384" t="s">
        <v>323</v>
      </c>
      <c r="R19" s="316">
        <v>44</v>
      </c>
      <c r="S19" s="316">
        <f t="shared" si="6"/>
        <v>39490.44</v>
      </c>
      <c r="T19" s="288"/>
      <c r="V19" s="114"/>
      <c r="W19" s="15">
        <v>12</v>
      </c>
      <c r="X19" s="330">
        <v>878.6</v>
      </c>
      <c r="Y19" s="398">
        <v>44140</v>
      </c>
      <c r="Z19" s="330">
        <v>878.6</v>
      </c>
      <c r="AA19" s="465" t="s">
        <v>334</v>
      </c>
      <c r="AB19" s="316">
        <v>45</v>
      </c>
      <c r="AC19" s="388">
        <f t="shared" si="7"/>
        <v>39537</v>
      </c>
      <c r="AF19" s="114"/>
      <c r="AG19" s="15">
        <v>12</v>
      </c>
      <c r="AH19" s="99">
        <v>902.2</v>
      </c>
      <c r="AI19" s="392">
        <v>44140</v>
      </c>
      <c r="AJ19" s="99">
        <v>902.2</v>
      </c>
      <c r="AK19" s="102" t="s">
        <v>330</v>
      </c>
      <c r="AL19" s="76">
        <v>45</v>
      </c>
      <c r="AM19" s="894">
        <f t="shared" si="8"/>
        <v>40599</v>
      </c>
      <c r="AP19" s="114"/>
      <c r="AQ19" s="15">
        <v>12</v>
      </c>
      <c r="AR19" s="385">
        <v>905.4</v>
      </c>
      <c r="AS19" s="398">
        <v>44141</v>
      </c>
      <c r="AT19" s="385">
        <v>905.4</v>
      </c>
      <c r="AU19" s="384" t="s">
        <v>341</v>
      </c>
      <c r="AV19" s="316">
        <v>45</v>
      </c>
      <c r="AY19" s="114"/>
      <c r="AZ19" s="15">
        <v>12</v>
      </c>
      <c r="BA19" s="74">
        <v>899.5</v>
      </c>
      <c r="BB19" s="148">
        <v>44141</v>
      </c>
      <c r="BC19" s="74">
        <v>899.5</v>
      </c>
      <c r="BD19" s="102" t="s">
        <v>344</v>
      </c>
      <c r="BE19" s="459">
        <v>45</v>
      </c>
      <c r="BH19" s="114"/>
      <c r="BI19" s="15">
        <v>12</v>
      </c>
      <c r="BJ19" s="74">
        <v>900.4</v>
      </c>
      <c r="BK19" s="148">
        <v>44141</v>
      </c>
      <c r="BL19" s="74">
        <v>900.4</v>
      </c>
      <c r="BM19" s="102" t="s">
        <v>348</v>
      </c>
      <c r="BN19" s="459">
        <v>45</v>
      </c>
      <c r="BQ19" s="114"/>
      <c r="BR19" s="15">
        <v>12</v>
      </c>
      <c r="BS19" s="99">
        <v>917.46</v>
      </c>
      <c r="BT19" s="460">
        <v>44145</v>
      </c>
      <c r="BU19" s="99">
        <v>917.46</v>
      </c>
      <c r="BV19" s="463" t="s">
        <v>357</v>
      </c>
      <c r="BW19" s="462">
        <v>45</v>
      </c>
      <c r="BX19" s="870">
        <f t="shared" si="9"/>
        <v>41285.700000000004</v>
      </c>
      <c r="BZ19" s="114"/>
      <c r="CA19" s="15">
        <v>12</v>
      </c>
      <c r="CB19" s="99">
        <v>885.9</v>
      </c>
      <c r="CC19" s="460">
        <v>44146</v>
      </c>
      <c r="CD19" s="99">
        <v>885.9</v>
      </c>
      <c r="CE19" s="463" t="s">
        <v>361</v>
      </c>
      <c r="CF19" s="462">
        <v>45</v>
      </c>
      <c r="CG19" s="870">
        <f t="shared" si="10"/>
        <v>39865.5</v>
      </c>
      <c r="CJ19" s="114"/>
      <c r="CK19" s="15">
        <v>12</v>
      </c>
      <c r="CL19" s="99">
        <v>907.18</v>
      </c>
      <c r="CM19" s="460">
        <v>44147</v>
      </c>
      <c r="CN19" s="99">
        <v>907.18</v>
      </c>
      <c r="CO19" s="463" t="s">
        <v>364</v>
      </c>
      <c r="CP19" s="462">
        <v>45</v>
      </c>
      <c r="CQ19" s="925">
        <f t="shared" si="11"/>
        <v>40823.1</v>
      </c>
      <c r="CT19" s="114"/>
      <c r="CU19" s="15">
        <v>12</v>
      </c>
      <c r="CV19" s="99">
        <v>932.1</v>
      </c>
      <c r="CW19" s="392">
        <v>44148</v>
      </c>
      <c r="CX19" s="99">
        <v>932.1</v>
      </c>
      <c r="CY19" s="102" t="s">
        <v>372</v>
      </c>
      <c r="CZ19" s="76">
        <v>45</v>
      </c>
      <c r="DA19" s="870">
        <f t="shared" si="12"/>
        <v>41944.5</v>
      </c>
      <c r="DD19" s="114"/>
      <c r="DE19" s="15">
        <v>12</v>
      </c>
      <c r="DF19" s="99">
        <v>879.5</v>
      </c>
      <c r="DG19" s="460">
        <v>44148</v>
      </c>
      <c r="DH19" s="99">
        <v>879.5</v>
      </c>
      <c r="DI19" s="463" t="s">
        <v>374</v>
      </c>
      <c r="DJ19" s="462">
        <v>45</v>
      </c>
      <c r="DK19" s="925">
        <f t="shared" si="13"/>
        <v>39577.5</v>
      </c>
      <c r="DN19" s="114"/>
      <c r="DO19" s="15">
        <v>12</v>
      </c>
      <c r="DP19" s="99">
        <v>907.6</v>
      </c>
      <c r="DQ19" s="460">
        <v>44156</v>
      </c>
      <c r="DR19" s="99">
        <v>907.6</v>
      </c>
      <c r="DS19" s="463" t="s">
        <v>377</v>
      </c>
      <c r="DT19" s="462">
        <v>45</v>
      </c>
      <c r="DU19" s="870">
        <f t="shared" si="14"/>
        <v>40842</v>
      </c>
      <c r="DX19" s="114"/>
      <c r="DY19" s="15">
        <v>12</v>
      </c>
      <c r="DZ19" s="74">
        <v>864.85</v>
      </c>
      <c r="EA19" s="412">
        <v>44150</v>
      </c>
      <c r="EB19" s="74">
        <v>864.85</v>
      </c>
      <c r="EC19" s="75" t="s">
        <v>387</v>
      </c>
      <c r="ED19" s="76">
        <v>44</v>
      </c>
      <c r="EE19" s="870">
        <f t="shared" si="15"/>
        <v>38053.4</v>
      </c>
      <c r="EH19" s="114"/>
      <c r="EI19" s="15">
        <v>12</v>
      </c>
      <c r="EJ19" s="74">
        <v>870.4</v>
      </c>
      <c r="EK19" s="412">
        <v>44154</v>
      </c>
      <c r="EL19" s="74">
        <v>870.4</v>
      </c>
      <c r="EM19" s="315" t="s">
        <v>401</v>
      </c>
      <c r="EN19" s="76">
        <v>42</v>
      </c>
      <c r="EO19" s="870">
        <f t="shared" si="16"/>
        <v>36556.799999999996</v>
      </c>
      <c r="ER19" s="114"/>
      <c r="ES19" s="15">
        <v>12</v>
      </c>
      <c r="ET19" s="330">
        <v>885</v>
      </c>
      <c r="EU19" s="398">
        <v>44154</v>
      </c>
      <c r="EV19" s="330">
        <v>885</v>
      </c>
      <c r="EW19" s="315" t="s">
        <v>399</v>
      </c>
      <c r="EX19" s="316">
        <v>42</v>
      </c>
      <c r="EY19" s="388">
        <f t="shared" si="17"/>
        <v>37170</v>
      </c>
      <c r="FB19" s="114"/>
      <c r="FC19" s="15">
        <v>12</v>
      </c>
      <c r="FD19" s="99">
        <v>912.2</v>
      </c>
      <c r="FE19" s="392">
        <v>44154</v>
      </c>
      <c r="FF19" s="99">
        <v>912.2</v>
      </c>
      <c r="FG19" s="75" t="s">
        <v>405</v>
      </c>
      <c r="FH19" s="76">
        <v>42</v>
      </c>
      <c r="FI19" s="870">
        <f t="shared" si="18"/>
        <v>38312.400000000001</v>
      </c>
      <c r="FL19" s="114"/>
      <c r="FM19" s="15">
        <v>12</v>
      </c>
      <c r="FN19" s="99">
        <v>881.3</v>
      </c>
      <c r="FO19" s="392">
        <v>44156</v>
      </c>
      <c r="FP19" s="99">
        <v>881.3</v>
      </c>
      <c r="FQ19" s="75" t="s">
        <v>415</v>
      </c>
      <c r="FR19" s="76">
        <v>42</v>
      </c>
      <c r="FS19" s="870">
        <f t="shared" si="19"/>
        <v>37014.6</v>
      </c>
      <c r="FV19" s="114"/>
      <c r="FW19" s="15">
        <v>12</v>
      </c>
      <c r="FX19" s="74">
        <v>902.2</v>
      </c>
      <c r="FY19" s="657">
        <v>44156</v>
      </c>
      <c r="FZ19" s="74">
        <v>902.2</v>
      </c>
      <c r="GA19" s="315" t="s">
        <v>412</v>
      </c>
      <c r="GB19" s="316">
        <v>42</v>
      </c>
      <c r="GC19" s="388">
        <f t="shared" si="20"/>
        <v>37892.400000000001</v>
      </c>
      <c r="GF19" s="114"/>
      <c r="GG19" s="15">
        <v>12</v>
      </c>
      <c r="GH19" s="632">
        <v>886.8</v>
      </c>
      <c r="GI19" s="392">
        <v>44159</v>
      </c>
      <c r="GJ19" s="632">
        <v>886.8</v>
      </c>
      <c r="GK19" s="102" t="s">
        <v>419</v>
      </c>
      <c r="GL19" s="76">
        <v>38</v>
      </c>
      <c r="GM19" s="870">
        <f t="shared" si="21"/>
        <v>33698.400000000001</v>
      </c>
      <c r="GP19" s="114"/>
      <c r="GQ19" s="15">
        <v>12</v>
      </c>
      <c r="GR19" s="99">
        <v>890.25</v>
      </c>
      <c r="GS19" s="392">
        <v>44159</v>
      </c>
      <c r="GT19" s="99">
        <v>890.25</v>
      </c>
      <c r="GU19" s="102" t="s">
        <v>421</v>
      </c>
      <c r="GV19" s="76">
        <v>38</v>
      </c>
      <c r="GW19" s="870">
        <f t="shared" si="22"/>
        <v>33829.5</v>
      </c>
      <c r="GZ19" s="114"/>
      <c r="HA19" s="15">
        <v>12</v>
      </c>
      <c r="HB19" s="99">
        <v>969.32</v>
      </c>
      <c r="HC19" s="392">
        <v>44160</v>
      </c>
      <c r="HD19" s="99">
        <v>969.32</v>
      </c>
      <c r="HE19" s="102" t="s">
        <v>429</v>
      </c>
      <c r="HF19" s="76">
        <v>38</v>
      </c>
      <c r="HG19" s="870">
        <f t="shared" si="23"/>
        <v>36834.160000000003</v>
      </c>
      <c r="HJ19" s="114"/>
      <c r="HK19" s="15">
        <v>12</v>
      </c>
      <c r="HL19" s="330">
        <v>852.3</v>
      </c>
      <c r="HM19" s="398">
        <v>44161</v>
      </c>
      <c r="HN19" s="330">
        <v>852.3</v>
      </c>
      <c r="HO19" s="465" t="s">
        <v>434</v>
      </c>
      <c r="HP19" s="316">
        <v>38</v>
      </c>
      <c r="HQ19" s="388">
        <f t="shared" si="24"/>
        <v>32387.399999999998</v>
      </c>
      <c r="HT19" s="101"/>
      <c r="HU19" s="15">
        <v>12</v>
      </c>
      <c r="HV19" s="74">
        <v>901.3</v>
      </c>
      <c r="HW19" s="412">
        <v>44162</v>
      </c>
      <c r="HX19" s="74">
        <v>901.3</v>
      </c>
      <c r="HY19" s="75" t="s">
        <v>435</v>
      </c>
      <c r="HZ19" s="76">
        <v>38</v>
      </c>
      <c r="IA19" s="870">
        <f t="shared" si="25"/>
        <v>34249.4</v>
      </c>
      <c r="ID19" s="114"/>
      <c r="IE19" s="15">
        <v>12</v>
      </c>
      <c r="IF19" s="330">
        <v>876.8</v>
      </c>
      <c r="IG19" s="359">
        <v>44162</v>
      </c>
      <c r="IH19" s="330">
        <v>876.8</v>
      </c>
      <c r="II19" s="675" t="s">
        <v>438</v>
      </c>
      <c r="IJ19" s="316">
        <v>38</v>
      </c>
      <c r="IK19" s="388">
        <f t="shared" si="26"/>
        <v>33318.400000000001</v>
      </c>
      <c r="IL19" s="99"/>
      <c r="IM19" s="113"/>
      <c r="IN19" s="114"/>
      <c r="IO19" s="15">
        <v>12</v>
      </c>
      <c r="IP19" s="99">
        <v>917.6</v>
      </c>
      <c r="IQ19" s="412">
        <v>44166</v>
      </c>
      <c r="IR19" s="99">
        <v>917.6</v>
      </c>
      <c r="IS19" s="75" t="s">
        <v>453</v>
      </c>
      <c r="IT19" s="76">
        <v>38</v>
      </c>
      <c r="IU19" s="870">
        <f t="shared" si="27"/>
        <v>34868.800000000003</v>
      </c>
      <c r="IX19" s="114"/>
      <c r="IY19" s="15">
        <v>12</v>
      </c>
      <c r="IZ19" s="99">
        <v>865.31</v>
      </c>
      <c r="JA19" s="392">
        <v>44167</v>
      </c>
      <c r="JB19" s="99">
        <v>865.31</v>
      </c>
      <c r="JC19" s="75" t="s">
        <v>479</v>
      </c>
      <c r="JD19" s="76">
        <v>38</v>
      </c>
      <c r="JE19" s="870">
        <f t="shared" si="28"/>
        <v>32881.78</v>
      </c>
      <c r="JH19" s="114"/>
      <c r="JI19" s="15">
        <v>12</v>
      </c>
      <c r="JJ19" s="74">
        <v>884.81</v>
      </c>
      <c r="JK19" s="412">
        <v>44167</v>
      </c>
      <c r="JL19" s="74">
        <v>884.81</v>
      </c>
      <c r="JM19" s="75" t="s">
        <v>477</v>
      </c>
      <c r="JN19" s="76">
        <v>38</v>
      </c>
      <c r="JO19" s="870">
        <f t="shared" si="29"/>
        <v>33622.78</v>
      </c>
      <c r="JR19" s="114"/>
      <c r="JS19" s="15">
        <v>12</v>
      </c>
      <c r="JT19" s="74">
        <v>886.8</v>
      </c>
      <c r="JU19" s="392">
        <v>44168</v>
      </c>
      <c r="JV19" s="74">
        <v>886.8</v>
      </c>
      <c r="JW19" s="102" t="s">
        <v>481</v>
      </c>
      <c r="JX19" s="76">
        <v>39</v>
      </c>
      <c r="JY19" s="870">
        <f t="shared" si="30"/>
        <v>34585.199999999997</v>
      </c>
      <c r="KB19" s="114"/>
      <c r="KC19" s="15">
        <v>12</v>
      </c>
      <c r="KD19" s="99">
        <v>894.9</v>
      </c>
      <c r="KE19" s="392">
        <v>44168</v>
      </c>
      <c r="KF19" s="99">
        <v>894.9</v>
      </c>
      <c r="KG19" s="102" t="s">
        <v>484</v>
      </c>
      <c r="KH19" s="76">
        <v>39</v>
      </c>
      <c r="KI19" s="870">
        <f t="shared" si="31"/>
        <v>34901.1</v>
      </c>
      <c r="KL19" s="114"/>
      <c r="KM19" s="15">
        <v>12</v>
      </c>
      <c r="KN19" s="74">
        <v>918.07</v>
      </c>
      <c r="KO19" s="392">
        <v>44169</v>
      </c>
      <c r="KP19" s="74">
        <v>918.07</v>
      </c>
      <c r="KQ19" s="102" t="s">
        <v>496</v>
      </c>
      <c r="KR19" s="76">
        <v>39</v>
      </c>
      <c r="KS19" s="870">
        <f t="shared" si="32"/>
        <v>35804.730000000003</v>
      </c>
      <c r="KV19" s="114"/>
      <c r="KW19" s="15">
        <v>12</v>
      </c>
      <c r="KX19" s="99">
        <v>887.7</v>
      </c>
      <c r="KY19" s="392">
        <v>44169</v>
      </c>
      <c r="KZ19" s="99">
        <v>887.7</v>
      </c>
      <c r="LA19" s="102" t="s">
        <v>488</v>
      </c>
      <c r="LB19" s="76">
        <v>39</v>
      </c>
      <c r="LC19" s="870">
        <f t="shared" si="33"/>
        <v>34620.300000000003</v>
      </c>
      <c r="LF19" s="114"/>
      <c r="LG19" s="15">
        <v>12</v>
      </c>
      <c r="LH19" s="99">
        <v>878.6</v>
      </c>
      <c r="LI19" s="392">
        <v>44169</v>
      </c>
      <c r="LJ19" s="99">
        <v>878.6</v>
      </c>
      <c r="LK19" s="102" t="s">
        <v>493</v>
      </c>
      <c r="LL19" s="76">
        <v>39</v>
      </c>
      <c r="LM19" s="870">
        <f t="shared" si="34"/>
        <v>34265.4</v>
      </c>
      <c r="LP19" s="114"/>
      <c r="LQ19" s="15">
        <v>12</v>
      </c>
      <c r="LR19" s="472"/>
      <c r="LS19" s="392"/>
      <c r="LT19" s="472"/>
      <c r="LU19" s="102"/>
      <c r="LV19" s="76"/>
      <c r="LY19" s="114"/>
      <c r="LZ19" s="15">
        <v>12</v>
      </c>
      <c r="MA19" s="472"/>
      <c r="MB19" s="392"/>
      <c r="MC19" s="472"/>
      <c r="MD19" s="102"/>
      <c r="ME19" s="76"/>
      <c r="MH19" s="114"/>
      <c r="MI19" s="15">
        <v>12</v>
      </c>
      <c r="MJ19" s="99"/>
      <c r="MK19" s="392"/>
      <c r="ML19" s="99"/>
      <c r="MM19" s="102"/>
      <c r="MN19" s="76"/>
      <c r="MQ19" s="114"/>
      <c r="MR19" s="15">
        <v>12</v>
      </c>
      <c r="MS19" s="472"/>
      <c r="MT19" s="392"/>
      <c r="MU19" s="472"/>
      <c r="MV19" s="384"/>
      <c r="MW19" s="76"/>
      <c r="MZ19" s="114"/>
      <c r="NA19" s="15">
        <v>12</v>
      </c>
      <c r="NB19" s="99"/>
      <c r="NC19" s="392"/>
      <c r="ND19" s="99"/>
      <c r="NE19" s="102"/>
      <c r="NF19" s="76"/>
      <c r="NI19" s="114"/>
      <c r="NJ19" s="15">
        <v>12</v>
      </c>
      <c r="NK19" s="99"/>
      <c r="NL19" s="392"/>
      <c r="NM19" s="99"/>
      <c r="NN19" s="102"/>
      <c r="NO19" s="76"/>
      <c r="NR19" s="114"/>
      <c r="NS19" s="15">
        <v>12</v>
      </c>
      <c r="NT19" s="99"/>
      <c r="NU19" s="392"/>
      <c r="NV19" s="99"/>
      <c r="NW19" s="102"/>
      <c r="NX19" s="76"/>
      <c r="OA19" s="114"/>
      <c r="OB19" s="15">
        <v>12</v>
      </c>
      <c r="OC19" s="99"/>
      <c r="OD19" s="392"/>
      <c r="OE19" s="99"/>
      <c r="OF19" s="102"/>
      <c r="OG19" s="76"/>
      <c r="OJ19" s="114"/>
      <c r="OK19" s="15">
        <v>12</v>
      </c>
      <c r="OL19" s="330"/>
      <c r="OM19" s="398"/>
      <c r="ON19" s="330"/>
      <c r="OO19" s="384"/>
      <c r="OP19" s="316"/>
      <c r="OS19" s="101"/>
      <c r="OT19" s="15">
        <v>12</v>
      </c>
      <c r="OU19" s="99"/>
      <c r="OV19" s="392"/>
      <c r="OW19" s="99"/>
      <c r="OX19" s="102"/>
      <c r="OY19" s="76"/>
      <c r="PB19" s="114"/>
      <c r="PC19" s="15">
        <v>12</v>
      </c>
      <c r="PD19" s="99"/>
      <c r="PE19" s="392"/>
      <c r="PF19" s="99"/>
      <c r="PG19" s="102"/>
      <c r="PH19" s="76"/>
      <c r="PK19" s="114"/>
      <c r="PL19" s="15">
        <v>12</v>
      </c>
      <c r="PM19" s="99"/>
      <c r="PN19" s="148"/>
      <c r="PO19" s="99"/>
      <c r="PP19" s="102"/>
      <c r="PQ19" s="76"/>
      <c r="PT19" s="114"/>
      <c r="PU19" s="15">
        <v>12</v>
      </c>
      <c r="PV19" s="99"/>
      <c r="PW19" s="392"/>
      <c r="PX19" s="99"/>
      <c r="PY19" s="102"/>
      <c r="PZ19" s="76"/>
      <c r="QC19" s="114"/>
      <c r="QD19" s="15">
        <v>12</v>
      </c>
      <c r="QE19" s="99"/>
      <c r="QF19" s="392"/>
      <c r="QG19" s="99"/>
      <c r="QH19" s="102"/>
      <c r="QI19" s="76"/>
      <c r="QL19" s="114"/>
      <c r="QM19" s="15">
        <v>12</v>
      </c>
      <c r="QN19" s="99"/>
      <c r="QO19" s="392"/>
      <c r="QP19" s="99"/>
      <c r="QQ19" s="102"/>
      <c r="QR19" s="76"/>
      <c r="QU19" s="114"/>
      <c r="QV19" s="15">
        <v>12</v>
      </c>
      <c r="QW19" s="99"/>
      <c r="QX19" s="392"/>
      <c r="QY19" s="99"/>
      <c r="QZ19" s="102"/>
      <c r="RA19" s="459"/>
      <c r="RD19" s="114"/>
      <c r="RE19" s="15">
        <v>12</v>
      </c>
      <c r="RF19" s="99"/>
      <c r="RG19" s="148"/>
      <c r="RH19" s="99"/>
      <c r="RI19" s="102"/>
      <c r="RJ19" s="76"/>
      <c r="RM19" s="114"/>
      <c r="RN19" s="15">
        <v>12</v>
      </c>
      <c r="RO19" s="99"/>
      <c r="RP19" s="86"/>
      <c r="RQ19" s="99"/>
      <c r="RR19" s="102"/>
      <c r="RS19" s="76"/>
      <c r="RV19" s="114"/>
      <c r="RW19" s="15">
        <v>12</v>
      </c>
      <c r="RX19" s="99"/>
      <c r="RY19" s="86"/>
      <c r="RZ19" s="99"/>
      <c r="SA19" s="102"/>
      <c r="SB19" s="76"/>
      <c r="SE19" s="114"/>
      <c r="SF19" s="15"/>
      <c r="SG19" s="99"/>
      <c r="SH19" s="86"/>
      <c r="SI19" s="99"/>
      <c r="SJ19" s="102"/>
      <c r="SK19" s="76"/>
      <c r="SN19" s="114"/>
      <c r="SO19" s="15">
        <v>12</v>
      </c>
      <c r="SP19" s="99"/>
      <c r="SQ19" s="471"/>
      <c r="SR19" s="206"/>
      <c r="SS19" s="463"/>
      <c r="ST19" s="462"/>
      <c r="SW19" s="114"/>
      <c r="SX19" s="15">
        <v>12</v>
      </c>
      <c r="SY19" s="99"/>
      <c r="SZ19" s="86"/>
      <c r="TA19" s="99"/>
      <c r="TB19" s="102"/>
      <c r="TC19" s="76"/>
      <c r="TF19" s="114"/>
      <c r="TG19" s="15">
        <v>12</v>
      </c>
      <c r="TH19" s="99"/>
      <c r="TI19" s="86"/>
      <c r="TJ19" s="99"/>
      <c r="TK19" s="102"/>
      <c r="TL19" s="76"/>
      <c r="TO19" s="114"/>
      <c r="TP19" s="15">
        <v>12</v>
      </c>
      <c r="TQ19" s="99"/>
      <c r="TR19" s="86"/>
      <c r="TS19" s="99"/>
      <c r="TT19" s="102"/>
      <c r="TU19" s="76"/>
      <c r="TX19" s="114"/>
      <c r="TY19" s="15">
        <v>12</v>
      </c>
      <c r="TZ19" s="99"/>
      <c r="UA19" s="86"/>
      <c r="UB19" s="99"/>
      <c r="UC19" s="102"/>
      <c r="UD19" s="76"/>
      <c r="UG19" s="114"/>
      <c r="UH19" s="15">
        <v>12</v>
      </c>
      <c r="UI19" s="99"/>
      <c r="UJ19" s="86"/>
      <c r="UK19" s="99"/>
      <c r="UL19" s="102"/>
      <c r="UM19" s="76"/>
      <c r="UP19" s="114"/>
      <c r="UQ19" s="15">
        <v>12</v>
      </c>
      <c r="UR19" s="99"/>
      <c r="US19" s="86"/>
      <c r="UT19" s="99"/>
      <c r="UU19" s="102"/>
      <c r="UV19" s="76"/>
      <c r="UY19" s="114"/>
      <c r="UZ19" s="15">
        <v>12</v>
      </c>
      <c r="VA19" s="99"/>
      <c r="VB19" s="86"/>
      <c r="VC19" s="99"/>
      <c r="VD19" s="102"/>
      <c r="VE19" s="76"/>
      <c r="VH19" s="114"/>
      <c r="VI19" s="15">
        <v>12</v>
      </c>
      <c r="VJ19" s="99"/>
      <c r="VK19" s="86"/>
      <c r="VL19" s="99"/>
      <c r="VM19" s="102"/>
      <c r="VN19" s="76"/>
      <c r="VQ19" s="114"/>
      <c r="VR19" s="15">
        <v>12</v>
      </c>
      <c r="VS19" s="99"/>
      <c r="VT19" s="86"/>
      <c r="VU19" s="99"/>
      <c r="VV19" s="102"/>
      <c r="VW19" s="76"/>
      <c r="VZ19" s="114"/>
      <c r="WA19" s="15">
        <v>12</v>
      </c>
      <c r="WB19" s="99"/>
      <c r="WC19" s="86"/>
      <c r="WD19" s="99"/>
      <c r="WE19" s="102"/>
      <c r="WF19" s="76"/>
      <c r="WI19" s="114"/>
      <c r="WJ19" s="15">
        <v>12</v>
      </c>
      <c r="WK19" s="99"/>
      <c r="WL19" s="86"/>
      <c r="WM19" s="99"/>
      <c r="WN19" s="102"/>
      <c r="WO19" s="76"/>
      <c r="WR19" s="114"/>
      <c r="WS19" s="15">
        <v>12</v>
      </c>
      <c r="WT19" s="99"/>
      <c r="WU19" s="86"/>
      <c r="WV19" s="99"/>
      <c r="WW19" s="102"/>
      <c r="WX19" s="76"/>
      <c r="XA19" s="114"/>
      <c r="XB19" s="15">
        <v>12</v>
      </c>
      <c r="XC19" s="99"/>
      <c r="XD19" s="86"/>
      <c r="XE19" s="99"/>
      <c r="XF19" s="102"/>
      <c r="XG19" s="76"/>
      <c r="XJ19" s="114"/>
      <c r="XK19" s="15">
        <v>12</v>
      </c>
      <c r="XL19" s="99"/>
      <c r="XM19" s="86"/>
      <c r="XN19" s="99"/>
      <c r="XO19" s="102"/>
      <c r="XP19" s="76"/>
      <c r="XS19" s="114"/>
      <c r="XT19" s="15">
        <v>12</v>
      </c>
      <c r="XU19" s="99"/>
      <c r="XV19" s="86"/>
      <c r="XW19" s="99"/>
      <c r="XX19" s="102"/>
      <c r="XY19" s="76"/>
      <c r="YB19" s="114"/>
      <c r="YC19" s="15">
        <v>12</v>
      </c>
      <c r="YD19" s="99"/>
      <c r="YE19" s="86"/>
      <c r="YF19" s="99"/>
      <c r="YG19" s="102"/>
      <c r="YH19" s="76"/>
      <c r="YK19" s="114"/>
      <c r="YL19" s="15">
        <v>12</v>
      </c>
      <c r="YM19" s="99"/>
      <c r="YN19" s="86"/>
      <c r="YO19" s="99"/>
      <c r="YP19" s="102"/>
      <c r="YQ19" s="76"/>
      <c r="YT19" s="114"/>
      <c r="YU19" s="15">
        <v>12</v>
      </c>
      <c r="YV19" s="99"/>
      <c r="YW19" s="86"/>
      <c r="YX19" s="99"/>
      <c r="YY19" s="102"/>
      <c r="YZ19" s="76"/>
      <c r="ZC19" s="114"/>
      <c r="ZD19" s="15">
        <v>12</v>
      </c>
      <c r="ZE19" s="99"/>
      <c r="ZF19" s="86"/>
      <c r="ZG19" s="99"/>
      <c r="ZH19" s="102"/>
      <c r="ZI19" s="76"/>
      <c r="ZL19" s="114"/>
      <c r="ZM19" s="15">
        <v>12</v>
      </c>
      <c r="ZN19" s="99"/>
      <c r="ZO19" s="86"/>
      <c r="ZP19" s="99"/>
      <c r="ZQ19" s="102"/>
      <c r="ZR19" s="76"/>
      <c r="ZU19" s="114"/>
      <c r="ZV19" s="15">
        <v>12</v>
      </c>
      <c r="ZW19" s="99"/>
      <c r="ZX19" s="86"/>
      <c r="ZY19" s="99"/>
      <c r="ZZ19" s="102"/>
      <c r="AAA19" s="76"/>
      <c r="AAD19" s="114"/>
      <c r="AAE19" s="15">
        <v>12</v>
      </c>
      <c r="AAF19" s="99"/>
      <c r="AAG19" s="86"/>
      <c r="AAH19" s="99"/>
      <c r="AAI19" s="102"/>
      <c r="AAJ19" s="76"/>
      <c r="AAM19" s="114"/>
      <c r="AAN19" s="15">
        <v>12</v>
      </c>
      <c r="AAO19" s="99"/>
      <c r="AAP19" s="86"/>
      <c r="AAQ19" s="99"/>
      <c r="AAR19" s="102"/>
      <c r="AAS19" s="76"/>
      <c r="AAV19" s="114"/>
      <c r="AAW19" s="15">
        <v>12</v>
      </c>
      <c r="AAX19" s="99"/>
      <c r="AAY19" s="86"/>
      <c r="AAZ19" s="99"/>
      <c r="ABA19" s="102"/>
      <c r="ABB19" s="76"/>
      <c r="ABE19" s="114"/>
      <c r="ABF19" s="15">
        <v>12</v>
      </c>
      <c r="ABG19" s="99"/>
      <c r="ABH19" s="86"/>
      <c r="ABI19" s="99"/>
      <c r="ABJ19" s="102"/>
      <c r="ABK19" s="76"/>
      <c r="ABN19" s="114"/>
      <c r="ABO19" s="15">
        <v>12</v>
      </c>
      <c r="ABP19" s="99"/>
      <c r="ABQ19" s="86"/>
      <c r="ABR19" s="99"/>
      <c r="ABS19" s="102"/>
      <c r="ABT19" s="76"/>
      <c r="ABW19" s="114"/>
      <c r="ABX19" s="15">
        <v>12</v>
      </c>
      <c r="ABY19" s="99"/>
      <c r="ABZ19" s="86"/>
      <c r="ACA19" s="99"/>
      <c r="ACB19" s="102"/>
      <c r="ACC19" s="76"/>
      <c r="ACF19" s="114"/>
      <c r="ACG19" s="15">
        <v>12</v>
      </c>
      <c r="ACH19" s="99"/>
      <c r="ACI19" s="86"/>
      <c r="ACJ19" s="99"/>
      <c r="ACK19" s="102"/>
      <c r="ACL19" s="76"/>
      <c r="ACO19" s="114"/>
      <c r="ACP19" s="15">
        <v>12</v>
      </c>
      <c r="ACQ19" s="99"/>
      <c r="ACR19" s="86"/>
      <c r="ACS19" s="99"/>
      <c r="ACT19" s="102"/>
      <c r="ACU19" s="76"/>
      <c r="ACX19" s="114"/>
      <c r="ACY19" s="15">
        <v>12</v>
      </c>
      <c r="ACZ19" s="99"/>
      <c r="ADA19" s="86"/>
      <c r="ADB19" s="99"/>
      <c r="ADC19" s="102"/>
      <c r="ADD19" s="76"/>
      <c r="ADG19" s="114"/>
      <c r="ADH19" s="15">
        <v>12</v>
      </c>
      <c r="ADI19" s="99"/>
      <c r="ADJ19" s="86"/>
      <c r="ADK19" s="99"/>
      <c r="ADL19" s="102"/>
      <c r="ADM19" s="76"/>
      <c r="ADP19" s="114"/>
      <c r="ADQ19" s="15">
        <v>12</v>
      </c>
      <c r="ADR19" s="99"/>
      <c r="ADS19" s="86"/>
      <c r="ADT19" s="99"/>
      <c r="ADU19" s="102"/>
      <c r="ADV19" s="76"/>
      <c r="ADY19" s="114"/>
      <c r="ADZ19" s="15">
        <v>12</v>
      </c>
      <c r="AEA19" s="99"/>
      <c r="AEB19" s="86"/>
      <c r="AEC19" s="99"/>
      <c r="AED19" s="102"/>
      <c r="AEE19" s="76"/>
    </row>
    <row r="20" spans="1:811" x14ac:dyDescent="0.3">
      <c r="A20" s="150">
        <v>17</v>
      </c>
      <c r="B20" s="141" t="str">
        <f t="shared" ref="B20:I20" si="45">FK5</f>
        <v xml:space="preserve">F&amp;J TRADING MEAT S DE RL DE CV </v>
      </c>
      <c r="C20" s="82" t="str">
        <f t="shared" si="45"/>
        <v>Seaboard</v>
      </c>
      <c r="D20" s="110" t="str">
        <f t="shared" si="45"/>
        <v>PED. 57927996</v>
      </c>
      <c r="E20" s="148">
        <f t="shared" si="45"/>
        <v>44156</v>
      </c>
      <c r="F20" s="93">
        <f t="shared" si="45"/>
        <v>18623.54</v>
      </c>
      <c r="G20" s="79">
        <f t="shared" si="45"/>
        <v>21</v>
      </c>
      <c r="H20" s="49">
        <f t="shared" si="45"/>
        <v>18644</v>
      </c>
      <c r="I20" s="113">
        <f t="shared" si="45"/>
        <v>-20.459999999999127</v>
      </c>
      <c r="L20" s="114"/>
      <c r="M20" s="15">
        <v>13</v>
      </c>
      <c r="N20" s="330">
        <v>861.68</v>
      </c>
      <c r="O20" s="398">
        <v>44139</v>
      </c>
      <c r="P20" s="330">
        <v>861.68</v>
      </c>
      <c r="Q20" s="384" t="s">
        <v>323</v>
      </c>
      <c r="R20" s="316">
        <v>44</v>
      </c>
      <c r="S20" s="316">
        <f t="shared" si="6"/>
        <v>37913.919999999998</v>
      </c>
      <c r="T20" s="288"/>
      <c r="V20" s="114"/>
      <c r="W20" s="15">
        <v>13</v>
      </c>
      <c r="X20" s="330">
        <v>883.1</v>
      </c>
      <c r="Y20" s="398">
        <v>44140</v>
      </c>
      <c r="Z20" s="330">
        <v>883.1</v>
      </c>
      <c r="AA20" s="465" t="s">
        <v>334</v>
      </c>
      <c r="AB20" s="316">
        <v>45</v>
      </c>
      <c r="AC20" s="388">
        <f t="shared" si="7"/>
        <v>39739.5</v>
      </c>
      <c r="AF20" s="114"/>
      <c r="AG20" s="15">
        <v>13</v>
      </c>
      <c r="AH20" s="99">
        <v>930.3</v>
      </c>
      <c r="AI20" s="392">
        <v>44140</v>
      </c>
      <c r="AJ20" s="99">
        <v>930.3</v>
      </c>
      <c r="AK20" s="102" t="s">
        <v>330</v>
      </c>
      <c r="AL20" s="76">
        <v>45</v>
      </c>
      <c r="AM20" s="894">
        <f t="shared" si="8"/>
        <v>41863.5</v>
      </c>
      <c r="AP20" s="114"/>
      <c r="AQ20" s="15">
        <v>13</v>
      </c>
      <c r="AR20" s="385">
        <v>939.8</v>
      </c>
      <c r="AS20" s="398">
        <v>44141</v>
      </c>
      <c r="AT20" s="385">
        <v>939.8</v>
      </c>
      <c r="AU20" s="384" t="s">
        <v>339</v>
      </c>
      <c r="AV20" s="316">
        <v>45</v>
      </c>
      <c r="AY20" s="114"/>
      <c r="AZ20" s="15">
        <v>13</v>
      </c>
      <c r="BA20" s="99">
        <v>914</v>
      </c>
      <c r="BB20" s="148">
        <v>44141</v>
      </c>
      <c r="BC20" s="99">
        <v>914</v>
      </c>
      <c r="BD20" s="102" t="s">
        <v>344</v>
      </c>
      <c r="BE20" s="459">
        <v>45</v>
      </c>
      <c r="BH20" s="114"/>
      <c r="BI20" s="15">
        <v>13</v>
      </c>
      <c r="BJ20" s="99">
        <v>908.5</v>
      </c>
      <c r="BK20" s="148">
        <v>44141</v>
      </c>
      <c r="BL20" s="99">
        <v>908.5</v>
      </c>
      <c r="BM20" s="102" t="s">
        <v>348</v>
      </c>
      <c r="BN20" s="459">
        <v>45</v>
      </c>
      <c r="BQ20" s="114"/>
      <c r="BR20" s="15">
        <v>13</v>
      </c>
      <c r="BS20" s="99">
        <v>860.77</v>
      </c>
      <c r="BT20" s="460">
        <v>44145</v>
      </c>
      <c r="BU20" s="99">
        <v>860.77</v>
      </c>
      <c r="BV20" s="463" t="s">
        <v>357</v>
      </c>
      <c r="BW20" s="462">
        <v>45</v>
      </c>
      <c r="BX20" s="870">
        <f t="shared" si="9"/>
        <v>38734.65</v>
      </c>
      <c r="BZ20" s="114"/>
      <c r="CA20" s="15">
        <v>13</v>
      </c>
      <c r="CB20" s="99">
        <v>885.9</v>
      </c>
      <c r="CC20" s="460">
        <v>44146</v>
      </c>
      <c r="CD20" s="99">
        <v>885.9</v>
      </c>
      <c r="CE20" s="463" t="s">
        <v>361</v>
      </c>
      <c r="CF20" s="462">
        <v>45</v>
      </c>
      <c r="CG20" s="870">
        <f t="shared" si="10"/>
        <v>39865.5</v>
      </c>
      <c r="CJ20" s="114"/>
      <c r="CK20" s="15">
        <v>13</v>
      </c>
      <c r="CL20" s="330">
        <v>952.54</v>
      </c>
      <c r="CM20" s="460">
        <v>44147</v>
      </c>
      <c r="CN20" s="99">
        <v>952.54</v>
      </c>
      <c r="CO20" s="463" t="s">
        <v>364</v>
      </c>
      <c r="CP20" s="462">
        <v>45</v>
      </c>
      <c r="CQ20" s="925">
        <f t="shared" si="11"/>
        <v>42864.299999999996</v>
      </c>
      <c r="CT20" s="114"/>
      <c r="CU20" s="15">
        <v>13</v>
      </c>
      <c r="CV20" s="99">
        <v>914.9</v>
      </c>
      <c r="CW20" s="392">
        <v>44148</v>
      </c>
      <c r="CX20" s="99">
        <v>914.9</v>
      </c>
      <c r="CY20" s="102" t="s">
        <v>372</v>
      </c>
      <c r="CZ20" s="76">
        <v>45</v>
      </c>
      <c r="DA20" s="870">
        <f t="shared" si="12"/>
        <v>41170.5</v>
      </c>
      <c r="DD20" s="114"/>
      <c r="DE20" s="15">
        <v>13</v>
      </c>
      <c r="DF20" s="99">
        <v>868.6</v>
      </c>
      <c r="DG20" s="460">
        <v>44148</v>
      </c>
      <c r="DH20" s="99">
        <v>868.6</v>
      </c>
      <c r="DI20" s="463" t="s">
        <v>376</v>
      </c>
      <c r="DJ20" s="462">
        <v>45</v>
      </c>
      <c r="DK20" s="925">
        <f t="shared" si="13"/>
        <v>39087</v>
      </c>
      <c r="DN20" s="114"/>
      <c r="DO20" s="15">
        <v>13</v>
      </c>
      <c r="DP20" s="99">
        <v>908.5</v>
      </c>
      <c r="DQ20" s="460">
        <v>44156</v>
      </c>
      <c r="DR20" s="99">
        <v>908.5</v>
      </c>
      <c r="DS20" s="463" t="s">
        <v>377</v>
      </c>
      <c r="DT20" s="462">
        <v>45</v>
      </c>
      <c r="DU20" s="870">
        <f t="shared" si="14"/>
        <v>40882.5</v>
      </c>
      <c r="DX20" s="114"/>
      <c r="DY20" s="15">
        <v>13</v>
      </c>
      <c r="DZ20" s="74">
        <v>804.08</v>
      </c>
      <c r="EA20" s="412">
        <v>44150</v>
      </c>
      <c r="EB20" s="74">
        <v>804.08</v>
      </c>
      <c r="EC20" s="75" t="s">
        <v>387</v>
      </c>
      <c r="ED20" s="76">
        <v>44</v>
      </c>
      <c r="EE20" s="870">
        <f t="shared" si="15"/>
        <v>35379.520000000004</v>
      </c>
      <c r="EH20" s="114"/>
      <c r="EI20" s="15">
        <v>13</v>
      </c>
      <c r="EJ20" s="74">
        <v>906.7</v>
      </c>
      <c r="EK20" s="412">
        <v>44154</v>
      </c>
      <c r="EL20" s="74">
        <v>906.7</v>
      </c>
      <c r="EM20" s="315" t="s">
        <v>401</v>
      </c>
      <c r="EN20" s="76">
        <v>42</v>
      </c>
      <c r="EO20" s="870">
        <f t="shared" si="16"/>
        <v>38081.4</v>
      </c>
      <c r="ER20" s="114"/>
      <c r="ES20" s="15">
        <v>13</v>
      </c>
      <c r="ET20" s="330">
        <v>912.2</v>
      </c>
      <c r="EU20" s="398">
        <v>44154</v>
      </c>
      <c r="EV20" s="330">
        <v>912.2</v>
      </c>
      <c r="EW20" s="315" t="s">
        <v>399</v>
      </c>
      <c r="EX20" s="316">
        <v>42</v>
      </c>
      <c r="EY20" s="388">
        <f t="shared" si="17"/>
        <v>38312.400000000001</v>
      </c>
      <c r="FB20" s="114"/>
      <c r="FC20" s="15">
        <v>13</v>
      </c>
      <c r="FD20" s="99">
        <v>860.5</v>
      </c>
      <c r="FE20" s="392">
        <v>44154</v>
      </c>
      <c r="FF20" s="99">
        <v>860.5</v>
      </c>
      <c r="FG20" s="75" t="s">
        <v>405</v>
      </c>
      <c r="FH20" s="76">
        <v>42</v>
      </c>
      <c r="FI20" s="870">
        <f t="shared" si="18"/>
        <v>36141</v>
      </c>
      <c r="FL20" s="114"/>
      <c r="FM20" s="15">
        <v>13</v>
      </c>
      <c r="FN20" s="99">
        <v>879.5</v>
      </c>
      <c r="FO20" s="392">
        <v>44156</v>
      </c>
      <c r="FP20" s="99">
        <v>879.5</v>
      </c>
      <c r="FQ20" s="75" t="s">
        <v>415</v>
      </c>
      <c r="FR20" s="76">
        <v>42</v>
      </c>
      <c r="FS20" s="870">
        <f t="shared" si="19"/>
        <v>36939</v>
      </c>
      <c r="FV20" s="114"/>
      <c r="FW20" s="15">
        <v>13</v>
      </c>
      <c r="FX20" s="74">
        <v>856.8</v>
      </c>
      <c r="FY20" s="657">
        <v>44156</v>
      </c>
      <c r="FZ20" s="74">
        <v>856.8</v>
      </c>
      <c r="GA20" s="315" t="s">
        <v>412</v>
      </c>
      <c r="GB20" s="316">
        <v>42</v>
      </c>
      <c r="GC20" s="388">
        <f t="shared" si="20"/>
        <v>35985.599999999999</v>
      </c>
      <c r="GF20" s="114"/>
      <c r="GG20" s="15">
        <v>13</v>
      </c>
      <c r="GH20" s="632">
        <v>881.3</v>
      </c>
      <c r="GI20" s="392">
        <v>44159</v>
      </c>
      <c r="GJ20" s="632">
        <v>881.3</v>
      </c>
      <c r="GK20" s="102" t="s">
        <v>419</v>
      </c>
      <c r="GL20" s="76">
        <v>38</v>
      </c>
      <c r="GM20" s="870">
        <f t="shared" si="21"/>
        <v>33489.4</v>
      </c>
      <c r="GP20" s="114"/>
      <c r="GQ20" s="15">
        <v>13</v>
      </c>
      <c r="GR20" s="99">
        <v>804.08</v>
      </c>
      <c r="GS20" s="392">
        <v>44159</v>
      </c>
      <c r="GT20" s="99">
        <v>804.08</v>
      </c>
      <c r="GU20" s="102" t="s">
        <v>421</v>
      </c>
      <c r="GV20" s="76">
        <v>38</v>
      </c>
      <c r="GW20" s="870">
        <f t="shared" si="22"/>
        <v>30555.040000000001</v>
      </c>
      <c r="GZ20" s="114"/>
      <c r="HA20" s="15">
        <v>13</v>
      </c>
      <c r="HB20" s="99">
        <v>940.75</v>
      </c>
      <c r="HC20" s="392">
        <v>44160</v>
      </c>
      <c r="HD20" s="99">
        <v>940.75</v>
      </c>
      <c r="HE20" s="102" t="s">
        <v>429</v>
      </c>
      <c r="HF20" s="76">
        <v>38</v>
      </c>
      <c r="HG20" s="870">
        <f t="shared" si="23"/>
        <v>35748.5</v>
      </c>
      <c r="HJ20" s="114"/>
      <c r="HK20" s="15">
        <v>13</v>
      </c>
      <c r="HL20" s="330">
        <v>921.2</v>
      </c>
      <c r="HM20" s="398">
        <v>44161</v>
      </c>
      <c r="HN20" s="330">
        <v>921.2</v>
      </c>
      <c r="HO20" s="465" t="s">
        <v>434</v>
      </c>
      <c r="HP20" s="316">
        <v>38</v>
      </c>
      <c r="HQ20" s="388">
        <f t="shared" si="24"/>
        <v>35005.599999999999</v>
      </c>
      <c r="HT20" s="101"/>
      <c r="HU20" s="15">
        <v>13</v>
      </c>
      <c r="HV20" s="74">
        <v>905.8</v>
      </c>
      <c r="HW20" s="412">
        <v>44162</v>
      </c>
      <c r="HX20" s="74">
        <v>905.8</v>
      </c>
      <c r="HY20" s="75" t="s">
        <v>435</v>
      </c>
      <c r="HZ20" s="76">
        <v>38</v>
      </c>
      <c r="IA20" s="870">
        <f t="shared" si="25"/>
        <v>34420.400000000001</v>
      </c>
      <c r="ID20" s="114"/>
      <c r="IE20" s="15">
        <v>13</v>
      </c>
      <c r="IF20" s="330">
        <v>897.7</v>
      </c>
      <c r="IG20" s="359">
        <v>44162</v>
      </c>
      <c r="IH20" s="330">
        <v>897.7</v>
      </c>
      <c r="II20" s="675" t="s">
        <v>438</v>
      </c>
      <c r="IJ20" s="316">
        <v>38</v>
      </c>
      <c r="IK20" s="388">
        <f t="shared" si="26"/>
        <v>34112.6</v>
      </c>
      <c r="IL20" s="99"/>
      <c r="IN20" s="114"/>
      <c r="IO20" s="15">
        <v>13</v>
      </c>
      <c r="IP20" s="99">
        <v>882.2</v>
      </c>
      <c r="IQ20" s="412">
        <v>44166</v>
      </c>
      <c r="IR20" s="99">
        <v>882.2</v>
      </c>
      <c r="IS20" s="75" t="s">
        <v>453</v>
      </c>
      <c r="IT20" s="76">
        <v>38</v>
      </c>
      <c r="IU20" s="870">
        <f t="shared" si="27"/>
        <v>33523.599999999999</v>
      </c>
      <c r="IX20" s="114"/>
      <c r="IY20" s="15">
        <v>13</v>
      </c>
      <c r="IZ20" s="99">
        <v>797.73</v>
      </c>
      <c r="JA20" s="392">
        <v>44167</v>
      </c>
      <c r="JB20" s="99">
        <v>797.73</v>
      </c>
      <c r="JC20" s="75" t="s">
        <v>479</v>
      </c>
      <c r="JD20" s="76">
        <v>38</v>
      </c>
      <c r="JE20" s="870">
        <f t="shared" si="28"/>
        <v>30313.74</v>
      </c>
      <c r="JH20" s="114"/>
      <c r="JI20" s="15">
        <v>13</v>
      </c>
      <c r="JJ20" s="74">
        <v>919.73</v>
      </c>
      <c r="JK20" s="412">
        <v>44167</v>
      </c>
      <c r="JL20" s="74">
        <v>919.73</v>
      </c>
      <c r="JM20" s="75" t="s">
        <v>477</v>
      </c>
      <c r="JN20" s="76">
        <v>38</v>
      </c>
      <c r="JO20" s="870">
        <f t="shared" si="29"/>
        <v>34949.74</v>
      </c>
      <c r="JR20" s="114"/>
      <c r="JS20" s="15">
        <v>13</v>
      </c>
      <c r="JT20" s="99">
        <v>883.1</v>
      </c>
      <c r="JU20" s="392">
        <v>44168</v>
      </c>
      <c r="JV20" s="99">
        <v>883.1</v>
      </c>
      <c r="JW20" s="102" t="s">
        <v>481</v>
      </c>
      <c r="JX20" s="76">
        <v>39</v>
      </c>
      <c r="JY20" s="870">
        <f t="shared" si="30"/>
        <v>34440.9</v>
      </c>
      <c r="KB20" s="114"/>
      <c r="KC20" s="15">
        <v>13</v>
      </c>
      <c r="KD20" s="99">
        <v>912.2</v>
      </c>
      <c r="KE20" s="392">
        <v>44168</v>
      </c>
      <c r="KF20" s="99">
        <v>912.2</v>
      </c>
      <c r="KG20" s="102" t="s">
        <v>484</v>
      </c>
      <c r="KH20" s="76">
        <v>39</v>
      </c>
      <c r="KI20" s="870">
        <f t="shared" si="31"/>
        <v>35575.800000000003</v>
      </c>
      <c r="KL20" s="114"/>
      <c r="KM20" s="15">
        <v>13</v>
      </c>
      <c r="KN20" s="99">
        <v>917.16</v>
      </c>
      <c r="KO20" s="392">
        <v>44169</v>
      </c>
      <c r="KP20" s="99">
        <v>917.16</v>
      </c>
      <c r="KQ20" s="102" t="s">
        <v>496</v>
      </c>
      <c r="KR20" s="76">
        <v>39</v>
      </c>
      <c r="KS20" s="870">
        <f t="shared" si="32"/>
        <v>35769.24</v>
      </c>
      <c r="KV20" s="114"/>
      <c r="KW20" s="15">
        <v>13</v>
      </c>
      <c r="KX20" s="99">
        <v>886.8</v>
      </c>
      <c r="KY20" s="392">
        <v>44169</v>
      </c>
      <c r="KZ20" s="99">
        <v>886.8</v>
      </c>
      <c r="LA20" s="102" t="s">
        <v>488</v>
      </c>
      <c r="LB20" s="76">
        <v>39</v>
      </c>
      <c r="LC20" s="870">
        <f t="shared" si="33"/>
        <v>34585.199999999997</v>
      </c>
      <c r="LF20" s="114"/>
      <c r="LG20" s="15">
        <v>13</v>
      </c>
      <c r="LH20" s="99">
        <v>790.6</v>
      </c>
      <c r="LI20" s="392">
        <v>44169</v>
      </c>
      <c r="LJ20" s="99">
        <v>790.6</v>
      </c>
      <c r="LK20" s="102" t="s">
        <v>493</v>
      </c>
      <c r="LL20" s="76">
        <v>39</v>
      </c>
      <c r="LM20" s="870">
        <f t="shared" si="34"/>
        <v>30833.4</v>
      </c>
      <c r="LP20" s="114"/>
      <c r="LQ20" s="15">
        <v>13</v>
      </c>
      <c r="LR20" s="472"/>
      <c r="LS20" s="392"/>
      <c r="LT20" s="472"/>
      <c r="LU20" s="102"/>
      <c r="LV20" s="76"/>
      <c r="LY20" s="114"/>
      <c r="LZ20" s="15">
        <v>13</v>
      </c>
      <c r="MA20" s="472"/>
      <c r="MB20" s="392"/>
      <c r="MC20" s="472"/>
      <c r="MD20" s="102"/>
      <c r="ME20" s="76"/>
      <c r="MH20" s="114"/>
      <c r="MI20" s="15">
        <v>13</v>
      </c>
      <c r="MJ20" s="99"/>
      <c r="MK20" s="392"/>
      <c r="ML20" s="99"/>
      <c r="MM20" s="102"/>
      <c r="MN20" s="76"/>
      <c r="MQ20" s="114"/>
      <c r="MR20" s="15">
        <v>13</v>
      </c>
      <c r="MS20" s="472"/>
      <c r="MT20" s="392"/>
      <c r="MU20" s="385"/>
      <c r="MV20" s="384"/>
      <c r="MW20" s="76"/>
      <c r="MZ20" s="114"/>
      <c r="NA20" s="15">
        <v>13</v>
      </c>
      <c r="NB20" s="99"/>
      <c r="NC20" s="392"/>
      <c r="ND20" s="99"/>
      <c r="NE20" s="102"/>
      <c r="NF20" s="76"/>
      <c r="NI20" s="114"/>
      <c r="NJ20" s="15">
        <v>13</v>
      </c>
      <c r="NK20" s="99"/>
      <c r="NL20" s="392"/>
      <c r="NM20" s="99"/>
      <c r="NN20" s="102"/>
      <c r="NO20" s="76"/>
      <c r="NR20" s="114"/>
      <c r="NS20" s="15">
        <v>13</v>
      </c>
      <c r="NT20" s="99"/>
      <c r="NU20" s="392"/>
      <c r="NV20" s="99"/>
      <c r="NW20" s="102"/>
      <c r="NX20" s="76"/>
      <c r="OA20" s="114"/>
      <c r="OB20" s="15">
        <v>13</v>
      </c>
      <c r="OC20" s="99"/>
      <c r="OD20" s="392"/>
      <c r="OE20" s="99"/>
      <c r="OF20" s="102"/>
      <c r="OG20" s="76"/>
      <c r="OJ20" s="114"/>
      <c r="OK20" s="15">
        <v>13</v>
      </c>
      <c r="OL20" s="330"/>
      <c r="OM20" s="398"/>
      <c r="ON20" s="330"/>
      <c r="OO20" s="384"/>
      <c r="OP20" s="316"/>
      <c r="OS20" s="101"/>
      <c r="OT20" s="15">
        <v>13</v>
      </c>
      <c r="OU20" s="99"/>
      <c r="OV20" s="392"/>
      <c r="OW20" s="99"/>
      <c r="OX20" s="102"/>
      <c r="OY20" s="76"/>
      <c r="PB20" s="114"/>
      <c r="PC20" s="15">
        <v>13</v>
      </c>
      <c r="PD20" s="99"/>
      <c r="PE20" s="392"/>
      <c r="PF20" s="99"/>
      <c r="PG20" s="102"/>
      <c r="PH20" s="76"/>
      <c r="PK20" s="114"/>
      <c r="PL20" s="15">
        <v>13</v>
      </c>
      <c r="PM20" s="99"/>
      <c r="PN20" s="148"/>
      <c r="PO20" s="99"/>
      <c r="PP20" s="102"/>
      <c r="PQ20" s="76"/>
      <c r="PT20" s="114"/>
      <c r="PU20" s="15">
        <v>13</v>
      </c>
      <c r="PV20" s="99"/>
      <c r="PW20" s="392"/>
      <c r="PX20" s="99"/>
      <c r="PY20" s="102"/>
      <c r="PZ20" s="76"/>
      <c r="QC20" s="114"/>
      <c r="QD20" s="15">
        <v>13</v>
      </c>
      <c r="QE20" s="99"/>
      <c r="QF20" s="392"/>
      <c r="QG20" s="99"/>
      <c r="QH20" s="102"/>
      <c r="QI20" s="76"/>
      <c r="QL20" s="114"/>
      <c r="QM20" s="15">
        <v>13</v>
      </c>
      <c r="QN20" s="99"/>
      <c r="QO20" s="392"/>
      <c r="QP20" s="99"/>
      <c r="QQ20" s="102"/>
      <c r="QR20" s="76"/>
      <c r="QU20" s="114"/>
      <c r="QV20" s="15">
        <v>13</v>
      </c>
      <c r="QW20" s="99"/>
      <c r="QX20" s="392"/>
      <c r="QY20" s="99"/>
      <c r="QZ20" s="102"/>
      <c r="RA20" s="459"/>
      <c r="RD20" s="114"/>
      <c r="RE20" s="15">
        <v>13</v>
      </c>
      <c r="RF20" s="99"/>
      <c r="RG20" s="148"/>
      <c r="RH20" s="99"/>
      <c r="RI20" s="102"/>
      <c r="RJ20" s="76"/>
      <c r="RM20" s="114"/>
      <c r="RN20" s="15">
        <v>13</v>
      </c>
      <c r="RO20" s="99"/>
      <c r="RP20" s="86"/>
      <c r="RQ20" s="99"/>
      <c r="RR20" s="102"/>
      <c r="RS20" s="76"/>
      <c r="RV20" s="114"/>
      <c r="RW20" s="15">
        <v>13</v>
      </c>
      <c r="RX20" s="99"/>
      <c r="RY20" s="86"/>
      <c r="RZ20" s="99"/>
      <c r="SA20" s="102"/>
      <c r="SB20" s="76"/>
      <c r="SE20" s="114"/>
      <c r="SF20" s="15"/>
      <c r="SG20" s="99"/>
      <c r="SH20" s="86"/>
      <c r="SI20" s="99"/>
      <c r="SJ20" s="102"/>
      <c r="SK20" s="76"/>
      <c r="SN20" s="114"/>
      <c r="SO20" s="15">
        <v>13</v>
      </c>
      <c r="SP20" s="99"/>
      <c r="SQ20" s="471"/>
      <c r="SR20" s="206"/>
      <c r="SS20" s="463"/>
      <c r="ST20" s="462"/>
      <c r="SW20" s="114"/>
      <c r="SX20" s="15">
        <v>13</v>
      </c>
      <c r="SY20" s="99"/>
      <c r="SZ20" s="86"/>
      <c r="TA20" s="99"/>
      <c r="TB20" s="102"/>
      <c r="TC20" s="76"/>
      <c r="TF20" s="114"/>
      <c r="TG20" s="15">
        <v>13</v>
      </c>
      <c r="TH20" s="99"/>
      <c r="TI20" s="86"/>
      <c r="TJ20" s="99"/>
      <c r="TK20" s="102"/>
      <c r="TL20" s="76"/>
      <c r="TO20" s="114"/>
      <c r="TP20" s="15">
        <v>13</v>
      </c>
      <c r="TQ20" s="99"/>
      <c r="TR20" s="86"/>
      <c r="TS20" s="99"/>
      <c r="TT20" s="102"/>
      <c r="TU20" s="76"/>
      <c r="TX20" s="114"/>
      <c r="TY20" s="15">
        <v>13</v>
      </c>
      <c r="TZ20" s="99"/>
      <c r="UA20" s="86"/>
      <c r="UB20" s="99"/>
      <c r="UC20" s="102"/>
      <c r="UD20" s="76"/>
      <c r="UG20" s="114"/>
      <c r="UH20" s="15">
        <v>13</v>
      </c>
      <c r="UI20" s="99"/>
      <c r="UJ20" s="86"/>
      <c r="UK20" s="99"/>
      <c r="UL20" s="102"/>
      <c r="UM20" s="76"/>
      <c r="UP20" s="114"/>
      <c r="UQ20" s="15">
        <v>13</v>
      </c>
      <c r="UR20" s="99"/>
      <c r="US20" s="86"/>
      <c r="UT20" s="99"/>
      <c r="UU20" s="102"/>
      <c r="UV20" s="76"/>
      <c r="UY20" s="114"/>
      <c r="UZ20" s="15">
        <v>13</v>
      </c>
      <c r="VA20" s="99"/>
      <c r="VB20" s="86"/>
      <c r="VC20" s="99"/>
      <c r="VD20" s="102"/>
      <c r="VE20" s="76"/>
      <c r="VH20" s="114"/>
      <c r="VI20" s="15">
        <v>13</v>
      </c>
      <c r="VJ20" s="99"/>
      <c r="VK20" s="86"/>
      <c r="VL20" s="99"/>
      <c r="VM20" s="102"/>
      <c r="VN20" s="76"/>
      <c r="VQ20" s="114"/>
      <c r="VR20" s="15">
        <v>13</v>
      </c>
      <c r="VS20" s="99"/>
      <c r="VT20" s="86"/>
      <c r="VU20" s="99"/>
      <c r="VV20" s="102"/>
      <c r="VW20" s="76"/>
      <c r="VZ20" s="114"/>
      <c r="WA20" s="15">
        <v>13</v>
      </c>
      <c r="WB20" s="99"/>
      <c r="WC20" s="86"/>
      <c r="WD20" s="99"/>
      <c r="WE20" s="102"/>
      <c r="WF20" s="76"/>
      <c r="WI20" s="114"/>
      <c r="WJ20" s="15">
        <v>13</v>
      </c>
      <c r="WK20" s="99"/>
      <c r="WL20" s="86"/>
      <c r="WM20" s="99"/>
      <c r="WN20" s="102"/>
      <c r="WO20" s="76"/>
      <c r="WR20" s="114"/>
      <c r="WS20" s="15">
        <v>13</v>
      </c>
      <c r="WT20" s="99"/>
      <c r="WU20" s="86"/>
      <c r="WV20" s="99"/>
      <c r="WW20" s="102"/>
      <c r="WX20" s="76"/>
      <c r="XA20" s="114"/>
      <c r="XB20" s="15">
        <v>13</v>
      </c>
      <c r="XC20" s="99"/>
      <c r="XD20" s="86"/>
      <c r="XE20" s="99"/>
      <c r="XF20" s="102"/>
      <c r="XG20" s="76"/>
      <c r="XJ20" s="114"/>
      <c r="XK20" s="15">
        <v>13</v>
      </c>
      <c r="XL20" s="99"/>
      <c r="XM20" s="86"/>
      <c r="XN20" s="99"/>
      <c r="XO20" s="102"/>
      <c r="XP20" s="76"/>
      <c r="XS20" s="114"/>
      <c r="XT20" s="15">
        <v>13</v>
      </c>
      <c r="XU20" s="99"/>
      <c r="XV20" s="86"/>
      <c r="XW20" s="99"/>
      <c r="XX20" s="102"/>
      <c r="XY20" s="76"/>
      <c r="YB20" s="114"/>
      <c r="YC20" s="15">
        <v>13</v>
      </c>
      <c r="YD20" s="99"/>
      <c r="YE20" s="86"/>
      <c r="YF20" s="99"/>
      <c r="YG20" s="102"/>
      <c r="YH20" s="76"/>
      <c r="YK20" s="114"/>
      <c r="YL20" s="15">
        <v>13</v>
      </c>
      <c r="YM20" s="99"/>
      <c r="YN20" s="86"/>
      <c r="YO20" s="99"/>
      <c r="YP20" s="102"/>
      <c r="YQ20" s="76"/>
      <c r="YT20" s="114"/>
      <c r="YU20" s="15">
        <v>13</v>
      </c>
      <c r="YV20" s="99"/>
      <c r="YW20" s="86"/>
      <c r="YX20" s="99"/>
      <c r="YY20" s="102"/>
      <c r="YZ20" s="76"/>
      <c r="ZC20" s="114"/>
      <c r="ZD20" s="15">
        <v>13</v>
      </c>
      <c r="ZE20" s="99"/>
      <c r="ZF20" s="86"/>
      <c r="ZG20" s="99"/>
      <c r="ZH20" s="102"/>
      <c r="ZI20" s="76"/>
      <c r="ZL20" s="114"/>
      <c r="ZM20" s="15">
        <v>13</v>
      </c>
      <c r="ZN20" s="99"/>
      <c r="ZO20" s="86"/>
      <c r="ZP20" s="99"/>
      <c r="ZQ20" s="102"/>
      <c r="ZR20" s="76"/>
      <c r="ZU20" s="114"/>
      <c r="ZV20" s="15">
        <v>13</v>
      </c>
      <c r="ZW20" s="99"/>
      <c r="ZX20" s="86"/>
      <c r="ZY20" s="99"/>
      <c r="ZZ20" s="102"/>
      <c r="AAA20" s="76"/>
      <c r="AAD20" s="114"/>
      <c r="AAE20" s="15">
        <v>13</v>
      </c>
      <c r="AAF20" s="99"/>
      <c r="AAG20" s="86"/>
      <c r="AAH20" s="99"/>
      <c r="AAI20" s="102"/>
      <c r="AAJ20" s="76"/>
      <c r="AAM20" s="114"/>
      <c r="AAN20" s="15">
        <v>13</v>
      </c>
      <c r="AAO20" s="99"/>
      <c r="AAP20" s="86"/>
      <c r="AAQ20" s="99"/>
      <c r="AAR20" s="102"/>
      <c r="AAS20" s="76"/>
      <c r="AAV20" s="114"/>
      <c r="AAW20" s="15">
        <v>13</v>
      </c>
      <c r="AAX20" s="99"/>
      <c r="AAY20" s="86"/>
      <c r="AAZ20" s="99"/>
      <c r="ABA20" s="102"/>
      <c r="ABB20" s="76"/>
      <c r="ABE20" s="114"/>
      <c r="ABF20" s="15">
        <v>13</v>
      </c>
      <c r="ABG20" s="99"/>
      <c r="ABH20" s="86"/>
      <c r="ABI20" s="99"/>
      <c r="ABJ20" s="102"/>
      <c r="ABK20" s="76"/>
      <c r="ABN20" s="114"/>
      <c r="ABO20" s="15">
        <v>13</v>
      </c>
      <c r="ABP20" s="99"/>
      <c r="ABQ20" s="86"/>
      <c r="ABR20" s="99"/>
      <c r="ABS20" s="102"/>
      <c r="ABT20" s="76"/>
      <c r="ABW20" s="114"/>
      <c r="ABX20" s="15">
        <v>13</v>
      </c>
      <c r="ABY20" s="99"/>
      <c r="ABZ20" s="86"/>
      <c r="ACA20" s="99"/>
      <c r="ACB20" s="102"/>
      <c r="ACC20" s="76"/>
      <c r="ACF20" s="114"/>
      <c r="ACG20" s="15">
        <v>13</v>
      </c>
      <c r="ACH20" s="99"/>
      <c r="ACI20" s="86"/>
      <c r="ACJ20" s="99"/>
      <c r="ACK20" s="102"/>
      <c r="ACL20" s="76"/>
      <c r="ACO20" s="114"/>
      <c r="ACP20" s="15">
        <v>13</v>
      </c>
      <c r="ACQ20" s="99"/>
      <c r="ACR20" s="86"/>
      <c r="ACS20" s="99"/>
      <c r="ACT20" s="102"/>
      <c r="ACU20" s="76"/>
      <c r="ACX20" s="114"/>
      <c r="ACY20" s="15">
        <v>13</v>
      </c>
      <c r="ACZ20" s="99"/>
      <c r="ADA20" s="86"/>
      <c r="ADB20" s="99"/>
      <c r="ADC20" s="102"/>
      <c r="ADD20" s="76"/>
      <c r="ADG20" s="114"/>
      <c r="ADH20" s="15">
        <v>13</v>
      </c>
      <c r="ADI20" s="99"/>
      <c r="ADJ20" s="86"/>
      <c r="ADK20" s="99"/>
      <c r="ADL20" s="102"/>
      <c r="ADM20" s="76"/>
      <c r="ADP20" s="114"/>
      <c r="ADQ20" s="15">
        <v>13</v>
      </c>
      <c r="ADR20" s="99"/>
      <c r="ADS20" s="86"/>
      <c r="ADT20" s="99"/>
      <c r="ADU20" s="102"/>
      <c r="ADV20" s="76"/>
      <c r="ADY20" s="114"/>
      <c r="ADZ20" s="15">
        <v>13</v>
      </c>
      <c r="AEA20" s="99"/>
      <c r="AEB20" s="86"/>
      <c r="AEC20" s="99"/>
      <c r="AED20" s="102"/>
      <c r="AEE20" s="76"/>
    </row>
    <row r="21" spans="1:811" x14ac:dyDescent="0.3">
      <c r="A21" s="150">
        <v>18</v>
      </c>
      <c r="B21" s="82" t="str">
        <f t="shared" ref="B21:I21" si="46">FU5</f>
        <v>SEABOARD FOODS</v>
      </c>
      <c r="C21" s="82" t="str">
        <f t="shared" si="46"/>
        <v>Seaboard</v>
      </c>
      <c r="D21" s="475" t="str">
        <f>FW5</f>
        <v>PED. 57911234</v>
      </c>
      <c r="E21" s="148">
        <f t="shared" si="46"/>
        <v>44156</v>
      </c>
      <c r="F21" s="93">
        <f t="shared" si="46"/>
        <v>18302.099999999999</v>
      </c>
      <c r="G21" s="79">
        <f t="shared" si="46"/>
        <v>21</v>
      </c>
      <c r="H21" s="49">
        <f t="shared" si="46"/>
        <v>18408.2</v>
      </c>
      <c r="I21" s="113">
        <f t="shared" si="46"/>
        <v>-106.10000000000218</v>
      </c>
      <c r="L21" s="114"/>
      <c r="M21" s="15">
        <v>14</v>
      </c>
      <c r="N21" s="330">
        <v>858.05</v>
      </c>
      <c r="O21" s="398">
        <v>44139</v>
      </c>
      <c r="P21" s="330">
        <v>858.05</v>
      </c>
      <c r="Q21" s="384" t="s">
        <v>323</v>
      </c>
      <c r="R21" s="316">
        <v>44</v>
      </c>
      <c r="S21" s="316">
        <f t="shared" si="6"/>
        <v>37754.199999999997</v>
      </c>
      <c r="T21" s="288"/>
      <c r="V21" s="114"/>
      <c r="W21" s="15">
        <v>14</v>
      </c>
      <c r="X21" s="330">
        <v>856.8</v>
      </c>
      <c r="Y21" s="398">
        <v>44140</v>
      </c>
      <c r="Z21" s="330">
        <v>856.8</v>
      </c>
      <c r="AA21" s="465" t="s">
        <v>334</v>
      </c>
      <c r="AB21" s="316">
        <v>45</v>
      </c>
      <c r="AC21" s="388">
        <f t="shared" si="7"/>
        <v>38556</v>
      </c>
      <c r="AF21" s="114"/>
      <c r="AG21" s="15">
        <v>14</v>
      </c>
      <c r="AH21" s="99">
        <v>911.3</v>
      </c>
      <c r="AI21" s="392">
        <v>44140</v>
      </c>
      <c r="AJ21" s="99">
        <v>911.3</v>
      </c>
      <c r="AK21" s="102" t="s">
        <v>330</v>
      </c>
      <c r="AL21" s="76">
        <v>45</v>
      </c>
      <c r="AM21" s="894">
        <f t="shared" si="8"/>
        <v>41008.5</v>
      </c>
      <c r="AP21" s="114"/>
      <c r="AQ21" s="15">
        <v>14</v>
      </c>
      <c r="AR21" s="385">
        <v>882.7</v>
      </c>
      <c r="AS21" s="398">
        <v>44141</v>
      </c>
      <c r="AT21" s="385">
        <v>882.7</v>
      </c>
      <c r="AU21" s="384" t="s">
        <v>339</v>
      </c>
      <c r="AV21" s="316">
        <v>45</v>
      </c>
      <c r="AY21" s="114"/>
      <c r="AZ21" s="15">
        <v>14</v>
      </c>
      <c r="BA21" s="99">
        <v>911.3</v>
      </c>
      <c r="BB21" s="148">
        <v>44141</v>
      </c>
      <c r="BC21" s="99">
        <v>911.3</v>
      </c>
      <c r="BD21" s="102" t="s">
        <v>344</v>
      </c>
      <c r="BE21" s="459">
        <v>45</v>
      </c>
      <c r="BH21" s="114"/>
      <c r="BI21" s="15">
        <v>14</v>
      </c>
      <c r="BJ21" s="99">
        <v>866.8</v>
      </c>
      <c r="BK21" s="148">
        <v>44141</v>
      </c>
      <c r="BL21" s="99">
        <v>866.8</v>
      </c>
      <c r="BM21" s="102" t="s">
        <v>348</v>
      </c>
      <c r="BN21" s="459">
        <v>45</v>
      </c>
      <c r="BQ21" s="114"/>
      <c r="BR21" s="15">
        <v>14</v>
      </c>
      <c r="BS21" s="99">
        <v>845.8</v>
      </c>
      <c r="BT21" s="460">
        <v>44145</v>
      </c>
      <c r="BU21" s="99">
        <v>845.8</v>
      </c>
      <c r="BV21" s="463" t="s">
        <v>357</v>
      </c>
      <c r="BW21" s="462">
        <v>45</v>
      </c>
      <c r="BX21" s="870">
        <f t="shared" si="9"/>
        <v>38061</v>
      </c>
      <c r="BZ21" s="114"/>
      <c r="CA21" s="15">
        <v>14</v>
      </c>
      <c r="CB21" s="99">
        <v>862.3</v>
      </c>
      <c r="CC21" s="460">
        <v>44146</v>
      </c>
      <c r="CD21" s="99">
        <v>862.3</v>
      </c>
      <c r="CE21" s="463" t="s">
        <v>361</v>
      </c>
      <c r="CF21" s="462">
        <v>45</v>
      </c>
      <c r="CG21" s="870">
        <f t="shared" si="10"/>
        <v>38803.5</v>
      </c>
      <c r="CJ21" s="114"/>
      <c r="CK21" s="15">
        <v>14</v>
      </c>
      <c r="CL21" s="330">
        <v>961.61</v>
      </c>
      <c r="CM21" s="460">
        <v>44147</v>
      </c>
      <c r="CN21" s="99">
        <v>961.61</v>
      </c>
      <c r="CO21" s="463" t="s">
        <v>364</v>
      </c>
      <c r="CP21" s="462">
        <v>45</v>
      </c>
      <c r="CQ21" s="925">
        <f t="shared" si="11"/>
        <v>43272.45</v>
      </c>
      <c r="CT21" s="114"/>
      <c r="CU21" s="15">
        <v>14</v>
      </c>
      <c r="CV21" s="99">
        <v>876.8</v>
      </c>
      <c r="CW21" s="392">
        <v>44148</v>
      </c>
      <c r="CX21" s="99">
        <v>876.8</v>
      </c>
      <c r="CY21" s="102" t="s">
        <v>372</v>
      </c>
      <c r="CZ21" s="76">
        <v>45</v>
      </c>
      <c r="DA21" s="870">
        <f t="shared" si="12"/>
        <v>39456</v>
      </c>
      <c r="DD21" s="114"/>
      <c r="DE21" s="15">
        <v>14</v>
      </c>
      <c r="DF21" s="99">
        <v>924</v>
      </c>
      <c r="DG21" s="460">
        <v>44148</v>
      </c>
      <c r="DH21" s="99">
        <v>924</v>
      </c>
      <c r="DI21" s="463" t="s">
        <v>376</v>
      </c>
      <c r="DJ21" s="462">
        <v>45</v>
      </c>
      <c r="DK21" s="925">
        <f t="shared" si="13"/>
        <v>41580</v>
      </c>
      <c r="DN21" s="114"/>
      <c r="DO21" s="15">
        <v>14</v>
      </c>
      <c r="DP21" s="99">
        <v>905.8</v>
      </c>
      <c r="DQ21" s="460">
        <v>44148</v>
      </c>
      <c r="DR21" s="99">
        <v>905.8</v>
      </c>
      <c r="DS21" s="463" t="s">
        <v>376</v>
      </c>
      <c r="DT21" s="462">
        <v>45</v>
      </c>
      <c r="DU21" s="870">
        <f t="shared" si="14"/>
        <v>40761</v>
      </c>
      <c r="DX21" s="114"/>
      <c r="DY21" s="15">
        <v>14</v>
      </c>
      <c r="DZ21" s="74">
        <v>870.75</v>
      </c>
      <c r="EA21" s="412">
        <v>44150</v>
      </c>
      <c r="EB21" s="74">
        <v>870.75</v>
      </c>
      <c r="EC21" s="75" t="s">
        <v>387</v>
      </c>
      <c r="ED21" s="76">
        <v>44</v>
      </c>
      <c r="EE21" s="870">
        <f t="shared" si="15"/>
        <v>38313</v>
      </c>
      <c r="EH21" s="114"/>
      <c r="EI21" s="15">
        <v>14</v>
      </c>
      <c r="EJ21" s="74">
        <v>922.1</v>
      </c>
      <c r="EK21" s="412">
        <v>44154</v>
      </c>
      <c r="EL21" s="74">
        <v>922.1</v>
      </c>
      <c r="EM21" s="315" t="s">
        <v>401</v>
      </c>
      <c r="EN21" s="76">
        <v>42</v>
      </c>
      <c r="EO21" s="870">
        <f t="shared" si="16"/>
        <v>38728.200000000004</v>
      </c>
      <c r="ER21" s="114"/>
      <c r="ES21" s="15">
        <v>14</v>
      </c>
      <c r="ET21" s="330">
        <v>895.8</v>
      </c>
      <c r="EU21" s="398">
        <v>44154</v>
      </c>
      <c r="EV21" s="330">
        <v>895.8</v>
      </c>
      <c r="EW21" s="315" t="s">
        <v>399</v>
      </c>
      <c r="EX21" s="316">
        <v>42</v>
      </c>
      <c r="EY21" s="388">
        <f t="shared" si="17"/>
        <v>37623.599999999999</v>
      </c>
      <c r="FB21" s="114"/>
      <c r="FC21" s="15">
        <v>14</v>
      </c>
      <c r="FD21" s="99">
        <v>882.2</v>
      </c>
      <c r="FE21" s="392">
        <v>44154</v>
      </c>
      <c r="FF21" s="99">
        <v>882.2</v>
      </c>
      <c r="FG21" s="75" t="s">
        <v>405</v>
      </c>
      <c r="FH21" s="76">
        <v>42</v>
      </c>
      <c r="FI21" s="870">
        <f t="shared" si="18"/>
        <v>37052.400000000001</v>
      </c>
      <c r="FL21" s="114"/>
      <c r="FM21" s="15">
        <v>14</v>
      </c>
      <c r="FN21" s="99">
        <v>867.7</v>
      </c>
      <c r="FO21" s="392">
        <v>44156</v>
      </c>
      <c r="FP21" s="99">
        <v>867.7</v>
      </c>
      <c r="FQ21" s="75" t="s">
        <v>415</v>
      </c>
      <c r="FR21" s="76">
        <v>42</v>
      </c>
      <c r="FS21" s="870">
        <f t="shared" si="19"/>
        <v>36443.4</v>
      </c>
      <c r="FV21" s="114"/>
      <c r="FW21" s="15">
        <v>14</v>
      </c>
      <c r="FX21" s="74">
        <v>875</v>
      </c>
      <c r="FY21" s="657">
        <v>44156</v>
      </c>
      <c r="FZ21" s="74">
        <v>875</v>
      </c>
      <c r="GA21" s="315" t="s">
        <v>412</v>
      </c>
      <c r="GB21" s="316">
        <v>42</v>
      </c>
      <c r="GC21" s="388">
        <f t="shared" si="20"/>
        <v>36750</v>
      </c>
      <c r="GF21" s="114"/>
      <c r="GG21" s="15">
        <v>14</v>
      </c>
      <c r="GH21" s="632">
        <v>897.7</v>
      </c>
      <c r="GI21" s="392">
        <v>44159</v>
      </c>
      <c r="GJ21" s="632">
        <v>897.7</v>
      </c>
      <c r="GK21" s="102" t="s">
        <v>419</v>
      </c>
      <c r="GL21" s="76">
        <v>38</v>
      </c>
      <c r="GM21" s="870">
        <f t="shared" si="21"/>
        <v>34112.6</v>
      </c>
      <c r="GP21" s="114"/>
      <c r="GQ21" s="15">
        <v>14</v>
      </c>
      <c r="GR21" s="99">
        <v>816.78</v>
      </c>
      <c r="GS21" s="392">
        <v>44159</v>
      </c>
      <c r="GT21" s="99">
        <v>816.78</v>
      </c>
      <c r="GU21" s="102" t="s">
        <v>421</v>
      </c>
      <c r="GV21" s="76">
        <v>38</v>
      </c>
      <c r="GW21" s="870">
        <f t="shared" si="22"/>
        <v>31037.64</v>
      </c>
      <c r="GZ21" s="114"/>
      <c r="HA21" s="15">
        <v>14</v>
      </c>
      <c r="HB21" s="99">
        <v>942.56</v>
      </c>
      <c r="HC21" s="392">
        <v>44160</v>
      </c>
      <c r="HD21" s="99">
        <v>942.56</v>
      </c>
      <c r="HE21" s="102" t="s">
        <v>429</v>
      </c>
      <c r="HF21" s="76">
        <v>38</v>
      </c>
      <c r="HG21" s="870">
        <f t="shared" si="23"/>
        <v>35817.279999999999</v>
      </c>
      <c r="HJ21" s="114"/>
      <c r="HK21" s="15">
        <v>14</v>
      </c>
      <c r="HL21" s="330">
        <v>918.5</v>
      </c>
      <c r="HM21" s="398">
        <v>44161</v>
      </c>
      <c r="HN21" s="330">
        <v>918.5</v>
      </c>
      <c r="HO21" s="465" t="s">
        <v>434</v>
      </c>
      <c r="HP21" s="316">
        <v>38</v>
      </c>
      <c r="HQ21" s="388">
        <f t="shared" si="24"/>
        <v>34903</v>
      </c>
      <c r="HT21" s="101"/>
      <c r="HU21" s="15">
        <v>14</v>
      </c>
      <c r="HV21" s="74">
        <v>870.4</v>
      </c>
      <c r="HW21" s="412">
        <v>44162</v>
      </c>
      <c r="HX21" s="74">
        <v>870.4</v>
      </c>
      <c r="HY21" s="75" t="s">
        <v>435</v>
      </c>
      <c r="HZ21" s="76">
        <v>38</v>
      </c>
      <c r="IA21" s="870">
        <f t="shared" si="25"/>
        <v>33075.199999999997</v>
      </c>
      <c r="ID21" s="114"/>
      <c r="IE21" s="15">
        <v>14</v>
      </c>
      <c r="IF21" s="330">
        <v>907.6</v>
      </c>
      <c r="IG21" s="359">
        <v>44162</v>
      </c>
      <c r="IH21" s="330">
        <v>907.6</v>
      </c>
      <c r="II21" s="675" t="s">
        <v>438</v>
      </c>
      <c r="IJ21" s="316">
        <v>38</v>
      </c>
      <c r="IK21" s="388">
        <f t="shared" si="26"/>
        <v>34488.800000000003</v>
      </c>
      <c r="IL21" s="99"/>
      <c r="IN21" s="114"/>
      <c r="IO21" s="15">
        <v>14</v>
      </c>
      <c r="IP21" s="99">
        <v>921.2</v>
      </c>
      <c r="IQ21" s="412">
        <v>44166</v>
      </c>
      <c r="IR21" s="99">
        <v>921.2</v>
      </c>
      <c r="IS21" s="75" t="s">
        <v>453</v>
      </c>
      <c r="IT21" s="76">
        <v>38</v>
      </c>
      <c r="IU21" s="870">
        <f t="shared" si="27"/>
        <v>35005.599999999999</v>
      </c>
      <c r="IX21" s="114"/>
      <c r="IY21" s="15">
        <v>14</v>
      </c>
      <c r="IZ21" s="99">
        <v>804.08</v>
      </c>
      <c r="JA21" s="392">
        <v>44167</v>
      </c>
      <c r="JB21" s="99">
        <v>804.08</v>
      </c>
      <c r="JC21" s="75" t="s">
        <v>479</v>
      </c>
      <c r="JD21" s="76">
        <v>38</v>
      </c>
      <c r="JE21" s="870">
        <f t="shared" si="28"/>
        <v>30555.040000000001</v>
      </c>
      <c r="JH21" s="114"/>
      <c r="JI21" s="15">
        <v>14</v>
      </c>
      <c r="JJ21" s="74">
        <v>878.91</v>
      </c>
      <c r="JK21" s="412">
        <v>44167</v>
      </c>
      <c r="JL21" s="74">
        <v>878.91</v>
      </c>
      <c r="JM21" s="75" t="s">
        <v>477</v>
      </c>
      <c r="JN21" s="76">
        <v>38</v>
      </c>
      <c r="JO21" s="870">
        <f t="shared" si="29"/>
        <v>33398.58</v>
      </c>
      <c r="JR21" s="114"/>
      <c r="JS21" s="15">
        <v>14</v>
      </c>
      <c r="JT21" s="99">
        <v>885</v>
      </c>
      <c r="JU21" s="392">
        <v>44168</v>
      </c>
      <c r="JV21" s="99">
        <v>885</v>
      </c>
      <c r="JW21" s="102" t="s">
        <v>481</v>
      </c>
      <c r="JX21" s="76">
        <v>39</v>
      </c>
      <c r="JY21" s="870">
        <f t="shared" si="30"/>
        <v>34515</v>
      </c>
      <c r="KB21" s="114"/>
      <c r="KC21" s="15">
        <v>14</v>
      </c>
      <c r="KD21" s="99">
        <v>948.5</v>
      </c>
      <c r="KE21" s="392">
        <v>44168</v>
      </c>
      <c r="KF21" s="99">
        <v>948.5</v>
      </c>
      <c r="KG21" s="102" t="s">
        <v>484</v>
      </c>
      <c r="KH21" s="76">
        <v>39</v>
      </c>
      <c r="KI21" s="870">
        <f t="shared" si="31"/>
        <v>36991.5</v>
      </c>
      <c r="KL21" s="114"/>
      <c r="KM21" s="15">
        <v>14</v>
      </c>
      <c r="KN21" s="99">
        <v>915.04</v>
      </c>
      <c r="KO21" s="392">
        <v>44169</v>
      </c>
      <c r="KP21" s="99">
        <v>915.04</v>
      </c>
      <c r="KQ21" s="102" t="s">
        <v>496</v>
      </c>
      <c r="KR21" s="76">
        <v>39</v>
      </c>
      <c r="KS21" s="870">
        <f t="shared" si="32"/>
        <v>35686.559999999998</v>
      </c>
      <c r="KV21" s="114"/>
      <c r="KW21" s="15">
        <v>14</v>
      </c>
      <c r="KX21" s="99">
        <v>851.4</v>
      </c>
      <c r="KY21" s="392">
        <v>44169</v>
      </c>
      <c r="KZ21" s="99">
        <v>851.4</v>
      </c>
      <c r="LA21" s="102" t="s">
        <v>488</v>
      </c>
      <c r="LB21" s="76">
        <v>39</v>
      </c>
      <c r="LC21" s="870">
        <f t="shared" si="33"/>
        <v>33204.6</v>
      </c>
      <c r="LF21" s="114"/>
      <c r="LG21" s="15">
        <v>14</v>
      </c>
      <c r="LH21" s="99">
        <v>859.6</v>
      </c>
      <c r="LI21" s="392">
        <v>44169</v>
      </c>
      <c r="LJ21" s="99">
        <v>859.6</v>
      </c>
      <c r="LK21" s="102" t="s">
        <v>493</v>
      </c>
      <c r="LL21" s="76">
        <v>39</v>
      </c>
      <c r="LM21" s="870">
        <f t="shared" si="34"/>
        <v>33524.400000000001</v>
      </c>
      <c r="LP21" s="114"/>
      <c r="LQ21" s="15">
        <v>14</v>
      </c>
      <c r="LR21" s="472"/>
      <c r="LS21" s="392"/>
      <c r="LT21" s="472"/>
      <c r="LU21" s="102"/>
      <c r="LV21" s="76"/>
      <c r="LY21" s="114"/>
      <c r="LZ21" s="15">
        <v>14</v>
      </c>
      <c r="MA21" s="472"/>
      <c r="MB21" s="392"/>
      <c r="MC21" s="472"/>
      <c r="MD21" s="102"/>
      <c r="ME21" s="76"/>
      <c r="MH21" s="114"/>
      <c r="MI21" s="15">
        <v>14</v>
      </c>
      <c r="MJ21" s="99"/>
      <c r="MK21" s="392"/>
      <c r="ML21" s="99"/>
      <c r="MM21" s="102"/>
      <c r="MN21" s="76"/>
      <c r="MQ21" s="114"/>
      <c r="MR21" s="15">
        <v>14</v>
      </c>
      <c r="MS21" s="472"/>
      <c r="MT21" s="392"/>
      <c r="MU21" s="385"/>
      <c r="MV21" s="384"/>
      <c r="MW21" s="76"/>
      <c r="MZ21" s="114"/>
      <c r="NA21" s="15">
        <v>14</v>
      </c>
      <c r="NB21" s="99"/>
      <c r="NC21" s="392"/>
      <c r="ND21" s="99"/>
      <c r="NE21" s="102"/>
      <c r="NF21" s="76"/>
      <c r="NI21" s="114"/>
      <c r="NJ21" s="15">
        <v>14</v>
      </c>
      <c r="NK21" s="99"/>
      <c r="NL21" s="392"/>
      <c r="NM21" s="99"/>
      <c r="NN21" s="102"/>
      <c r="NO21" s="76"/>
      <c r="NR21" s="114"/>
      <c r="NS21" s="15">
        <v>14</v>
      </c>
      <c r="NT21" s="99"/>
      <c r="NU21" s="392"/>
      <c r="NV21" s="99"/>
      <c r="NW21" s="102"/>
      <c r="NX21" s="76"/>
      <c r="OA21" s="114"/>
      <c r="OB21" s="15">
        <v>14</v>
      </c>
      <c r="OC21" s="99"/>
      <c r="OD21" s="392"/>
      <c r="OE21" s="99"/>
      <c r="OF21" s="102"/>
      <c r="OG21" s="76"/>
      <c r="OJ21" s="114"/>
      <c r="OK21" s="15">
        <v>14</v>
      </c>
      <c r="OL21" s="330"/>
      <c r="OM21" s="398"/>
      <c r="ON21" s="330"/>
      <c r="OO21" s="384"/>
      <c r="OP21" s="316"/>
      <c r="OS21" s="101"/>
      <c r="OT21" s="15">
        <v>14</v>
      </c>
      <c r="OU21" s="99"/>
      <c r="OV21" s="392"/>
      <c r="OW21" s="99"/>
      <c r="OX21" s="102"/>
      <c r="OY21" s="76"/>
      <c r="PB21" s="114"/>
      <c r="PC21" s="15">
        <v>14</v>
      </c>
      <c r="PD21" s="99"/>
      <c r="PE21" s="392"/>
      <c r="PF21" s="99"/>
      <c r="PG21" s="102"/>
      <c r="PH21" s="76"/>
      <c r="PK21" s="114"/>
      <c r="PL21" s="15">
        <v>14</v>
      </c>
      <c r="PM21" s="99"/>
      <c r="PN21" s="148"/>
      <c r="PO21" s="99"/>
      <c r="PP21" s="102"/>
      <c r="PQ21" s="76"/>
      <c r="PT21" s="114"/>
      <c r="PU21" s="15">
        <v>14</v>
      </c>
      <c r="PV21" s="99"/>
      <c r="PW21" s="392"/>
      <c r="PX21" s="99"/>
      <c r="PY21" s="102"/>
      <c r="PZ21" s="76"/>
      <c r="QC21" s="114"/>
      <c r="QD21" s="15">
        <v>14</v>
      </c>
      <c r="QE21" s="99"/>
      <c r="QF21" s="392"/>
      <c r="QG21" s="99"/>
      <c r="QH21" s="102"/>
      <c r="QI21" s="76"/>
      <c r="QL21" s="114"/>
      <c r="QM21" s="15">
        <v>14</v>
      </c>
      <c r="QN21" s="99"/>
      <c r="QO21" s="392"/>
      <c r="QP21" s="99"/>
      <c r="QQ21" s="102"/>
      <c r="QR21" s="76"/>
      <c r="QU21" s="114"/>
      <c r="QV21" s="15">
        <v>14</v>
      </c>
      <c r="QW21" s="99"/>
      <c r="QX21" s="392"/>
      <c r="QY21" s="99"/>
      <c r="QZ21" s="102"/>
      <c r="RA21" s="459"/>
      <c r="RD21" s="114"/>
      <c r="RE21" s="15">
        <v>14</v>
      </c>
      <c r="RF21" s="99"/>
      <c r="RG21" s="148"/>
      <c r="RH21" s="99"/>
      <c r="RI21" s="102"/>
      <c r="RJ21" s="76"/>
      <c r="RM21" s="114"/>
      <c r="RN21" s="15">
        <v>14</v>
      </c>
      <c r="RO21" s="99"/>
      <c r="RP21" s="86"/>
      <c r="RQ21" s="99"/>
      <c r="RR21" s="102"/>
      <c r="RS21" s="76"/>
      <c r="RV21" s="114"/>
      <c r="RW21" s="15">
        <v>14</v>
      </c>
      <c r="RX21" s="99"/>
      <c r="RY21" s="86"/>
      <c r="RZ21" s="99"/>
      <c r="SA21" s="102"/>
      <c r="SB21" s="76"/>
      <c r="SE21" s="114"/>
      <c r="SF21" s="15"/>
      <c r="SG21" s="99"/>
      <c r="SH21" s="86"/>
      <c r="SI21" s="99"/>
      <c r="SJ21" s="102"/>
      <c r="SK21" s="76"/>
      <c r="SN21" s="114"/>
      <c r="SO21" s="15">
        <v>14</v>
      </c>
      <c r="SP21" s="99"/>
      <c r="SQ21" s="471"/>
      <c r="SR21" s="206"/>
      <c r="SS21" s="463"/>
      <c r="ST21" s="462"/>
      <c r="SW21" s="114"/>
      <c r="SX21" s="15">
        <v>14</v>
      </c>
      <c r="SY21" s="99"/>
      <c r="SZ21" s="86"/>
      <c r="TA21" s="99"/>
      <c r="TB21" s="102"/>
      <c r="TC21" s="76"/>
      <c r="TF21" s="114"/>
      <c r="TG21" s="15">
        <v>14</v>
      </c>
      <c r="TH21" s="99"/>
      <c r="TI21" s="86"/>
      <c r="TJ21" s="99"/>
      <c r="TK21" s="102"/>
      <c r="TL21" s="76"/>
      <c r="TO21" s="114"/>
      <c r="TP21" s="15">
        <v>14</v>
      </c>
      <c r="TQ21" s="99"/>
      <c r="TR21" s="86"/>
      <c r="TS21" s="99"/>
      <c r="TT21" s="102"/>
      <c r="TU21" s="76"/>
      <c r="TX21" s="114"/>
      <c r="TY21" s="15">
        <v>14</v>
      </c>
      <c r="TZ21" s="99"/>
      <c r="UA21" s="86"/>
      <c r="UB21" s="99"/>
      <c r="UC21" s="102"/>
      <c r="UD21" s="76"/>
      <c r="UG21" s="114"/>
      <c r="UH21" s="15">
        <v>14</v>
      </c>
      <c r="UI21" s="99"/>
      <c r="UJ21" s="86"/>
      <c r="UK21" s="99"/>
      <c r="UL21" s="102"/>
      <c r="UM21" s="76"/>
      <c r="UP21" s="114"/>
      <c r="UQ21" s="15">
        <v>14</v>
      </c>
      <c r="UR21" s="99"/>
      <c r="US21" s="86"/>
      <c r="UT21" s="99"/>
      <c r="UU21" s="102"/>
      <c r="UV21" s="76"/>
      <c r="UY21" s="114"/>
      <c r="UZ21" s="15">
        <v>14</v>
      </c>
      <c r="VA21" s="99"/>
      <c r="VB21" s="86"/>
      <c r="VC21" s="99"/>
      <c r="VD21" s="102"/>
      <c r="VE21" s="76"/>
      <c r="VH21" s="114"/>
      <c r="VI21" s="15">
        <v>14</v>
      </c>
      <c r="VJ21" s="99"/>
      <c r="VK21" s="86"/>
      <c r="VL21" s="99"/>
      <c r="VM21" s="102"/>
      <c r="VN21" s="76"/>
      <c r="VQ21" s="114"/>
      <c r="VR21" s="15">
        <v>14</v>
      </c>
      <c r="VS21" s="99"/>
      <c r="VT21" s="86"/>
      <c r="VU21" s="99"/>
      <c r="VV21" s="102"/>
      <c r="VW21" s="76"/>
      <c r="VZ21" s="114"/>
      <c r="WA21" s="15">
        <v>14</v>
      </c>
      <c r="WB21" s="99"/>
      <c r="WC21" s="86"/>
      <c r="WD21" s="99"/>
      <c r="WE21" s="102"/>
      <c r="WF21" s="76"/>
      <c r="WI21" s="114"/>
      <c r="WJ21" s="15">
        <v>14</v>
      </c>
      <c r="WK21" s="99"/>
      <c r="WL21" s="86"/>
      <c r="WM21" s="99"/>
      <c r="WN21" s="102"/>
      <c r="WO21" s="76"/>
      <c r="WR21" s="114"/>
      <c r="WS21" s="15">
        <v>14</v>
      </c>
      <c r="WT21" s="99"/>
      <c r="WU21" s="86"/>
      <c r="WV21" s="99"/>
      <c r="WW21" s="102"/>
      <c r="WX21" s="76"/>
      <c r="XA21" s="114"/>
      <c r="XB21" s="15">
        <v>14</v>
      </c>
      <c r="XC21" s="99"/>
      <c r="XD21" s="86"/>
      <c r="XE21" s="99"/>
      <c r="XF21" s="102"/>
      <c r="XG21" s="76"/>
      <c r="XJ21" s="114"/>
      <c r="XK21" s="15">
        <v>14</v>
      </c>
      <c r="XL21" s="99"/>
      <c r="XM21" s="86"/>
      <c r="XN21" s="99"/>
      <c r="XO21" s="102"/>
      <c r="XP21" s="76"/>
      <c r="XS21" s="114"/>
      <c r="XT21" s="15">
        <v>14</v>
      </c>
      <c r="XU21" s="99"/>
      <c r="XV21" s="86"/>
      <c r="XW21" s="99"/>
      <c r="XX21" s="102"/>
      <c r="XY21" s="76"/>
      <c r="YB21" s="114"/>
      <c r="YC21" s="15">
        <v>14</v>
      </c>
      <c r="YD21" s="99"/>
      <c r="YE21" s="86"/>
      <c r="YF21" s="99"/>
      <c r="YG21" s="102"/>
      <c r="YH21" s="76"/>
      <c r="YK21" s="114"/>
      <c r="YL21" s="15">
        <v>14</v>
      </c>
      <c r="YM21" s="99"/>
      <c r="YN21" s="86"/>
      <c r="YO21" s="99"/>
      <c r="YP21" s="102"/>
      <c r="YQ21" s="76"/>
      <c r="YT21" s="114"/>
      <c r="YU21" s="15">
        <v>14</v>
      </c>
      <c r="YV21" s="99"/>
      <c r="YW21" s="86"/>
      <c r="YX21" s="99"/>
      <c r="YY21" s="102"/>
      <c r="YZ21" s="76"/>
      <c r="ZC21" s="114"/>
      <c r="ZD21" s="15">
        <v>14</v>
      </c>
      <c r="ZE21" s="99"/>
      <c r="ZF21" s="86"/>
      <c r="ZG21" s="99"/>
      <c r="ZH21" s="102"/>
      <c r="ZI21" s="76"/>
      <c r="ZL21" s="114"/>
      <c r="ZM21" s="15">
        <v>14</v>
      </c>
      <c r="ZN21" s="99"/>
      <c r="ZO21" s="86"/>
      <c r="ZP21" s="99"/>
      <c r="ZQ21" s="102"/>
      <c r="ZR21" s="76"/>
      <c r="ZU21" s="114"/>
      <c r="ZV21" s="15">
        <v>14</v>
      </c>
      <c r="ZW21" s="99"/>
      <c r="ZX21" s="86"/>
      <c r="ZY21" s="99"/>
      <c r="ZZ21" s="102"/>
      <c r="AAA21" s="76"/>
      <c r="AAD21" s="114"/>
      <c r="AAE21" s="15">
        <v>14</v>
      </c>
      <c r="AAF21" s="99"/>
      <c r="AAG21" s="86"/>
      <c r="AAH21" s="99"/>
      <c r="AAI21" s="102"/>
      <c r="AAJ21" s="76"/>
      <c r="AAM21" s="114"/>
      <c r="AAN21" s="15">
        <v>14</v>
      </c>
      <c r="AAO21" s="99"/>
      <c r="AAP21" s="86"/>
      <c r="AAQ21" s="99"/>
      <c r="AAR21" s="102"/>
      <c r="AAS21" s="76"/>
      <c r="AAV21" s="114"/>
      <c r="AAW21" s="15">
        <v>14</v>
      </c>
      <c r="AAX21" s="99"/>
      <c r="AAY21" s="86"/>
      <c r="AAZ21" s="99"/>
      <c r="ABA21" s="102"/>
      <c r="ABB21" s="76"/>
      <c r="ABE21" s="114"/>
      <c r="ABF21" s="15">
        <v>14</v>
      </c>
      <c r="ABG21" s="99"/>
      <c r="ABH21" s="86"/>
      <c r="ABI21" s="99"/>
      <c r="ABJ21" s="102"/>
      <c r="ABK21" s="76"/>
      <c r="ABN21" s="114"/>
      <c r="ABO21" s="15">
        <v>14</v>
      </c>
      <c r="ABP21" s="99"/>
      <c r="ABQ21" s="86"/>
      <c r="ABR21" s="99"/>
      <c r="ABS21" s="102"/>
      <c r="ABT21" s="76"/>
      <c r="ABW21" s="114"/>
      <c r="ABX21" s="15">
        <v>14</v>
      </c>
      <c r="ABY21" s="99"/>
      <c r="ABZ21" s="86"/>
      <c r="ACA21" s="99"/>
      <c r="ACB21" s="102"/>
      <c r="ACC21" s="76"/>
      <c r="ACF21" s="114"/>
      <c r="ACG21" s="15">
        <v>14</v>
      </c>
      <c r="ACH21" s="99"/>
      <c r="ACI21" s="86"/>
      <c r="ACJ21" s="99"/>
      <c r="ACK21" s="102"/>
      <c r="ACL21" s="76"/>
      <c r="ACO21" s="114"/>
      <c r="ACP21" s="15">
        <v>14</v>
      </c>
      <c r="ACQ21" s="99"/>
      <c r="ACR21" s="86"/>
      <c r="ACS21" s="99"/>
      <c r="ACT21" s="102"/>
      <c r="ACU21" s="76"/>
      <c r="ACX21" s="114"/>
      <c r="ACY21" s="15">
        <v>14</v>
      </c>
      <c r="ACZ21" s="99"/>
      <c r="ADA21" s="86"/>
      <c r="ADB21" s="99"/>
      <c r="ADC21" s="102"/>
      <c r="ADD21" s="76"/>
      <c r="ADG21" s="114"/>
      <c r="ADH21" s="15">
        <v>14</v>
      </c>
      <c r="ADI21" s="99"/>
      <c r="ADJ21" s="86"/>
      <c r="ADK21" s="99"/>
      <c r="ADL21" s="102"/>
      <c r="ADM21" s="76"/>
      <c r="ADP21" s="114"/>
      <c r="ADQ21" s="15">
        <v>14</v>
      </c>
      <c r="ADR21" s="99"/>
      <c r="ADS21" s="86"/>
      <c r="ADT21" s="99"/>
      <c r="ADU21" s="102"/>
      <c r="ADV21" s="76"/>
      <c r="ADY21" s="114"/>
      <c r="ADZ21" s="15">
        <v>14</v>
      </c>
      <c r="AEA21" s="99"/>
      <c r="AEB21" s="86"/>
      <c r="AEC21" s="99"/>
      <c r="AED21" s="102"/>
      <c r="AEE21" s="76"/>
    </row>
    <row r="22" spans="1:811" x14ac:dyDescent="0.3">
      <c r="A22" s="150">
        <v>19</v>
      </c>
      <c r="B22" s="82" t="str">
        <f t="shared" ref="B22:H22" si="47">GE5</f>
        <v>SEABOARD FOODS</v>
      </c>
      <c r="C22" s="82" t="str">
        <f t="shared" si="47"/>
        <v>Seaboard</v>
      </c>
      <c r="D22" s="110" t="str">
        <f t="shared" si="47"/>
        <v>PED. 58003092</v>
      </c>
      <c r="E22" s="148">
        <f t="shared" si="47"/>
        <v>44159</v>
      </c>
      <c r="F22" s="93">
        <f t="shared" si="47"/>
        <v>18720.79</v>
      </c>
      <c r="G22" s="79">
        <f t="shared" si="47"/>
        <v>21</v>
      </c>
      <c r="H22" s="49">
        <f t="shared" si="47"/>
        <v>18793.599999999999</v>
      </c>
      <c r="I22" s="113">
        <f>GL5</f>
        <v>-72.809999999997672</v>
      </c>
      <c r="L22" s="114"/>
      <c r="M22" s="15">
        <v>15</v>
      </c>
      <c r="N22" s="330">
        <v>853.97</v>
      </c>
      <c r="O22" s="398">
        <v>44139</v>
      </c>
      <c r="P22" s="330">
        <v>853.97</v>
      </c>
      <c r="Q22" s="384" t="s">
        <v>323</v>
      </c>
      <c r="R22" s="316">
        <v>44</v>
      </c>
      <c r="S22" s="316">
        <f t="shared" si="6"/>
        <v>37574.68</v>
      </c>
      <c r="T22" s="288"/>
      <c r="V22" s="114"/>
      <c r="W22" s="15">
        <v>15</v>
      </c>
      <c r="X22" s="330">
        <v>837.8</v>
      </c>
      <c r="Y22" s="398">
        <v>44140</v>
      </c>
      <c r="Z22" s="330">
        <v>837.8</v>
      </c>
      <c r="AA22" s="465" t="s">
        <v>334</v>
      </c>
      <c r="AB22" s="316">
        <v>45</v>
      </c>
      <c r="AC22" s="388">
        <f t="shared" si="7"/>
        <v>37701</v>
      </c>
      <c r="AF22" s="114"/>
      <c r="AG22" s="15">
        <v>15</v>
      </c>
      <c r="AH22" s="99">
        <v>932.1</v>
      </c>
      <c r="AI22" s="392">
        <v>44140</v>
      </c>
      <c r="AJ22" s="99">
        <v>932.1</v>
      </c>
      <c r="AK22" s="102" t="s">
        <v>330</v>
      </c>
      <c r="AL22" s="76">
        <v>45</v>
      </c>
      <c r="AM22" s="894">
        <f t="shared" si="8"/>
        <v>41944.5</v>
      </c>
      <c r="AP22" s="114"/>
      <c r="AQ22" s="15">
        <v>15</v>
      </c>
      <c r="AR22" s="385">
        <v>884.5</v>
      </c>
      <c r="AS22" s="398">
        <v>44141</v>
      </c>
      <c r="AT22" s="385">
        <v>884.5</v>
      </c>
      <c r="AU22" s="384" t="s">
        <v>339</v>
      </c>
      <c r="AV22" s="316">
        <v>45</v>
      </c>
      <c r="AY22" s="114"/>
      <c r="AZ22" s="15">
        <v>15</v>
      </c>
      <c r="BA22" s="99">
        <v>900.4</v>
      </c>
      <c r="BB22" s="148">
        <v>44141</v>
      </c>
      <c r="BC22" s="99">
        <v>900.4</v>
      </c>
      <c r="BD22" s="102" t="s">
        <v>344</v>
      </c>
      <c r="BE22" s="459">
        <v>45</v>
      </c>
      <c r="BH22" s="114"/>
      <c r="BI22" s="15">
        <v>15</v>
      </c>
      <c r="BJ22" s="99">
        <v>905.8</v>
      </c>
      <c r="BK22" s="148">
        <v>44141</v>
      </c>
      <c r="BL22" s="99">
        <v>905.8</v>
      </c>
      <c r="BM22" s="102" t="s">
        <v>348</v>
      </c>
      <c r="BN22" s="459">
        <v>45</v>
      </c>
      <c r="BQ22" s="114"/>
      <c r="BR22" s="15">
        <v>15</v>
      </c>
      <c r="BS22" s="99">
        <v>893.42</v>
      </c>
      <c r="BT22" s="460">
        <v>44145</v>
      </c>
      <c r="BU22" s="99">
        <v>893.42</v>
      </c>
      <c r="BV22" s="463" t="s">
        <v>357</v>
      </c>
      <c r="BW22" s="462">
        <v>45</v>
      </c>
      <c r="BX22" s="870">
        <f t="shared" si="9"/>
        <v>40203.9</v>
      </c>
      <c r="BZ22" s="114"/>
      <c r="CA22" s="15">
        <v>15</v>
      </c>
      <c r="CB22" s="99">
        <v>881.3</v>
      </c>
      <c r="CC22" s="460">
        <v>44146</v>
      </c>
      <c r="CD22" s="99">
        <v>881.3</v>
      </c>
      <c r="CE22" s="463" t="s">
        <v>362</v>
      </c>
      <c r="CF22" s="462">
        <v>45</v>
      </c>
      <c r="CG22" s="870">
        <f t="shared" si="10"/>
        <v>39658.5</v>
      </c>
      <c r="CJ22" s="114"/>
      <c r="CK22" s="15">
        <v>15</v>
      </c>
      <c r="CL22" s="314">
        <v>945.28</v>
      </c>
      <c r="CM22" s="460">
        <v>44147</v>
      </c>
      <c r="CN22" s="99">
        <v>945.28</v>
      </c>
      <c r="CO22" s="463" t="s">
        <v>364</v>
      </c>
      <c r="CP22" s="462">
        <v>45</v>
      </c>
      <c r="CQ22" s="925">
        <f t="shared" si="11"/>
        <v>42537.599999999999</v>
      </c>
      <c r="CT22" s="114"/>
      <c r="CU22" s="15">
        <v>15</v>
      </c>
      <c r="CV22" s="99">
        <v>894</v>
      </c>
      <c r="CW22" s="392">
        <v>44148</v>
      </c>
      <c r="CX22" s="99">
        <v>894</v>
      </c>
      <c r="CY22" s="102" t="s">
        <v>372</v>
      </c>
      <c r="CZ22" s="76">
        <v>45</v>
      </c>
      <c r="DA22" s="870">
        <f t="shared" si="12"/>
        <v>40230</v>
      </c>
      <c r="DD22" s="114"/>
      <c r="DE22" s="15">
        <v>15</v>
      </c>
      <c r="DF22" s="99">
        <v>917.6</v>
      </c>
      <c r="DG22" s="460">
        <v>44148</v>
      </c>
      <c r="DH22" s="99">
        <v>917.6</v>
      </c>
      <c r="DI22" s="463" t="s">
        <v>376</v>
      </c>
      <c r="DJ22" s="462">
        <v>45</v>
      </c>
      <c r="DK22" s="925">
        <f t="shared" si="13"/>
        <v>41292</v>
      </c>
      <c r="DN22" s="114"/>
      <c r="DO22" s="15">
        <v>15</v>
      </c>
      <c r="DP22" s="99">
        <v>875</v>
      </c>
      <c r="DQ22" s="460">
        <v>44148</v>
      </c>
      <c r="DR22" s="99">
        <v>875</v>
      </c>
      <c r="DS22" s="463" t="s">
        <v>377</v>
      </c>
      <c r="DT22" s="462">
        <v>45</v>
      </c>
      <c r="DU22" s="870">
        <f t="shared" si="14"/>
        <v>39375</v>
      </c>
      <c r="DX22" s="114"/>
      <c r="DY22" s="15">
        <v>15</v>
      </c>
      <c r="DZ22" s="74">
        <v>923.36</v>
      </c>
      <c r="EA22" s="412">
        <v>44150</v>
      </c>
      <c r="EB22" s="74">
        <v>923.36</v>
      </c>
      <c r="EC22" s="75" t="s">
        <v>387</v>
      </c>
      <c r="ED22" s="76">
        <v>44</v>
      </c>
      <c r="EE22" s="870">
        <f t="shared" si="15"/>
        <v>40627.840000000004</v>
      </c>
      <c r="EH22" s="114"/>
      <c r="EI22" s="15">
        <v>15</v>
      </c>
      <c r="EJ22" s="74">
        <v>871.3</v>
      </c>
      <c r="EK22" s="412">
        <v>44154</v>
      </c>
      <c r="EL22" s="74">
        <v>871.3</v>
      </c>
      <c r="EM22" s="315" t="s">
        <v>401</v>
      </c>
      <c r="EN22" s="76">
        <v>42</v>
      </c>
      <c r="EO22" s="870">
        <f t="shared" si="16"/>
        <v>36594.6</v>
      </c>
      <c r="ER22" s="114"/>
      <c r="ES22" s="15">
        <v>15</v>
      </c>
      <c r="ET22" s="330">
        <v>915.8</v>
      </c>
      <c r="EU22" s="398">
        <v>44154</v>
      </c>
      <c r="EV22" s="330">
        <v>915.8</v>
      </c>
      <c r="EW22" s="315" t="s">
        <v>399</v>
      </c>
      <c r="EX22" s="316">
        <v>42</v>
      </c>
      <c r="EY22" s="388">
        <f t="shared" si="17"/>
        <v>38463.599999999999</v>
      </c>
      <c r="FB22" s="114"/>
      <c r="FC22" s="15">
        <v>15</v>
      </c>
      <c r="FD22" s="99">
        <v>880.4</v>
      </c>
      <c r="FE22" s="392">
        <v>44154</v>
      </c>
      <c r="FF22" s="99">
        <v>880.4</v>
      </c>
      <c r="FG22" s="75" t="s">
        <v>405</v>
      </c>
      <c r="FH22" s="76">
        <v>42</v>
      </c>
      <c r="FI22" s="870">
        <f t="shared" si="18"/>
        <v>36976.799999999996</v>
      </c>
      <c r="FL22" s="114"/>
      <c r="FM22" s="15">
        <v>15</v>
      </c>
      <c r="FN22" s="99">
        <v>912.2</v>
      </c>
      <c r="FO22" s="392">
        <v>44156</v>
      </c>
      <c r="FP22" s="99">
        <v>912.2</v>
      </c>
      <c r="FQ22" s="75" t="s">
        <v>415</v>
      </c>
      <c r="FR22" s="76">
        <v>42</v>
      </c>
      <c r="FS22" s="870">
        <f t="shared" si="19"/>
        <v>38312.400000000001</v>
      </c>
      <c r="FV22" s="114"/>
      <c r="FW22" s="15">
        <v>15</v>
      </c>
      <c r="FX22" s="74">
        <v>848.7</v>
      </c>
      <c r="FY22" s="657">
        <v>44156</v>
      </c>
      <c r="FZ22" s="74">
        <v>848.7</v>
      </c>
      <c r="GA22" s="315" t="s">
        <v>412</v>
      </c>
      <c r="GB22" s="316">
        <v>42</v>
      </c>
      <c r="GC22" s="388">
        <f t="shared" si="20"/>
        <v>35645.4</v>
      </c>
      <c r="GF22" s="114"/>
      <c r="GG22" s="15">
        <v>15</v>
      </c>
      <c r="GH22" s="632">
        <v>903.1</v>
      </c>
      <c r="GI22" s="392">
        <v>44159</v>
      </c>
      <c r="GJ22" s="632">
        <v>903.1</v>
      </c>
      <c r="GK22" s="102" t="s">
        <v>419</v>
      </c>
      <c r="GL22" s="76">
        <v>38</v>
      </c>
      <c r="GM22" s="870">
        <f t="shared" si="21"/>
        <v>34317.800000000003</v>
      </c>
      <c r="GP22" s="114"/>
      <c r="GQ22" s="15">
        <v>15</v>
      </c>
      <c r="GR22" s="99">
        <v>886.62</v>
      </c>
      <c r="GS22" s="392">
        <v>44159</v>
      </c>
      <c r="GT22" s="99">
        <v>886.62</v>
      </c>
      <c r="GU22" s="102" t="s">
        <v>421</v>
      </c>
      <c r="GV22" s="76">
        <v>38</v>
      </c>
      <c r="GW22" s="870">
        <f t="shared" si="22"/>
        <v>33691.56</v>
      </c>
      <c r="GZ22" s="114"/>
      <c r="HA22" s="15">
        <v>15</v>
      </c>
      <c r="HB22" s="99">
        <v>920.79</v>
      </c>
      <c r="HC22" s="392">
        <v>44160</v>
      </c>
      <c r="HD22" s="99">
        <v>920.79</v>
      </c>
      <c r="HE22" s="102" t="s">
        <v>429</v>
      </c>
      <c r="HF22" s="76">
        <v>38</v>
      </c>
      <c r="HG22" s="870">
        <f t="shared" si="23"/>
        <v>34990.019999999997</v>
      </c>
      <c r="HJ22" s="114"/>
      <c r="HK22" s="15">
        <v>15</v>
      </c>
      <c r="HL22" s="330">
        <v>900.4</v>
      </c>
      <c r="HM22" s="398">
        <v>44161</v>
      </c>
      <c r="HN22" s="330">
        <v>900.4</v>
      </c>
      <c r="HO22" s="465" t="s">
        <v>434</v>
      </c>
      <c r="HP22" s="316">
        <v>38</v>
      </c>
      <c r="HQ22" s="388">
        <f t="shared" si="24"/>
        <v>34215.199999999997</v>
      </c>
      <c r="HT22" s="101"/>
      <c r="HU22" s="15">
        <v>15</v>
      </c>
      <c r="HV22" s="74">
        <v>901.3</v>
      </c>
      <c r="HW22" s="412">
        <v>44162</v>
      </c>
      <c r="HX22" s="74">
        <v>901.3</v>
      </c>
      <c r="HY22" s="75" t="s">
        <v>435</v>
      </c>
      <c r="HZ22" s="76">
        <v>38</v>
      </c>
      <c r="IA22" s="870">
        <f t="shared" si="25"/>
        <v>34249.4</v>
      </c>
      <c r="ID22" s="114"/>
      <c r="IE22" s="15">
        <v>15</v>
      </c>
      <c r="IF22" s="330">
        <v>900.4</v>
      </c>
      <c r="IG22" s="359">
        <v>44162</v>
      </c>
      <c r="IH22" s="330">
        <v>900.4</v>
      </c>
      <c r="II22" s="675" t="s">
        <v>438</v>
      </c>
      <c r="IJ22" s="316">
        <v>38</v>
      </c>
      <c r="IK22" s="388">
        <f t="shared" si="26"/>
        <v>34215.199999999997</v>
      </c>
      <c r="IL22" s="99"/>
      <c r="IN22" s="114"/>
      <c r="IO22" s="15">
        <v>15</v>
      </c>
      <c r="IP22" s="99">
        <v>920.3</v>
      </c>
      <c r="IQ22" s="412">
        <v>44166</v>
      </c>
      <c r="IR22" s="99">
        <v>920.3</v>
      </c>
      <c r="IS22" s="75" t="s">
        <v>453</v>
      </c>
      <c r="IT22" s="76">
        <v>38</v>
      </c>
      <c r="IU22" s="870">
        <f t="shared" si="27"/>
        <v>34971.4</v>
      </c>
      <c r="IX22" s="114"/>
      <c r="IY22" s="15">
        <v>15</v>
      </c>
      <c r="IZ22" s="99">
        <v>839.46</v>
      </c>
      <c r="JA22" s="392">
        <v>44167</v>
      </c>
      <c r="JB22" s="99">
        <v>839.46</v>
      </c>
      <c r="JC22" s="75" t="s">
        <v>479</v>
      </c>
      <c r="JD22" s="76">
        <v>38</v>
      </c>
      <c r="JE22" s="870">
        <f t="shared" si="28"/>
        <v>31899.480000000003</v>
      </c>
      <c r="JH22" s="114"/>
      <c r="JI22" s="15">
        <v>15</v>
      </c>
      <c r="JJ22" s="74">
        <v>873.47</v>
      </c>
      <c r="JK22" s="412">
        <v>44167</v>
      </c>
      <c r="JL22" s="74">
        <v>873.47</v>
      </c>
      <c r="JM22" s="75" t="s">
        <v>477</v>
      </c>
      <c r="JN22" s="76">
        <v>38</v>
      </c>
      <c r="JO22" s="870">
        <f t="shared" si="29"/>
        <v>33191.86</v>
      </c>
      <c r="JR22" s="114"/>
      <c r="JS22" s="15">
        <v>15</v>
      </c>
      <c r="JT22" s="99">
        <v>887.7</v>
      </c>
      <c r="JU22" s="392">
        <v>44168</v>
      </c>
      <c r="JV22" s="99">
        <v>887.7</v>
      </c>
      <c r="JW22" s="102" t="s">
        <v>481</v>
      </c>
      <c r="JX22" s="76">
        <v>39</v>
      </c>
      <c r="JY22" s="870">
        <f t="shared" si="30"/>
        <v>34620.300000000003</v>
      </c>
      <c r="KB22" s="114"/>
      <c r="KC22" s="15">
        <v>15</v>
      </c>
      <c r="KD22" s="99">
        <v>897.7</v>
      </c>
      <c r="KE22" s="392">
        <v>44168</v>
      </c>
      <c r="KF22" s="99">
        <v>897.7</v>
      </c>
      <c r="KG22" s="102" t="s">
        <v>484</v>
      </c>
      <c r="KH22" s="76">
        <v>39</v>
      </c>
      <c r="KI22" s="870">
        <f t="shared" si="31"/>
        <v>35010.300000000003</v>
      </c>
      <c r="KL22" s="114"/>
      <c r="KM22" s="15">
        <v>15</v>
      </c>
      <c r="KN22" s="99">
        <v>931.67</v>
      </c>
      <c r="KO22" s="392">
        <v>44169</v>
      </c>
      <c r="KP22" s="99">
        <v>931.67</v>
      </c>
      <c r="KQ22" s="102" t="s">
        <v>496</v>
      </c>
      <c r="KR22" s="76">
        <v>39</v>
      </c>
      <c r="KS22" s="870">
        <f t="shared" si="32"/>
        <v>36335.129999999997</v>
      </c>
      <c r="KV22" s="114"/>
      <c r="KW22" s="15">
        <v>15</v>
      </c>
      <c r="KX22" s="99">
        <v>903.1</v>
      </c>
      <c r="KY22" s="392">
        <v>44169</v>
      </c>
      <c r="KZ22" s="99">
        <v>903.1</v>
      </c>
      <c r="LA22" s="102" t="s">
        <v>488</v>
      </c>
      <c r="LB22" s="76">
        <v>39</v>
      </c>
      <c r="LC22" s="870">
        <f t="shared" si="33"/>
        <v>35220.9</v>
      </c>
      <c r="LF22" s="114"/>
      <c r="LG22" s="15">
        <v>15</v>
      </c>
      <c r="LH22" s="99">
        <v>841.4</v>
      </c>
      <c r="LI22" s="392">
        <v>44169</v>
      </c>
      <c r="LJ22" s="99">
        <v>841.4</v>
      </c>
      <c r="LK22" s="102" t="s">
        <v>493</v>
      </c>
      <c r="LL22" s="76">
        <v>39</v>
      </c>
      <c r="LM22" s="870">
        <f t="shared" si="34"/>
        <v>32814.6</v>
      </c>
      <c r="LP22" s="114"/>
      <c r="LQ22" s="15">
        <v>15</v>
      </c>
      <c r="LR22" s="472"/>
      <c r="LS22" s="392"/>
      <c r="LT22" s="472"/>
      <c r="LU22" s="102"/>
      <c r="LV22" s="76"/>
      <c r="LY22" s="114"/>
      <c r="LZ22" s="15">
        <v>15</v>
      </c>
      <c r="MA22" s="472"/>
      <c r="MB22" s="392"/>
      <c r="MC22" s="472"/>
      <c r="MD22" s="102"/>
      <c r="ME22" s="76"/>
      <c r="MH22" s="114"/>
      <c r="MI22" s="15">
        <v>15</v>
      </c>
      <c r="MJ22" s="99"/>
      <c r="MK22" s="392"/>
      <c r="ML22" s="99"/>
      <c r="MM22" s="102"/>
      <c r="MN22" s="76"/>
      <c r="MQ22" s="114"/>
      <c r="MR22" s="15">
        <v>15</v>
      </c>
      <c r="MS22" s="472"/>
      <c r="MT22" s="392"/>
      <c r="MU22" s="385"/>
      <c r="MV22" s="384"/>
      <c r="MW22" s="76"/>
      <c r="MZ22" s="114"/>
      <c r="NA22" s="15">
        <v>15</v>
      </c>
      <c r="NB22" s="99"/>
      <c r="NC22" s="392"/>
      <c r="ND22" s="99"/>
      <c r="NE22" s="102"/>
      <c r="NF22" s="76"/>
      <c r="NI22" s="114"/>
      <c r="NJ22" s="15">
        <v>15</v>
      </c>
      <c r="NK22" s="99"/>
      <c r="NL22" s="392"/>
      <c r="NM22" s="99"/>
      <c r="NN22" s="102"/>
      <c r="NO22" s="76"/>
      <c r="NR22" s="114"/>
      <c r="NS22" s="15">
        <v>15</v>
      </c>
      <c r="NT22" s="99"/>
      <c r="NU22" s="392"/>
      <c r="NV22" s="99"/>
      <c r="NW22" s="102"/>
      <c r="NX22" s="76"/>
      <c r="OA22" s="114"/>
      <c r="OB22" s="15">
        <v>15</v>
      </c>
      <c r="OC22" s="99"/>
      <c r="OD22" s="392"/>
      <c r="OE22" s="99"/>
      <c r="OF22" s="102"/>
      <c r="OG22" s="76"/>
      <c r="OJ22" s="114"/>
      <c r="OK22" s="15">
        <v>15</v>
      </c>
      <c r="OL22" s="330"/>
      <c r="OM22" s="398"/>
      <c r="ON22" s="330"/>
      <c r="OO22" s="384"/>
      <c r="OP22" s="316"/>
      <c r="OS22" s="101"/>
      <c r="OT22" s="15">
        <v>15</v>
      </c>
      <c r="OU22" s="99"/>
      <c r="OV22" s="392"/>
      <c r="OW22" s="99"/>
      <c r="OX22" s="102"/>
      <c r="OY22" s="76"/>
      <c r="PB22" s="114"/>
      <c r="PC22" s="15">
        <v>15</v>
      </c>
      <c r="PD22" s="99"/>
      <c r="PE22" s="392"/>
      <c r="PF22" s="99"/>
      <c r="PG22" s="102"/>
      <c r="PH22" s="76"/>
      <c r="PK22" s="114"/>
      <c r="PL22" s="15">
        <v>15</v>
      </c>
      <c r="PM22" s="99"/>
      <c r="PN22" s="148"/>
      <c r="PO22" s="99"/>
      <c r="PP22" s="102"/>
      <c r="PQ22" s="76"/>
      <c r="PT22" s="114"/>
      <c r="PU22" s="15">
        <v>15</v>
      </c>
      <c r="PV22" s="99"/>
      <c r="PW22" s="392"/>
      <c r="PX22" s="99"/>
      <c r="PY22" s="102"/>
      <c r="PZ22" s="76"/>
      <c r="QC22" s="114"/>
      <c r="QD22" s="15">
        <v>15</v>
      </c>
      <c r="QE22" s="99"/>
      <c r="QF22" s="392"/>
      <c r="QG22" s="99"/>
      <c r="QH22" s="102"/>
      <c r="QI22" s="76"/>
      <c r="QL22" s="114"/>
      <c r="QM22" s="15">
        <v>15</v>
      </c>
      <c r="QN22" s="99"/>
      <c r="QO22" s="392"/>
      <c r="QP22" s="99"/>
      <c r="QQ22" s="102"/>
      <c r="QR22" s="76"/>
      <c r="QU22" s="114"/>
      <c r="QV22" s="15">
        <v>15</v>
      </c>
      <c r="QW22" s="99"/>
      <c r="QX22" s="392"/>
      <c r="QY22" s="99"/>
      <c r="QZ22" s="102"/>
      <c r="RA22" s="459"/>
      <c r="RD22" s="114"/>
      <c r="RE22" s="15">
        <v>15</v>
      </c>
      <c r="RF22" s="99"/>
      <c r="RG22" s="148"/>
      <c r="RH22" s="99"/>
      <c r="RI22" s="102"/>
      <c r="RJ22" s="76"/>
      <c r="RM22" s="114"/>
      <c r="RN22" s="15">
        <v>15</v>
      </c>
      <c r="RO22" s="99"/>
      <c r="RP22" s="86"/>
      <c r="RQ22" s="99"/>
      <c r="RR22" s="102"/>
      <c r="RS22" s="76"/>
      <c r="RV22" s="114"/>
      <c r="RW22" s="15">
        <v>15</v>
      </c>
      <c r="RX22" s="99"/>
      <c r="RY22" s="86"/>
      <c r="RZ22" s="99"/>
      <c r="SA22" s="102"/>
      <c r="SB22" s="76"/>
      <c r="SE22" s="114"/>
      <c r="SF22" s="15"/>
      <c r="SG22" s="99"/>
      <c r="SH22" s="86"/>
      <c r="SI22" s="99"/>
      <c r="SJ22" s="102"/>
      <c r="SK22" s="76"/>
      <c r="SN22" s="114"/>
      <c r="SO22" s="15">
        <v>15</v>
      </c>
      <c r="SP22" s="99"/>
      <c r="SQ22" s="471"/>
      <c r="SR22" s="206"/>
      <c r="SS22" s="463"/>
      <c r="ST22" s="462"/>
      <c r="SW22" s="114"/>
      <c r="SX22" s="15"/>
      <c r="SY22" s="99"/>
      <c r="SZ22" s="86"/>
      <c r="TA22" s="99"/>
      <c r="TB22" s="102"/>
      <c r="TC22" s="76"/>
      <c r="TF22" s="114"/>
      <c r="TG22" s="15">
        <v>15</v>
      </c>
      <c r="TH22" s="99"/>
      <c r="TI22" s="86"/>
      <c r="TJ22" s="99"/>
      <c r="TK22" s="102"/>
      <c r="TL22" s="76"/>
      <c r="TO22" s="114"/>
      <c r="TP22" s="15"/>
      <c r="TQ22" s="99"/>
      <c r="TR22" s="86"/>
      <c r="TS22" s="99"/>
      <c r="TT22" s="102"/>
      <c r="TU22" s="76"/>
      <c r="TX22" s="114"/>
      <c r="TY22" s="15">
        <v>15</v>
      </c>
      <c r="TZ22" s="99"/>
      <c r="UA22" s="86"/>
      <c r="UB22" s="99"/>
      <c r="UC22" s="102"/>
      <c r="UD22" s="76"/>
      <c r="UG22" s="114"/>
      <c r="UH22" s="15">
        <v>15</v>
      </c>
      <c r="UI22" s="99"/>
      <c r="UJ22" s="86"/>
      <c r="UK22" s="99"/>
      <c r="UL22" s="102"/>
      <c r="UM22" s="76"/>
      <c r="UP22" s="114"/>
      <c r="UQ22" s="15">
        <v>15</v>
      </c>
      <c r="UR22" s="99"/>
      <c r="US22" s="86"/>
      <c r="UT22" s="99"/>
      <c r="UU22" s="102"/>
      <c r="UV22" s="76"/>
      <c r="UY22" s="114"/>
      <c r="UZ22" s="15">
        <v>15</v>
      </c>
      <c r="VA22" s="99"/>
      <c r="VB22" s="86"/>
      <c r="VC22" s="99"/>
      <c r="VD22" s="102"/>
      <c r="VE22" s="76"/>
      <c r="VH22" s="114"/>
      <c r="VI22" s="15">
        <v>15</v>
      </c>
      <c r="VJ22" s="99"/>
      <c r="VK22" s="86"/>
      <c r="VL22" s="99"/>
      <c r="VM22" s="102"/>
      <c r="VN22" s="76"/>
      <c r="VQ22" s="114"/>
      <c r="VR22" s="15">
        <v>15</v>
      </c>
      <c r="VS22" s="99"/>
      <c r="VT22" s="86"/>
      <c r="VU22" s="99"/>
      <c r="VV22" s="102"/>
      <c r="VW22" s="76"/>
      <c r="VZ22" s="114"/>
      <c r="WA22" s="15">
        <v>15</v>
      </c>
      <c r="WB22" s="99"/>
      <c r="WC22" s="86"/>
      <c r="WD22" s="99"/>
      <c r="WE22" s="102"/>
      <c r="WF22" s="76"/>
      <c r="WI22" s="114"/>
      <c r="WJ22" s="15">
        <v>15</v>
      </c>
      <c r="WK22" s="99"/>
      <c r="WL22" s="86"/>
      <c r="WM22" s="99"/>
      <c r="WN22" s="102"/>
      <c r="WO22" s="76"/>
      <c r="WR22" s="114"/>
      <c r="WS22" s="15">
        <v>15</v>
      </c>
      <c r="WT22" s="99"/>
      <c r="WU22" s="86"/>
      <c r="WV22" s="99"/>
      <c r="WW22" s="102"/>
      <c r="WX22" s="76"/>
      <c r="XA22" s="114"/>
      <c r="XB22" s="15">
        <v>15</v>
      </c>
      <c r="XC22" s="99"/>
      <c r="XD22" s="86"/>
      <c r="XE22" s="99"/>
      <c r="XF22" s="102"/>
      <c r="XG22" s="76"/>
      <c r="XJ22" s="114"/>
      <c r="XK22" s="15">
        <v>15</v>
      </c>
      <c r="XL22" s="99"/>
      <c r="XM22" s="86"/>
      <c r="XN22" s="99"/>
      <c r="XO22" s="102"/>
      <c r="XP22" s="76"/>
      <c r="XS22" s="114"/>
      <c r="XT22" s="15">
        <v>15</v>
      </c>
      <c r="XU22" s="99"/>
      <c r="XV22" s="86"/>
      <c r="XW22" s="99"/>
      <c r="XX22" s="102"/>
      <c r="XY22" s="76"/>
      <c r="YB22" s="114"/>
      <c r="YC22" s="15">
        <v>15</v>
      </c>
      <c r="YD22" s="99"/>
      <c r="YE22" s="86"/>
      <c r="YF22" s="99"/>
      <c r="YG22" s="102"/>
      <c r="YH22" s="76"/>
      <c r="YK22" s="114"/>
      <c r="YL22" s="15">
        <v>15</v>
      </c>
      <c r="YM22" s="99"/>
      <c r="YN22" s="86"/>
      <c r="YO22" s="99"/>
      <c r="YP22" s="102"/>
      <c r="YQ22" s="76"/>
      <c r="YT22" s="114"/>
      <c r="YU22" s="15">
        <v>15</v>
      </c>
      <c r="YV22" s="99"/>
      <c r="YW22" s="86"/>
      <c r="YX22" s="99"/>
      <c r="YY22" s="102"/>
      <c r="YZ22" s="76"/>
      <c r="ZC22" s="114"/>
      <c r="ZD22" s="15">
        <v>15</v>
      </c>
      <c r="ZE22" s="99"/>
      <c r="ZF22" s="86"/>
      <c r="ZG22" s="99"/>
      <c r="ZH22" s="102"/>
      <c r="ZI22" s="76"/>
      <c r="ZL22" s="114"/>
      <c r="ZM22" s="15">
        <v>15</v>
      </c>
      <c r="ZN22" s="99"/>
      <c r="ZO22" s="86"/>
      <c r="ZP22" s="99"/>
      <c r="ZQ22" s="102"/>
      <c r="ZR22" s="76"/>
      <c r="ZU22" s="114"/>
      <c r="ZV22" s="15">
        <v>15</v>
      </c>
      <c r="ZW22" s="99"/>
      <c r="ZX22" s="86"/>
      <c r="ZY22" s="99"/>
      <c r="ZZ22" s="102"/>
      <c r="AAA22" s="76"/>
      <c r="AAD22" s="114"/>
      <c r="AAE22" s="15">
        <v>15</v>
      </c>
      <c r="AAF22" s="99"/>
      <c r="AAG22" s="86"/>
      <c r="AAH22" s="99"/>
      <c r="AAI22" s="102"/>
      <c r="AAJ22" s="76"/>
      <c r="AAM22" s="114"/>
      <c r="AAN22" s="15">
        <v>15</v>
      </c>
      <c r="AAO22" s="99"/>
      <c r="AAP22" s="86"/>
      <c r="AAQ22" s="99"/>
      <c r="AAR22" s="102"/>
      <c r="AAS22" s="76"/>
      <c r="AAV22" s="114"/>
      <c r="AAW22" s="15">
        <v>15</v>
      </c>
      <c r="AAX22" s="99"/>
      <c r="AAY22" s="86"/>
      <c r="AAZ22" s="99"/>
      <c r="ABA22" s="102"/>
      <c r="ABB22" s="76"/>
      <c r="ABE22" s="114"/>
      <c r="ABF22" s="15">
        <v>15</v>
      </c>
      <c r="ABG22" s="99"/>
      <c r="ABH22" s="86"/>
      <c r="ABI22" s="99"/>
      <c r="ABJ22" s="102"/>
      <c r="ABK22" s="76"/>
      <c r="ABN22" s="114"/>
      <c r="ABO22" s="15">
        <v>15</v>
      </c>
      <c r="ABP22" s="99"/>
      <c r="ABQ22" s="86"/>
      <c r="ABR22" s="99"/>
      <c r="ABS22" s="102"/>
      <c r="ABT22" s="76"/>
      <c r="ABW22" s="114"/>
      <c r="ABX22" s="15">
        <v>15</v>
      </c>
      <c r="ABY22" s="99"/>
      <c r="ABZ22" s="86"/>
      <c r="ACA22" s="99"/>
      <c r="ACB22" s="102"/>
      <c r="ACC22" s="76"/>
      <c r="ACF22" s="114"/>
      <c r="ACG22" s="15">
        <v>15</v>
      </c>
      <c r="ACH22" s="99"/>
      <c r="ACI22" s="86"/>
      <c r="ACJ22" s="99"/>
      <c r="ACK22" s="102"/>
      <c r="ACL22" s="76"/>
      <c r="ACO22" s="114"/>
      <c r="ACP22" s="15">
        <v>15</v>
      </c>
      <c r="ACQ22" s="99"/>
      <c r="ACR22" s="86"/>
      <c r="ACS22" s="99"/>
      <c r="ACT22" s="102"/>
      <c r="ACU22" s="76"/>
      <c r="ACX22" s="114"/>
      <c r="ACY22" s="15">
        <v>15</v>
      </c>
      <c r="ACZ22" s="99"/>
      <c r="ADA22" s="86"/>
      <c r="ADB22" s="99"/>
      <c r="ADC22" s="102"/>
      <c r="ADD22" s="76"/>
      <c r="ADG22" s="114"/>
      <c r="ADH22" s="15">
        <v>15</v>
      </c>
      <c r="ADI22" s="99"/>
      <c r="ADJ22" s="86"/>
      <c r="ADK22" s="99"/>
      <c r="ADL22" s="102"/>
      <c r="ADM22" s="76"/>
      <c r="ADP22" s="114"/>
      <c r="ADQ22" s="15">
        <v>15</v>
      </c>
      <c r="ADR22" s="99"/>
      <c r="ADS22" s="86"/>
      <c r="ADT22" s="99"/>
      <c r="ADU22" s="102"/>
      <c r="ADV22" s="76"/>
      <c r="ADY22" s="114"/>
      <c r="ADZ22" s="15">
        <v>15</v>
      </c>
      <c r="AEA22" s="99"/>
      <c r="AEB22" s="86"/>
      <c r="AEC22" s="99"/>
      <c r="AED22" s="102"/>
      <c r="AEE22" s="76"/>
    </row>
    <row r="23" spans="1:811" x14ac:dyDescent="0.3">
      <c r="A23" s="150">
        <v>20</v>
      </c>
      <c r="B23" s="82" t="str">
        <f t="shared" ref="B23:H23" si="48">GO5</f>
        <v>SMITHFIELD FRESH MEAT</v>
      </c>
      <c r="C23" s="82" t="str">
        <f>GQ5</f>
        <v>PED. 58002667</v>
      </c>
      <c r="D23" s="110" t="str">
        <f>GQ5</f>
        <v>PED. 58002667</v>
      </c>
      <c r="E23" s="148">
        <f t="shared" si="48"/>
        <v>44159</v>
      </c>
      <c r="F23" s="93">
        <f t="shared" si="48"/>
        <v>17166.22</v>
      </c>
      <c r="G23" s="79">
        <f t="shared" si="48"/>
        <v>20</v>
      </c>
      <c r="H23" s="49">
        <f t="shared" si="48"/>
        <v>17405.45</v>
      </c>
      <c r="I23" s="113">
        <f>F23-H23</f>
        <v>-239.22999999999956</v>
      </c>
      <c r="L23" s="114"/>
      <c r="M23" s="15">
        <v>16</v>
      </c>
      <c r="N23" s="330">
        <v>839.91</v>
      </c>
      <c r="O23" s="398">
        <v>44139</v>
      </c>
      <c r="P23" s="330">
        <v>839.91</v>
      </c>
      <c r="Q23" s="384" t="s">
        <v>323</v>
      </c>
      <c r="R23" s="316">
        <v>44</v>
      </c>
      <c r="S23" s="316">
        <f t="shared" si="6"/>
        <v>36956.04</v>
      </c>
      <c r="T23" s="288"/>
      <c r="V23" s="114"/>
      <c r="W23" s="15">
        <v>16</v>
      </c>
      <c r="X23" s="330">
        <v>836</v>
      </c>
      <c r="Y23" s="398">
        <v>44140</v>
      </c>
      <c r="Z23" s="330">
        <v>836</v>
      </c>
      <c r="AA23" s="465" t="s">
        <v>334</v>
      </c>
      <c r="AB23" s="316">
        <v>45</v>
      </c>
      <c r="AC23" s="388">
        <f t="shared" si="7"/>
        <v>37620</v>
      </c>
      <c r="AF23" s="114"/>
      <c r="AG23" s="15">
        <v>16</v>
      </c>
      <c r="AH23" s="99">
        <v>890.4</v>
      </c>
      <c r="AI23" s="392">
        <v>44140</v>
      </c>
      <c r="AJ23" s="99">
        <v>890.4</v>
      </c>
      <c r="AK23" s="102" t="s">
        <v>330</v>
      </c>
      <c r="AL23" s="76">
        <v>45</v>
      </c>
      <c r="AM23" s="894">
        <f t="shared" si="8"/>
        <v>40068</v>
      </c>
      <c r="AP23" s="114"/>
      <c r="AQ23" s="15">
        <v>16</v>
      </c>
      <c r="AR23" s="385">
        <v>916.3</v>
      </c>
      <c r="AS23" s="398">
        <v>44141</v>
      </c>
      <c r="AT23" s="385">
        <v>916.3</v>
      </c>
      <c r="AU23" s="384" t="s">
        <v>339</v>
      </c>
      <c r="AV23" s="316">
        <v>45</v>
      </c>
      <c r="AY23" s="114"/>
      <c r="AZ23" s="15">
        <v>16</v>
      </c>
      <c r="BA23" s="99">
        <v>909.4</v>
      </c>
      <c r="BB23" s="148">
        <v>44141</v>
      </c>
      <c r="BC23" s="99">
        <v>909.4</v>
      </c>
      <c r="BD23" s="102" t="s">
        <v>344</v>
      </c>
      <c r="BE23" s="459">
        <v>45</v>
      </c>
      <c r="BH23" s="114"/>
      <c r="BI23" s="15">
        <v>16</v>
      </c>
      <c r="BJ23" s="99">
        <v>899.5</v>
      </c>
      <c r="BK23" s="148">
        <v>44141</v>
      </c>
      <c r="BL23" s="99">
        <v>899.5</v>
      </c>
      <c r="BM23" s="102" t="s">
        <v>348</v>
      </c>
      <c r="BN23" s="459">
        <v>45</v>
      </c>
      <c r="BQ23" s="114"/>
      <c r="BR23" s="15">
        <v>16</v>
      </c>
      <c r="BS23" s="99">
        <v>882.54</v>
      </c>
      <c r="BT23" s="460">
        <v>44145</v>
      </c>
      <c r="BU23" s="99">
        <v>882.54</v>
      </c>
      <c r="BV23" s="463" t="s">
        <v>357</v>
      </c>
      <c r="BW23" s="462">
        <v>45</v>
      </c>
      <c r="BX23" s="870">
        <f t="shared" si="9"/>
        <v>39714.299999999996</v>
      </c>
      <c r="BZ23" s="114"/>
      <c r="CA23" s="15">
        <v>16</v>
      </c>
      <c r="CB23" s="99">
        <v>908.5</v>
      </c>
      <c r="CC23" s="460">
        <v>44146</v>
      </c>
      <c r="CD23" s="99">
        <v>908.5</v>
      </c>
      <c r="CE23" s="463" t="s">
        <v>361</v>
      </c>
      <c r="CF23" s="462">
        <v>45</v>
      </c>
      <c r="CG23" s="870">
        <f t="shared" si="10"/>
        <v>40882.5</v>
      </c>
      <c r="CJ23" s="114"/>
      <c r="CK23" s="15">
        <v>16</v>
      </c>
      <c r="CL23" s="330">
        <v>934.4</v>
      </c>
      <c r="CM23" s="460">
        <v>44147</v>
      </c>
      <c r="CN23" s="99">
        <v>934.4</v>
      </c>
      <c r="CO23" s="463" t="s">
        <v>364</v>
      </c>
      <c r="CP23" s="462">
        <v>45</v>
      </c>
      <c r="CQ23" s="925">
        <f t="shared" si="11"/>
        <v>42048</v>
      </c>
      <c r="CT23" s="114"/>
      <c r="CU23" s="15">
        <v>16</v>
      </c>
      <c r="CV23" s="99">
        <v>897.7</v>
      </c>
      <c r="CW23" s="392">
        <v>44148</v>
      </c>
      <c r="CX23" s="99">
        <v>897.7</v>
      </c>
      <c r="CY23" s="102" t="s">
        <v>372</v>
      </c>
      <c r="CZ23" s="76">
        <v>45</v>
      </c>
      <c r="DA23" s="870">
        <f t="shared" si="12"/>
        <v>40396.5</v>
      </c>
      <c r="DD23" s="114"/>
      <c r="DE23" s="15">
        <v>16</v>
      </c>
      <c r="DF23" s="99">
        <v>927.6</v>
      </c>
      <c r="DG23" s="460">
        <v>44148</v>
      </c>
      <c r="DH23" s="99">
        <v>927.6</v>
      </c>
      <c r="DI23" s="463" t="s">
        <v>375</v>
      </c>
      <c r="DJ23" s="462">
        <v>45</v>
      </c>
      <c r="DK23" s="925">
        <f t="shared" si="13"/>
        <v>41742</v>
      </c>
      <c r="DN23" s="114"/>
      <c r="DO23" s="15">
        <v>16</v>
      </c>
      <c r="DP23" s="99">
        <v>906.7</v>
      </c>
      <c r="DQ23" s="460">
        <v>44148</v>
      </c>
      <c r="DR23" s="99">
        <v>906.7</v>
      </c>
      <c r="DS23" s="463" t="s">
        <v>376</v>
      </c>
      <c r="DT23" s="462">
        <v>45</v>
      </c>
      <c r="DU23" s="870">
        <f t="shared" si="14"/>
        <v>40801.5</v>
      </c>
      <c r="DX23" s="114"/>
      <c r="DY23" s="15">
        <v>16</v>
      </c>
      <c r="DZ23" s="74">
        <v>835.37</v>
      </c>
      <c r="EA23" s="412">
        <v>44150</v>
      </c>
      <c r="EB23" s="74">
        <v>835.37</v>
      </c>
      <c r="EC23" s="75" t="s">
        <v>387</v>
      </c>
      <c r="ED23" s="76">
        <v>44</v>
      </c>
      <c r="EE23" s="870">
        <f t="shared" si="15"/>
        <v>36756.28</v>
      </c>
      <c r="EH23" s="114"/>
      <c r="EI23" s="15">
        <v>16</v>
      </c>
      <c r="EJ23" s="74">
        <v>896.7</v>
      </c>
      <c r="EK23" s="412">
        <v>44154</v>
      </c>
      <c r="EL23" s="74">
        <v>896.7</v>
      </c>
      <c r="EM23" s="315" t="s">
        <v>401</v>
      </c>
      <c r="EN23" s="76">
        <v>42</v>
      </c>
      <c r="EO23" s="870">
        <f t="shared" si="16"/>
        <v>37661.4</v>
      </c>
      <c r="ER23" s="114"/>
      <c r="ES23" s="15">
        <v>16</v>
      </c>
      <c r="ET23" s="330">
        <v>895.8</v>
      </c>
      <c r="EU23" s="398">
        <v>44154</v>
      </c>
      <c r="EV23" s="330">
        <v>895.8</v>
      </c>
      <c r="EW23" s="315" t="s">
        <v>399</v>
      </c>
      <c r="EX23" s="316">
        <v>42</v>
      </c>
      <c r="EY23" s="388">
        <f t="shared" si="17"/>
        <v>37623.599999999999</v>
      </c>
      <c r="FB23" s="114"/>
      <c r="FC23" s="15">
        <v>16</v>
      </c>
      <c r="FD23" s="99">
        <v>904</v>
      </c>
      <c r="FE23" s="392">
        <v>44154</v>
      </c>
      <c r="FF23" s="99">
        <v>904</v>
      </c>
      <c r="FG23" s="75" t="s">
        <v>405</v>
      </c>
      <c r="FH23" s="76">
        <v>42</v>
      </c>
      <c r="FI23" s="870">
        <f t="shared" si="18"/>
        <v>37968</v>
      </c>
      <c r="FL23" s="114"/>
      <c r="FM23" s="15">
        <v>16</v>
      </c>
      <c r="FN23" s="99">
        <v>914.9</v>
      </c>
      <c r="FO23" s="392">
        <v>44156</v>
      </c>
      <c r="FP23" s="99">
        <v>914.9</v>
      </c>
      <c r="FQ23" s="75" t="s">
        <v>415</v>
      </c>
      <c r="FR23" s="76">
        <v>42</v>
      </c>
      <c r="FS23" s="870">
        <f t="shared" si="19"/>
        <v>38425.799999999996</v>
      </c>
      <c r="FV23" s="114"/>
      <c r="FW23" s="15">
        <v>16</v>
      </c>
      <c r="FX23" s="74">
        <v>878.6</v>
      </c>
      <c r="FY23" s="657">
        <v>44156</v>
      </c>
      <c r="FZ23" s="74">
        <v>878.6</v>
      </c>
      <c r="GA23" s="315" t="s">
        <v>412</v>
      </c>
      <c r="GB23" s="316">
        <v>42</v>
      </c>
      <c r="GC23" s="388">
        <f t="shared" si="20"/>
        <v>36901.200000000004</v>
      </c>
      <c r="GF23" s="114"/>
      <c r="GG23" s="15">
        <v>16</v>
      </c>
      <c r="GH23" s="632">
        <v>897.7</v>
      </c>
      <c r="GI23" s="392">
        <v>44159</v>
      </c>
      <c r="GJ23" s="632">
        <v>897.7</v>
      </c>
      <c r="GK23" s="102" t="s">
        <v>419</v>
      </c>
      <c r="GL23" s="76">
        <v>38</v>
      </c>
      <c r="GM23" s="870">
        <f t="shared" si="21"/>
        <v>34112.6</v>
      </c>
      <c r="GP23" s="114"/>
      <c r="GQ23" s="15">
        <v>16</v>
      </c>
      <c r="GR23" s="99">
        <v>853.51</v>
      </c>
      <c r="GS23" s="392">
        <v>44159</v>
      </c>
      <c r="GT23" s="99">
        <v>853.51</v>
      </c>
      <c r="GU23" s="102" t="s">
        <v>421</v>
      </c>
      <c r="GV23" s="76">
        <v>38</v>
      </c>
      <c r="GW23" s="870">
        <f t="shared" si="22"/>
        <v>32433.38</v>
      </c>
      <c r="GZ23" s="114"/>
      <c r="HA23" s="15">
        <v>16</v>
      </c>
      <c r="HB23" s="99">
        <v>927.14</v>
      </c>
      <c r="HC23" s="392">
        <v>44160</v>
      </c>
      <c r="HD23" s="99">
        <v>927.14</v>
      </c>
      <c r="HE23" s="102" t="s">
        <v>429</v>
      </c>
      <c r="HF23" s="76">
        <v>38</v>
      </c>
      <c r="HG23" s="870">
        <f t="shared" si="23"/>
        <v>35231.32</v>
      </c>
      <c r="HJ23" s="114"/>
      <c r="HK23" s="15">
        <v>16</v>
      </c>
      <c r="HL23" s="330">
        <v>915.8</v>
      </c>
      <c r="HM23" s="398">
        <v>44161</v>
      </c>
      <c r="HN23" s="330">
        <v>915.8</v>
      </c>
      <c r="HO23" s="465" t="s">
        <v>434</v>
      </c>
      <c r="HP23" s="316">
        <v>38</v>
      </c>
      <c r="HQ23" s="388">
        <f t="shared" si="24"/>
        <v>34800.400000000001</v>
      </c>
      <c r="HT23" s="101"/>
      <c r="HU23" s="15">
        <v>16</v>
      </c>
      <c r="HV23" s="74">
        <v>925.8</v>
      </c>
      <c r="HW23" s="412">
        <v>44162</v>
      </c>
      <c r="HX23" s="74">
        <v>925.8</v>
      </c>
      <c r="HY23" s="75" t="s">
        <v>435</v>
      </c>
      <c r="HZ23" s="76">
        <v>38</v>
      </c>
      <c r="IA23" s="870">
        <f t="shared" si="25"/>
        <v>35180.400000000001</v>
      </c>
      <c r="ID23" s="114"/>
      <c r="IE23" s="15">
        <v>16</v>
      </c>
      <c r="IF23" s="330">
        <v>947.5</v>
      </c>
      <c r="IG23" s="359">
        <v>44162</v>
      </c>
      <c r="IH23" s="330">
        <v>947.5</v>
      </c>
      <c r="II23" s="675" t="s">
        <v>438</v>
      </c>
      <c r="IJ23" s="316">
        <v>38</v>
      </c>
      <c r="IK23" s="388">
        <f t="shared" si="26"/>
        <v>36005</v>
      </c>
      <c r="IL23" s="113"/>
      <c r="IM23" s="74"/>
      <c r="IN23" s="114"/>
      <c r="IO23" s="15">
        <v>16</v>
      </c>
      <c r="IP23" s="99">
        <v>913.1</v>
      </c>
      <c r="IQ23" s="412">
        <v>44166</v>
      </c>
      <c r="IR23" s="99">
        <v>913.1</v>
      </c>
      <c r="IS23" s="75" t="s">
        <v>453</v>
      </c>
      <c r="IT23" s="76">
        <v>38</v>
      </c>
      <c r="IU23" s="870">
        <f t="shared" si="27"/>
        <v>34697.800000000003</v>
      </c>
      <c r="IX23" s="114"/>
      <c r="IY23" s="15">
        <v>16</v>
      </c>
      <c r="IZ23" s="99">
        <v>787.3</v>
      </c>
      <c r="JA23" s="392">
        <v>44167</v>
      </c>
      <c r="JB23" s="99">
        <v>787.3</v>
      </c>
      <c r="JC23" s="75" t="s">
        <v>479</v>
      </c>
      <c r="JD23" s="76">
        <v>38</v>
      </c>
      <c r="JE23" s="870">
        <f t="shared" si="28"/>
        <v>29917.399999999998</v>
      </c>
      <c r="JH23" s="114"/>
      <c r="JI23" s="15">
        <v>16</v>
      </c>
      <c r="JJ23" s="74">
        <v>810.88</v>
      </c>
      <c r="JK23" s="412">
        <v>44167</v>
      </c>
      <c r="JL23" s="74">
        <v>810.88</v>
      </c>
      <c r="JM23" s="75" t="s">
        <v>477</v>
      </c>
      <c r="JN23" s="76">
        <v>38</v>
      </c>
      <c r="JO23" s="870">
        <f t="shared" si="29"/>
        <v>30813.439999999999</v>
      </c>
      <c r="JR23" s="114"/>
      <c r="JS23" s="15">
        <v>16</v>
      </c>
      <c r="JT23" s="99">
        <v>885.9</v>
      </c>
      <c r="JU23" s="392">
        <v>44168</v>
      </c>
      <c r="JV23" s="99">
        <v>885.9</v>
      </c>
      <c r="JW23" s="102" t="s">
        <v>481</v>
      </c>
      <c r="JX23" s="76">
        <v>39</v>
      </c>
      <c r="JY23" s="870">
        <f t="shared" si="30"/>
        <v>34550.1</v>
      </c>
      <c r="KB23" s="114"/>
      <c r="KC23" s="15">
        <v>16</v>
      </c>
      <c r="KD23" s="99">
        <v>864.1</v>
      </c>
      <c r="KE23" s="392">
        <v>44168</v>
      </c>
      <c r="KF23" s="99">
        <v>864.1</v>
      </c>
      <c r="KG23" s="102" t="s">
        <v>484</v>
      </c>
      <c r="KH23" s="76">
        <v>39</v>
      </c>
      <c r="KI23" s="870">
        <f t="shared" si="31"/>
        <v>33699.9</v>
      </c>
      <c r="KL23" s="114"/>
      <c r="KM23" s="15">
        <v>16</v>
      </c>
      <c r="KN23" s="99">
        <v>911.72</v>
      </c>
      <c r="KO23" s="392">
        <v>44169</v>
      </c>
      <c r="KP23" s="99">
        <v>911.72</v>
      </c>
      <c r="KQ23" s="102" t="s">
        <v>496</v>
      </c>
      <c r="KR23" s="76">
        <v>39</v>
      </c>
      <c r="KS23" s="870">
        <f t="shared" si="32"/>
        <v>35557.08</v>
      </c>
      <c r="KV23" s="114"/>
      <c r="KW23" s="15">
        <v>16</v>
      </c>
      <c r="KX23" s="99">
        <v>887.7</v>
      </c>
      <c r="KY23" s="392">
        <v>44169</v>
      </c>
      <c r="KZ23" s="99">
        <v>887.7</v>
      </c>
      <c r="LA23" s="102" t="s">
        <v>488</v>
      </c>
      <c r="LB23" s="76">
        <v>39</v>
      </c>
      <c r="LC23" s="870">
        <f t="shared" si="33"/>
        <v>34620.300000000003</v>
      </c>
      <c r="LF23" s="114"/>
      <c r="LG23" s="15">
        <v>16</v>
      </c>
      <c r="LH23" s="99">
        <v>870.4</v>
      </c>
      <c r="LI23" s="392">
        <v>44169</v>
      </c>
      <c r="LJ23" s="99">
        <v>870.4</v>
      </c>
      <c r="LK23" s="102" t="s">
        <v>493</v>
      </c>
      <c r="LL23" s="76">
        <v>39</v>
      </c>
      <c r="LM23" s="870">
        <f t="shared" si="34"/>
        <v>33945.599999999999</v>
      </c>
      <c r="LP23" s="114"/>
      <c r="LQ23" s="15">
        <v>16</v>
      </c>
      <c r="LR23" s="472"/>
      <c r="LS23" s="392"/>
      <c r="LT23" s="472"/>
      <c r="LU23" s="102"/>
      <c r="LV23" s="76"/>
      <c r="LY23" s="114"/>
      <c r="LZ23" s="15">
        <v>16</v>
      </c>
      <c r="MA23" s="472"/>
      <c r="MB23" s="392"/>
      <c r="MC23" s="472"/>
      <c r="MD23" s="102"/>
      <c r="ME23" s="76"/>
      <c r="MH23" s="114"/>
      <c r="MI23" s="15">
        <v>16</v>
      </c>
      <c r="MJ23" s="99"/>
      <c r="MK23" s="392"/>
      <c r="ML23" s="99"/>
      <c r="MM23" s="102"/>
      <c r="MN23" s="76"/>
      <c r="MQ23" s="114"/>
      <c r="MR23" s="15">
        <v>16</v>
      </c>
      <c r="MS23" s="472"/>
      <c r="MT23" s="392"/>
      <c r="MU23" s="385"/>
      <c r="MV23" s="384"/>
      <c r="MW23" s="76"/>
      <c r="MZ23" s="114"/>
      <c r="NA23" s="15">
        <v>16</v>
      </c>
      <c r="NB23" s="99"/>
      <c r="NC23" s="392"/>
      <c r="ND23" s="99"/>
      <c r="NE23" s="102"/>
      <c r="NF23" s="76"/>
      <c r="NI23" s="114"/>
      <c r="NJ23" s="15">
        <v>16</v>
      </c>
      <c r="NK23" s="99"/>
      <c r="NL23" s="392"/>
      <c r="NM23" s="99"/>
      <c r="NN23" s="102"/>
      <c r="NO23" s="76"/>
      <c r="NR23" s="114"/>
      <c r="NS23" s="15">
        <v>16</v>
      </c>
      <c r="NT23" s="99"/>
      <c r="NU23" s="392"/>
      <c r="NV23" s="99"/>
      <c r="NW23" s="102"/>
      <c r="NX23" s="76"/>
      <c r="OA23" s="114"/>
      <c r="OB23" s="15">
        <v>16</v>
      </c>
      <c r="OC23" s="99"/>
      <c r="OD23" s="392"/>
      <c r="OE23" s="99"/>
      <c r="OF23" s="102"/>
      <c r="OG23" s="76"/>
      <c r="OJ23" s="114"/>
      <c r="OK23" s="15">
        <v>16</v>
      </c>
      <c r="OL23" s="330"/>
      <c r="OM23" s="398"/>
      <c r="ON23" s="330"/>
      <c r="OO23" s="384"/>
      <c r="OP23" s="316"/>
      <c r="OS23" s="101"/>
      <c r="OT23" s="15">
        <v>16</v>
      </c>
      <c r="OU23" s="99"/>
      <c r="OV23" s="392"/>
      <c r="OW23" s="99"/>
      <c r="OX23" s="102"/>
      <c r="OY23" s="76"/>
      <c r="PB23" s="114"/>
      <c r="PC23" s="15">
        <v>16</v>
      </c>
      <c r="PD23" s="99"/>
      <c r="PE23" s="392"/>
      <c r="PF23" s="99"/>
      <c r="PG23" s="102"/>
      <c r="PH23" s="76"/>
      <c r="PK23" s="114"/>
      <c r="PL23" s="15">
        <v>16</v>
      </c>
      <c r="PM23" s="99"/>
      <c r="PN23" s="148"/>
      <c r="PO23" s="99"/>
      <c r="PP23" s="102"/>
      <c r="PQ23" s="76"/>
      <c r="PT23" s="114"/>
      <c r="PU23" s="15">
        <v>16</v>
      </c>
      <c r="PV23" s="99"/>
      <c r="PW23" s="392"/>
      <c r="PX23" s="99"/>
      <c r="PY23" s="102"/>
      <c r="PZ23" s="76"/>
      <c r="QC23" s="114"/>
      <c r="QD23" s="15">
        <v>16</v>
      </c>
      <c r="QE23" s="99"/>
      <c r="QF23" s="392"/>
      <c r="QG23" s="99"/>
      <c r="QH23" s="102"/>
      <c r="QI23" s="76"/>
      <c r="QL23" s="114"/>
      <c r="QM23" s="15">
        <v>16</v>
      </c>
      <c r="QN23" s="99"/>
      <c r="QO23" s="392"/>
      <c r="QP23" s="99"/>
      <c r="QQ23" s="102"/>
      <c r="QR23" s="76"/>
      <c r="QU23" s="114"/>
      <c r="QV23" s="15">
        <v>16</v>
      </c>
      <c r="QW23" s="99"/>
      <c r="QX23" s="392"/>
      <c r="QY23" s="99"/>
      <c r="QZ23" s="102"/>
      <c r="RA23" s="459"/>
      <c r="RD23" s="114"/>
      <c r="RE23" s="15">
        <v>16</v>
      </c>
      <c r="RF23" s="99"/>
      <c r="RG23" s="148"/>
      <c r="RH23" s="99"/>
      <c r="RI23" s="102"/>
      <c r="RJ23" s="76"/>
      <c r="RM23" s="114"/>
      <c r="RN23" s="15">
        <v>16</v>
      </c>
      <c r="RO23" s="99"/>
      <c r="RP23" s="86"/>
      <c r="RQ23" s="99"/>
      <c r="RR23" s="102"/>
      <c r="RS23" s="76"/>
      <c r="RV23" s="114"/>
      <c r="RW23" s="15">
        <v>16</v>
      </c>
      <c r="RX23" s="99"/>
      <c r="RY23" s="86"/>
      <c r="RZ23" s="99"/>
      <c r="SA23" s="102"/>
      <c r="SB23" s="76"/>
      <c r="SE23" s="114"/>
      <c r="SF23" s="15"/>
      <c r="SG23" s="99"/>
      <c r="SH23" s="86"/>
      <c r="SI23" s="99"/>
      <c r="SJ23" s="102"/>
      <c r="SK23" s="76"/>
      <c r="SN23" s="114"/>
      <c r="SO23" s="15">
        <v>16</v>
      </c>
      <c r="SP23" s="99"/>
      <c r="SQ23" s="471"/>
      <c r="SR23" s="206"/>
      <c r="SS23" s="463"/>
      <c r="ST23" s="462"/>
      <c r="SW23" s="114"/>
      <c r="SX23" s="15"/>
      <c r="SY23" s="99"/>
      <c r="SZ23" s="86"/>
      <c r="TA23" s="99"/>
      <c r="TB23" s="102"/>
      <c r="TC23" s="76"/>
      <c r="TF23" s="114"/>
      <c r="TG23" s="15">
        <v>16</v>
      </c>
      <c r="TH23" s="99"/>
      <c r="TI23" s="86"/>
      <c r="TJ23" s="99"/>
      <c r="TK23" s="102"/>
      <c r="TL23" s="76"/>
      <c r="TO23" s="114"/>
      <c r="TP23" s="15"/>
      <c r="TQ23" s="99"/>
      <c r="TR23" s="86"/>
      <c r="TS23" s="99"/>
      <c r="TT23" s="102"/>
      <c r="TU23" s="76"/>
      <c r="TX23" s="114"/>
      <c r="TY23" s="15">
        <v>16</v>
      </c>
      <c r="TZ23" s="99"/>
      <c r="UA23" s="86"/>
      <c r="UB23" s="99"/>
      <c r="UC23" s="102"/>
      <c r="UD23" s="76"/>
      <c r="UG23" s="114"/>
      <c r="UH23" s="15">
        <v>16</v>
      </c>
      <c r="UI23" s="99"/>
      <c r="UJ23" s="86"/>
      <c r="UK23" s="99"/>
      <c r="UL23" s="102"/>
      <c r="UM23" s="76"/>
      <c r="UP23" s="114"/>
      <c r="UQ23" s="15">
        <v>16</v>
      </c>
      <c r="UR23" s="99"/>
      <c r="US23" s="86"/>
      <c r="UT23" s="99"/>
      <c r="UU23" s="102"/>
      <c r="UV23" s="76"/>
      <c r="UY23" s="114"/>
      <c r="UZ23" s="15">
        <v>16</v>
      </c>
      <c r="VA23" s="99"/>
      <c r="VB23" s="86"/>
      <c r="VC23" s="99"/>
      <c r="VD23" s="102"/>
      <c r="VE23" s="76"/>
      <c r="VH23" s="114"/>
      <c r="VI23" s="15">
        <v>16</v>
      </c>
      <c r="VJ23" s="99"/>
      <c r="VK23" s="86"/>
      <c r="VL23" s="99"/>
      <c r="VM23" s="102"/>
      <c r="VN23" s="76"/>
      <c r="VQ23" s="114"/>
      <c r="VR23" s="15">
        <v>16</v>
      </c>
      <c r="VS23" s="99"/>
      <c r="VT23" s="86"/>
      <c r="VU23" s="99"/>
      <c r="VV23" s="102"/>
      <c r="VW23" s="76"/>
      <c r="VZ23" s="114"/>
      <c r="WA23" s="15">
        <v>16</v>
      </c>
      <c r="WB23" s="99"/>
      <c r="WC23" s="86"/>
      <c r="WD23" s="99"/>
      <c r="WE23" s="102"/>
      <c r="WF23" s="76"/>
      <c r="WI23" s="114"/>
      <c r="WJ23" s="15">
        <v>16</v>
      </c>
      <c r="WK23" s="99"/>
      <c r="WL23" s="86"/>
      <c r="WM23" s="99"/>
      <c r="WN23" s="102"/>
      <c r="WO23" s="76"/>
      <c r="WR23" s="114"/>
      <c r="WS23" s="15">
        <v>16</v>
      </c>
      <c r="WT23" s="99"/>
      <c r="WU23" s="86"/>
      <c r="WV23" s="99"/>
      <c r="WW23" s="102"/>
      <c r="WX23" s="76"/>
      <c r="XA23" s="114"/>
      <c r="XB23" s="15">
        <v>16</v>
      </c>
      <c r="XC23" s="99"/>
      <c r="XD23" s="86"/>
      <c r="XE23" s="99"/>
      <c r="XF23" s="102"/>
      <c r="XG23" s="76"/>
      <c r="XJ23" s="114"/>
      <c r="XK23" s="15">
        <v>16</v>
      </c>
      <c r="XL23" s="99"/>
      <c r="XM23" s="86"/>
      <c r="XN23" s="99"/>
      <c r="XO23" s="102"/>
      <c r="XP23" s="76"/>
      <c r="XS23" s="114"/>
      <c r="XT23" s="15">
        <v>16</v>
      </c>
      <c r="XU23" s="99"/>
      <c r="XV23" s="86"/>
      <c r="XW23" s="99"/>
      <c r="XX23" s="102"/>
      <c r="XY23" s="76"/>
      <c r="YB23" s="114"/>
      <c r="YC23" s="15">
        <v>16</v>
      </c>
      <c r="YD23" s="99"/>
      <c r="YE23" s="86"/>
      <c r="YF23" s="99"/>
      <c r="YG23" s="102"/>
      <c r="YH23" s="76"/>
      <c r="YK23" s="114"/>
      <c r="YL23" s="15">
        <v>16</v>
      </c>
      <c r="YM23" s="99"/>
      <c r="YN23" s="86"/>
      <c r="YO23" s="99"/>
      <c r="YP23" s="102"/>
      <c r="YQ23" s="76"/>
      <c r="YT23" s="114"/>
      <c r="YU23" s="15">
        <v>16</v>
      </c>
      <c r="YV23" s="99"/>
      <c r="YW23" s="86"/>
      <c r="YX23" s="99"/>
      <c r="YY23" s="102"/>
      <c r="YZ23" s="76"/>
      <c r="ZC23" s="114"/>
      <c r="ZD23" s="15">
        <v>16</v>
      </c>
      <c r="ZE23" s="99"/>
      <c r="ZF23" s="86"/>
      <c r="ZG23" s="99"/>
      <c r="ZH23" s="102"/>
      <c r="ZI23" s="76"/>
      <c r="ZL23" s="114"/>
      <c r="ZM23" s="15">
        <v>16</v>
      </c>
      <c r="ZN23" s="99"/>
      <c r="ZO23" s="86"/>
      <c r="ZP23" s="99"/>
      <c r="ZQ23" s="102"/>
      <c r="ZR23" s="76"/>
      <c r="ZU23" s="114"/>
      <c r="ZV23" s="15">
        <v>16</v>
      </c>
      <c r="ZW23" s="99"/>
      <c r="ZX23" s="86"/>
      <c r="ZY23" s="99"/>
      <c r="ZZ23" s="102"/>
      <c r="AAA23" s="76"/>
      <c r="AAD23" s="114"/>
      <c r="AAE23" s="15">
        <v>16</v>
      </c>
      <c r="AAF23" s="99"/>
      <c r="AAG23" s="86"/>
      <c r="AAH23" s="99"/>
      <c r="AAI23" s="102"/>
      <c r="AAJ23" s="76"/>
      <c r="AAM23" s="114"/>
      <c r="AAN23" s="15">
        <v>16</v>
      </c>
      <c r="AAO23" s="99"/>
      <c r="AAP23" s="86"/>
      <c r="AAQ23" s="99"/>
      <c r="AAR23" s="102"/>
      <c r="AAS23" s="76"/>
      <c r="AAV23" s="114"/>
      <c r="AAW23" s="15">
        <v>16</v>
      </c>
      <c r="AAX23" s="99"/>
      <c r="AAY23" s="86"/>
      <c r="AAZ23" s="99"/>
      <c r="ABA23" s="102"/>
      <c r="ABB23" s="76"/>
      <c r="ABE23" s="114"/>
      <c r="ABF23" s="15">
        <v>16</v>
      </c>
      <c r="ABG23" s="99"/>
      <c r="ABH23" s="86"/>
      <c r="ABI23" s="99"/>
      <c r="ABJ23" s="102"/>
      <c r="ABK23" s="76"/>
      <c r="ABN23" s="114"/>
      <c r="ABO23" s="15">
        <v>16</v>
      </c>
      <c r="ABP23" s="99"/>
      <c r="ABQ23" s="86"/>
      <c r="ABR23" s="99"/>
      <c r="ABS23" s="102"/>
      <c r="ABT23" s="76"/>
      <c r="ABW23" s="114"/>
      <c r="ABX23" s="15">
        <v>16</v>
      </c>
      <c r="ABY23" s="99"/>
      <c r="ABZ23" s="86"/>
      <c r="ACA23" s="99"/>
      <c r="ACB23" s="102"/>
      <c r="ACC23" s="76"/>
      <c r="ACF23" s="114"/>
      <c r="ACG23" s="15">
        <v>16</v>
      </c>
      <c r="ACH23" s="99"/>
      <c r="ACI23" s="86"/>
      <c r="ACJ23" s="99"/>
      <c r="ACK23" s="102"/>
      <c r="ACL23" s="76"/>
      <c r="ACO23" s="114"/>
      <c r="ACP23" s="15">
        <v>16</v>
      </c>
      <c r="ACQ23" s="99"/>
      <c r="ACR23" s="86"/>
      <c r="ACS23" s="99"/>
      <c r="ACT23" s="102"/>
      <c r="ACU23" s="76"/>
      <c r="ACX23" s="114"/>
      <c r="ACY23" s="15">
        <v>16</v>
      </c>
      <c r="ACZ23" s="99"/>
      <c r="ADA23" s="86"/>
      <c r="ADB23" s="99"/>
      <c r="ADC23" s="102"/>
      <c r="ADD23" s="76"/>
      <c r="ADG23" s="114"/>
      <c r="ADH23" s="15">
        <v>16</v>
      </c>
      <c r="ADI23" s="99"/>
      <c r="ADJ23" s="86"/>
      <c r="ADK23" s="99"/>
      <c r="ADL23" s="102"/>
      <c r="ADM23" s="76"/>
      <c r="ADP23" s="114"/>
      <c r="ADQ23" s="15">
        <v>16</v>
      </c>
      <c r="ADR23" s="99"/>
      <c r="ADS23" s="86"/>
      <c r="ADT23" s="99"/>
      <c r="ADU23" s="102"/>
      <c r="ADV23" s="76"/>
      <c r="ADY23" s="114"/>
      <c r="ADZ23" s="15">
        <v>16</v>
      </c>
      <c r="AEA23" s="99"/>
      <c r="AEB23" s="86"/>
      <c r="AEC23" s="99"/>
      <c r="AED23" s="102"/>
      <c r="AEE23" s="76"/>
    </row>
    <row r="24" spans="1:811" x14ac:dyDescent="0.3">
      <c r="A24" s="150">
        <v>21</v>
      </c>
      <c r="B24" s="82" t="str">
        <f t="shared" ref="B24:I24" si="49">GY5</f>
        <v>TYSON FRESH MEAT</v>
      </c>
      <c r="C24" s="82" t="str">
        <f t="shared" si="49"/>
        <v xml:space="preserve">I B P </v>
      </c>
      <c r="D24" s="110" t="str">
        <f t="shared" si="49"/>
        <v>PED. 58048878</v>
      </c>
      <c r="E24" s="148">
        <f t="shared" si="49"/>
        <v>44160</v>
      </c>
      <c r="F24" s="93">
        <f t="shared" si="49"/>
        <v>18825.080000000002</v>
      </c>
      <c r="G24" s="79">
        <f t="shared" si="49"/>
        <v>20</v>
      </c>
      <c r="H24" s="49">
        <f t="shared" si="49"/>
        <v>18916.53</v>
      </c>
      <c r="I24" s="113">
        <f t="shared" si="49"/>
        <v>-91.44999999999709</v>
      </c>
      <c r="L24" s="114"/>
      <c r="M24" s="15">
        <v>17</v>
      </c>
      <c r="N24" s="330">
        <v>846.71</v>
      </c>
      <c r="O24" s="398">
        <v>44139</v>
      </c>
      <c r="P24" s="330">
        <v>846.71</v>
      </c>
      <c r="Q24" s="384" t="s">
        <v>323</v>
      </c>
      <c r="R24" s="316">
        <v>44</v>
      </c>
      <c r="S24" s="316">
        <f t="shared" si="6"/>
        <v>37255.240000000005</v>
      </c>
      <c r="T24" s="288"/>
      <c r="V24" s="114"/>
      <c r="W24" s="15">
        <v>17</v>
      </c>
      <c r="X24" s="330">
        <v>858.6</v>
      </c>
      <c r="Y24" s="398">
        <v>44140</v>
      </c>
      <c r="Z24" s="330">
        <v>858.6</v>
      </c>
      <c r="AA24" s="465" t="s">
        <v>334</v>
      </c>
      <c r="AB24" s="316">
        <v>45</v>
      </c>
      <c r="AC24" s="388">
        <f t="shared" si="7"/>
        <v>38637</v>
      </c>
      <c r="AF24" s="114"/>
      <c r="AG24" s="15">
        <v>17</v>
      </c>
      <c r="AH24" s="99">
        <v>933</v>
      </c>
      <c r="AI24" s="392">
        <v>44140</v>
      </c>
      <c r="AJ24" s="99">
        <v>933</v>
      </c>
      <c r="AK24" s="102" t="s">
        <v>330</v>
      </c>
      <c r="AL24" s="76">
        <v>45</v>
      </c>
      <c r="AM24" s="894">
        <f t="shared" si="8"/>
        <v>41985</v>
      </c>
      <c r="AP24" s="114"/>
      <c r="AQ24" s="15">
        <v>17</v>
      </c>
      <c r="AR24" s="385">
        <v>897.2</v>
      </c>
      <c r="AS24" s="398">
        <v>44141</v>
      </c>
      <c r="AT24" s="385">
        <v>897.2</v>
      </c>
      <c r="AU24" s="384" t="s">
        <v>339</v>
      </c>
      <c r="AV24" s="316">
        <v>45</v>
      </c>
      <c r="AY24" s="114"/>
      <c r="AZ24" s="15">
        <v>17</v>
      </c>
      <c r="BA24" s="99">
        <v>890.4</v>
      </c>
      <c r="BB24" s="148">
        <v>44141</v>
      </c>
      <c r="BC24" s="99">
        <v>890.4</v>
      </c>
      <c r="BD24" s="102" t="s">
        <v>344</v>
      </c>
      <c r="BE24" s="459">
        <v>45</v>
      </c>
      <c r="BH24" s="114"/>
      <c r="BI24" s="15">
        <v>17</v>
      </c>
      <c r="BJ24" s="99">
        <v>884</v>
      </c>
      <c r="BK24" s="148">
        <v>44141</v>
      </c>
      <c r="BL24" s="99">
        <v>884</v>
      </c>
      <c r="BM24" s="102" t="s">
        <v>348</v>
      </c>
      <c r="BN24" s="459">
        <v>45</v>
      </c>
      <c r="BQ24" s="114"/>
      <c r="BR24" s="15">
        <v>17</v>
      </c>
      <c r="BS24" s="99">
        <v>854.88</v>
      </c>
      <c r="BT24" s="460">
        <v>44145</v>
      </c>
      <c r="BU24" s="99">
        <v>854.88</v>
      </c>
      <c r="BV24" s="463" t="s">
        <v>357</v>
      </c>
      <c r="BW24" s="462">
        <v>45</v>
      </c>
      <c r="BX24" s="870">
        <f t="shared" si="9"/>
        <v>38469.599999999999</v>
      </c>
      <c r="BZ24" s="114"/>
      <c r="CA24" s="15">
        <v>17</v>
      </c>
      <c r="CB24" s="99">
        <v>884</v>
      </c>
      <c r="CC24" s="460">
        <v>44146</v>
      </c>
      <c r="CD24" s="99">
        <v>884</v>
      </c>
      <c r="CE24" s="463" t="s">
        <v>362</v>
      </c>
      <c r="CF24" s="462">
        <v>45</v>
      </c>
      <c r="CG24" s="870">
        <f t="shared" si="10"/>
        <v>39780</v>
      </c>
      <c r="CJ24" s="114"/>
      <c r="CK24" s="15">
        <v>17</v>
      </c>
      <c r="CL24" s="330">
        <v>928.04</v>
      </c>
      <c r="CM24" s="460">
        <v>44147</v>
      </c>
      <c r="CN24" s="99">
        <v>928.04</v>
      </c>
      <c r="CO24" s="463" t="s">
        <v>364</v>
      </c>
      <c r="CP24" s="462">
        <v>45</v>
      </c>
      <c r="CQ24" s="925">
        <f t="shared" si="11"/>
        <v>41761.799999999996</v>
      </c>
      <c r="CT24" s="114"/>
      <c r="CU24" s="15">
        <v>17</v>
      </c>
      <c r="CV24" s="99">
        <v>897.7</v>
      </c>
      <c r="CW24" s="392">
        <v>44148</v>
      </c>
      <c r="CX24" s="99">
        <v>897.7</v>
      </c>
      <c r="CY24" s="102" t="s">
        <v>372</v>
      </c>
      <c r="CZ24" s="76">
        <v>45</v>
      </c>
      <c r="DA24" s="870">
        <f t="shared" si="12"/>
        <v>40396.5</v>
      </c>
      <c r="DD24" s="114"/>
      <c r="DE24" s="15">
        <v>17</v>
      </c>
      <c r="DF24" s="99">
        <v>904</v>
      </c>
      <c r="DG24" s="460">
        <v>44148</v>
      </c>
      <c r="DH24" s="99">
        <v>904</v>
      </c>
      <c r="DI24" s="463" t="s">
        <v>374</v>
      </c>
      <c r="DJ24" s="462">
        <v>45</v>
      </c>
      <c r="DK24" s="925">
        <f t="shared" si="13"/>
        <v>40680</v>
      </c>
      <c r="DN24" s="114"/>
      <c r="DO24" s="15">
        <v>17</v>
      </c>
      <c r="DP24" s="99">
        <v>903.1</v>
      </c>
      <c r="DQ24" s="460">
        <v>44148</v>
      </c>
      <c r="DR24" s="99">
        <v>903.1</v>
      </c>
      <c r="DS24" s="463" t="s">
        <v>377</v>
      </c>
      <c r="DT24" s="462">
        <v>45</v>
      </c>
      <c r="DU24" s="870">
        <f t="shared" si="14"/>
        <v>40639.5</v>
      </c>
      <c r="DX24" s="114"/>
      <c r="DY24" s="15">
        <v>17</v>
      </c>
      <c r="DZ24" s="74">
        <v>865.31</v>
      </c>
      <c r="EA24" s="412">
        <v>44150</v>
      </c>
      <c r="EB24" s="74">
        <v>865.31</v>
      </c>
      <c r="EC24" s="75" t="s">
        <v>387</v>
      </c>
      <c r="ED24" s="76">
        <v>44</v>
      </c>
      <c r="EE24" s="870">
        <f t="shared" si="15"/>
        <v>38073.64</v>
      </c>
      <c r="EH24" s="114"/>
      <c r="EI24" s="15">
        <v>17</v>
      </c>
      <c r="EJ24" s="74">
        <v>854.1</v>
      </c>
      <c r="EK24" s="412">
        <v>44154</v>
      </c>
      <c r="EL24" s="74">
        <v>854.1</v>
      </c>
      <c r="EM24" s="315" t="s">
        <v>401</v>
      </c>
      <c r="EN24" s="76">
        <v>42</v>
      </c>
      <c r="EO24" s="870">
        <f t="shared" si="16"/>
        <v>35872.200000000004</v>
      </c>
      <c r="ER24" s="114"/>
      <c r="ES24" s="15">
        <v>17</v>
      </c>
      <c r="ET24" s="330">
        <v>891.3</v>
      </c>
      <c r="EU24" s="398">
        <v>44154</v>
      </c>
      <c r="EV24" s="330">
        <v>891.3</v>
      </c>
      <c r="EW24" s="315" t="s">
        <v>399</v>
      </c>
      <c r="EX24" s="316">
        <v>42</v>
      </c>
      <c r="EY24" s="388">
        <f t="shared" si="17"/>
        <v>37434.6</v>
      </c>
      <c r="FB24" s="114"/>
      <c r="FC24" s="15">
        <v>17</v>
      </c>
      <c r="FD24" s="99">
        <v>899.5</v>
      </c>
      <c r="FE24" s="392">
        <v>44154</v>
      </c>
      <c r="FF24" s="99">
        <v>899.5</v>
      </c>
      <c r="FG24" s="75" t="s">
        <v>405</v>
      </c>
      <c r="FH24" s="76">
        <v>42</v>
      </c>
      <c r="FI24" s="870">
        <f t="shared" si="18"/>
        <v>37779</v>
      </c>
      <c r="FL24" s="114"/>
      <c r="FM24" s="15">
        <v>17</v>
      </c>
      <c r="FN24" s="99">
        <v>911.3</v>
      </c>
      <c r="FO24" s="392">
        <v>44156</v>
      </c>
      <c r="FP24" s="99">
        <v>911.3</v>
      </c>
      <c r="FQ24" s="75" t="s">
        <v>415</v>
      </c>
      <c r="FR24" s="76">
        <v>42</v>
      </c>
      <c r="FS24" s="870">
        <f t="shared" si="19"/>
        <v>38274.6</v>
      </c>
      <c r="FV24" s="114"/>
      <c r="FW24" s="15">
        <v>17</v>
      </c>
      <c r="FX24" s="74">
        <v>896.7</v>
      </c>
      <c r="FY24" s="657">
        <v>44156</v>
      </c>
      <c r="FZ24" s="74">
        <v>896.7</v>
      </c>
      <c r="GA24" s="315" t="s">
        <v>412</v>
      </c>
      <c r="GB24" s="316">
        <v>42</v>
      </c>
      <c r="GC24" s="388">
        <f t="shared" si="20"/>
        <v>37661.4</v>
      </c>
      <c r="GF24" s="114"/>
      <c r="GG24" s="15">
        <v>17</v>
      </c>
      <c r="GH24" s="632">
        <v>894.9</v>
      </c>
      <c r="GI24" s="392">
        <v>44159</v>
      </c>
      <c r="GJ24" s="632">
        <v>894.9</v>
      </c>
      <c r="GK24" s="102" t="s">
        <v>419</v>
      </c>
      <c r="GL24" s="76">
        <v>38</v>
      </c>
      <c r="GM24" s="870">
        <f t="shared" si="21"/>
        <v>34006.199999999997</v>
      </c>
      <c r="GP24" s="114"/>
      <c r="GQ24" s="15">
        <v>17</v>
      </c>
      <c r="GR24" s="99">
        <v>831.75</v>
      </c>
      <c r="GS24" s="392">
        <v>44159</v>
      </c>
      <c r="GT24" s="99">
        <v>831.75</v>
      </c>
      <c r="GU24" s="102" t="s">
        <v>421</v>
      </c>
      <c r="GV24" s="76">
        <v>38</v>
      </c>
      <c r="GW24" s="870">
        <f t="shared" si="22"/>
        <v>31606.5</v>
      </c>
      <c r="GZ24" s="114"/>
      <c r="HA24" s="15">
        <v>17</v>
      </c>
      <c r="HB24" s="99">
        <v>939.84</v>
      </c>
      <c r="HC24" s="392">
        <v>44160</v>
      </c>
      <c r="HD24" s="99">
        <v>939.84</v>
      </c>
      <c r="HE24" s="102" t="s">
        <v>429</v>
      </c>
      <c r="HF24" s="76">
        <v>38</v>
      </c>
      <c r="HG24" s="870">
        <f t="shared" si="23"/>
        <v>35713.919999999998</v>
      </c>
      <c r="HJ24" s="114"/>
      <c r="HK24" s="15">
        <v>17</v>
      </c>
      <c r="HL24" s="330">
        <v>913.1</v>
      </c>
      <c r="HM24" s="398">
        <v>44161</v>
      </c>
      <c r="HN24" s="330">
        <v>913.1</v>
      </c>
      <c r="HO24" s="465" t="s">
        <v>434</v>
      </c>
      <c r="HP24" s="316">
        <v>38</v>
      </c>
      <c r="HQ24" s="388">
        <f t="shared" si="24"/>
        <v>34697.800000000003</v>
      </c>
      <c r="HT24" s="114"/>
      <c r="HU24" s="15">
        <v>17</v>
      </c>
      <c r="HV24" s="74">
        <v>904</v>
      </c>
      <c r="HW24" s="412">
        <v>44162</v>
      </c>
      <c r="HX24" s="74">
        <v>904</v>
      </c>
      <c r="HY24" s="75" t="s">
        <v>435</v>
      </c>
      <c r="HZ24" s="76">
        <v>38</v>
      </c>
      <c r="IA24" s="870">
        <f t="shared" si="25"/>
        <v>34352</v>
      </c>
      <c r="ID24" s="114"/>
      <c r="IE24" s="15">
        <v>17</v>
      </c>
      <c r="IF24" s="330">
        <v>920.3</v>
      </c>
      <c r="IG24" s="359">
        <v>44162</v>
      </c>
      <c r="IH24" s="330">
        <v>920.3</v>
      </c>
      <c r="II24" s="675" t="s">
        <v>438</v>
      </c>
      <c r="IJ24" s="316">
        <v>38</v>
      </c>
      <c r="IK24" s="388">
        <f t="shared" si="26"/>
        <v>34971.4</v>
      </c>
      <c r="IM24" s="74"/>
      <c r="IN24" s="114"/>
      <c r="IO24" s="15">
        <v>17</v>
      </c>
      <c r="IP24" s="99">
        <v>893.1</v>
      </c>
      <c r="IQ24" s="412">
        <v>44166</v>
      </c>
      <c r="IR24" s="99">
        <v>893.1</v>
      </c>
      <c r="IS24" s="75" t="s">
        <v>453</v>
      </c>
      <c r="IT24" s="76">
        <v>38</v>
      </c>
      <c r="IU24" s="935">
        <f t="shared" si="27"/>
        <v>33937.800000000003</v>
      </c>
      <c r="IX24" s="114"/>
      <c r="IY24" s="15">
        <v>17</v>
      </c>
      <c r="IZ24" s="99">
        <v>848.07</v>
      </c>
      <c r="JA24" s="392">
        <v>44167</v>
      </c>
      <c r="JB24" s="99">
        <v>848.07</v>
      </c>
      <c r="JC24" s="75" t="s">
        <v>479</v>
      </c>
      <c r="JD24" s="76">
        <v>38</v>
      </c>
      <c r="JE24" s="870">
        <f t="shared" si="28"/>
        <v>32226.660000000003</v>
      </c>
      <c r="JH24" s="114"/>
      <c r="JI24" s="15">
        <v>17</v>
      </c>
      <c r="JJ24" s="74">
        <v>942.4</v>
      </c>
      <c r="JK24" s="412">
        <v>44167</v>
      </c>
      <c r="JL24" s="74">
        <v>942.4</v>
      </c>
      <c r="JM24" s="75" t="s">
        <v>477</v>
      </c>
      <c r="JN24" s="76">
        <v>38</v>
      </c>
      <c r="JO24" s="870">
        <f t="shared" si="29"/>
        <v>35811.199999999997</v>
      </c>
      <c r="JR24" s="114"/>
      <c r="JS24" s="15">
        <v>17</v>
      </c>
      <c r="JT24" s="99">
        <v>904</v>
      </c>
      <c r="JU24" s="392">
        <v>44168</v>
      </c>
      <c r="JV24" s="99">
        <v>904</v>
      </c>
      <c r="JW24" s="102" t="s">
        <v>481</v>
      </c>
      <c r="JX24" s="76">
        <v>39</v>
      </c>
      <c r="JY24" s="870">
        <f t="shared" si="30"/>
        <v>35256</v>
      </c>
      <c r="KB24" s="114"/>
      <c r="KC24" s="15">
        <v>17</v>
      </c>
      <c r="KD24" s="99">
        <v>930.3</v>
      </c>
      <c r="KE24" s="392">
        <v>44168</v>
      </c>
      <c r="KF24" s="99">
        <v>930.3</v>
      </c>
      <c r="KG24" s="102" t="s">
        <v>484</v>
      </c>
      <c r="KH24" s="76">
        <v>39</v>
      </c>
      <c r="KI24" s="870">
        <f t="shared" si="31"/>
        <v>36281.699999999997</v>
      </c>
      <c r="KL24" s="114"/>
      <c r="KM24" s="15">
        <v>17</v>
      </c>
      <c r="KN24" s="99">
        <v>921.69</v>
      </c>
      <c r="KO24" s="392">
        <v>44169</v>
      </c>
      <c r="KP24" s="99">
        <v>921.69</v>
      </c>
      <c r="KQ24" s="102" t="s">
        <v>496</v>
      </c>
      <c r="KR24" s="76">
        <v>39</v>
      </c>
      <c r="KS24" s="870">
        <f t="shared" si="32"/>
        <v>35945.910000000003</v>
      </c>
      <c r="KV24" s="114"/>
      <c r="KW24" s="15">
        <v>17</v>
      </c>
      <c r="KX24" s="99">
        <v>845.9</v>
      </c>
      <c r="KY24" s="392">
        <v>44169</v>
      </c>
      <c r="KZ24" s="99">
        <v>845.9</v>
      </c>
      <c r="LA24" s="102" t="s">
        <v>488</v>
      </c>
      <c r="LB24" s="76">
        <v>39</v>
      </c>
      <c r="LC24" s="870">
        <f t="shared" si="33"/>
        <v>32990.1</v>
      </c>
      <c r="LF24" s="114"/>
      <c r="LG24" s="15">
        <v>17</v>
      </c>
      <c r="LH24" s="99">
        <v>882.2</v>
      </c>
      <c r="LI24" s="392">
        <v>44169</v>
      </c>
      <c r="LJ24" s="99">
        <v>882.2</v>
      </c>
      <c r="LK24" s="102" t="s">
        <v>493</v>
      </c>
      <c r="LL24" s="76">
        <v>39</v>
      </c>
      <c r="LM24" s="870">
        <f t="shared" si="34"/>
        <v>34405.800000000003</v>
      </c>
      <c r="LP24" s="114"/>
      <c r="LQ24" s="15">
        <v>17</v>
      </c>
      <c r="LR24" s="472"/>
      <c r="LS24" s="392"/>
      <c r="LT24" s="472"/>
      <c r="LU24" s="102"/>
      <c r="LV24" s="76"/>
      <c r="LY24" s="114"/>
      <c r="LZ24" s="15">
        <v>17</v>
      </c>
      <c r="MA24" s="472"/>
      <c r="MB24" s="392"/>
      <c r="MC24" s="472"/>
      <c r="MD24" s="102"/>
      <c r="ME24" s="76"/>
      <c r="MH24" s="114"/>
      <c r="MI24" s="15">
        <v>17</v>
      </c>
      <c r="MJ24" s="99"/>
      <c r="MK24" s="392"/>
      <c r="ML24" s="99"/>
      <c r="MM24" s="102"/>
      <c r="MN24" s="76"/>
      <c r="MQ24" s="114"/>
      <c r="MR24" s="15">
        <v>17</v>
      </c>
      <c r="MS24" s="472"/>
      <c r="MT24" s="392"/>
      <c r="MU24" s="385"/>
      <c r="MV24" s="384"/>
      <c r="MW24" s="76"/>
      <c r="MZ24" s="114"/>
      <c r="NA24" s="15">
        <v>17</v>
      </c>
      <c r="NB24" s="99"/>
      <c r="NC24" s="392"/>
      <c r="ND24" s="99"/>
      <c r="NE24" s="102"/>
      <c r="NF24" s="76"/>
      <c r="NI24" s="114"/>
      <c r="NJ24" s="15">
        <v>17</v>
      </c>
      <c r="NK24" s="99"/>
      <c r="NL24" s="392"/>
      <c r="NM24" s="99"/>
      <c r="NN24" s="102"/>
      <c r="NO24" s="76"/>
      <c r="NR24" s="114"/>
      <c r="NS24" s="15">
        <v>17</v>
      </c>
      <c r="NT24" s="99"/>
      <c r="NU24" s="392"/>
      <c r="NV24" s="99"/>
      <c r="NW24" s="102"/>
      <c r="NX24" s="76"/>
      <c r="OA24" s="114"/>
      <c r="OB24" s="15">
        <v>17</v>
      </c>
      <c r="OC24" s="99"/>
      <c r="OD24" s="392"/>
      <c r="OE24" s="99"/>
      <c r="OF24" s="102"/>
      <c r="OG24" s="76"/>
      <c r="OJ24" s="114"/>
      <c r="OK24" s="15">
        <v>17</v>
      </c>
      <c r="OL24" s="330"/>
      <c r="OM24" s="398"/>
      <c r="ON24" s="330"/>
      <c r="OO24" s="384"/>
      <c r="OP24" s="316"/>
      <c r="OS24" s="101"/>
      <c r="OT24" s="15">
        <v>17</v>
      </c>
      <c r="OU24" s="99"/>
      <c r="OV24" s="392"/>
      <c r="OW24" s="99"/>
      <c r="OX24" s="102"/>
      <c r="OY24" s="76"/>
      <c r="PB24" s="114"/>
      <c r="PC24" s="15">
        <v>17</v>
      </c>
      <c r="PD24" s="99"/>
      <c r="PE24" s="392"/>
      <c r="PF24" s="99"/>
      <c r="PG24" s="102"/>
      <c r="PH24" s="76"/>
      <c r="PK24" s="114"/>
      <c r="PL24" s="15">
        <v>17</v>
      </c>
      <c r="PM24" s="99"/>
      <c r="PN24" s="148"/>
      <c r="PO24" s="99"/>
      <c r="PP24" s="102"/>
      <c r="PQ24" s="76"/>
      <c r="PT24" s="114"/>
      <c r="PU24" s="15">
        <v>17</v>
      </c>
      <c r="PV24" s="99"/>
      <c r="PW24" s="392"/>
      <c r="PX24" s="99"/>
      <c r="PY24" s="102"/>
      <c r="PZ24" s="76"/>
      <c r="QC24" s="114"/>
      <c r="QD24" s="15">
        <v>17</v>
      </c>
      <c r="QE24" s="99"/>
      <c r="QF24" s="392"/>
      <c r="QG24" s="99"/>
      <c r="QH24" s="102"/>
      <c r="QI24" s="76"/>
      <c r="QL24" s="114"/>
      <c r="QM24" s="15">
        <v>17</v>
      </c>
      <c r="QN24" s="99"/>
      <c r="QO24" s="392"/>
      <c r="QP24" s="99"/>
      <c r="QQ24" s="102"/>
      <c r="QR24" s="76"/>
      <c r="QU24" s="114"/>
      <c r="QV24" s="15">
        <v>17</v>
      </c>
      <c r="QW24" s="99"/>
      <c r="QX24" s="392"/>
      <c r="QY24" s="99"/>
      <c r="QZ24" s="102"/>
      <c r="RA24" s="459"/>
      <c r="RD24" s="114"/>
      <c r="RE24" s="15">
        <v>17</v>
      </c>
      <c r="RF24" s="99"/>
      <c r="RG24" s="148"/>
      <c r="RH24" s="99"/>
      <c r="RI24" s="102"/>
      <c r="RJ24" s="76"/>
      <c r="RM24" s="114"/>
      <c r="RN24" s="15">
        <v>17</v>
      </c>
      <c r="RO24" s="99"/>
      <c r="RP24" s="86"/>
      <c r="RQ24" s="99"/>
      <c r="RR24" s="102"/>
      <c r="RS24" s="76"/>
      <c r="RV24" s="114"/>
      <c r="RW24" s="15">
        <v>17</v>
      </c>
      <c r="RX24" s="99"/>
      <c r="RY24" s="86"/>
      <c r="RZ24" s="99"/>
      <c r="SA24" s="102"/>
      <c r="SB24" s="76"/>
      <c r="SE24" s="114"/>
      <c r="SF24" s="15"/>
      <c r="SG24" s="99"/>
      <c r="SH24" s="86"/>
      <c r="SI24" s="99"/>
      <c r="SJ24" s="102"/>
      <c r="SK24" s="76"/>
      <c r="SN24" s="114"/>
      <c r="SO24" s="15">
        <v>17</v>
      </c>
      <c r="SP24" s="99"/>
      <c r="SQ24" s="471"/>
      <c r="SR24" s="206"/>
      <c r="SS24" s="463"/>
      <c r="ST24" s="462"/>
      <c r="SW24" s="114"/>
      <c r="SX24" s="15"/>
      <c r="SY24" s="99"/>
      <c r="SZ24" s="86"/>
      <c r="TA24" s="99"/>
      <c r="TB24" s="102"/>
      <c r="TC24" s="76"/>
      <c r="TF24" s="114"/>
      <c r="TG24" s="15">
        <v>17</v>
      </c>
      <c r="TH24" s="99"/>
      <c r="TI24" s="86"/>
      <c r="TJ24" s="99"/>
      <c r="TK24" s="102"/>
      <c r="TL24" s="76"/>
      <c r="TO24" s="114"/>
      <c r="TP24" s="15"/>
      <c r="TQ24" s="99"/>
      <c r="TR24" s="86"/>
      <c r="TS24" s="99"/>
      <c r="TT24" s="102"/>
      <c r="TU24" s="76"/>
      <c r="TX24" s="114"/>
      <c r="TY24" s="15">
        <v>17</v>
      </c>
      <c r="TZ24" s="99"/>
      <c r="UA24" s="86"/>
      <c r="UB24" s="99"/>
      <c r="UC24" s="102"/>
      <c r="UD24" s="76"/>
      <c r="UG24" s="114"/>
      <c r="UH24" s="15">
        <v>17</v>
      </c>
      <c r="UI24" s="99"/>
      <c r="UJ24" s="86"/>
      <c r="UK24" s="99"/>
      <c r="UL24" s="102"/>
      <c r="UM24" s="76"/>
      <c r="UP24" s="114"/>
      <c r="UQ24" s="15">
        <v>17</v>
      </c>
      <c r="UR24" s="99"/>
      <c r="US24" s="86"/>
      <c r="UT24" s="99"/>
      <c r="UU24" s="102"/>
      <c r="UV24" s="76"/>
      <c r="UY24" s="114"/>
      <c r="UZ24" s="15">
        <v>17</v>
      </c>
      <c r="VA24" s="99"/>
      <c r="VB24" s="86"/>
      <c r="VC24" s="99"/>
      <c r="VD24" s="102"/>
      <c r="VE24" s="76"/>
      <c r="VH24" s="114"/>
      <c r="VI24" s="15">
        <v>17</v>
      </c>
      <c r="VJ24" s="99"/>
      <c r="VK24" s="86"/>
      <c r="VL24" s="99"/>
      <c r="VM24" s="102"/>
      <c r="VN24" s="76"/>
      <c r="VQ24" s="114"/>
      <c r="VR24" s="15">
        <v>17</v>
      </c>
      <c r="VS24" s="99"/>
      <c r="VT24" s="86"/>
      <c r="VU24" s="99"/>
      <c r="VV24" s="102"/>
      <c r="VW24" s="76"/>
      <c r="VZ24" s="114"/>
      <c r="WA24" s="15">
        <v>17</v>
      </c>
      <c r="WB24" s="99"/>
      <c r="WC24" s="86"/>
      <c r="WD24" s="99"/>
      <c r="WE24" s="102"/>
      <c r="WF24" s="76"/>
      <c r="WI24" s="114"/>
      <c r="WJ24" s="15">
        <v>17</v>
      </c>
      <c r="WK24" s="99"/>
      <c r="WL24" s="86"/>
      <c r="WM24" s="99"/>
      <c r="WN24" s="102"/>
      <c r="WO24" s="76"/>
      <c r="WR24" s="114"/>
      <c r="WS24" s="15">
        <v>17</v>
      </c>
      <c r="WT24" s="99"/>
      <c r="WU24" s="86"/>
      <c r="WV24" s="99"/>
      <c r="WW24" s="102"/>
      <c r="WX24" s="76"/>
      <c r="XA24" s="114"/>
      <c r="XB24" s="15">
        <v>17</v>
      </c>
      <c r="XC24" s="99"/>
      <c r="XD24" s="86"/>
      <c r="XE24" s="99"/>
      <c r="XF24" s="102"/>
      <c r="XG24" s="76"/>
      <c r="XJ24" s="114"/>
      <c r="XK24" s="15">
        <v>17</v>
      </c>
      <c r="XL24" s="99"/>
      <c r="XM24" s="86"/>
      <c r="XN24" s="99"/>
      <c r="XO24" s="102"/>
      <c r="XP24" s="76"/>
      <c r="XS24" s="114"/>
      <c r="XT24" s="15">
        <v>17</v>
      </c>
      <c r="XU24" s="99"/>
      <c r="XV24" s="86"/>
      <c r="XW24" s="99"/>
      <c r="XX24" s="102"/>
      <c r="XY24" s="76"/>
      <c r="YB24" s="114"/>
      <c r="YC24" s="15">
        <v>17</v>
      </c>
      <c r="YD24" s="99"/>
      <c r="YE24" s="86"/>
      <c r="YF24" s="99"/>
      <c r="YG24" s="102"/>
      <c r="YH24" s="76"/>
      <c r="YK24" s="114"/>
      <c r="YL24" s="15">
        <v>17</v>
      </c>
      <c r="YM24" s="99"/>
      <c r="YN24" s="86"/>
      <c r="YO24" s="99"/>
      <c r="YP24" s="102"/>
      <c r="YQ24" s="76"/>
      <c r="YT24" s="114"/>
      <c r="YU24" s="15">
        <v>17</v>
      </c>
      <c r="YV24" s="99"/>
      <c r="YW24" s="86"/>
      <c r="YX24" s="99"/>
      <c r="YY24" s="102"/>
      <c r="YZ24" s="76"/>
      <c r="ZC24" s="114"/>
      <c r="ZD24" s="15">
        <v>17</v>
      </c>
      <c r="ZE24" s="99"/>
      <c r="ZF24" s="86"/>
      <c r="ZG24" s="99"/>
      <c r="ZH24" s="102"/>
      <c r="ZI24" s="76"/>
      <c r="ZL24" s="114"/>
      <c r="ZM24" s="15">
        <v>17</v>
      </c>
      <c r="ZN24" s="99"/>
      <c r="ZO24" s="86"/>
      <c r="ZP24" s="99"/>
      <c r="ZQ24" s="102"/>
      <c r="ZR24" s="76"/>
      <c r="ZU24" s="114"/>
      <c r="ZV24" s="15">
        <v>17</v>
      </c>
      <c r="ZW24" s="99"/>
      <c r="ZX24" s="86"/>
      <c r="ZY24" s="99"/>
      <c r="ZZ24" s="102"/>
      <c r="AAA24" s="76"/>
      <c r="AAD24" s="114"/>
      <c r="AAE24" s="15">
        <v>17</v>
      </c>
      <c r="AAF24" s="99"/>
      <c r="AAG24" s="86"/>
      <c r="AAH24" s="99"/>
      <c r="AAI24" s="102"/>
      <c r="AAJ24" s="76"/>
      <c r="AAM24" s="114"/>
      <c r="AAN24" s="15">
        <v>17</v>
      </c>
      <c r="AAO24" s="99"/>
      <c r="AAP24" s="86"/>
      <c r="AAQ24" s="99"/>
      <c r="AAR24" s="102"/>
      <c r="AAS24" s="76"/>
      <c r="AAV24" s="114"/>
      <c r="AAW24" s="15">
        <v>17</v>
      </c>
      <c r="AAX24" s="99"/>
      <c r="AAY24" s="86"/>
      <c r="AAZ24" s="99"/>
      <c r="ABA24" s="102"/>
      <c r="ABB24" s="76"/>
      <c r="ABE24" s="114"/>
      <c r="ABF24" s="15">
        <v>17</v>
      </c>
      <c r="ABG24" s="99"/>
      <c r="ABH24" s="86"/>
      <c r="ABI24" s="99"/>
      <c r="ABJ24" s="102"/>
      <c r="ABK24" s="76"/>
      <c r="ABN24" s="114"/>
      <c r="ABO24" s="15">
        <v>17</v>
      </c>
      <c r="ABP24" s="99"/>
      <c r="ABQ24" s="86"/>
      <c r="ABR24" s="99"/>
      <c r="ABS24" s="102"/>
      <c r="ABT24" s="76"/>
      <c r="ABW24" s="114"/>
      <c r="ABX24" s="15">
        <v>17</v>
      </c>
      <c r="ABY24" s="99"/>
      <c r="ABZ24" s="86"/>
      <c r="ACA24" s="99"/>
      <c r="ACB24" s="102"/>
      <c r="ACC24" s="76"/>
      <c r="ACF24" s="114"/>
      <c r="ACG24" s="15">
        <v>17</v>
      </c>
      <c r="ACH24" s="99"/>
      <c r="ACI24" s="86"/>
      <c r="ACJ24" s="99"/>
      <c r="ACK24" s="102"/>
      <c r="ACL24" s="76"/>
      <c r="ACO24" s="114"/>
      <c r="ACP24" s="15">
        <v>17</v>
      </c>
      <c r="ACQ24" s="99"/>
      <c r="ACR24" s="86"/>
      <c r="ACS24" s="99"/>
      <c r="ACT24" s="102"/>
      <c r="ACU24" s="76"/>
      <c r="ACX24" s="114"/>
      <c r="ACY24" s="15">
        <v>17</v>
      </c>
      <c r="ACZ24" s="99"/>
      <c r="ADA24" s="86"/>
      <c r="ADB24" s="99"/>
      <c r="ADC24" s="102"/>
      <c r="ADD24" s="76"/>
      <c r="ADG24" s="114"/>
      <c r="ADH24" s="15">
        <v>17</v>
      </c>
      <c r="ADI24" s="99"/>
      <c r="ADJ24" s="86"/>
      <c r="ADK24" s="99"/>
      <c r="ADL24" s="102"/>
      <c r="ADM24" s="76"/>
      <c r="ADP24" s="114"/>
      <c r="ADQ24" s="15">
        <v>17</v>
      </c>
      <c r="ADR24" s="99"/>
      <c r="ADS24" s="86"/>
      <c r="ADT24" s="99"/>
      <c r="ADU24" s="102"/>
      <c r="ADV24" s="76"/>
      <c r="ADY24" s="114"/>
      <c r="ADZ24" s="15">
        <v>17</v>
      </c>
      <c r="AEA24" s="99"/>
      <c r="AEB24" s="86"/>
      <c r="AEC24" s="99"/>
      <c r="AED24" s="102"/>
      <c r="AEE24" s="76"/>
    </row>
    <row r="25" spans="1:811" x14ac:dyDescent="0.3">
      <c r="A25" s="150">
        <v>22</v>
      </c>
      <c r="B25" s="82" t="str">
        <f t="shared" ref="B25:I25" si="50">HI5</f>
        <v>SEABOARD FOODS</v>
      </c>
      <c r="C25" s="76" t="str">
        <f t="shared" si="50"/>
        <v>Seaboard</v>
      </c>
      <c r="D25" s="110" t="str">
        <f t="shared" si="50"/>
        <v>PED. 58101963</v>
      </c>
      <c r="E25" s="148">
        <f t="shared" si="50"/>
        <v>44161</v>
      </c>
      <c r="F25" s="93">
        <f t="shared" si="50"/>
        <v>18593.84</v>
      </c>
      <c r="G25" s="79">
        <f t="shared" si="50"/>
        <v>21</v>
      </c>
      <c r="H25" s="49">
        <f t="shared" si="50"/>
        <v>18619.400000000001</v>
      </c>
      <c r="I25" s="113">
        <f t="shared" si="50"/>
        <v>-25.56000000000131</v>
      </c>
      <c r="L25" s="101"/>
      <c r="M25" s="15">
        <v>18</v>
      </c>
      <c r="N25" s="330">
        <v>869.84</v>
      </c>
      <c r="O25" s="398">
        <v>44139</v>
      </c>
      <c r="P25" s="330">
        <v>869.84</v>
      </c>
      <c r="Q25" s="384" t="s">
        <v>323</v>
      </c>
      <c r="R25" s="316">
        <v>44</v>
      </c>
      <c r="S25" s="316">
        <f t="shared" si="6"/>
        <v>38272.959999999999</v>
      </c>
      <c r="T25" s="288"/>
      <c r="V25" s="269"/>
      <c r="W25" s="15">
        <v>18</v>
      </c>
      <c r="X25" s="330">
        <v>816</v>
      </c>
      <c r="Y25" s="398">
        <v>44140</v>
      </c>
      <c r="Z25" s="330">
        <v>816</v>
      </c>
      <c r="AA25" s="465" t="s">
        <v>334</v>
      </c>
      <c r="AB25" s="316">
        <v>45</v>
      </c>
      <c r="AC25" s="388">
        <f t="shared" si="7"/>
        <v>36720</v>
      </c>
      <c r="AF25" s="101"/>
      <c r="AG25" s="15">
        <v>18</v>
      </c>
      <c r="AH25" s="99">
        <v>901.3</v>
      </c>
      <c r="AI25" s="392">
        <v>44140</v>
      </c>
      <c r="AJ25" s="99">
        <v>901.3</v>
      </c>
      <c r="AK25" s="102" t="s">
        <v>330</v>
      </c>
      <c r="AL25" s="76">
        <v>45</v>
      </c>
      <c r="AM25" s="894">
        <f t="shared" si="8"/>
        <v>40558.5</v>
      </c>
      <c r="AP25" s="101"/>
      <c r="AQ25" s="15">
        <v>18</v>
      </c>
      <c r="AR25" s="385">
        <v>927</v>
      </c>
      <c r="AS25" s="398">
        <v>44141</v>
      </c>
      <c r="AT25" s="385">
        <v>927</v>
      </c>
      <c r="AU25" s="384" t="s">
        <v>339</v>
      </c>
      <c r="AV25" s="316">
        <v>45</v>
      </c>
      <c r="AY25" s="101"/>
      <c r="AZ25" s="15">
        <v>18</v>
      </c>
      <c r="BA25" s="99">
        <v>906.7</v>
      </c>
      <c r="BB25" s="148">
        <v>44141</v>
      </c>
      <c r="BC25" s="99">
        <v>906.7</v>
      </c>
      <c r="BD25" s="102" t="s">
        <v>344</v>
      </c>
      <c r="BE25" s="459">
        <v>45</v>
      </c>
      <c r="BH25" s="101"/>
      <c r="BI25" s="15">
        <v>18</v>
      </c>
      <c r="BJ25" s="99">
        <v>891.3</v>
      </c>
      <c r="BK25" s="148">
        <v>44141</v>
      </c>
      <c r="BL25" s="99">
        <v>891.3</v>
      </c>
      <c r="BM25" s="102" t="s">
        <v>348</v>
      </c>
      <c r="BN25" s="459">
        <v>45</v>
      </c>
      <c r="BQ25" s="114"/>
      <c r="BR25" s="15">
        <v>18</v>
      </c>
      <c r="BS25" s="99">
        <v>868.48</v>
      </c>
      <c r="BT25" s="460">
        <v>44145</v>
      </c>
      <c r="BU25" s="99">
        <v>868.48</v>
      </c>
      <c r="BV25" s="463" t="s">
        <v>357</v>
      </c>
      <c r="BW25" s="462">
        <v>45</v>
      </c>
      <c r="BX25" s="870">
        <f t="shared" si="9"/>
        <v>39081.599999999999</v>
      </c>
      <c r="BZ25" s="101"/>
      <c r="CA25" s="15">
        <v>18</v>
      </c>
      <c r="CB25" s="99">
        <v>949.4</v>
      </c>
      <c r="CC25" s="460">
        <v>44146</v>
      </c>
      <c r="CD25" s="99">
        <v>949.4</v>
      </c>
      <c r="CE25" s="463" t="s">
        <v>362</v>
      </c>
      <c r="CF25" s="462">
        <v>45</v>
      </c>
      <c r="CG25" s="870">
        <f t="shared" si="10"/>
        <v>42723</v>
      </c>
      <c r="CJ25" s="101"/>
      <c r="CK25" s="15">
        <v>18</v>
      </c>
      <c r="CL25" s="330">
        <v>952.54</v>
      </c>
      <c r="CM25" s="460">
        <v>44147</v>
      </c>
      <c r="CN25" s="99">
        <v>952.54</v>
      </c>
      <c r="CO25" s="463" t="s">
        <v>364</v>
      </c>
      <c r="CP25" s="462">
        <v>45</v>
      </c>
      <c r="CQ25" s="925">
        <f t="shared" si="11"/>
        <v>42864.299999999996</v>
      </c>
      <c r="CT25" s="101"/>
      <c r="CU25" s="15">
        <v>18</v>
      </c>
      <c r="CV25" s="99">
        <v>924</v>
      </c>
      <c r="CW25" s="392">
        <v>44148</v>
      </c>
      <c r="CX25" s="99">
        <v>924</v>
      </c>
      <c r="CY25" s="102" t="s">
        <v>372</v>
      </c>
      <c r="CZ25" s="76">
        <v>45</v>
      </c>
      <c r="DA25" s="870">
        <f t="shared" si="12"/>
        <v>41580</v>
      </c>
      <c r="DD25" s="101"/>
      <c r="DE25" s="15">
        <v>18</v>
      </c>
      <c r="DF25" s="99">
        <v>894</v>
      </c>
      <c r="DG25" s="460">
        <v>44148</v>
      </c>
      <c r="DH25" s="99">
        <v>894</v>
      </c>
      <c r="DI25" s="463" t="s">
        <v>375</v>
      </c>
      <c r="DJ25" s="462">
        <v>45</v>
      </c>
      <c r="DK25" s="925">
        <f t="shared" si="13"/>
        <v>40230</v>
      </c>
      <c r="DN25" s="101"/>
      <c r="DO25" s="15">
        <v>18</v>
      </c>
      <c r="DP25" s="99">
        <v>909.4</v>
      </c>
      <c r="DQ25" s="460">
        <v>44148</v>
      </c>
      <c r="DR25" s="99">
        <v>909.4</v>
      </c>
      <c r="DS25" s="463" t="s">
        <v>376</v>
      </c>
      <c r="DT25" s="462">
        <v>45</v>
      </c>
      <c r="DU25" s="870">
        <f t="shared" si="14"/>
        <v>40923</v>
      </c>
      <c r="DX25" s="101"/>
      <c r="DY25" s="15">
        <v>18</v>
      </c>
      <c r="DZ25" s="74">
        <v>813.15</v>
      </c>
      <c r="EA25" s="412">
        <v>44150</v>
      </c>
      <c r="EB25" s="74">
        <v>813.15</v>
      </c>
      <c r="EC25" s="75" t="s">
        <v>387</v>
      </c>
      <c r="ED25" s="76">
        <v>44</v>
      </c>
      <c r="EE25" s="870">
        <f t="shared" si="15"/>
        <v>35778.6</v>
      </c>
      <c r="EH25" s="101"/>
      <c r="EI25" s="15">
        <v>18</v>
      </c>
      <c r="EJ25" s="74">
        <v>912.2</v>
      </c>
      <c r="EK25" s="412">
        <v>44154</v>
      </c>
      <c r="EL25" s="74">
        <v>912.2</v>
      </c>
      <c r="EM25" s="315" t="s">
        <v>401</v>
      </c>
      <c r="EN25" s="76">
        <v>42</v>
      </c>
      <c r="EO25" s="870">
        <f t="shared" si="16"/>
        <v>38312.400000000001</v>
      </c>
      <c r="ER25" s="101"/>
      <c r="ES25" s="15">
        <v>18</v>
      </c>
      <c r="ET25" s="330">
        <v>905.8</v>
      </c>
      <c r="EU25" s="398">
        <v>44154</v>
      </c>
      <c r="EV25" s="330">
        <v>905.8</v>
      </c>
      <c r="EW25" s="315" t="s">
        <v>399</v>
      </c>
      <c r="EX25" s="316">
        <v>42</v>
      </c>
      <c r="EY25" s="388">
        <f t="shared" si="17"/>
        <v>38043.599999999999</v>
      </c>
      <c r="FB25" s="101"/>
      <c r="FC25" s="15">
        <v>18</v>
      </c>
      <c r="FD25" s="99">
        <v>862.3</v>
      </c>
      <c r="FE25" s="392">
        <v>44154</v>
      </c>
      <c r="FF25" s="99">
        <v>862.3</v>
      </c>
      <c r="FG25" s="75" t="s">
        <v>405</v>
      </c>
      <c r="FH25" s="76">
        <v>42</v>
      </c>
      <c r="FI25" s="870">
        <f t="shared" si="18"/>
        <v>36216.6</v>
      </c>
      <c r="FL25" s="101"/>
      <c r="FM25" s="15">
        <v>18</v>
      </c>
      <c r="FN25" s="99">
        <v>908.5</v>
      </c>
      <c r="FO25" s="392">
        <v>44156</v>
      </c>
      <c r="FP25" s="99">
        <v>908.5</v>
      </c>
      <c r="FQ25" s="75" t="s">
        <v>415</v>
      </c>
      <c r="FR25" s="76">
        <v>42</v>
      </c>
      <c r="FS25" s="870">
        <f t="shared" si="19"/>
        <v>38157</v>
      </c>
      <c r="FV25" s="101"/>
      <c r="FW25" s="15">
        <v>18</v>
      </c>
      <c r="FX25" s="74">
        <v>860.5</v>
      </c>
      <c r="FY25" s="657">
        <v>44156</v>
      </c>
      <c r="FZ25" s="74">
        <v>860.5</v>
      </c>
      <c r="GA25" s="315" t="s">
        <v>412</v>
      </c>
      <c r="GB25" s="316">
        <v>42</v>
      </c>
      <c r="GC25" s="388">
        <f t="shared" si="20"/>
        <v>36141</v>
      </c>
      <c r="GF25" s="101"/>
      <c r="GG25" s="15">
        <v>18</v>
      </c>
      <c r="GH25" s="632">
        <v>900.4</v>
      </c>
      <c r="GI25" s="392">
        <v>44159</v>
      </c>
      <c r="GJ25" s="632">
        <v>900.4</v>
      </c>
      <c r="GK25" s="102" t="s">
        <v>419</v>
      </c>
      <c r="GL25" s="76">
        <v>38</v>
      </c>
      <c r="GM25" s="870">
        <f t="shared" si="21"/>
        <v>34215.199999999997</v>
      </c>
      <c r="GP25" s="101"/>
      <c r="GQ25" s="15">
        <v>18</v>
      </c>
      <c r="GR25" s="99">
        <v>865.31</v>
      </c>
      <c r="GS25" s="392">
        <v>44159</v>
      </c>
      <c r="GT25" s="99">
        <v>865.31</v>
      </c>
      <c r="GU25" s="102" t="s">
        <v>421</v>
      </c>
      <c r="GV25" s="76">
        <v>38</v>
      </c>
      <c r="GW25" s="870">
        <f t="shared" si="22"/>
        <v>32881.78</v>
      </c>
      <c r="GZ25" s="101"/>
      <c r="HA25" s="15">
        <v>18</v>
      </c>
      <c r="HB25" s="99">
        <v>938.02</v>
      </c>
      <c r="HC25" s="392">
        <v>44160</v>
      </c>
      <c r="HD25" s="99">
        <v>938.02</v>
      </c>
      <c r="HE25" s="102" t="s">
        <v>429</v>
      </c>
      <c r="HF25" s="76">
        <v>38</v>
      </c>
      <c r="HG25" s="870">
        <f t="shared" si="23"/>
        <v>35644.76</v>
      </c>
      <c r="HJ25" s="269"/>
      <c r="HK25" s="15">
        <v>18</v>
      </c>
      <c r="HL25" s="330">
        <v>910.4</v>
      </c>
      <c r="HM25" s="398">
        <v>44161</v>
      </c>
      <c r="HN25" s="330">
        <v>910.4</v>
      </c>
      <c r="HO25" s="465" t="s">
        <v>434</v>
      </c>
      <c r="HP25" s="316">
        <v>38</v>
      </c>
      <c r="HQ25" s="388">
        <f t="shared" si="24"/>
        <v>34595.199999999997</v>
      </c>
      <c r="HT25" s="114"/>
      <c r="HU25" s="15">
        <v>18</v>
      </c>
      <c r="HV25" s="74">
        <v>914</v>
      </c>
      <c r="HW25" s="412">
        <v>44162</v>
      </c>
      <c r="HX25" s="74">
        <v>914</v>
      </c>
      <c r="HY25" s="75" t="s">
        <v>435</v>
      </c>
      <c r="HZ25" s="76">
        <v>38</v>
      </c>
      <c r="IA25" s="870">
        <f t="shared" si="25"/>
        <v>34732</v>
      </c>
      <c r="ID25" s="101"/>
      <c r="IE25" s="15">
        <v>18</v>
      </c>
      <c r="IF25" s="330">
        <v>903.1</v>
      </c>
      <c r="IG25" s="359">
        <v>44162</v>
      </c>
      <c r="IH25" s="330">
        <v>903.1</v>
      </c>
      <c r="II25" s="675" t="s">
        <v>438</v>
      </c>
      <c r="IJ25" s="316">
        <v>38</v>
      </c>
      <c r="IK25" s="388">
        <f t="shared" si="26"/>
        <v>34317.800000000003</v>
      </c>
      <c r="IM25" s="74"/>
      <c r="IN25" s="101"/>
      <c r="IO25" s="15">
        <v>18</v>
      </c>
      <c r="IP25" s="99">
        <v>897.7</v>
      </c>
      <c r="IQ25" s="412">
        <v>44166</v>
      </c>
      <c r="IR25" s="99">
        <v>897.7</v>
      </c>
      <c r="IS25" s="75" t="s">
        <v>453</v>
      </c>
      <c r="IT25" s="76">
        <v>38</v>
      </c>
      <c r="IU25" s="870">
        <f t="shared" si="27"/>
        <v>34112.6</v>
      </c>
      <c r="IX25" s="101"/>
      <c r="IY25" s="15">
        <v>18</v>
      </c>
      <c r="IZ25" s="99">
        <v>926.98</v>
      </c>
      <c r="JA25" s="392">
        <v>44167</v>
      </c>
      <c r="JB25" s="99">
        <v>926.98</v>
      </c>
      <c r="JC25" s="75" t="s">
        <v>479</v>
      </c>
      <c r="JD25" s="76">
        <v>38</v>
      </c>
      <c r="JE25" s="870">
        <f t="shared" si="28"/>
        <v>35225.24</v>
      </c>
      <c r="JH25" s="101"/>
      <c r="JI25" s="15">
        <v>18</v>
      </c>
      <c r="JJ25" s="74">
        <v>849.43</v>
      </c>
      <c r="JK25" s="412">
        <v>44167</v>
      </c>
      <c r="JL25" s="74">
        <v>849.43</v>
      </c>
      <c r="JM25" s="75" t="s">
        <v>477</v>
      </c>
      <c r="JN25" s="76">
        <v>38</v>
      </c>
      <c r="JO25" s="870">
        <f t="shared" si="29"/>
        <v>32278.339999999997</v>
      </c>
      <c r="JR25" s="101"/>
      <c r="JS25" s="15">
        <v>18</v>
      </c>
      <c r="JT25" s="99">
        <v>868.6</v>
      </c>
      <c r="JU25" s="392">
        <v>44168</v>
      </c>
      <c r="JV25" s="99">
        <v>868.6</v>
      </c>
      <c r="JW25" s="102" t="s">
        <v>481</v>
      </c>
      <c r="JX25" s="76">
        <v>39</v>
      </c>
      <c r="JY25" s="870">
        <f t="shared" si="30"/>
        <v>33875.4</v>
      </c>
      <c r="KB25" s="101"/>
      <c r="KC25" s="15">
        <v>18</v>
      </c>
      <c r="KD25" s="99">
        <v>867.7</v>
      </c>
      <c r="KE25" s="392">
        <v>44168</v>
      </c>
      <c r="KF25" s="99">
        <v>867.7</v>
      </c>
      <c r="KG25" s="102" t="s">
        <v>484</v>
      </c>
      <c r="KH25" s="76">
        <v>39</v>
      </c>
      <c r="KI25" s="870">
        <f t="shared" si="31"/>
        <v>33840.300000000003</v>
      </c>
      <c r="KL25" s="101"/>
      <c r="KM25" s="15">
        <v>18</v>
      </c>
      <c r="KN25" s="99">
        <v>928.95</v>
      </c>
      <c r="KO25" s="392">
        <v>44169</v>
      </c>
      <c r="KP25" s="99">
        <v>928.95</v>
      </c>
      <c r="KQ25" s="102" t="s">
        <v>496</v>
      </c>
      <c r="KR25" s="76">
        <v>39</v>
      </c>
      <c r="KS25" s="870">
        <f t="shared" si="32"/>
        <v>36229.050000000003</v>
      </c>
      <c r="KV25" s="101"/>
      <c r="KW25" s="15">
        <v>18</v>
      </c>
      <c r="KX25" s="99">
        <v>909.4</v>
      </c>
      <c r="KY25" s="392">
        <v>44169</v>
      </c>
      <c r="KZ25" s="99">
        <v>909.4</v>
      </c>
      <c r="LA25" s="102" t="s">
        <v>488</v>
      </c>
      <c r="LB25" s="76">
        <v>39</v>
      </c>
      <c r="LC25" s="870">
        <f t="shared" si="33"/>
        <v>35466.6</v>
      </c>
      <c r="LF25" s="101"/>
      <c r="LG25" s="15">
        <v>18</v>
      </c>
      <c r="LH25" s="99">
        <v>890.4</v>
      </c>
      <c r="LI25" s="392">
        <v>44169</v>
      </c>
      <c r="LJ25" s="99">
        <v>890.4</v>
      </c>
      <c r="LK25" s="102" t="s">
        <v>493</v>
      </c>
      <c r="LL25" s="76">
        <v>39</v>
      </c>
      <c r="LM25" s="870">
        <f t="shared" si="34"/>
        <v>34725.599999999999</v>
      </c>
      <c r="LP25" s="101"/>
      <c r="LQ25" s="15">
        <v>18</v>
      </c>
      <c r="LR25" s="472"/>
      <c r="LS25" s="392"/>
      <c r="LT25" s="472"/>
      <c r="LU25" s="102"/>
      <c r="LV25" s="76"/>
      <c r="LY25" s="101"/>
      <c r="LZ25" s="15">
        <v>18</v>
      </c>
      <c r="MA25" s="472"/>
      <c r="MB25" s="392"/>
      <c r="MC25" s="472"/>
      <c r="MD25" s="102"/>
      <c r="ME25" s="76"/>
      <c r="MH25" s="101"/>
      <c r="MI25" s="15">
        <v>18</v>
      </c>
      <c r="MJ25" s="99"/>
      <c r="MK25" s="392"/>
      <c r="ML25" s="99"/>
      <c r="MM25" s="102"/>
      <c r="MN25" s="76"/>
      <c r="MQ25" s="101"/>
      <c r="MR25" s="15">
        <v>18</v>
      </c>
      <c r="MS25" s="472"/>
      <c r="MT25" s="392"/>
      <c r="MU25" s="385"/>
      <c r="MV25" s="384"/>
      <c r="MW25" s="76"/>
      <c r="MZ25" s="101"/>
      <c r="NA25" s="15">
        <v>18</v>
      </c>
      <c r="NB25" s="99"/>
      <c r="NC25" s="392"/>
      <c r="ND25" s="99"/>
      <c r="NE25" s="102"/>
      <c r="NF25" s="76"/>
      <c r="NI25" s="101"/>
      <c r="NJ25" s="15">
        <v>18</v>
      </c>
      <c r="NK25" s="99"/>
      <c r="NL25" s="392"/>
      <c r="NM25" s="99"/>
      <c r="NN25" s="102"/>
      <c r="NO25" s="76"/>
      <c r="NR25" s="101"/>
      <c r="NS25" s="15">
        <v>18</v>
      </c>
      <c r="NT25" s="99"/>
      <c r="NU25" s="392"/>
      <c r="NV25" s="99"/>
      <c r="NW25" s="102"/>
      <c r="NX25" s="76"/>
      <c r="OA25" s="101"/>
      <c r="OB25" s="15">
        <v>18</v>
      </c>
      <c r="OC25" s="99"/>
      <c r="OD25" s="392"/>
      <c r="OE25" s="99"/>
      <c r="OF25" s="102"/>
      <c r="OG25" s="76"/>
      <c r="OJ25" s="101"/>
      <c r="OK25" s="15">
        <v>18</v>
      </c>
      <c r="OL25" s="330"/>
      <c r="OM25" s="398"/>
      <c r="ON25" s="330"/>
      <c r="OO25" s="384"/>
      <c r="OP25" s="316"/>
      <c r="OS25" s="101"/>
      <c r="OT25" s="15">
        <v>18</v>
      </c>
      <c r="OU25" s="99"/>
      <c r="OV25" s="392"/>
      <c r="OW25" s="99"/>
      <c r="OX25" s="102"/>
      <c r="OY25" s="76"/>
      <c r="PB25" s="114"/>
      <c r="PC25" s="15">
        <v>18</v>
      </c>
      <c r="PD25" s="99"/>
      <c r="PE25" s="392"/>
      <c r="PF25" s="99"/>
      <c r="PG25" s="102"/>
      <c r="PH25" s="76"/>
      <c r="PK25" s="114"/>
      <c r="PL25" s="15">
        <v>18</v>
      </c>
      <c r="PM25" s="99"/>
      <c r="PN25" s="148"/>
      <c r="PO25" s="99"/>
      <c r="PP25" s="102"/>
      <c r="PQ25" s="76"/>
      <c r="PT25" s="114"/>
      <c r="PU25" s="15">
        <v>18</v>
      </c>
      <c r="PV25" s="99"/>
      <c r="PW25" s="392"/>
      <c r="PX25" s="99"/>
      <c r="PY25" s="102"/>
      <c r="PZ25" s="76"/>
      <c r="QC25" s="114"/>
      <c r="QD25" s="15">
        <v>18</v>
      </c>
      <c r="QE25" s="99"/>
      <c r="QF25" s="392"/>
      <c r="QG25" s="99"/>
      <c r="QH25" s="102"/>
      <c r="QI25" s="76"/>
      <c r="QL25" s="114"/>
      <c r="QM25" s="15">
        <v>18</v>
      </c>
      <c r="QN25" s="99"/>
      <c r="QO25" s="392"/>
      <c r="QP25" s="99"/>
      <c r="QQ25" s="102"/>
      <c r="QR25" s="76"/>
      <c r="QU25" s="114"/>
      <c r="QV25" s="15">
        <v>18</v>
      </c>
      <c r="QW25" s="99"/>
      <c r="QX25" s="392"/>
      <c r="QY25" s="99"/>
      <c r="QZ25" s="102"/>
      <c r="RA25" s="459"/>
      <c r="RD25" s="114"/>
      <c r="RE25" s="15">
        <v>18</v>
      </c>
      <c r="RF25" s="99"/>
      <c r="RG25" s="148"/>
      <c r="RH25" s="99"/>
      <c r="RI25" s="102"/>
      <c r="RJ25" s="76"/>
      <c r="RM25" s="114"/>
      <c r="RN25" s="15">
        <v>18</v>
      </c>
      <c r="RO25" s="99"/>
      <c r="RP25" s="86"/>
      <c r="RQ25" s="99"/>
      <c r="RR25" s="102"/>
      <c r="RS25" s="76"/>
      <c r="RV25" s="114"/>
      <c r="RW25" s="15">
        <v>18</v>
      </c>
      <c r="RX25" s="99"/>
      <c r="RY25" s="86"/>
      <c r="RZ25" s="99"/>
      <c r="SA25" s="102"/>
      <c r="SB25" s="76"/>
      <c r="SE25" s="114"/>
      <c r="SF25" s="15"/>
      <c r="SG25" s="99"/>
      <c r="SH25" s="86"/>
      <c r="SI25" s="99"/>
      <c r="SJ25" s="102"/>
      <c r="SK25" s="76"/>
      <c r="SN25" s="114"/>
      <c r="SO25" s="15">
        <v>18</v>
      </c>
      <c r="SP25" s="99"/>
      <c r="SQ25" s="471"/>
      <c r="SR25" s="206"/>
      <c r="SS25" s="463"/>
      <c r="ST25" s="462"/>
      <c r="SW25" s="114"/>
      <c r="SX25" s="15"/>
      <c r="SY25" s="99"/>
      <c r="SZ25" s="86"/>
      <c r="TA25" s="99"/>
      <c r="TB25" s="102"/>
      <c r="TC25" s="76"/>
      <c r="TF25" s="114"/>
      <c r="TG25" s="15">
        <v>18</v>
      </c>
      <c r="TH25" s="99"/>
      <c r="TI25" s="86"/>
      <c r="TJ25" s="99"/>
      <c r="TK25" s="102"/>
      <c r="TL25" s="76"/>
      <c r="TO25" s="114"/>
      <c r="TP25" s="15"/>
      <c r="TQ25" s="99"/>
      <c r="TR25" s="86"/>
      <c r="TS25" s="99"/>
      <c r="TT25" s="102"/>
      <c r="TU25" s="76"/>
      <c r="TX25" s="114"/>
      <c r="TY25" s="15">
        <v>18</v>
      </c>
      <c r="TZ25" s="99"/>
      <c r="UA25" s="86"/>
      <c r="UB25" s="99"/>
      <c r="UC25" s="102"/>
      <c r="UD25" s="76"/>
      <c r="UG25" s="114"/>
      <c r="UH25" s="15">
        <v>18</v>
      </c>
      <c r="UI25" s="99"/>
      <c r="UJ25" s="86"/>
      <c r="UK25" s="99"/>
      <c r="UL25" s="102"/>
      <c r="UM25" s="76"/>
      <c r="UP25" s="114"/>
      <c r="UQ25" s="15">
        <v>18</v>
      </c>
      <c r="UR25" s="99"/>
      <c r="US25" s="86"/>
      <c r="UT25" s="99"/>
      <c r="UU25" s="102"/>
      <c r="UV25" s="76"/>
      <c r="UY25" s="114"/>
      <c r="UZ25" s="15">
        <v>18</v>
      </c>
      <c r="VA25" s="99"/>
      <c r="VB25" s="86"/>
      <c r="VC25" s="99"/>
      <c r="VD25" s="102"/>
      <c r="VE25" s="76"/>
      <c r="VH25" s="114"/>
      <c r="VI25" s="15">
        <v>18</v>
      </c>
      <c r="VJ25" s="99"/>
      <c r="VK25" s="86"/>
      <c r="VL25" s="99"/>
      <c r="VM25" s="102"/>
      <c r="VN25" s="76"/>
      <c r="VQ25" s="114"/>
      <c r="VR25" s="15">
        <v>18</v>
      </c>
      <c r="VS25" s="99"/>
      <c r="VT25" s="86"/>
      <c r="VU25" s="99"/>
      <c r="VV25" s="102"/>
      <c r="VW25" s="76"/>
      <c r="VZ25" s="114"/>
      <c r="WA25" s="15">
        <v>18</v>
      </c>
      <c r="WB25" s="99"/>
      <c r="WC25" s="86"/>
      <c r="WD25" s="99"/>
      <c r="WE25" s="102"/>
      <c r="WF25" s="76"/>
      <c r="WI25" s="114"/>
      <c r="WJ25" s="15">
        <v>18</v>
      </c>
      <c r="WK25" s="99"/>
      <c r="WL25" s="86"/>
      <c r="WM25" s="99"/>
      <c r="WN25" s="102"/>
      <c r="WO25" s="76"/>
      <c r="WR25" s="114"/>
      <c r="WS25" s="15">
        <v>18</v>
      </c>
      <c r="WT25" s="99"/>
      <c r="WU25" s="86"/>
      <c r="WV25" s="99"/>
      <c r="WW25" s="102"/>
      <c r="WX25" s="76"/>
      <c r="XA25" s="114"/>
      <c r="XB25" s="15">
        <v>18</v>
      </c>
      <c r="XC25" s="99"/>
      <c r="XD25" s="86"/>
      <c r="XE25" s="99"/>
      <c r="XF25" s="102"/>
      <c r="XG25" s="76"/>
      <c r="XJ25" s="114"/>
      <c r="XK25" s="15">
        <v>18</v>
      </c>
      <c r="XL25" s="99"/>
      <c r="XM25" s="86"/>
      <c r="XN25" s="99"/>
      <c r="XO25" s="102"/>
      <c r="XP25" s="76"/>
      <c r="XS25" s="114"/>
      <c r="XT25" s="15">
        <v>18</v>
      </c>
      <c r="XU25" s="99"/>
      <c r="XV25" s="86"/>
      <c r="XW25" s="99"/>
      <c r="XX25" s="102"/>
      <c r="XY25" s="76"/>
      <c r="YB25" s="114"/>
      <c r="YC25" s="15">
        <v>18</v>
      </c>
      <c r="YD25" s="99"/>
      <c r="YE25" s="86"/>
      <c r="YF25" s="99"/>
      <c r="YG25" s="102"/>
      <c r="YH25" s="76"/>
      <c r="YK25" s="114"/>
      <c r="YL25" s="15">
        <v>18</v>
      </c>
      <c r="YM25" s="99"/>
      <c r="YN25" s="86"/>
      <c r="YO25" s="99"/>
      <c r="YP25" s="102"/>
      <c r="YQ25" s="76"/>
      <c r="YT25" s="114"/>
      <c r="YU25" s="15">
        <v>18</v>
      </c>
      <c r="YV25" s="99"/>
      <c r="YW25" s="86"/>
      <c r="YX25" s="99"/>
      <c r="YY25" s="102"/>
      <c r="YZ25" s="76"/>
      <c r="ZC25" s="114"/>
      <c r="ZD25" s="15">
        <v>18</v>
      </c>
      <c r="ZE25" s="99"/>
      <c r="ZF25" s="86"/>
      <c r="ZG25" s="99"/>
      <c r="ZH25" s="102"/>
      <c r="ZI25" s="76"/>
      <c r="ZL25" s="114"/>
      <c r="ZM25" s="15">
        <v>18</v>
      </c>
      <c r="ZN25" s="99"/>
      <c r="ZO25" s="86"/>
      <c r="ZP25" s="99"/>
      <c r="ZQ25" s="102"/>
      <c r="ZR25" s="76"/>
      <c r="ZU25" s="114"/>
      <c r="ZV25" s="15">
        <v>18</v>
      </c>
      <c r="ZW25" s="99"/>
      <c r="ZX25" s="86"/>
      <c r="ZY25" s="99"/>
      <c r="ZZ25" s="102"/>
      <c r="AAA25" s="76"/>
      <c r="AAD25" s="114"/>
      <c r="AAE25" s="15">
        <v>18</v>
      </c>
      <c r="AAF25" s="99"/>
      <c r="AAG25" s="86"/>
      <c r="AAH25" s="99"/>
      <c r="AAI25" s="102"/>
      <c r="AAJ25" s="76"/>
      <c r="AAM25" s="114"/>
      <c r="AAN25" s="15">
        <v>18</v>
      </c>
      <c r="AAO25" s="99"/>
      <c r="AAP25" s="86"/>
      <c r="AAQ25" s="99"/>
      <c r="AAR25" s="102"/>
      <c r="AAS25" s="76"/>
      <c r="AAV25" s="114"/>
      <c r="AAW25" s="15">
        <v>18</v>
      </c>
      <c r="AAX25" s="99"/>
      <c r="AAY25" s="86"/>
      <c r="AAZ25" s="99"/>
      <c r="ABA25" s="102"/>
      <c r="ABB25" s="76"/>
      <c r="ABE25" s="114"/>
      <c r="ABF25" s="15">
        <v>18</v>
      </c>
      <c r="ABG25" s="99"/>
      <c r="ABH25" s="86"/>
      <c r="ABI25" s="99"/>
      <c r="ABJ25" s="102"/>
      <c r="ABK25" s="76"/>
      <c r="ABN25" s="114"/>
      <c r="ABO25" s="15">
        <v>18</v>
      </c>
      <c r="ABP25" s="99"/>
      <c r="ABQ25" s="86"/>
      <c r="ABR25" s="99"/>
      <c r="ABS25" s="102"/>
      <c r="ABT25" s="76"/>
      <c r="ABW25" s="114"/>
      <c r="ABX25" s="15">
        <v>18</v>
      </c>
      <c r="ABY25" s="99"/>
      <c r="ABZ25" s="86"/>
      <c r="ACA25" s="99"/>
      <c r="ACB25" s="102"/>
      <c r="ACC25" s="76"/>
      <c r="ACF25" s="114"/>
      <c r="ACG25" s="15">
        <v>18</v>
      </c>
      <c r="ACH25" s="99"/>
      <c r="ACI25" s="86"/>
      <c r="ACJ25" s="99"/>
      <c r="ACK25" s="102"/>
      <c r="ACL25" s="76"/>
      <c r="ACO25" s="114"/>
      <c r="ACP25" s="15">
        <v>18</v>
      </c>
      <c r="ACQ25" s="99"/>
      <c r="ACR25" s="86"/>
      <c r="ACS25" s="99"/>
      <c r="ACT25" s="102"/>
      <c r="ACU25" s="76"/>
      <c r="ACX25" s="114"/>
      <c r="ACY25" s="15">
        <v>18</v>
      </c>
      <c r="ACZ25" s="99"/>
      <c r="ADA25" s="86"/>
      <c r="ADB25" s="99"/>
      <c r="ADC25" s="102"/>
      <c r="ADD25" s="76"/>
      <c r="ADG25" s="114"/>
      <c r="ADH25" s="15">
        <v>18</v>
      </c>
      <c r="ADI25" s="99"/>
      <c r="ADJ25" s="86"/>
      <c r="ADK25" s="99"/>
      <c r="ADL25" s="102"/>
      <c r="ADM25" s="76"/>
      <c r="ADP25" s="114"/>
      <c r="ADQ25" s="15">
        <v>18</v>
      </c>
      <c r="ADR25" s="99"/>
      <c r="ADS25" s="86"/>
      <c r="ADT25" s="99"/>
      <c r="ADU25" s="102"/>
      <c r="ADV25" s="76"/>
      <c r="ADY25" s="114"/>
      <c r="ADZ25" s="15">
        <v>18</v>
      </c>
      <c r="AEA25" s="99"/>
      <c r="AEB25" s="86"/>
      <c r="AEC25" s="99"/>
      <c r="AED25" s="102"/>
      <c r="AEE25" s="76"/>
    </row>
    <row r="26" spans="1:811" x14ac:dyDescent="0.3">
      <c r="A26" s="150">
        <v>23</v>
      </c>
      <c r="B26" s="82" t="str">
        <f t="shared" ref="B26:I26" si="51">HS5</f>
        <v>SEABOARD FOODS</v>
      </c>
      <c r="C26" s="82" t="str">
        <f t="shared" si="51"/>
        <v>Seaboard</v>
      </c>
      <c r="D26" s="110" t="str">
        <f t="shared" si="51"/>
        <v>PED. 58101213</v>
      </c>
      <c r="E26" s="148">
        <f t="shared" si="51"/>
        <v>44162</v>
      </c>
      <c r="F26" s="93">
        <f t="shared" si="51"/>
        <v>18858.560000000001</v>
      </c>
      <c r="G26" s="79">
        <f t="shared" si="51"/>
        <v>21</v>
      </c>
      <c r="H26" s="49">
        <f t="shared" si="51"/>
        <v>18979.599999999999</v>
      </c>
      <c r="I26" s="113">
        <f t="shared" si="51"/>
        <v>-121.03999999999724</v>
      </c>
      <c r="L26" s="114"/>
      <c r="M26" s="15">
        <v>19</v>
      </c>
      <c r="N26" s="330">
        <v>810.88</v>
      </c>
      <c r="O26" s="398">
        <v>44139</v>
      </c>
      <c r="P26" s="330">
        <v>810.88</v>
      </c>
      <c r="Q26" s="384" t="s">
        <v>323</v>
      </c>
      <c r="R26" s="316">
        <v>44</v>
      </c>
      <c r="S26" s="316">
        <f t="shared" si="6"/>
        <v>35678.720000000001</v>
      </c>
      <c r="T26" s="288"/>
      <c r="V26" s="269"/>
      <c r="W26" s="15">
        <v>19</v>
      </c>
      <c r="X26" s="330">
        <v>877.7</v>
      </c>
      <c r="Y26" s="398">
        <v>44140</v>
      </c>
      <c r="Z26" s="330">
        <v>877.7</v>
      </c>
      <c r="AA26" s="465" t="s">
        <v>334</v>
      </c>
      <c r="AB26" s="316">
        <v>45</v>
      </c>
      <c r="AC26" s="388">
        <f t="shared" si="7"/>
        <v>39496.5</v>
      </c>
      <c r="AF26" s="114"/>
      <c r="AG26" s="15">
        <v>19</v>
      </c>
      <c r="AH26" s="99">
        <v>905.8</v>
      </c>
      <c r="AI26" s="392">
        <v>44140</v>
      </c>
      <c r="AJ26" s="99">
        <v>905.8</v>
      </c>
      <c r="AK26" s="102" t="s">
        <v>330</v>
      </c>
      <c r="AL26" s="76">
        <v>45</v>
      </c>
      <c r="AM26" s="894">
        <f t="shared" si="8"/>
        <v>40761</v>
      </c>
      <c r="AP26" s="114"/>
      <c r="AQ26" s="15">
        <v>19</v>
      </c>
      <c r="AR26" s="385">
        <v>890.9</v>
      </c>
      <c r="AS26" s="398">
        <v>44141</v>
      </c>
      <c r="AT26" s="385">
        <v>890.9</v>
      </c>
      <c r="AU26" s="384" t="s">
        <v>339</v>
      </c>
      <c r="AV26" s="316">
        <v>45</v>
      </c>
      <c r="AY26" s="114"/>
      <c r="AZ26" s="15">
        <v>19</v>
      </c>
      <c r="BA26" s="99">
        <v>909.4</v>
      </c>
      <c r="BB26" s="148">
        <v>44141</v>
      </c>
      <c r="BC26" s="99">
        <v>909.4</v>
      </c>
      <c r="BD26" s="102" t="s">
        <v>344</v>
      </c>
      <c r="BE26" s="459">
        <v>45</v>
      </c>
      <c r="BH26" s="114"/>
      <c r="BI26" s="15">
        <v>19</v>
      </c>
      <c r="BJ26" s="99">
        <v>914.9</v>
      </c>
      <c r="BK26" s="148">
        <v>44141</v>
      </c>
      <c r="BL26" s="99">
        <v>914.9</v>
      </c>
      <c r="BM26" s="102" t="s">
        <v>348</v>
      </c>
      <c r="BN26" s="459">
        <v>45</v>
      </c>
      <c r="BQ26" s="114"/>
      <c r="BR26" s="15">
        <v>19</v>
      </c>
      <c r="BS26" s="99">
        <v>824.94</v>
      </c>
      <c r="BT26" s="460">
        <v>44145</v>
      </c>
      <c r="BU26" s="99">
        <v>824.94</v>
      </c>
      <c r="BV26" s="463" t="s">
        <v>357</v>
      </c>
      <c r="BW26" s="462">
        <v>45</v>
      </c>
      <c r="BX26" s="870">
        <f t="shared" si="9"/>
        <v>37122.300000000003</v>
      </c>
      <c r="BZ26" s="114"/>
      <c r="CA26" s="15">
        <v>19</v>
      </c>
      <c r="CB26" s="99">
        <v>909.4</v>
      </c>
      <c r="CC26" s="460">
        <v>44146</v>
      </c>
      <c r="CD26" s="99">
        <v>909.4</v>
      </c>
      <c r="CE26" s="463" t="s">
        <v>362</v>
      </c>
      <c r="CF26" s="462">
        <v>45</v>
      </c>
      <c r="CG26" s="870">
        <f t="shared" si="10"/>
        <v>40923</v>
      </c>
      <c r="CJ26" s="114"/>
      <c r="CK26" s="15">
        <v>19</v>
      </c>
      <c r="CL26" s="330">
        <v>952.54</v>
      </c>
      <c r="CM26" s="460">
        <v>44147</v>
      </c>
      <c r="CN26" s="99">
        <v>952.54</v>
      </c>
      <c r="CO26" s="463" t="s">
        <v>365</v>
      </c>
      <c r="CP26" s="462">
        <v>45</v>
      </c>
      <c r="CQ26" s="925">
        <f t="shared" si="11"/>
        <v>42864.299999999996</v>
      </c>
      <c r="CT26" s="114"/>
      <c r="CU26" s="15">
        <v>19</v>
      </c>
      <c r="CV26" s="99">
        <v>881.3</v>
      </c>
      <c r="CW26" s="392">
        <v>44148</v>
      </c>
      <c r="CX26" s="99">
        <v>881.3</v>
      </c>
      <c r="CY26" s="102" t="s">
        <v>372</v>
      </c>
      <c r="CZ26" s="76">
        <v>45</v>
      </c>
      <c r="DA26" s="870">
        <f t="shared" si="12"/>
        <v>39658.5</v>
      </c>
      <c r="DD26" s="114"/>
      <c r="DE26" s="15">
        <v>19</v>
      </c>
      <c r="DF26" s="99">
        <v>902.2</v>
      </c>
      <c r="DG26" s="460">
        <v>44148</v>
      </c>
      <c r="DH26" s="99">
        <v>902.2</v>
      </c>
      <c r="DI26" s="463" t="s">
        <v>375</v>
      </c>
      <c r="DJ26" s="462">
        <v>45</v>
      </c>
      <c r="DK26" s="925">
        <f t="shared" si="13"/>
        <v>40599</v>
      </c>
      <c r="DN26" s="114"/>
      <c r="DO26" s="15">
        <v>19</v>
      </c>
      <c r="DP26" s="99">
        <v>870.4</v>
      </c>
      <c r="DQ26" s="460">
        <v>44148</v>
      </c>
      <c r="DR26" s="99">
        <v>870.4</v>
      </c>
      <c r="DS26" s="463" t="s">
        <v>376</v>
      </c>
      <c r="DT26" s="462">
        <v>45</v>
      </c>
      <c r="DU26" s="870">
        <f t="shared" si="14"/>
        <v>39168</v>
      </c>
      <c r="DX26" s="114"/>
      <c r="DY26" s="15">
        <v>19</v>
      </c>
      <c r="DZ26" s="74">
        <v>805.9</v>
      </c>
      <c r="EA26" s="412">
        <v>44150</v>
      </c>
      <c r="EB26" s="74">
        <v>805.9</v>
      </c>
      <c r="EC26" s="75" t="s">
        <v>387</v>
      </c>
      <c r="ED26" s="76">
        <v>44</v>
      </c>
      <c r="EE26" s="870">
        <f t="shared" si="15"/>
        <v>35459.599999999999</v>
      </c>
      <c r="EH26" s="114"/>
      <c r="EI26" s="15">
        <v>19</v>
      </c>
      <c r="EJ26" s="74">
        <v>916.7</v>
      </c>
      <c r="EK26" s="412">
        <v>44154</v>
      </c>
      <c r="EL26" s="74">
        <v>916.7</v>
      </c>
      <c r="EM26" s="315" t="s">
        <v>401</v>
      </c>
      <c r="EN26" s="76">
        <v>42</v>
      </c>
      <c r="EO26" s="870">
        <f t="shared" si="16"/>
        <v>38501.4</v>
      </c>
      <c r="ER26" s="101"/>
      <c r="ES26" s="15">
        <v>19</v>
      </c>
      <c r="ET26" s="330">
        <v>859.6</v>
      </c>
      <c r="EU26" s="398">
        <v>44154</v>
      </c>
      <c r="EV26" s="330">
        <v>859.6</v>
      </c>
      <c r="EW26" s="315" t="s">
        <v>399</v>
      </c>
      <c r="EX26" s="316">
        <v>42</v>
      </c>
      <c r="EY26" s="388">
        <f t="shared" si="17"/>
        <v>36103.200000000004</v>
      </c>
      <c r="FB26" s="114"/>
      <c r="FC26" s="15">
        <v>19</v>
      </c>
      <c r="FD26" s="99">
        <v>896.7</v>
      </c>
      <c r="FE26" s="392">
        <v>44154</v>
      </c>
      <c r="FF26" s="99">
        <v>896.7</v>
      </c>
      <c r="FG26" s="75" t="s">
        <v>405</v>
      </c>
      <c r="FH26" s="76">
        <v>42</v>
      </c>
      <c r="FI26" s="870">
        <f t="shared" si="18"/>
        <v>37661.4</v>
      </c>
      <c r="FL26" s="114"/>
      <c r="FM26" s="15">
        <v>19</v>
      </c>
      <c r="FN26" s="99">
        <v>873.2</v>
      </c>
      <c r="FO26" s="392">
        <v>44156</v>
      </c>
      <c r="FP26" s="99">
        <v>873.2</v>
      </c>
      <c r="FQ26" s="75" t="s">
        <v>415</v>
      </c>
      <c r="FR26" s="76">
        <v>42</v>
      </c>
      <c r="FS26" s="870">
        <f t="shared" si="19"/>
        <v>36674.400000000001</v>
      </c>
      <c r="FV26" s="114"/>
      <c r="FW26" s="15">
        <v>19</v>
      </c>
      <c r="FX26" s="74">
        <v>875</v>
      </c>
      <c r="FY26" s="657">
        <v>44156</v>
      </c>
      <c r="FZ26" s="74">
        <v>875</v>
      </c>
      <c r="GA26" s="315" t="s">
        <v>412</v>
      </c>
      <c r="GB26" s="316">
        <v>42</v>
      </c>
      <c r="GC26" s="388">
        <f t="shared" si="20"/>
        <v>36750</v>
      </c>
      <c r="GF26" s="114"/>
      <c r="GG26" s="15">
        <v>19</v>
      </c>
      <c r="GH26" s="632">
        <v>882.2</v>
      </c>
      <c r="GI26" s="392">
        <v>44159</v>
      </c>
      <c r="GJ26" s="632">
        <v>882.2</v>
      </c>
      <c r="GK26" s="102" t="s">
        <v>419</v>
      </c>
      <c r="GL26" s="76">
        <v>38</v>
      </c>
      <c r="GM26" s="870">
        <f t="shared" si="21"/>
        <v>33523.599999999999</v>
      </c>
      <c r="GP26" s="114"/>
      <c r="GQ26" s="15">
        <v>19</v>
      </c>
      <c r="GR26" s="99">
        <v>795.92</v>
      </c>
      <c r="GS26" s="392">
        <v>44159</v>
      </c>
      <c r="GT26" s="99">
        <v>795.92</v>
      </c>
      <c r="GU26" s="102" t="s">
        <v>421</v>
      </c>
      <c r="GV26" s="76">
        <v>38</v>
      </c>
      <c r="GW26" s="870">
        <f t="shared" si="22"/>
        <v>30244.959999999999</v>
      </c>
      <c r="GZ26" s="114"/>
      <c r="HA26" s="15">
        <v>19</v>
      </c>
      <c r="HB26" s="99">
        <v>938.93</v>
      </c>
      <c r="HC26" s="392">
        <v>44160</v>
      </c>
      <c r="HD26" s="99">
        <v>938.93</v>
      </c>
      <c r="HE26" s="102" t="s">
        <v>429</v>
      </c>
      <c r="HF26" s="76">
        <v>38</v>
      </c>
      <c r="HG26" s="870">
        <f t="shared" si="23"/>
        <v>35679.339999999997</v>
      </c>
      <c r="HJ26" s="269"/>
      <c r="HK26" s="15">
        <v>19</v>
      </c>
      <c r="HL26" s="330">
        <v>874.1</v>
      </c>
      <c r="HM26" s="398">
        <v>44161</v>
      </c>
      <c r="HN26" s="330">
        <v>874.1</v>
      </c>
      <c r="HO26" s="465" t="s">
        <v>434</v>
      </c>
      <c r="HP26" s="316">
        <v>38</v>
      </c>
      <c r="HQ26" s="388">
        <f t="shared" si="24"/>
        <v>33215.800000000003</v>
      </c>
      <c r="HT26" s="114"/>
      <c r="HU26" s="15">
        <v>19</v>
      </c>
      <c r="HV26" s="74">
        <v>905.8</v>
      </c>
      <c r="HW26" s="412">
        <v>44162</v>
      </c>
      <c r="HX26" s="74">
        <v>905.8</v>
      </c>
      <c r="HY26" s="75" t="s">
        <v>435</v>
      </c>
      <c r="HZ26" s="76">
        <v>38</v>
      </c>
      <c r="IA26" s="870">
        <f t="shared" si="25"/>
        <v>34420.400000000001</v>
      </c>
      <c r="ID26" s="114"/>
      <c r="IE26" s="15">
        <v>19</v>
      </c>
      <c r="IF26" s="330">
        <v>924.9</v>
      </c>
      <c r="IG26" s="359">
        <v>44162</v>
      </c>
      <c r="IH26" s="330">
        <v>924.9</v>
      </c>
      <c r="II26" s="675" t="s">
        <v>438</v>
      </c>
      <c r="IJ26" s="316">
        <v>38</v>
      </c>
      <c r="IK26" s="388">
        <f t="shared" si="26"/>
        <v>35146.199999999997</v>
      </c>
      <c r="IM26" s="74"/>
      <c r="IN26" s="114"/>
      <c r="IO26" s="15">
        <v>19</v>
      </c>
      <c r="IP26" s="99">
        <v>876.8</v>
      </c>
      <c r="IQ26" s="412">
        <v>44166</v>
      </c>
      <c r="IR26" s="99">
        <v>876.8</v>
      </c>
      <c r="IS26" s="75" t="s">
        <v>453</v>
      </c>
      <c r="IT26" s="76">
        <v>38</v>
      </c>
      <c r="IU26" s="870">
        <f t="shared" si="27"/>
        <v>33318.400000000001</v>
      </c>
      <c r="IX26" s="114"/>
      <c r="IY26" s="15">
        <v>19</v>
      </c>
      <c r="IZ26" s="99">
        <v>785.49</v>
      </c>
      <c r="JA26" s="392">
        <v>44167</v>
      </c>
      <c r="JB26" s="99">
        <v>785.49</v>
      </c>
      <c r="JC26" s="75" t="s">
        <v>479</v>
      </c>
      <c r="JD26" s="76">
        <v>38</v>
      </c>
      <c r="JE26" s="870">
        <f t="shared" si="28"/>
        <v>29848.62</v>
      </c>
      <c r="JH26" s="114"/>
      <c r="JI26" s="15">
        <v>19</v>
      </c>
      <c r="JJ26" s="74">
        <v>871.2</v>
      </c>
      <c r="JK26" s="412">
        <v>44167</v>
      </c>
      <c r="JL26" s="74">
        <v>871.2</v>
      </c>
      <c r="JM26" s="75" t="s">
        <v>477</v>
      </c>
      <c r="JN26" s="76">
        <v>38</v>
      </c>
      <c r="JO26" s="870">
        <f t="shared" si="29"/>
        <v>33105.599999999999</v>
      </c>
      <c r="JR26" s="114"/>
      <c r="JS26" s="15">
        <v>19</v>
      </c>
      <c r="JT26" s="99">
        <v>904.9</v>
      </c>
      <c r="JU26" s="392">
        <v>44168</v>
      </c>
      <c r="JV26" s="99">
        <v>904.9</v>
      </c>
      <c r="JW26" s="102" t="s">
        <v>481</v>
      </c>
      <c r="JX26" s="76">
        <v>39</v>
      </c>
      <c r="JY26" s="870">
        <f t="shared" si="30"/>
        <v>35291.1</v>
      </c>
      <c r="KB26" s="114"/>
      <c r="KC26" s="15">
        <v>19</v>
      </c>
      <c r="KD26" s="99">
        <v>857.7</v>
      </c>
      <c r="KE26" s="392">
        <v>44168</v>
      </c>
      <c r="KF26" s="99">
        <v>857.7</v>
      </c>
      <c r="KG26" s="102" t="s">
        <v>484</v>
      </c>
      <c r="KH26" s="76">
        <v>39</v>
      </c>
      <c r="KI26" s="870">
        <f t="shared" si="31"/>
        <v>33450.300000000003</v>
      </c>
      <c r="KL26" s="114"/>
      <c r="KM26" s="15">
        <v>19</v>
      </c>
      <c r="KN26" s="99">
        <v>921.69</v>
      </c>
      <c r="KO26" s="392">
        <v>44169</v>
      </c>
      <c r="KP26" s="99">
        <v>921.69</v>
      </c>
      <c r="KQ26" s="102" t="s">
        <v>496</v>
      </c>
      <c r="KR26" s="76">
        <v>39</v>
      </c>
      <c r="KS26" s="870">
        <f t="shared" si="32"/>
        <v>35945.910000000003</v>
      </c>
      <c r="KV26" s="114"/>
      <c r="KW26" s="15">
        <v>19</v>
      </c>
      <c r="KX26" s="99">
        <v>883.1</v>
      </c>
      <c r="KY26" s="392">
        <v>44169</v>
      </c>
      <c r="KZ26" s="99">
        <v>883.1</v>
      </c>
      <c r="LA26" s="102" t="s">
        <v>488</v>
      </c>
      <c r="LB26" s="76">
        <v>39</v>
      </c>
      <c r="LC26" s="870">
        <f t="shared" si="33"/>
        <v>34440.9</v>
      </c>
      <c r="LF26" s="114"/>
      <c r="LG26" s="15">
        <v>19</v>
      </c>
      <c r="LH26" s="99">
        <v>914</v>
      </c>
      <c r="LI26" s="392">
        <v>44169</v>
      </c>
      <c r="LJ26" s="99">
        <v>914</v>
      </c>
      <c r="LK26" s="102" t="s">
        <v>493</v>
      </c>
      <c r="LL26" s="76">
        <v>39</v>
      </c>
      <c r="LM26" s="870">
        <f t="shared" si="34"/>
        <v>35646</v>
      </c>
      <c r="LP26" s="114"/>
      <c r="LQ26" s="15">
        <v>19</v>
      </c>
      <c r="LR26" s="472"/>
      <c r="LS26" s="392"/>
      <c r="LT26" s="472"/>
      <c r="LU26" s="102"/>
      <c r="LV26" s="76"/>
      <c r="LY26" s="114"/>
      <c r="LZ26" s="15">
        <v>19</v>
      </c>
      <c r="MA26" s="472"/>
      <c r="MB26" s="392"/>
      <c r="MC26" s="472"/>
      <c r="MD26" s="102"/>
      <c r="ME26" s="76"/>
      <c r="MH26" s="114"/>
      <c r="MI26" s="15">
        <v>19</v>
      </c>
      <c r="MJ26" s="99"/>
      <c r="MK26" s="392"/>
      <c r="ML26" s="99"/>
      <c r="MM26" s="102"/>
      <c r="MN26" s="76"/>
      <c r="MQ26" s="114"/>
      <c r="MR26" s="15">
        <v>19</v>
      </c>
      <c r="MS26" s="472"/>
      <c r="MT26" s="392"/>
      <c r="MU26" s="385"/>
      <c r="MV26" s="384"/>
      <c r="MW26" s="76"/>
      <c r="MZ26" s="114"/>
      <c r="NA26" s="15">
        <v>19</v>
      </c>
      <c r="NB26" s="99"/>
      <c r="NC26" s="392"/>
      <c r="ND26" s="99"/>
      <c r="NE26" s="102"/>
      <c r="NF26" s="76"/>
      <c r="NI26" s="114"/>
      <c r="NJ26" s="15">
        <v>19</v>
      </c>
      <c r="NK26" s="99"/>
      <c r="NL26" s="392"/>
      <c r="NM26" s="99"/>
      <c r="NN26" s="102"/>
      <c r="NO26" s="76"/>
      <c r="NR26" s="114"/>
      <c r="NS26" s="15">
        <v>19</v>
      </c>
      <c r="NT26" s="99"/>
      <c r="NU26" s="392"/>
      <c r="NV26" s="99"/>
      <c r="NW26" s="102"/>
      <c r="NX26" s="76"/>
      <c r="OA26" s="114"/>
      <c r="OB26" s="15">
        <v>19</v>
      </c>
      <c r="OC26" s="99"/>
      <c r="OD26" s="392"/>
      <c r="OE26" s="99"/>
      <c r="OF26" s="102"/>
      <c r="OG26" s="76"/>
      <c r="OJ26" s="114"/>
      <c r="OK26" s="15">
        <v>19</v>
      </c>
      <c r="OL26" s="330"/>
      <c r="OM26" s="398"/>
      <c r="ON26" s="330"/>
      <c r="OO26" s="384"/>
      <c r="OP26" s="316"/>
      <c r="OS26" s="101"/>
      <c r="OT26" s="15">
        <v>19</v>
      </c>
      <c r="OU26" s="99"/>
      <c r="OV26" s="392"/>
      <c r="OW26" s="99"/>
      <c r="OX26" s="102"/>
      <c r="OY26" s="76"/>
      <c r="PB26" s="114"/>
      <c r="PC26" s="15">
        <v>19</v>
      </c>
      <c r="PD26" s="99"/>
      <c r="PE26" s="392"/>
      <c r="PF26" s="99"/>
      <c r="PG26" s="102"/>
      <c r="PH26" s="76"/>
      <c r="PK26" s="114"/>
      <c r="PL26" s="15">
        <v>19</v>
      </c>
      <c r="PM26" s="99"/>
      <c r="PN26" s="148"/>
      <c r="PO26" s="99"/>
      <c r="PP26" s="102"/>
      <c r="PQ26" s="76"/>
      <c r="PT26" s="114"/>
      <c r="PU26" s="15">
        <v>19</v>
      </c>
      <c r="PV26" s="99"/>
      <c r="PW26" s="392"/>
      <c r="PX26" s="99"/>
      <c r="PY26" s="102"/>
      <c r="PZ26" s="76"/>
      <c r="QC26" s="114"/>
      <c r="QD26" s="15">
        <v>19</v>
      </c>
      <c r="QE26" s="99"/>
      <c r="QF26" s="392"/>
      <c r="QG26" s="99"/>
      <c r="QH26" s="102"/>
      <c r="QI26" s="76"/>
      <c r="QL26" s="114"/>
      <c r="QM26" s="15">
        <v>19</v>
      </c>
      <c r="QN26" s="99"/>
      <c r="QO26" s="392"/>
      <c r="QP26" s="99"/>
      <c r="QQ26" s="102"/>
      <c r="QR26" s="76"/>
      <c r="QU26" s="114"/>
      <c r="QV26" s="15">
        <v>19</v>
      </c>
      <c r="QW26" s="99"/>
      <c r="QX26" s="392"/>
      <c r="QY26" s="99"/>
      <c r="QZ26" s="102"/>
      <c r="RA26" s="459"/>
      <c r="RD26" s="114"/>
      <c r="RE26" s="15">
        <v>19</v>
      </c>
      <c r="RF26" s="99"/>
      <c r="RG26" s="148"/>
      <c r="RH26" s="99"/>
      <c r="RI26" s="102"/>
      <c r="RJ26" s="76"/>
      <c r="RM26" s="114"/>
      <c r="RN26" s="15">
        <v>19</v>
      </c>
      <c r="RO26" s="99"/>
      <c r="RP26" s="86"/>
      <c r="RQ26" s="99"/>
      <c r="RR26" s="102"/>
      <c r="RS26" s="76"/>
      <c r="RV26" s="114"/>
      <c r="RW26" s="15">
        <v>19</v>
      </c>
      <c r="RX26" s="99"/>
      <c r="RY26" s="86"/>
      <c r="RZ26" s="99"/>
      <c r="SA26" s="102"/>
      <c r="SB26" s="76"/>
      <c r="SE26" s="114"/>
      <c r="SF26" s="15"/>
      <c r="SG26" s="99"/>
      <c r="SH26" s="86"/>
      <c r="SI26" s="99"/>
      <c r="SJ26" s="102"/>
      <c r="SK26" s="76"/>
      <c r="SN26" s="114"/>
      <c r="SO26" s="15">
        <v>19</v>
      </c>
      <c r="SP26" s="99"/>
      <c r="SQ26" s="471"/>
      <c r="SR26" s="206"/>
      <c r="SS26" s="463"/>
      <c r="ST26" s="462"/>
      <c r="SW26" s="114"/>
      <c r="SX26" s="15"/>
      <c r="SY26" s="99"/>
      <c r="SZ26" s="86"/>
      <c r="TA26" s="99"/>
      <c r="TB26" s="102"/>
      <c r="TC26" s="76"/>
      <c r="TF26" s="114"/>
      <c r="TG26" s="15">
        <v>19</v>
      </c>
      <c r="TH26" s="99"/>
      <c r="TI26" s="86"/>
      <c r="TJ26" s="99"/>
      <c r="TK26" s="102"/>
      <c r="TL26" s="76"/>
      <c r="TO26" s="114"/>
      <c r="TP26" s="15"/>
      <c r="TQ26" s="99"/>
      <c r="TR26" s="86"/>
      <c r="TS26" s="99"/>
      <c r="TT26" s="102"/>
      <c r="TU26" s="76"/>
      <c r="TX26" s="114"/>
      <c r="TY26" s="15">
        <v>19</v>
      </c>
      <c r="TZ26" s="99"/>
      <c r="UA26" s="86"/>
      <c r="UB26" s="99"/>
      <c r="UC26" s="102"/>
      <c r="UD26" s="76"/>
      <c r="UG26" s="114"/>
      <c r="UH26" s="15">
        <v>19</v>
      </c>
      <c r="UI26" s="99"/>
      <c r="UJ26" s="86"/>
      <c r="UK26" s="99"/>
      <c r="UL26" s="102"/>
      <c r="UM26" s="76"/>
      <c r="UP26" s="114"/>
      <c r="UQ26" s="15">
        <v>19</v>
      </c>
      <c r="UR26" s="99"/>
      <c r="US26" s="86"/>
      <c r="UT26" s="99"/>
      <c r="UU26" s="102"/>
      <c r="UV26" s="76"/>
      <c r="UY26" s="114"/>
      <c r="UZ26" s="15">
        <v>19</v>
      </c>
      <c r="VA26" s="99"/>
      <c r="VB26" s="86"/>
      <c r="VC26" s="99"/>
      <c r="VD26" s="102"/>
      <c r="VE26" s="76"/>
      <c r="VH26" s="114"/>
      <c r="VI26" s="15">
        <v>19</v>
      </c>
      <c r="VJ26" s="99"/>
      <c r="VK26" s="86"/>
      <c r="VL26" s="99"/>
      <c r="VM26" s="102"/>
      <c r="VN26" s="76"/>
      <c r="VQ26" s="114"/>
      <c r="VR26" s="15">
        <v>19</v>
      </c>
      <c r="VS26" s="99"/>
      <c r="VT26" s="86"/>
      <c r="VU26" s="99"/>
      <c r="VV26" s="102"/>
      <c r="VW26" s="76"/>
      <c r="VZ26" s="114"/>
      <c r="WA26" s="15">
        <v>19</v>
      </c>
      <c r="WB26" s="99"/>
      <c r="WC26" s="86"/>
      <c r="WD26" s="99"/>
      <c r="WE26" s="102"/>
      <c r="WF26" s="76"/>
      <c r="WI26" s="114"/>
      <c r="WJ26" s="15">
        <v>19</v>
      </c>
      <c r="WK26" s="99"/>
      <c r="WL26" s="86"/>
      <c r="WM26" s="99"/>
      <c r="WN26" s="102"/>
      <c r="WO26" s="76"/>
      <c r="WR26" s="114"/>
      <c r="WS26" s="15">
        <v>19</v>
      </c>
      <c r="WT26" s="99"/>
      <c r="WU26" s="86"/>
      <c r="WV26" s="99"/>
      <c r="WW26" s="102"/>
      <c r="WX26" s="76"/>
      <c r="XA26" s="114"/>
      <c r="XB26" s="15">
        <v>19</v>
      </c>
      <c r="XC26" s="99"/>
      <c r="XD26" s="86"/>
      <c r="XE26" s="99"/>
      <c r="XF26" s="102"/>
      <c r="XG26" s="76"/>
      <c r="XJ26" s="114"/>
      <c r="XK26" s="15">
        <v>19</v>
      </c>
      <c r="XL26" s="99"/>
      <c r="XM26" s="86"/>
      <c r="XN26" s="99"/>
      <c r="XO26" s="102"/>
      <c r="XP26" s="76"/>
      <c r="XS26" s="114"/>
      <c r="XT26" s="15">
        <v>19</v>
      </c>
      <c r="XU26" s="99"/>
      <c r="XV26" s="86"/>
      <c r="XW26" s="99"/>
      <c r="XX26" s="102"/>
      <c r="XY26" s="76"/>
      <c r="YB26" s="114"/>
      <c r="YC26" s="15">
        <v>19</v>
      </c>
      <c r="YD26" s="99"/>
      <c r="YE26" s="86"/>
      <c r="YF26" s="99"/>
      <c r="YG26" s="102"/>
      <c r="YH26" s="76"/>
      <c r="YK26" s="114"/>
      <c r="YL26" s="15">
        <v>19</v>
      </c>
      <c r="YM26" s="99"/>
      <c r="YN26" s="86"/>
      <c r="YO26" s="99"/>
      <c r="YP26" s="102"/>
      <c r="YQ26" s="76"/>
      <c r="YT26" s="114"/>
      <c r="YU26" s="15">
        <v>19</v>
      </c>
      <c r="YV26" s="99"/>
      <c r="YW26" s="86"/>
      <c r="YX26" s="99"/>
      <c r="YY26" s="102"/>
      <c r="YZ26" s="76"/>
      <c r="ZC26" s="114"/>
      <c r="ZD26" s="15">
        <v>19</v>
      </c>
      <c r="ZE26" s="99"/>
      <c r="ZF26" s="86"/>
      <c r="ZG26" s="99"/>
      <c r="ZH26" s="102"/>
      <c r="ZI26" s="76"/>
      <c r="ZL26" s="114"/>
      <c r="ZM26" s="15">
        <v>19</v>
      </c>
      <c r="ZN26" s="99"/>
      <c r="ZO26" s="86"/>
      <c r="ZP26" s="99"/>
      <c r="ZQ26" s="102"/>
      <c r="ZR26" s="76"/>
      <c r="ZU26" s="114"/>
      <c r="ZV26" s="15">
        <v>19</v>
      </c>
      <c r="ZW26" s="99"/>
      <c r="ZX26" s="86"/>
      <c r="ZY26" s="99"/>
      <c r="ZZ26" s="102"/>
      <c r="AAA26" s="76"/>
      <c r="AAD26" s="114"/>
      <c r="AAE26" s="15">
        <v>19</v>
      </c>
      <c r="AAF26" s="99"/>
      <c r="AAG26" s="86"/>
      <c r="AAH26" s="99"/>
      <c r="AAI26" s="102"/>
      <c r="AAJ26" s="76"/>
      <c r="AAM26" s="114"/>
      <c r="AAN26" s="15">
        <v>19</v>
      </c>
      <c r="AAO26" s="99"/>
      <c r="AAP26" s="86"/>
      <c r="AAQ26" s="99"/>
      <c r="AAR26" s="102"/>
      <c r="AAS26" s="76"/>
      <c r="AAV26" s="114"/>
      <c r="AAW26" s="15">
        <v>19</v>
      </c>
      <c r="AAX26" s="99"/>
      <c r="AAY26" s="86"/>
      <c r="AAZ26" s="99"/>
      <c r="ABA26" s="102"/>
      <c r="ABB26" s="76"/>
      <c r="ABE26" s="114"/>
      <c r="ABF26" s="15">
        <v>19</v>
      </c>
      <c r="ABG26" s="99"/>
      <c r="ABH26" s="86"/>
      <c r="ABI26" s="99"/>
      <c r="ABJ26" s="102"/>
      <c r="ABK26" s="76"/>
      <c r="ABN26" s="114"/>
      <c r="ABO26" s="15">
        <v>19</v>
      </c>
      <c r="ABP26" s="99"/>
      <c r="ABQ26" s="86"/>
      <c r="ABR26" s="99"/>
      <c r="ABS26" s="102"/>
      <c r="ABT26" s="76"/>
      <c r="ABW26" s="114"/>
      <c r="ABX26" s="15">
        <v>19</v>
      </c>
      <c r="ABY26" s="99"/>
      <c r="ABZ26" s="86"/>
      <c r="ACA26" s="99"/>
      <c r="ACB26" s="102"/>
      <c r="ACC26" s="76"/>
      <c r="ACF26" s="114"/>
      <c r="ACG26" s="15">
        <v>19</v>
      </c>
      <c r="ACH26" s="99"/>
      <c r="ACI26" s="86"/>
      <c r="ACJ26" s="99"/>
      <c r="ACK26" s="102"/>
      <c r="ACL26" s="76"/>
      <c r="ACO26" s="114"/>
      <c r="ACP26" s="15">
        <v>19</v>
      </c>
      <c r="ACQ26" s="99"/>
      <c r="ACR26" s="86"/>
      <c r="ACS26" s="99"/>
      <c r="ACT26" s="102"/>
      <c r="ACU26" s="76"/>
      <c r="ACX26" s="114"/>
      <c r="ACY26" s="15">
        <v>19</v>
      </c>
      <c r="ACZ26" s="99"/>
      <c r="ADA26" s="86"/>
      <c r="ADB26" s="99"/>
      <c r="ADC26" s="102"/>
      <c r="ADD26" s="76"/>
      <c r="ADG26" s="114"/>
      <c r="ADH26" s="15">
        <v>19</v>
      </c>
      <c r="ADI26" s="99"/>
      <c r="ADJ26" s="86"/>
      <c r="ADK26" s="99"/>
      <c r="ADL26" s="102"/>
      <c r="ADM26" s="76"/>
      <c r="ADP26" s="114"/>
      <c r="ADQ26" s="15">
        <v>19</v>
      </c>
      <c r="ADR26" s="99"/>
      <c r="ADS26" s="86"/>
      <c r="ADT26" s="99"/>
      <c r="ADU26" s="102"/>
      <c r="ADV26" s="76"/>
      <c r="ADY26" s="114"/>
      <c r="ADZ26" s="15">
        <v>19</v>
      </c>
      <c r="AEA26" s="99"/>
      <c r="AEB26" s="86"/>
      <c r="AEC26" s="99"/>
      <c r="AED26" s="102"/>
      <c r="AEE26" s="76"/>
    </row>
    <row r="27" spans="1:811" ht="20.25" customHeight="1" x14ac:dyDescent="0.3">
      <c r="A27" s="150">
        <v>24</v>
      </c>
      <c r="B27" s="82" t="str">
        <f t="shared" ref="B27:I27" si="52">IC5</f>
        <v>SEABOARD FOODS</v>
      </c>
      <c r="C27" s="296" t="str">
        <f t="shared" si="52"/>
        <v>Seaboard</v>
      </c>
      <c r="D27" s="110" t="str">
        <f t="shared" si="52"/>
        <v>PED. 58152295</v>
      </c>
      <c r="E27" s="148">
        <f t="shared" si="52"/>
        <v>44162</v>
      </c>
      <c r="F27" s="93">
        <f t="shared" si="52"/>
        <v>18899.03</v>
      </c>
      <c r="G27" s="79">
        <f t="shared" si="52"/>
        <v>21</v>
      </c>
      <c r="H27" s="49">
        <f t="shared" si="52"/>
        <v>18933.2</v>
      </c>
      <c r="I27" s="113">
        <f t="shared" si="52"/>
        <v>-34.170000000001892</v>
      </c>
      <c r="L27" s="114"/>
      <c r="M27" s="15">
        <v>20</v>
      </c>
      <c r="N27" s="330">
        <v>857.14</v>
      </c>
      <c r="O27" s="398">
        <v>44139</v>
      </c>
      <c r="P27" s="330">
        <v>857.14</v>
      </c>
      <c r="Q27" s="384" t="s">
        <v>323</v>
      </c>
      <c r="R27" s="316">
        <v>44</v>
      </c>
      <c r="S27" s="316">
        <f t="shared" si="6"/>
        <v>37714.159999999996</v>
      </c>
      <c r="T27" s="288"/>
      <c r="V27" s="269"/>
      <c r="W27" s="15">
        <v>20</v>
      </c>
      <c r="X27" s="330">
        <v>810.6</v>
      </c>
      <c r="Y27" s="398">
        <v>44140</v>
      </c>
      <c r="Z27" s="330">
        <v>810.6</v>
      </c>
      <c r="AA27" s="465" t="s">
        <v>334</v>
      </c>
      <c r="AB27" s="316">
        <v>45</v>
      </c>
      <c r="AC27" s="388">
        <f t="shared" si="7"/>
        <v>36477</v>
      </c>
      <c r="AF27" s="114"/>
      <c r="AG27" s="15">
        <v>20</v>
      </c>
      <c r="AH27" s="99">
        <v>926.7</v>
      </c>
      <c r="AI27" s="392">
        <v>44140</v>
      </c>
      <c r="AJ27" s="99">
        <v>926.7</v>
      </c>
      <c r="AK27" s="102" t="s">
        <v>330</v>
      </c>
      <c r="AL27" s="76">
        <v>45</v>
      </c>
      <c r="AM27" s="894">
        <f t="shared" si="8"/>
        <v>41701.5</v>
      </c>
      <c r="AP27" s="114"/>
      <c r="AQ27" s="15">
        <v>20</v>
      </c>
      <c r="AR27" s="385">
        <v>938</v>
      </c>
      <c r="AS27" s="398">
        <v>44141</v>
      </c>
      <c r="AT27" s="385">
        <v>938</v>
      </c>
      <c r="AU27" s="384" t="s">
        <v>339</v>
      </c>
      <c r="AV27" s="316">
        <v>45</v>
      </c>
      <c r="AY27" s="114"/>
      <c r="AZ27" s="15">
        <v>20</v>
      </c>
      <c r="BA27" s="99">
        <v>884</v>
      </c>
      <c r="BB27" s="148">
        <v>44141</v>
      </c>
      <c r="BC27" s="99">
        <v>884</v>
      </c>
      <c r="BD27" s="102" t="s">
        <v>344</v>
      </c>
      <c r="BE27" s="459">
        <v>45</v>
      </c>
      <c r="BH27" s="114"/>
      <c r="BI27" s="15">
        <v>20</v>
      </c>
      <c r="BJ27" s="99">
        <v>833.2</v>
      </c>
      <c r="BK27" s="148">
        <v>44141</v>
      </c>
      <c r="BL27" s="99">
        <v>833.2</v>
      </c>
      <c r="BM27" s="102" t="s">
        <v>348</v>
      </c>
      <c r="BN27" s="459">
        <v>45</v>
      </c>
      <c r="BQ27" s="114"/>
      <c r="BR27" s="15">
        <v>20</v>
      </c>
      <c r="BS27" s="99">
        <v>865.76</v>
      </c>
      <c r="BT27" s="460">
        <v>44145</v>
      </c>
      <c r="BU27" s="99">
        <v>865.76</v>
      </c>
      <c r="BV27" s="463" t="s">
        <v>357</v>
      </c>
      <c r="BW27" s="462">
        <v>45</v>
      </c>
      <c r="BX27" s="870">
        <f t="shared" si="9"/>
        <v>38959.199999999997</v>
      </c>
      <c r="BZ27" s="114"/>
      <c r="CA27" s="15">
        <v>20</v>
      </c>
      <c r="CB27" s="99">
        <v>891.3</v>
      </c>
      <c r="CC27" s="460">
        <v>44146</v>
      </c>
      <c r="CD27" s="99">
        <v>891.3</v>
      </c>
      <c r="CE27" s="463" t="s">
        <v>362</v>
      </c>
      <c r="CF27" s="462">
        <v>45</v>
      </c>
      <c r="CG27" s="870">
        <f t="shared" si="10"/>
        <v>40108.5</v>
      </c>
      <c r="CJ27" s="114"/>
      <c r="CK27" s="15">
        <v>20</v>
      </c>
      <c r="CL27" s="330">
        <v>966.15</v>
      </c>
      <c r="CM27" s="460">
        <v>44147</v>
      </c>
      <c r="CN27" s="99">
        <v>966.15</v>
      </c>
      <c r="CO27" s="463" t="s">
        <v>365</v>
      </c>
      <c r="CP27" s="462">
        <v>45</v>
      </c>
      <c r="CQ27" s="925">
        <f t="shared" si="11"/>
        <v>43476.75</v>
      </c>
      <c r="CT27" s="114"/>
      <c r="CU27" s="15">
        <v>20</v>
      </c>
      <c r="CV27" s="99">
        <v>907.6</v>
      </c>
      <c r="CW27" s="392">
        <v>44148</v>
      </c>
      <c r="CX27" s="99">
        <v>907.6</v>
      </c>
      <c r="CY27" s="102" t="s">
        <v>372</v>
      </c>
      <c r="CZ27" s="76">
        <v>45</v>
      </c>
      <c r="DA27" s="870">
        <f t="shared" si="12"/>
        <v>40842</v>
      </c>
      <c r="DD27" s="114"/>
      <c r="DE27" s="15">
        <v>20</v>
      </c>
      <c r="DF27" s="99">
        <v>904</v>
      </c>
      <c r="DG27" s="460">
        <v>44148</v>
      </c>
      <c r="DH27" s="99">
        <v>904</v>
      </c>
      <c r="DI27" s="463" t="s">
        <v>375</v>
      </c>
      <c r="DJ27" s="462">
        <v>45</v>
      </c>
      <c r="DK27" s="925">
        <f t="shared" si="13"/>
        <v>40680</v>
      </c>
      <c r="DN27" s="114"/>
      <c r="DO27" s="15">
        <v>20</v>
      </c>
      <c r="DP27" s="99">
        <v>900.4</v>
      </c>
      <c r="DQ27" s="460">
        <v>44148</v>
      </c>
      <c r="DR27" s="99">
        <v>900.4</v>
      </c>
      <c r="DS27" s="463" t="s">
        <v>376</v>
      </c>
      <c r="DT27" s="462">
        <v>45</v>
      </c>
      <c r="DU27" s="870">
        <f t="shared" si="14"/>
        <v>40518</v>
      </c>
      <c r="DX27" s="114"/>
      <c r="DY27" s="15">
        <v>20</v>
      </c>
      <c r="DZ27" s="74">
        <v>912.02</v>
      </c>
      <c r="EA27" s="412">
        <v>44150</v>
      </c>
      <c r="EB27" s="74">
        <v>912.02</v>
      </c>
      <c r="EC27" s="75" t="s">
        <v>387</v>
      </c>
      <c r="ED27" s="76">
        <v>44</v>
      </c>
      <c r="EE27" s="870">
        <f t="shared" si="15"/>
        <v>40128.879999999997</v>
      </c>
      <c r="EH27" s="114"/>
      <c r="EI27" s="15">
        <v>20</v>
      </c>
      <c r="EJ27" s="74">
        <v>887.7</v>
      </c>
      <c r="EK27" s="412">
        <v>44154</v>
      </c>
      <c r="EL27" s="74">
        <v>887.7</v>
      </c>
      <c r="EM27" s="315" t="s">
        <v>401</v>
      </c>
      <c r="EN27" s="76">
        <v>42</v>
      </c>
      <c r="EO27" s="870">
        <f t="shared" si="16"/>
        <v>37283.4</v>
      </c>
      <c r="ER27" s="101"/>
      <c r="ES27" s="15">
        <v>20</v>
      </c>
      <c r="ET27" s="330">
        <v>902.2</v>
      </c>
      <c r="EU27" s="398">
        <v>44154</v>
      </c>
      <c r="EV27" s="330">
        <v>902.2</v>
      </c>
      <c r="EW27" s="315" t="s">
        <v>399</v>
      </c>
      <c r="EX27" s="316">
        <v>42</v>
      </c>
      <c r="EY27" s="388">
        <f t="shared" si="17"/>
        <v>37892.400000000001</v>
      </c>
      <c r="FB27" s="114"/>
      <c r="FC27" s="15">
        <v>20</v>
      </c>
      <c r="FD27" s="99">
        <v>914.9</v>
      </c>
      <c r="FE27" s="392">
        <v>44154</v>
      </c>
      <c r="FF27" s="99">
        <v>914.9</v>
      </c>
      <c r="FG27" s="75" t="s">
        <v>405</v>
      </c>
      <c r="FH27" s="76">
        <v>42</v>
      </c>
      <c r="FI27" s="870">
        <f t="shared" si="18"/>
        <v>38425.799999999996</v>
      </c>
      <c r="FL27" s="114"/>
      <c r="FM27" s="15">
        <v>20</v>
      </c>
      <c r="FN27" s="99">
        <v>862.3</v>
      </c>
      <c r="FO27" s="392">
        <v>44156</v>
      </c>
      <c r="FP27" s="99">
        <v>862.3</v>
      </c>
      <c r="FQ27" s="75" t="s">
        <v>415</v>
      </c>
      <c r="FR27" s="76">
        <v>42</v>
      </c>
      <c r="FS27" s="870">
        <f t="shared" si="19"/>
        <v>36216.6</v>
      </c>
      <c r="FV27" s="114"/>
      <c r="FW27" s="15">
        <v>20</v>
      </c>
      <c r="FX27" s="74">
        <v>889.5</v>
      </c>
      <c r="FY27" s="657">
        <v>44156</v>
      </c>
      <c r="FZ27" s="74">
        <v>889.5</v>
      </c>
      <c r="GA27" s="315" t="s">
        <v>412</v>
      </c>
      <c r="GB27" s="316">
        <v>42</v>
      </c>
      <c r="GC27" s="388">
        <f t="shared" si="20"/>
        <v>37359</v>
      </c>
      <c r="GF27" s="114"/>
      <c r="GG27" s="15">
        <v>20</v>
      </c>
      <c r="GH27" s="632">
        <v>897.7</v>
      </c>
      <c r="GI27" s="392">
        <v>44159</v>
      </c>
      <c r="GJ27" s="632">
        <v>897.7</v>
      </c>
      <c r="GK27" s="102" t="s">
        <v>419</v>
      </c>
      <c r="GL27" s="76">
        <v>38</v>
      </c>
      <c r="GM27" s="870">
        <f t="shared" si="21"/>
        <v>34112.6</v>
      </c>
      <c r="GP27" s="114"/>
      <c r="GQ27" s="15">
        <v>20</v>
      </c>
      <c r="GR27" s="99">
        <v>941.04</v>
      </c>
      <c r="GS27" s="392">
        <v>44159</v>
      </c>
      <c r="GT27" s="99">
        <v>941.04</v>
      </c>
      <c r="GU27" s="102" t="s">
        <v>421</v>
      </c>
      <c r="GV27" s="76">
        <v>38</v>
      </c>
      <c r="GW27" s="870">
        <f t="shared" si="22"/>
        <v>35759.519999999997</v>
      </c>
      <c r="GZ27" s="114"/>
      <c r="HA27" s="15">
        <v>20</v>
      </c>
      <c r="HB27" s="99">
        <v>945.74</v>
      </c>
      <c r="HC27" s="392">
        <v>44160</v>
      </c>
      <c r="HD27" s="99">
        <v>945.74</v>
      </c>
      <c r="HE27" s="102" t="s">
        <v>429</v>
      </c>
      <c r="HF27" s="76">
        <v>38</v>
      </c>
      <c r="HG27" s="870">
        <f t="shared" si="23"/>
        <v>35938.120000000003</v>
      </c>
      <c r="HJ27" s="269"/>
      <c r="HK27" s="15">
        <v>20</v>
      </c>
      <c r="HL27" s="330">
        <v>909.4</v>
      </c>
      <c r="HM27" s="398">
        <v>44161</v>
      </c>
      <c r="HN27" s="330">
        <v>909.4</v>
      </c>
      <c r="HO27" s="465" t="s">
        <v>434</v>
      </c>
      <c r="HP27" s="316">
        <v>38</v>
      </c>
      <c r="HQ27" s="388">
        <f t="shared" si="24"/>
        <v>34557.199999999997</v>
      </c>
      <c r="HT27" s="114"/>
      <c r="HU27" s="15">
        <v>20</v>
      </c>
      <c r="HV27" s="74">
        <v>900.4</v>
      </c>
      <c r="HW27" s="412">
        <v>44162</v>
      </c>
      <c r="HX27" s="74">
        <v>900.4</v>
      </c>
      <c r="HY27" s="75" t="s">
        <v>435</v>
      </c>
      <c r="HZ27" s="76">
        <v>38</v>
      </c>
      <c r="IA27" s="870">
        <f t="shared" si="25"/>
        <v>34215.199999999997</v>
      </c>
      <c r="ID27" s="114"/>
      <c r="IE27" s="15">
        <v>20</v>
      </c>
      <c r="IF27" s="330">
        <v>863.2</v>
      </c>
      <c r="IG27" s="359">
        <v>44162</v>
      </c>
      <c r="IH27" s="330">
        <v>863.2</v>
      </c>
      <c r="II27" s="675" t="s">
        <v>438</v>
      </c>
      <c r="IJ27" s="316">
        <v>38</v>
      </c>
      <c r="IK27" s="388">
        <f t="shared" si="26"/>
        <v>32801.599999999999</v>
      </c>
      <c r="IM27" s="74"/>
      <c r="IN27" s="114"/>
      <c r="IO27" s="15">
        <v>20</v>
      </c>
      <c r="IP27" s="99">
        <v>935.8</v>
      </c>
      <c r="IQ27" s="412">
        <v>44166</v>
      </c>
      <c r="IR27" s="99">
        <v>935.8</v>
      </c>
      <c r="IS27" s="75" t="s">
        <v>453</v>
      </c>
      <c r="IT27" s="76">
        <v>38</v>
      </c>
      <c r="IU27" s="870">
        <f t="shared" si="27"/>
        <v>35560.400000000001</v>
      </c>
      <c r="IX27" s="114"/>
      <c r="IY27" s="15">
        <v>20</v>
      </c>
      <c r="IZ27" s="99">
        <v>918.82</v>
      </c>
      <c r="JA27" s="392">
        <v>44167</v>
      </c>
      <c r="JB27" s="99">
        <v>918.82</v>
      </c>
      <c r="JC27" s="75" t="s">
        <v>479</v>
      </c>
      <c r="JD27" s="76">
        <v>38</v>
      </c>
      <c r="JE27" s="870">
        <f t="shared" si="28"/>
        <v>34915.160000000003</v>
      </c>
      <c r="JH27" s="114"/>
      <c r="JI27" s="15">
        <v>20</v>
      </c>
      <c r="JJ27" s="74">
        <v>892.52</v>
      </c>
      <c r="JK27" s="412">
        <v>44167</v>
      </c>
      <c r="JL27" s="74">
        <v>892.52</v>
      </c>
      <c r="JM27" s="75" t="s">
        <v>477</v>
      </c>
      <c r="JN27" s="76">
        <v>38</v>
      </c>
      <c r="JO27" s="870">
        <f t="shared" si="29"/>
        <v>33915.760000000002</v>
      </c>
      <c r="JR27" s="114"/>
      <c r="JS27" s="15">
        <v>20</v>
      </c>
      <c r="JT27" s="99">
        <v>892.2</v>
      </c>
      <c r="JU27" s="392">
        <v>44168</v>
      </c>
      <c r="JV27" s="99">
        <v>892.2</v>
      </c>
      <c r="JW27" s="102" t="s">
        <v>481</v>
      </c>
      <c r="JX27" s="76">
        <v>39</v>
      </c>
      <c r="JY27" s="870">
        <f t="shared" si="30"/>
        <v>34795.800000000003</v>
      </c>
      <c r="KB27" s="114"/>
      <c r="KC27" s="15">
        <v>20</v>
      </c>
      <c r="KD27" s="99">
        <v>904</v>
      </c>
      <c r="KE27" s="392">
        <v>44168</v>
      </c>
      <c r="KF27" s="99">
        <v>904</v>
      </c>
      <c r="KG27" s="102" t="s">
        <v>484</v>
      </c>
      <c r="KH27" s="76">
        <v>39</v>
      </c>
      <c r="KI27" s="870">
        <f t="shared" si="31"/>
        <v>35256</v>
      </c>
      <c r="KL27" s="114"/>
      <c r="KM27" s="15">
        <v>20</v>
      </c>
      <c r="KN27" s="99">
        <v>928.04</v>
      </c>
      <c r="KO27" s="392">
        <v>44169</v>
      </c>
      <c r="KP27" s="99">
        <v>928.04</v>
      </c>
      <c r="KQ27" s="102" t="s">
        <v>496</v>
      </c>
      <c r="KR27" s="76">
        <v>39</v>
      </c>
      <c r="KS27" s="870">
        <f t="shared" si="32"/>
        <v>36193.56</v>
      </c>
      <c r="KV27" s="114"/>
      <c r="KW27" s="15">
        <v>20</v>
      </c>
      <c r="KX27" s="99">
        <v>900.4</v>
      </c>
      <c r="KY27" s="392">
        <v>44169</v>
      </c>
      <c r="KZ27" s="99">
        <v>900.4</v>
      </c>
      <c r="LA27" s="102" t="s">
        <v>488</v>
      </c>
      <c r="LB27" s="76">
        <v>39</v>
      </c>
      <c r="LC27" s="870">
        <f t="shared" si="33"/>
        <v>35115.599999999999</v>
      </c>
      <c r="LF27" s="114"/>
      <c r="LG27" s="15">
        <v>20</v>
      </c>
      <c r="LH27" s="99">
        <v>844.1</v>
      </c>
      <c r="LI27" s="392">
        <v>44169</v>
      </c>
      <c r="LJ27" s="99">
        <v>844.1</v>
      </c>
      <c r="LK27" s="102" t="s">
        <v>493</v>
      </c>
      <c r="LL27" s="76">
        <v>39</v>
      </c>
      <c r="LM27" s="870">
        <f t="shared" si="34"/>
        <v>32919.9</v>
      </c>
      <c r="LP27" s="114"/>
      <c r="LQ27" s="15">
        <v>20</v>
      </c>
      <c r="LR27" s="472"/>
      <c r="LS27" s="392"/>
      <c r="LT27" s="472"/>
      <c r="LU27" s="102"/>
      <c r="LV27" s="76"/>
      <c r="LY27" s="114"/>
      <c r="LZ27" s="15">
        <v>20</v>
      </c>
      <c r="MA27" s="472"/>
      <c r="MB27" s="392"/>
      <c r="MC27" s="472"/>
      <c r="MD27" s="102"/>
      <c r="ME27" s="76"/>
      <c r="MH27" s="114"/>
      <c r="MI27" s="15">
        <v>20</v>
      </c>
      <c r="MJ27" s="99"/>
      <c r="MK27" s="392"/>
      <c r="ML27" s="99"/>
      <c r="MM27" s="102"/>
      <c r="MN27" s="76"/>
      <c r="MQ27" s="114"/>
      <c r="MR27" s="15">
        <v>20</v>
      </c>
      <c r="MS27" s="472"/>
      <c r="MT27" s="392"/>
      <c r="MU27" s="385"/>
      <c r="MV27" s="384"/>
      <c r="MW27" s="76"/>
      <c r="MZ27" s="114"/>
      <c r="NA27" s="15"/>
      <c r="NB27" s="99"/>
      <c r="NC27" s="392"/>
      <c r="ND27" s="99"/>
      <c r="NE27" s="102"/>
      <c r="NF27" s="76"/>
      <c r="NI27" s="114"/>
      <c r="NJ27" s="15">
        <v>20</v>
      </c>
      <c r="NK27" s="99"/>
      <c r="NL27" s="392"/>
      <c r="NM27" s="99"/>
      <c r="NN27" s="102"/>
      <c r="NO27" s="76"/>
      <c r="NR27" s="114"/>
      <c r="NS27" s="15">
        <v>20</v>
      </c>
      <c r="NT27" s="99"/>
      <c r="NU27" s="392"/>
      <c r="NV27" s="99"/>
      <c r="NW27" s="102"/>
      <c r="NX27" s="76"/>
      <c r="OA27" s="114"/>
      <c r="OB27" s="15">
        <v>20</v>
      </c>
      <c r="OC27" s="99"/>
      <c r="OD27" s="392"/>
      <c r="OE27" s="99"/>
      <c r="OF27" s="102"/>
      <c r="OG27" s="76"/>
      <c r="OJ27" s="114"/>
      <c r="OK27" s="15">
        <v>20</v>
      </c>
      <c r="OL27" s="330"/>
      <c r="OM27" s="398"/>
      <c r="ON27" s="330"/>
      <c r="OO27" s="384"/>
      <c r="OP27" s="316"/>
      <c r="OS27" s="114"/>
      <c r="OT27" s="15">
        <v>20</v>
      </c>
      <c r="OU27" s="99"/>
      <c r="OV27" s="392"/>
      <c r="OW27" s="99"/>
      <c r="OX27" s="102"/>
      <c r="OY27" s="76"/>
      <c r="PB27" s="114"/>
      <c r="PC27" s="15">
        <v>20</v>
      </c>
      <c r="PD27" s="99"/>
      <c r="PE27" s="392"/>
      <c r="PF27" s="99"/>
      <c r="PG27" s="102"/>
      <c r="PH27" s="76"/>
      <c r="PK27" s="114"/>
      <c r="PL27" s="15">
        <v>20</v>
      </c>
      <c r="PM27" s="99"/>
      <c r="PN27" s="148"/>
      <c r="PO27" s="99"/>
      <c r="PP27" s="102"/>
      <c r="PQ27" s="76"/>
      <c r="PT27" s="114"/>
      <c r="PU27" s="15">
        <v>20</v>
      </c>
      <c r="PV27" s="99"/>
      <c r="PW27" s="392"/>
      <c r="PX27" s="99"/>
      <c r="PY27" s="102"/>
      <c r="PZ27" s="76"/>
      <c r="QC27" s="114"/>
      <c r="QD27" s="15">
        <v>20</v>
      </c>
      <c r="QE27" s="99"/>
      <c r="QF27" s="392"/>
      <c r="QG27" s="99"/>
      <c r="QH27" s="102"/>
      <c r="QI27" s="76"/>
      <c r="QL27" s="114"/>
      <c r="QM27" s="15">
        <v>20</v>
      </c>
      <c r="QN27" s="99"/>
      <c r="QO27" s="392"/>
      <c r="QP27" s="99"/>
      <c r="QQ27" s="102"/>
      <c r="QR27" s="76"/>
      <c r="QU27" s="114"/>
      <c r="QV27" s="15">
        <v>20</v>
      </c>
      <c r="QW27" s="99"/>
      <c r="QX27" s="392"/>
      <c r="QY27" s="99"/>
      <c r="QZ27" s="102"/>
      <c r="RA27" s="459"/>
      <c r="RD27" s="114"/>
      <c r="RE27" s="15">
        <v>20</v>
      </c>
      <c r="RF27" s="99"/>
      <c r="RG27" s="148"/>
      <c r="RH27" s="99"/>
      <c r="RI27" s="102"/>
      <c r="RJ27" s="76"/>
      <c r="RM27" s="114"/>
      <c r="RN27" s="15">
        <v>20</v>
      </c>
      <c r="RO27" s="99"/>
      <c r="RP27" s="86"/>
      <c r="RQ27" s="99"/>
      <c r="RR27" s="102"/>
      <c r="RS27" s="76"/>
      <c r="RV27" s="114"/>
      <c r="RW27" s="15">
        <v>20</v>
      </c>
      <c r="RX27" s="99"/>
      <c r="RY27" s="86"/>
      <c r="RZ27" s="99"/>
      <c r="SA27" s="102"/>
      <c r="SB27" s="76"/>
      <c r="SE27" s="114"/>
      <c r="SF27" s="15"/>
      <c r="SG27" s="99"/>
      <c r="SH27" s="86"/>
      <c r="SI27" s="99"/>
      <c r="SJ27" s="102"/>
      <c r="SK27" s="76"/>
      <c r="SN27" s="114"/>
      <c r="SO27" s="15">
        <v>20</v>
      </c>
      <c r="SP27" s="99"/>
      <c r="SQ27" s="471"/>
      <c r="SR27" s="206"/>
      <c r="SS27" s="463"/>
      <c r="ST27" s="462"/>
      <c r="SW27" s="114"/>
      <c r="SX27" s="15"/>
      <c r="SY27" s="99"/>
      <c r="SZ27" s="86"/>
      <c r="TA27" s="99"/>
      <c r="TB27" s="102"/>
      <c r="TC27" s="76"/>
      <c r="TF27" s="114"/>
      <c r="TG27" s="15">
        <v>20</v>
      </c>
      <c r="TH27" s="99"/>
      <c r="TI27" s="86"/>
      <c r="TJ27" s="99"/>
      <c r="TK27" s="102"/>
      <c r="TL27" s="76"/>
      <c r="TO27" s="114"/>
      <c r="TP27" s="15"/>
      <c r="TQ27" s="99"/>
      <c r="TR27" s="86"/>
      <c r="TS27" s="99"/>
      <c r="TT27" s="102"/>
      <c r="TU27" s="76"/>
      <c r="TX27" s="114"/>
      <c r="TY27" s="15">
        <v>20</v>
      </c>
      <c r="TZ27" s="99"/>
      <c r="UA27" s="86"/>
      <c r="UB27" s="99"/>
      <c r="UC27" s="102"/>
      <c r="UD27" s="76"/>
      <c r="UG27" s="114"/>
      <c r="UH27" s="15">
        <v>20</v>
      </c>
      <c r="UI27" s="99"/>
      <c r="UJ27" s="86"/>
      <c r="UK27" s="99"/>
      <c r="UL27" s="102"/>
      <c r="UM27" s="76"/>
      <c r="UP27" s="114"/>
      <c r="UQ27" s="15">
        <v>20</v>
      </c>
      <c r="UR27" s="99"/>
      <c r="US27" s="86"/>
      <c r="UT27" s="99"/>
      <c r="UU27" s="102"/>
      <c r="UV27" s="76"/>
      <c r="UY27" s="114"/>
      <c r="UZ27" s="15">
        <v>20</v>
      </c>
      <c r="VA27" s="99"/>
      <c r="VB27" s="86"/>
      <c r="VC27" s="99"/>
      <c r="VD27" s="102"/>
      <c r="VE27" s="76"/>
      <c r="VH27" s="114"/>
      <c r="VI27" s="15">
        <v>20</v>
      </c>
      <c r="VJ27" s="99"/>
      <c r="VK27" s="86"/>
      <c r="VL27" s="99"/>
      <c r="VM27" s="102"/>
      <c r="VN27" s="76"/>
      <c r="VQ27" s="114"/>
      <c r="VR27" s="15">
        <v>20</v>
      </c>
      <c r="VS27" s="99"/>
      <c r="VT27" s="86"/>
      <c r="VU27" s="99"/>
      <c r="VV27" s="102"/>
      <c r="VW27" s="76"/>
      <c r="VZ27" s="114"/>
      <c r="WA27" s="15">
        <v>20</v>
      </c>
      <c r="WB27" s="99"/>
      <c r="WC27" s="86"/>
      <c r="WD27" s="99"/>
      <c r="WE27" s="102"/>
      <c r="WF27" s="76"/>
      <c r="WI27" s="114"/>
      <c r="WJ27" s="15">
        <v>20</v>
      </c>
      <c r="WK27" s="99"/>
      <c r="WL27" s="86"/>
      <c r="WM27" s="99"/>
      <c r="WN27" s="102"/>
      <c r="WO27" s="76"/>
      <c r="WR27" s="114"/>
      <c r="WS27" s="15">
        <v>20</v>
      </c>
      <c r="WT27" s="99"/>
      <c r="WU27" s="86"/>
      <c r="WV27" s="99"/>
      <c r="WW27" s="102"/>
      <c r="WX27" s="76"/>
      <c r="XA27" s="114"/>
      <c r="XB27" s="15">
        <v>20</v>
      </c>
      <c r="XC27" s="99"/>
      <c r="XD27" s="86"/>
      <c r="XE27" s="99"/>
      <c r="XF27" s="102"/>
      <c r="XG27" s="76"/>
      <c r="XJ27" s="114"/>
      <c r="XK27" s="15">
        <v>20</v>
      </c>
      <c r="XL27" s="99"/>
      <c r="XM27" s="86"/>
      <c r="XN27" s="99"/>
      <c r="XO27" s="102"/>
      <c r="XP27" s="76"/>
      <c r="XS27" s="114"/>
      <c r="XT27" s="15">
        <v>20</v>
      </c>
      <c r="XU27" s="99"/>
      <c r="XV27" s="86"/>
      <c r="XW27" s="99"/>
      <c r="XX27" s="102"/>
      <c r="XY27" s="76"/>
      <c r="YB27" s="114"/>
      <c r="YC27" s="15">
        <v>20</v>
      </c>
      <c r="YD27" s="99"/>
      <c r="YE27" s="86"/>
      <c r="YF27" s="99"/>
      <c r="YG27" s="102"/>
      <c r="YH27" s="76"/>
      <c r="YK27" s="114"/>
      <c r="YL27" s="15">
        <v>20</v>
      </c>
      <c r="YM27" s="99"/>
      <c r="YN27" s="86"/>
      <c r="YO27" s="99"/>
      <c r="YP27" s="102"/>
      <c r="YQ27" s="76"/>
      <c r="YT27" s="114"/>
      <c r="YU27" s="15">
        <v>20</v>
      </c>
      <c r="YV27" s="99"/>
      <c r="YW27" s="86"/>
      <c r="YX27" s="99"/>
      <c r="YY27" s="102"/>
      <c r="YZ27" s="76"/>
      <c r="ZC27" s="114"/>
      <c r="ZD27" s="15">
        <v>20</v>
      </c>
      <c r="ZE27" s="99"/>
      <c r="ZF27" s="86"/>
      <c r="ZG27" s="99"/>
      <c r="ZH27" s="102"/>
      <c r="ZI27" s="76"/>
      <c r="ZL27" s="114"/>
      <c r="ZM27" s="15">
        <v>20</v>
      </c>
      <c r="ZN27" s="99"/>
      <c r="ZO27" s="86"/>
      <c r="ZP27" s="99"/>
      <c r="ZQ27" s="102"/>
      <c r="ZR27" s="76"/>
      <c r="ZU27" s="114"/>
      <c r="ZV27" s="15">
        <v>20</v>
      </c>
      <c r="ZW27" s="99"/>
      <c r="ZX27" s="86"/>
      <c r="ZY27" s="99"/>
      <c r="ZZ27" s="102"/>
      <c r="AAA27" s="76"/>
      <c r="AAD27" s="114"/>
      <c r="AAE27" s="15">
        <v>20</v>
      </c>
      <c r="AAF27" s="99"/>
      <c r="AAG27" s="86"/>
      <c r="AAH27" s="99"/>
      <c r="AAI27" s="102"/>
      <c r="AAJ27" s="76"/>
      <c r="AAM27" s="114"/>
      <c r="AAN27" s="15">
        <v>20</v>
      </c>
      <c r="AAO27" s="99"/>
      <c r="AAP27" s="86"/>
      <c r="AAQ27" s="99"/>
      <c r="AAR27" s="102"/>
      <c r="AAS27" s="76"/>
      <c r="AAV27" s="114"/>
      <c r="AAW27" s="15">
        <v>20</v>
      </c>
      <c r="AAX27" s="99"/>
      <c r="AAY27" s="86"/>
      <c r="AAZ27" s="99"/>
      <c r="ABA27" s="102"/>
      <c r="ABB27" s="76"/>
      <c r="ABE27" s="114"/>
      <c r="ABF27" s="15">
        <v>20</v>
      </c>
      <c r="ABG27" s="99"/>
      <c r="ABH27" s="86"/>
      <c r="ABI27" s="99"/>
      <c r="ABJ27" s="102"/>
      <c r="ABK27" s="76"/>
      <c r="ABN27" s="114"/>
      <c r="ABO27" s="15">
        <v>20</v>
      </c>
      <c r="ABP27" s="99"/>
      <c r="ABQ27" s="86"/>
      <c r="ABR27" s="99"/>
      <c r="ABS27" s="102"/>
      <c r="ABT27" s="76"/>
      <c r="ABW27" s="114"/>
      <c r="ABX27" s="15">
        <v>20</v>
      </c>
      <c r="ABY27" s="99"/>
      <c r="ABZ27" s="86"/>
      <c r="ACA27" s="99"/>
      <c r="ACB27" s="102"/>
      <c r="ACC27" s="76"/>
      <c r="ACF27" s="114"/>
      <c r="ACG27" s="15">
        <v>20</v>
      </c>
      <c r="ACH27" s="99"/>
      <c r="ACI27" s="86"/>
      <c r="ACJ27" s="99"/>
      <c r="ACK27" s="102"/>
      <c r="ACL27" s="76"/>
      <c r="ACO27" s="114"/>
      <c r="ACP27" s="15">
        <v>20</v>
      </c>
      <c r="ACQ27" s="99"/>
      <c r="ACR27" s="86"/>
      <c r="ACS27" s="99"/>
      <c r="ACT27" s="102"/>
      <c r="ACU27" s="76"/>
      <c r="ACX27" s="114"/>
      <c r="ACY27" s="15">
        <v>20</v>
      </c>
      <c r="ACZ27" s="99"/>
      <c r="ADA27" s="86"/>
      <c r="ADB27" s="99"/>
      <c r="ADC27" s="102"/>
      <c r="ADD27" s="76"/>
      <c r="ADG27" s="114"/>
      <c r="ADH27" s="15">
        <v>20</v>
      </c>
      <c r="ADI27" s="99"/>
      <c r="ADJ27" s="86"/>
      <c r="ADK27" s="99"/>
      <c r="ADL27" s="102"/>
      <c r="ADM27" s="76"/>
      <c r="ADP27" s="114"/>
      <c r="ADQ27" s="15">
        <v>20</v>
      </c>
      <c r="ADR27" s="99"/>
      <c r="ADS27" s="86"/>
      <c r="ADT27" s="99"/>
      <c r="ADU27" s="102"/>
      <c r="ADV27" s="76"/>
      <c r="ADY27" s="114"/>
      <c r="ADZ27" s="15">
        <v>20</v>
      </c>
      <c r="AEA27" s="99"/>
      <c r="AEB27" s="86"/>
      <c r="AEC27" s="99"/>
      <c r="AED27" s="102"/>
      <c r="AEE27" s="76"/>
    </row>
    <row r="28" spans="1:811" x14ac:dyDescent="0.3">
      <c r="A28" s="150">
        <v>25</v>
      </c>
      <c r="B28" s="82" t="str">
        <f t="shared" ref="B28:I28" si="53">IM5</f>
        <v>SEABOARD FOODS</v>
      </c>
      <c r="C28" s="82" t="str">
        <f t="shared" si="53"/>
        <v>Seaboard</v>
      </c>
      <c r="D28" s="110" t="str">
        <f t="shared" si="53"/>
        <v>PED. 58257149</v>
      </c>
      <c r="E28" s="148">
        <f t="shared" si="53"/>
        <v>44166</v>
      </c>
      <c r="F28" s="93">
        <f t="shared" si="53"/>
        <v>18834.400000000001</v>
      </c>
      <c r="G28" s="79">
        <f t="shared" si="53"/>
        <v>21</v>
      </c>
      <c r="H28" s="49">
        <f t="shared" si="53"/>
        <v>18847.8</v>
      </c>
      <c r="I28" s="113">
        <f t="shared" si="53"/>
        <v>-13.399999999997817</v>
      </c>
      <c r="L28" s="114"/>
      <c r="M28" s="15">
        <v>21</v>
      </c>
      <c r="N28" s="330"/>
      <c r="O28" s="398"/>
      <c r="P28" s="330"/>
      <c r="Q28" s="384"/>
      <c r="R28" s="316"/>
      <c r="S28" s="388">
        <f t="shared" si="6"/>
        <v>0</v>
      </c>
      <c r="T28" s="288"/>
      <c r="V28" s="114"/>
      <c r="W28" s="15">
        <v>21</v>
      </c>
      <c r="X28" s="330">
        <v>865</v>
      </c>
      <c r="Y28" s="398">
        <v>44140</v>
      </c>
      <c r="Z28" s="330">
        <v>865</v>
      </c>
      <c r="AA28" s="465" t="s">
        <v>334</v>
      </c>
      <c r="AB28" s="316">
        <v>45</v>
      </c>
      <c r="AC28" s="388">
        <f t="shared" si="7"/>
        <v>38925</v>
      </c>
      <c r="AF28" s="114"/>
      <c r="AG28" s="15">
        <v>21</v>
      </c>
      <c r="AH28" s="99">
        <v>914.9</v>
      </c>
      <c r="AI28" s="392">
        <v>44140</v>
      </c>
      <c r="AJ28" s="99">
        <v>914.9</v>
      </c>
      <c r="AK28" s="102" t="s">
        <v>330</v>
      </c>
      <c r="AL28" s="76">
        <v>45</v>
      </c>
      <c r="AM28" s="894">
        <f t="shared" si="8"/>
        <v>41170.5</v>
      </c>
      <c r="AP28" s="114"/>
      <c r="AQ28" s="15">
        <v>21</v>
      </c>
      <c r="AR28" s="385">
        <v>925.3</v>
      </c>
      <c r="AS28" s="398">
        <v>44141</v>
      </c>
      <c r="AT28" s="385">
        <v>925.3</v>
      </c>
      <c r="AU28" s="384" t="s">
        <v>339</v>
      </c>
      <c r="AV28" s="316">
        <v>45</v>
      </c>
      <c r="AY28" s="114"/>
      <c r="AZ28" s="15">
        <v>21</v>
      </c>
      <c r="BA28" s="99">
        <v>922.1</v>
      </c>
      <c r="BB28" s="148">
        <v>44141</v>
      </c>
      <c r="BC28" s="99">
        <v>922.1</v>
      </c>
      <c r="BD28" s="102" t="s">
        <v>344</v>
      </c>
      <c r="BE28" s="459">
        <v>45</v>
      </c>
      <c r="BH28" s="114"/>
      <c r="BI28" s="15">
        <v>21</v>
      </c>
      <c r="BJ28" s="99">
        <v>900.4</v>
      </c>
      <c r="BK28" s="148">
        <v>44141</v>
      </c>
      <c r="BL28" s="99">
        <v>900.4</v>
      </c>
      <c r="BM28" s="102" t="s">
        <v>348</v>
      </c>
      <c r="BN28" s="459">
        <v>45</v>
      </c>
      <c r="BQ28" s="114"/>
      <c r="BR28" s="15">
        <v>21</v>
      </c>
      <c r="BS28" s="99"/>
      <c r="BT28" s="460"/>
      <c r="BU28" s="99"/>
      <c r="BV28" s="463"/>
      <c r="BW28" s="462"/>
      <c r="BX28" s="870">
        <f t="shared" si="9"/>
        <v>0</v>
      </c>
      <c r="BZ28" s="114"/>
      <c r="CA28" s="15">
        <v>21</v>
      </c>
      <c r="CB28" s="99">
        <v>924.9</v>
      </c>
      <c r="CC28" s="460">
        <v>44146</v>
      </c>
      <c r="CD28" s="99">
        <v>924.9</v>
      </c>
      <c r="CE28" s="463" t="s">
        <v>362</v>
      </c>
      <c r="CF28" s="462">
        <v>45</v>
      </c>
      <c r="CG28" s="870">
        <f t="shared" si="10"/>
        <v>41620.5</v>
      </c>
      <c r="CJ28" s="114"/>
      <c r="CK28" s="15">
        <v>21</v>
      </c>
      <c r="CL28" s="330"/>
      <c r="CM28" s="460"/>
      <c r="CN28" s="330"/>
      <c r="CO28" s="463"/>
      <c r="CP28" s="462"/>
      <c r="CQ28" s="925">
        <f t="shared" si="11"/>
        <v>0</v>
      </c>
      <c r="CT28" s="114"/>
      <c r="CU28" s="15">
        <v>21</v>
      </c>
      <c r="CV28" s="99">
        <v>894.9</v>
      </c>
      <c r="CW28" s="392">
        <v>44148</v>
      </c>
      <c r="CX28" s="99">
        <v>894.9</v>
      </c>
      <c r="CY28" s="102" t="s">
        <v>372</v>
      </c>
      <c r="CZ28" s="76">
        <v>45</v>
      </c>
      <c r="DA28" s="870">
        <f t="shared" si="12"/>
        <v>40270.5</v>
      </c>
      <c r="DD28" s="114"/>
      <c r="DE28" s="15">
        <v>21</v>
      </c>
      <c r="DF28" s="99">
        <v>878.6</v>
      </c>
      <c r="DG28" s="460">
        <v>44148</v>
      </c>
      <c r="DH28" s="99">
        <v>878.6</v>
      </c>
      <c r="DI28" s="463" t="s">
        <v>374</v>
      </c>
      <c r="DJ28" s="462">
        <v>45</v>
      </c>
      <c r="DK28" s="925">
        <f t="shared" si="13"/>
        <v>39537</v>
      </c>
      <c r="DN28" s="114"/>
      <c r="DO28" s="15">
        <v>21</v>
      </c>
      <c r="DP28" s="99">
        <v>902.2</v>
      </c>
      <c r="DQ28" s="460">
        <v>44148</v>
      </c>
      <c r="DR28" s="99">
        <v>902.2</v>
      </c>
      <c r="DS28" s="463" t="s">
        <v>376</v>
      </c>
      <c r="DT28" s="462">
        <v>45</v>
      </c>
      <c r="DU28" s="870">
        <f t="shared" si="14"/>
        <v>40599</v>
      </c>
      <c r="DX28" s="114"/>
      <c r="DY28" s="15">
        <v>21</v>
      </c>
      <c r="DZ28" s="74"/>
      <c r="EA28" s="412"/>
      <c r="EB28" s="74"/>
      <c r="EC28" s="75"/>
      <c r="ED28" s="76"/>
      <c r="EE28" s="870">
        <f t="shared" si="15"/>
        <v>0</v>
      </c>
      <c r="EH28" s="114"/>
      <c r="EI28" s="15">
        <v>21</v>
      </c>
      <c r="EJ28" s="74">
        <v>906.7</v>
      </c>
      <c r="EK28" s="412">
        <v>44154</v>
      </c>
      <c r="EL28" s="74">
        <v>906.7</v>
      </c>
      <c r="EM28" s="315" t="s">
        <v>401</v>
      </c>
      <c r="EN28" s="76">
        <v>42</v>
      </c>
      <c r="EO28" s="870">
        <f t="shared" si="16"/>
        <v>38081.4</v>
      </c>
      <c r="ER28" s="101"/>
      <c r="ES28" s="15">
        <v>21</v>
      </c>
      <c r="ET28" s="330">
        <v>890.4</v>
      </c>
      <c r="EU28" s="398">
        <v>44154</v>
      </c>
      <c r="EV28" s="330">
        <v>890.4</v>
      </c>
      <c r="EW28" s="315" t="s">
        <v>399</v>
      </c>
      <c r="EX28" s="316">
        <v>42</v>
      </c>
      <c r="EY28" s="388">
        <f t="shared" si="17"/>
        <v>37396.799999999996</v>
      </c>
      <c r="FB28" s="114"/>
      <c r="FC28" s="15">
        <v>21</v>
      </c>
      <c r="FD28" s="99">
        <v>911.3</v>
      </c>
      <c r="FE28" s="392">
        <v>44154</v>
      </c>
      <c r="FF28" s="99">
        <v>911.3</v>
      </c>
      <c r="FG28" s="75" t="s">
        <v>405</v>
      </c>
      <c r="FH28" s="76">
        <v>42</v>
      </c>
      <c r="FI28" s="870">
        <f t="shared" si="18"/>
        <v>38274.6</v>
      </c>
      <c r="FL28" s="114"/>
      <c r="FM28" s="15">
        <v>21</v>
      </c>
      <c r="FN28" s="99">
        <v>874.1</v>
      </c>
      <c r="FO28" s="392">
        <v>44156</v>
      </c>
      <c r="FP28" s="99">
        <v>874.1</v>
      </c>
      <c r="FQ28" s="75" t="s">
        <v>415</v>
      </c>
      <c r="FR28" s="76">
        <v>42</v>
      </c>
      <c r="FS28" s="870">
        <f t="shared" si="19"/>
        <v>36712.200000000004</v>
      </c>
      <c r="FV28" s="114"/>
      <c r="FW28" s="15">
        <v>21</v>
      </c>
      <c r="FX28" s="74">
        <v>866.8</v>
      </c>
      <c r="FY28" s="657">
        <v>44156</v>
      </c>
      <c r="FZ28" s="74">
        <v>866.8</v>
      </c>
      <c r="GA28" s="315" t="s">
        <v>412</v>
      </c>
      <c r="GB28" s="316">
        <v>42</v>
      </c>
      <c r="GC28" s="388">
        <f t="shared" si="20"/>
        <v>36405.599999999999</v>
      </c>
      <c r="GF28" s="114"/>
      <c r="GG28" s="15">
        <v>21</v>
      </c>
      <c r="GH28" s="632">
        <v>904.9</v>
      </c>
      <c r="GI28" s="392">
        <v>44159</v>
      </c>
      <c r="GJ28" s="632">
        <v>904.9</v>
      </c>
      <c r="GK28" s="102" t="s">
        <v>419</v>
      </c>
      <c r="GL28" s="76">
        <v>38</v>
      </c>
      <c r="GM28" s="870">
        <f t="shared" si="21"/>
        <v>34386.199999999997</v>
      </c>
      <c r="GP28" s="114"/>
      <c r="GQ28" s="15">
        <v>21</v>
      </c>
      <c r="GR28" s="99"/>
      <c r="GS28" s="392"/>
      <c r="GT28" s="99"/>
      <c r="GU28" s="102"/>
      <c r="GV28" s="76"/>
      <c r="GW28" s="870">
        <f t="shared" si="22"/>
        <v>0</v>
      </c>
      <c r="GZ28" s="114"/>
      <c r="HA28" s="15">
        <v>21</v>
      </c>
      <c r="HB28" s="99"/>
      <c r="HC28" s="392"/>
      <c r="HD28" s="99"/>
      <c r="HE28" s="102"/>
      <c r="HF28" s="76"/>
      <c r="HG28" s="870">
        <f t="shared" si="23"/>
        <v>0</v>
      </c>
      <c r="HJ28" s="114"/>
      <c r="HK28" s="15">
        <v>21</v>
      </c>
      <c r="HL28" s="330">
        <v>845</v>
      </c>
      <c r="HM28" s="398">
        <v>44161</v>
      </c>
      <c r="HN28" s="330">
        <v>845</v>
      </c>
      <c r="HO28" s="465" t="s">
        <v>434</v>
      </c>
      <c r="HP28" s="316">
        <v>38</v>
      </c>
      <c r="HQ28" s="388">
        <f t="shared" si="24"/>
        <v>32110</v>
      </c>
      <c r="HT28" s="114"/>
      <c r="HU28" s="15">
        <v>21</v>
      </c>
      <c r="HV28" s="74">
        <v>924</v>
      </c>
      <c r="HW28" s="412">
        <v>44162</v>
      </c>
      <c r="HX28" s="74">
        <v>924</v>
      </c>
      <c r="HY28" s="75" t="s">
        <v>435</v>
      </c>
      <c r="HZ28" s="76">
        <v>38</v>
      </c>
      <c r="IA28" s="870">
        <f t="shared" si="25"/>
        <v>35112</v>
      </c>
      <c r="ID28" s="114"/>
      <c r="IE28" s="15">
        <v>21</v>
      </c>
      <c r="IF28" s="330">
        <v>882.2</v>
      </c>
      <c r="IG28" s="359">
        <v>44162</v>
      </c>
      <c r="IH28" s="330">
        <v>882.2</v>
      </c>
      <c r="II28" s="675" t="s">
        <v>438</v>
      </c>
      <c r="IJ28" s="316">
        <v>38</v>
      </c>
      <c r="IK28" s="388">
        <f t="shared" si="26"/>
        <v>33523.599999999999</v>
      </c>
      <c r="IM28" s="74"/>
      <c r="IN28" s="114"/>
      <c r="IO28" s="15">
        <v>21</v>
      </c>
      <c r="IP28" s="74">
        <v>878.6</v>
      </c>
      <c r="IQ28" s="412">
        <v>44166</v>
      </c>
      <c r="IR28" s="74">
        <v>878.6</v>
      </c>
      <c r="IS28" s="75" t="s">
        <v>453</v>
      </c>
      <c r="IT28" s="76">
        <v>38</v>
      </c>
      <c r="IU28" s="870">
        <f t="shared" si="27"/>
        <v>33386.800000000003</v>
      </c>
      <c r="IX28" s="114"/>
      <c r="IY28" s="15">
        <v>21</v>
      </c>
      <c r="IZ28" s="99"/>
      <c r="JA28" s="392"/>
      <c r="JB28" s="99"/>
      <c r="JC28" s="75"/>
      <c r="JD28" s="76"/>
      <c r="JE28" s="870">
        <f>JD28*JB28</f>
        <v>0</v>
      </c>
      <c r="JH28" s="114"/>
      <c r="JI28" s="15">
        <v>21</v>
      </c>
      <c r="JJ28" s="74"/>
      <c r="JK28" s="412"/>
      <c r="JL28" s="74"/>
      <c r="JM28" s="75"/>
      <c r="JN28" s="76"/>
      <c r="JO28" s="870">
        <f t="shared" si="29"/>
        <v>0</v>
      </c>
      <c r="JR28" s="114"/>
      <c r="JS28" s="15">
        <v>21</v>
      </c>
      <c r="JT28" s="99">
        <v>883.2</v>
      </c>
      <c r="JU28" s="392">
        <v>44168</v>
      </c>
      <c r="JV28" s="99">
        <v>883.2</v>
      </c>
      <c r="JW28" s="102" t="s">
        <v>481</v>
      </c>
      <c r="JX28" s="76">
        <v>39</v>
      </c>
      <c r="JY28" s="870">
        <f t="shared" si="30"/>
        <v>34444.800000000003</v>
      </c>
      <c r="KB28" s="114"/>
      <c r="KC28" s="15">
        <v>21</v>
      </c>
      <c r="KD28" s="99">
        <v>933</v>
      </c>
      <c r="KE28" s="392">
        <v>44168</v>
      </c>
      <c r="KF28" s="99">
        <v>933</v>
      </c>
      <c r="KG28" s="102" t="s">
        <v>484</v>
      </c>
      <c r="KH28" s="76">
        <v>39</v>
      </c>
      <c r="KI28" s="870">
        <f t="shared" si="31"/>
        <v>36387</v>
      </c>
      <c r="KL28" s="114"/>
      <c r="KM28" s="15">
        <v>21</v>
      </c>
      <c r="KN28" s="99"/>
      <c r="KO28" s="392"/>
      <c r="KP28" s="99"/>
      <c r="KQ28" s="102"/>
      <c r="KR28" s="76"/>
      <c r="KS28" s="870">
        <f t="shared" si="32"/>
        <v>0</v>
      </c>
      <c r="KV28" s="114"/>
      <c r="KW28" s="15">
        <v>21</v>
      </c>
      <c r="KX28" s="99">
        <v>920.3</v>
      </c>
      <c r="KY28" s="392">
        <v>44169</v>
      </c>
      <c r="KZ28" s="99">
        <v>920.3</v>
      </c>
      <c r="LA28" s="102" t="s">
        <v>488</v>
      </c>
      <c r="LB28" s="76">
        <v>39</v>
      </c>
      <c r="LC28" s="870">
        <f t="shared" si="33"/>
        <v>35891.699999999997</v>
      </c>
      <c r="LF28" s="114"/>
      <c r="LG28" s="15">
        <v>21</v>
      </c>
      <c r="LH28" s="99">
        <v>865</v>
      </c>
      <c r="LI28" s="392">
        <v>44169</v>
      </c>
      <c r="LJ28" s="99">
        <v>865</v>
      </c>
      <c r="LK28" s="102" t="s">
        <v>493</v>
      </c>
      <c r="LL28" s="76">
        <v>39</v>
      </c>
      <c r="LM28" s="870">
        <f t="shared" si="34"/>
        <v>33735</v>
      </c>
      <c r="LP28" s="114"/>
      <c r="LQ28" s="15">
        <v>21</v>
      </c>
      <c r="LR28" s="472"/>
      <c r="LS28" s="392"/>
      <c r="LT28" s="472"/>
      <c r="LU28" s="102"/>
      <c r="LV28" s="76"/>
      <c r="LY28" s="114"/>
      <c r="LZ28" s="15">
        <v>21</v>
      </c>
      <c r="MA28" s="472"/>
      <c r="MB28" s="392"/>
      <c r="MC28" s="472"/>
      <c r="MD28" s="102"/>
      <c r="ME28" s="76"/>
      <c r="MH28" s="114"/>
      <c r="MI28" s="15">
        <v>21</v>
      </c>
      <c r="MJ28" s="99"/>
      <c r="MK28" s="392"/>
      <c r="ML28" s="99"/>
      <c r="MM28" s="102"/>
      <c r="MN28" s="76"/>
      <c r="MQ28" s="114"/>
      <c r="MR28" s="15"/>
      <c r="MS28" s="472"/>
      <c r="MT28" s="392"/>
      <c r="MU28" s="385"/>
      <c r="MV28" s="384"/>
      <c r="MW28" s="76"/>
      <c r="MZ28" s="114"/>
      <c r="NA28" s="15"/>
      <c r="NB28" s="99"/>
      <c r="NC28" s="392"/>
      <c r="ND28" s="99"/>
      <c r="NE28" s="102"/>
      <c r="NF28" s="76"/>
      <c r="NI28" s="114"/>
      <c r="NJ28" s="15">
        <v>21</v>
      </c>
      <c r="NK28" s="99"/>
      <c r="NL28" s="392"/>
      <c r="NM28" s="99"/>
      <c r="NN28" s="102"/>
      <c r="NO28" s="76"/>
      <c r="NR28" s="114"/>
      <c r="NS28" s="15">
        <v>21</v>
      </c>
      <c r="NT28" s="99"/>
      <c r="NU28" s="392"/>
      <c r="NV28" s="99"/>
      <c r="NW28" s="102"/>
      <c r="NX28" s="76"/>
      <c r="OA28" s="114"/>
      <c r="OB28" s="15">
        <v>21</v>
      </c>
      <c r="OC28" s="99"/>
      <c r="OD28" s="392"/>
      <c r="OE28" s="99"/>
      <c r="OF28" s="102"/>
      <c r="OG28" s="76"/>
      <c r="OJ28" s="114"/>
      <c r="OK28" s="15">
        <v>21</v>
      </c>
      <c r="OL28" s="330"/>
      <c r="OM28" s="398"/>
      <c r="ON28" s="330"/>
      <c r="OO28" s="384"/>
      <c r="OP28" s="316"/>
      <c r="OS28" s="114"/>
      <c r="OT28" s="15">
        <v>21</v>
      </c>
      <c r="OU28" s="99"/>
      <c r="OV28" s="392"/>
      <c r="OW28" s="99"/>
      <c r="OX28" s="102"/>
      <c r="OY28" s="76"/>
      <c r="PB28" s="114"/>
      <c r="PC28" s="15">
        <v>21</v>
      </c>
      <c r="PD28" s="99"/>
      <c r="PE28" s="392"/>
      <c r="PF28" s="99"/>
      <c r="PG28" s="102"/>
      <c r="PH28" s="76"/>
      <c r="PK28" s="114"/>
      <c r="PL28" s="15">
        <v>21</v>
      </c>
      <c r="PM28" s="99"/>
      <c r="PN28" s="148"/>
      <c r="PO28" s="99"/>
      <c r="PP28" s="102"/>
      <c r="PQ28" s="76"/>
      <c r="PT28" s="114"/>
      <c r="PU28" s="15">
        <v>21</v>
      </c>
      <c r="PV28" s="99"/>
      <c r="PW28" s="392"/>
      <c r="PX28" s="99"/>
      <c r="PY28" s="102"/>
      <c r="PZ28" s="76"/>
      <c r="QC28" s="114"/>
      <c r="QD28" s="15">
        <v>21</v>
      </c>
      <c r="QE28" s="99"/>
      <c r="QF28" s="392"/>
      <c r="QG28" s="99"/>
      <c r="QH28" s="102"/>
      <c r="QI28" s="76"/>
      <c r="QL28" s="114"/>
      <c r="QM28" s="15">
        <v>21</v>
      </c>
      <c r="QN28" s="99"/>
      <c r="QO28" s="392"/>
      <c r="QP28" s="99"/>
      <c r="QQ28" s="102"/>
      <c r="QR28" s="76"/>
      <c r="QU28" s="114"/>
      <c r="QV28" s="15">
        <v>21</v>
      </c>
      <c r="QW28" s="99"/>
      <c r="QX28" s="392"/>
      <c r="QY28" s="99"/>
      <c r="QZ28" s="102"/>
      <c r="RA28" s="459"/>
      <c r="RD28" s="114"/>
      <c r="RE28" s="15">
        <v>21</v>
      </c>
      <c r="RF28" s="99"/>
      <c r="RG28" s="148"/>
      <c r="RH28" s="99"/>
      <c r="RI28" s="102"/>
      <c r="RJ28" s="76"/>
      <c r="RM28" s="114"/>
      <c r="RN28" s="15">
        <v>21</v>
      </c>
      <c r="RO28" s="99"/>
      <c r="RP28" s="86"/>
      <c r="RQ28" s="99"/>
      <c r="RR28" s="102"/>
      <c r="RS28" s="76"/>
      <c r="RV28" s="114"/>
      <c r="RW28" s="15">
        <v>21</v>
      </c>
      <c r="RX28" s="99"/>
      <c r="RY28" s="86"/>
      <c r="RZ28" s="99"/>
      <c r="SA28" s="102"/>
      <c r="SB28" s="76"/>
      <c r="SE28" s="114"/>
      <c r="SF28" s="15"/>
      <c r="SG28" s="99"/>
      <c r="SH28" s="86"/>
      <c r="SI28" s="99"/>
      <c r="SJ28" s="102"/>
      <c r="SK28" s="76"/>
      <c r="SN28" s="114"/>
      <c r="SO28" s="15"/>
      <c r="SP28" s="99"/>
      <c r="SQ28" s="86"/>
      <c r="SR28" s="99"/>
      <c r="SS28" s="102"/>
      <c r="ST28" s="76"/>
      <c r="SW28" s="114"/>
      <c r="SX28" s="15"/>
      <c r="SY28" s="99"/>
      <c r="SZ28" s="86"/>
      <c r="TA28" s="99"/>
      <c r="TB28" s="102"/>
      <c r="TC28" s="76"/>
      <c r="TF28" s="114"/>
      <c r="TG28" s="15">
        <v>21</v>
      </c>
      <c r="TH28" s="99"/>
      <c r="TI28" s="86"/>
      <c r="TJ28" s="99"/>
      <c r="TK28" s="102"/>
      <c r="TL28" s="76"/>
      <c r="TO28" s="114"/>
      <c r="TP28" s="15"/>
      <c r="TQ28" s="99"/>
      <c r="TR28" s="86"/>
      <c r="TS28" s="99"/>
      <c r="TT28" s="102"/>
      <c r="TU28" s="76"/>
      <c r="TX28" s="114"/>
      <c r="TY28" s="15">
        <v>21</v>
      </c>
      <c r="TZ28" s="99"/>
      <c r="UA28" s="86"/>
      <c r="UB28" s="99"/>
      <c r="UC28" s="102"/>
      <c r="UD28" s="76"/>
      <c r="UG28" s="114"/>
      <c r="UH28" s="15"/>
      <c r="UI28" s="99"/>
      <c r="UJ28" s="86"/>
      <c r="UK28" s="99"/>
      <c r="UL28" s="102"/>
      <c r="UM28" s="76"/>
      <c r="UP28" s="114"/>
      <c r="UQ28" s="15">
        <v>21</v>
      </c>
      <c r="UR28" s="99"/>
      <c r="US28" s="86"/>
      <c r="UT28" s="99"/>
      <c r="UU28" s="102"/>
      <c r="UV28" s="76"/>
      <c r="UY28" s="114"/>
      <c r="UZ28" s="15">
        <v>21</v>
      </c>
      <c r="VA28" s="99"/>
      <c r="VB28" s="86"/>
      <c r="VC28" s="99"/>
      <c r="VD28" s="102"/>
      <c r="VE28" s="76"/>
      <c r="VH28" s="114"/>
      <c r="VI28" s="15">
        <v>21</v>
      </c>
      <c r="VJ28" s="99"/>
      <c r="VK28" s="86"/>
      <c r="VL28" s="99"/>
      <c r="VM28" s="102"/>
      <c r="VN28" s="76"/>
      <c r="VQ28" s="114"/>
      <c r="VR28" s="15">
        <v>21</v>
      </c>
      <c r="VS28" s="99"/>
      <c r="VT28" s="86"/>
      <c r="VU28" s="99"/>
      <c r="VV28" s="102"/>
      <c r="VW28" s="76"/>
      <c r="VZ28" s="114"/>
      <c r="WA28" s="15">
        <v>21</v>
      </c>
      <c r="WB28" s="99"/>
      <c r="WC28" s="86"/>
      <c r="WD28" s="99"/>
      <c r="WE28" s="102"/>
      <c r="WF28" s="76"/>
      <c r="WI28" s="114"/>
      <c r="WJ28" s="15">
        <v>21</v>
      </c>
      <c r="WK28" s="99"/>
      <c r="WL28" s="86"/>
      <c r="WM28" s="99"/>
      <c r="WN28" s="102"/>
      <c r="WO28" s="76"/>
      <c r="WR28" s="114"/>
      <c r="WS28" s="15">
        <v>21</v>
      </c>
      <c r="WT28" s="99"/>
      <c r="WU28" s="86"/>
      <c r="WV28" s="99"/>
      <c r="WW28" s="102"/>
      <c r="WX28" s="76"/>
      <c r="XA28" s="114"/>
      <c r="XB28" s="15">
        <v>21</v>
      </c>
      <c r="XC28" s="99"/>
      <c r="XD28" s="86"/>
      <c r="XE28" s="99"/>
      <c r="XF28" s="102"/>
      <c r="XG28" s="76"/>
      <c r="XJ28" s="114"/>
      <c r="XK28" s="15">
        <v>21</v>
      </c>
      <c r="XL28" s="99"/>
      <c r="XM28" s="86"/>
      <c r="XN28" s="99"/>
      <c r="XO28" s="102"/>
      <c r="XP28" s="76"/>
      <c r="XS28" s="114"/>
      <c r="XT28" s="15">
        <v>21</v>
      </c>
      <c r="XU28" s="99"/>
      <c r="XV28" s="86"/>
      <c r="XW28" s="99"/>
      <c r="XX28" s="102"/>
      <c r="XY28" s="76"/>
      <c r="YB28" s="114"/>
      <c r="YC28" s="15">
        <v>21</v>
      </c>
      <c r="YD28" s="99"/>
      <c r="YE28" s="86"/>
      <c r="YF28" s="99"/>
      <c r="YG28" s="102"/>
      <c r="YH28" s="76"/>
      <c r="YK28" s="114"/>
      <c r="YL28" s="15">
        <v>21</v>
      </c>
      <c r="YM28" s="99"/>
      <c r="YN28" s="86"/>
      <c r="YO28" s="99"/>
      <c r="YP28" s="102"/>
      <c r="YQ28" s="76"/>
      <c r="YT28" s="114"/>
      <c r="YU28" s="15">
        <v>21</v>
      </c>
      <c r="YV28" s="99"/>
      <c r="YW28" s="86"/>
      <c r="YX28" s="99"/>
      <c r="YY28" s="102"/>
      <c r="YZ28" s="76"/>
      <c r="ZC28" s="114"/>
      <c r="ZD28" s="15">
        <v>21</v>
      </c>
      <c r="ZE28" s="99"/>
      <c r="ZF28" s="86"/>
      <c r="ZG28" s="99"/>
      <c r="ZH28" s="102"/>
      <c r="ZI28" s="76"/>
      <c r="ZL28" s="114"/>
      <c r="ZM28" s="15">
        <v>21</v>
      </c>
      <c r="ZN28" s="99"/>
      <c r="ZO28" s="86"/>
      <c r="ZP28" s="99"/>
      <c r="ZQ28" s="102"/>
      <c r="ZR28" s="76"/>
      <c r="ZU28" s="114"/>
      <c r="ZV28" s="15">
        <v>21</v>
      </c>
      <c r="ZW28" s="99"/>
      <c r="ZX28" s="86"/>
      <c r="ZY28" s="99"/>
      <c r="ZZ28" s="102"/>
      <c r="AAA28" s="76"/>
      <c r="AAD28" s="114"/>
      <c r="AAE28" s="15">
        <v>21</v>
      </c>
      <c r="AAF28" s="99"/>
      <c r="AAG28" s="86"/>
      <c r="AAH28" s="99"/>
      <c r="AAI28" s="102"/>
      <c r="AAJ28" s="76"/>
      <c r="AAM28" s="114"/>
      <c r="AAN28" s="15">
        <v>21</v>
      </c>
      <c r="AAO28" s="99"/>
      <c r="AAP28" s="86"/>
      <c r="AAQ28" s="99"/>
      <c r="AAR28" s="102"/>
      <c r="AAS28" s="76"/>
      <c r="AAV28" s="114"/>
      <c r="AAW28" s="15">
        <v>21</v>
      </c>
      <c r="AAX28" s="99"/>
      <c r="AAY28" s="86"/>
      <c r="AAZ28" s="99"/>
      <c r="ABA28" s="102"/>
      <c r="ABB28" s="76"/>
      <c r="ABE28" s="114"/>
      <c r="ABF28" s="15">
        <v>21</v>
      </c>
      <c r="ABG28" s="99"/>
      <c r="ABH28" s="86"/>
      <c r="ABI28" s="99"/>
      <c r="ABJ28" s="102"/>
      <c r="ABK28" s="76"/>
      <c r="ABN28" s="114"/>
      <c r="ABO28" s="15">
        <v>21</v>
      </c>
      <c r="ABP28" s="99"/>
      <c r="ABQ28" s="86"/>
      <c r="ABR28" s="99"/>
      <c r="ABS28" s="102"/>
      <c r="ABT28" s="76"/>
      <c r="ABW28" s="114"/>
      <c r="ABX28" s="15">
        <v>21</v>
      </c>
      <c r="ABY28" s="99"/>
      <c r="ABZ28" s="86"/>
      <c r="ACA28" s="99"/>
      <c r="ACB28" s="102"/>
      <c r="ACC28" s="76"/>
      <c r="ACF28" s="114"/>
      <c r="ACG28" s="15">
        <v>21</v>
      </c>
      <c r="ACH28" s="99"/>
      <c r="ACI28" s="86"/>
      <c r="ACJ28" s="99"/>
      <c r="ACK28" s="102"/>
      <c r="ACL28" s="76"/>
      <c r="ACO28" s="114"/>
      <c r="ACP28" s="15">
        <v>21</v>
      </c>
      <c r="ACQ28" s="99"/>
      <c r="ACR28" s="86"/>
      <c r="ACS28" s="99"/>
      <c r="ACT28" s="102"/>
      <c r="ACU28" s="76"/>
      <c r="ACX28" s="114"/>
      <c r="ACY28" s="15">
        <v>21</v>
      </c>
      <c r="ACZ28" s="99"/>
      <c r="ADA28" s="86"/>
      <c r="ADB28" s="99"/>
      <c r="ADC28" s="102"/>
      <c r="ADD28" s="76"/>
      <c r="ADG28" s="114"/>
      <c r="ADH28" s="15">
        <v>21</v>
      </c>
      <c r="ADI28" s="99"/>
      <c r="ADJ28" s="86"/>
      <c r="ADK28" s="99"/>
      <c r="ADL28" s="102"/>
      <c r="ADM28" s="76"/>
      <c r="ADP28" s="114"/>
      <c r="ADQ28" s="15">
        <v>21</v>
      </c>
      <c r="ADR28" s="99"/>
      <c r="ADS28" s="86"/>
      <c r="ADT28" s="99"/>
      <c r="ADU28" s="102"/>
      <c r="ADV28" s="76"/>
      <c r="ADY28" s="114"/>
      <c r="ADZ28" s="15">
        <v>21</v>
      </c>
      <c r="AEA28" s="99"/>
      <c r="AEB28" s="86"/>
      <c r="AEC28" s="99"/>
      <c r="AED28" s="102"/>
      <c r="AEE28" s="76"/>
    </row>
    <row r="29" spans="1:811" x14ac:dyDescent="0.3">
      <c r="A29" s="150">
        <v>26</v>
      </c>
      <c r="B29" s="82" t="str">
        <f t="shared" ref="B29:I29" si="54">IW5</f>
        <v>SMITHFIELD FRESH MEAT</v>
      </c>
      <c r="C29" s="82" t="str">
        <f t="shared" si="54"/>
        <v>Smithfield</v>
      </c>
      <c r="D29" s="110" t="str">
        <f t="shared" si="54"/>
        <v>PED. 58324422</v>
      </c>
      <c r="E29" s="148">
        <f t="shared" si="54"/>
        <v>44167</v>
      </c>
      <c r="F29" s="93">
        <f t="shared" si="54"/>
        <v>16846.62</v>
      </c>
      <c r="G29" s="79">
        <f t="shared" si="54"/>
        <v>20</v>
      </c>
      <c r="H29" s="49">
        <f t="shared" si="54"/>
        <v>17121.53</v>
      </c>
      <c r="I29" s="113">
        <f t="shared" si="54"/>
        <v>-274.90999999999985</v>
      </c>
      <c r="L29" s="114"/>
      <c r="M29" s="15"/>
      <c r="N29" s="99"/>
      <c r="O29" s="392"/>
      <c r="P29" s="99"/>
      <c r="Q29" s="102"/>
      <c r="R29" s="76"/>
      <c r="S29" s="870">
        <v>0</v>
      </c>
      <c r="V29" s="114"/>
      <c r="W29" s="15">
        <v>22</v>
      </c>
      <c r="X29" s="99"/>
      <c r="Y29" s="392"/>
      <c r="Z29" s="99"/>
      <c r="AA29" s="75"/>
      <c r="AB29" s="76"/>
      <c r="AC29" s="388">
        <f t="shared" si="7"/>
        <v>0</v>
      </c>
      <c r="AF29" s="101"/>
      <c r="AG29" s="15"/>
      <c r="AH29" s="99"/>
      <c r="AI29" s="392"/>
      <c r="AJ29" s="99"/>
      <c r="AK29" s="102"/>
      <c r="AL29" s="76"/>
      <c r="AM29" s="894">
        <f t="shared" si="8"/>
        <v>0</v>
      </c>
      <c r="AP29" s="114"/>
      <c r="AQ29" s="15">
        <v>22</v>
      </c>
      <c r="AR29" s="472"/>
      <c r="AS29" s="398"/>
      <c r="AT29" s="472"/>
      <c r="AU29" s="384"/>
      <c r="AV29" s="316"/>
      <c r="AY29" s="114"/>
      <c r="AZ29" s="15">
        <v>22</v>
      </c>
      <c r="BA29" s="99"/>
      <c r="BB29" s="476"/>
      <c r="BC29" s="179"/>
      <c r="BD29" s="477"/>
      <c r="BE29" s="65"/>
      <c r="BH29" s="114"/>
      <c r="BI29" s="15">
        <v>22</v>
      </c>
      <c r="BJ29" s="99"/>
      <c r="BK29" s="148"/>
      <c r="BL29" s="99"/>
      <c r="BM29" s="102"/>
      <c r="BN29" s="459"/>
      <c r="BQ29" s="114"/>
      <c r="BR29" s="15">
        <v>22</v>
      </c>
      <c r="BS29" s="99"/>
      <c r="BT29" s="86"/>
      <c r="BU29" s="99"/>
      <c r="BV29" s="102"/>
      <c r="BW29" s="76"/>
      <c r="BX29" s="870">
        <f>SUM(BX8:BX28)</f>
        <v>788530.50000000012</v>
      </c>
      <c r="BZ29" s="114"/>
      <c r="CA29" s="15">
        <v>22</v>
      </c>
      <c r="CB29" s="99"/>
      <c r="CC29" s="460"/>
      <c r="CD29" s="99"/>
      <c r="CE29" s="474"/>
      <c r="CF29" s="462"/>
      <c r="CG29" s="870">
        <f t="shared" si="10"/>
        <v>0</v>
      </c>
      <c r="CJ29" s="114"/>
      <c r="CK29" s="15">
        <v>22</v>
      </c>
      <c r="CL29" s="99"/>
      <c r="CM29" s="392"/>
      <c r="CN29" s="99"/>
      <c r="CO29" s="102"/>
      <c r="CP29" s="76"/>
      <c r="CQ29" s="925">
        <f>SUM(CQ8:CQ28)</f>
        <v>846201.60000000009</v>
      </c>
      <c r="CT29" s="114"/>
      <c r="CU29" s="15"/>
      <c r="CV29" s="99"/>
      <c r="CW29" s="392"/>
      <c r="CX29" s="99"/>
      <c r="CY29" s="102"/>
      <c r="CZ29" s="76"/>
      <c r="DA29" s="870">
        <f t="shared" si="12"/>
        <v>0</v>
      </c>
      <c r="DD29" s="114"/>
      <c r="DE29" s="15"/>
      <c r="DF29" s="99"/>
      <c r="DG29" s="392"/>
      <c r="DH29" s="99"/>
      <c r="DI29" s="102"/>
      <c r="DJ29" s="76"/>
      <c r="DK29" s="925">
        <f t="shared" si="13"/>
        <v>0</v>
      </c>
      <c r="DN29" s="595"/>
      <c r="DO29" s="15">
        <v>22</v>
      </c>
      <c r="DP29" s="99"/>
      <c r="DQ29" s="392"/>
      <c r="DR29" s="99"/>
      <c r="DS29" s="102"/>
      <c r="DT29" s="76"/>
      <c r="DU29" s="870">
        <f t="shared" si="14"/>
        <v>0</v>
      </c>
      <c r="DX29" s="114"/>
      <c r="DY29" s="15">
        <v>22</v>
      </c>
      <c r="DZ29" s="74"/>
      <c r="EA29" s="412"/>
      <c r="EB29" s="74"/>
      <c r="EC29" s="75"/>
      <c r="ED29" s="76"/>
      <c r="EE29" s="870">
        <f>SUM(EE8:EE28)</f>
        <v>736606.64</v>
      </c>
      <c r="EH29" s="114"/>
      <c r="EI29" s="15">
        <v>22</v>
      </c>
      <c r="EJ29" s="74"/>
      <c r="EK29" s="412"/>
      <c r="EL29" s="74"/>
      <c r="EM29" s="75"/>
      <c r="EN29" s="76"/>
      <c r="EO29" s="870">
        <f t="shared" si="16"/>
        <v>0</v>
      </c>
      <c r="ER29" s="101"/>
      <c r="ES29" s="15">
        <v>22</v>
      </c>
      <c r="ET29" s="99"/>
      <c r="EU29" s="392"/>
      <c r="EV29" s="99"/>
      <c r="EW29" s="75"/>
      <c r="EX29" s="76"/>
      <c r="EY29" s="388">
        <f t="shared" si="17"/>
        <v>0</v>
      </c>
      <c r="FB29" s="114"/>
      <c r="FC29" s="15"/>
      <c r="FD29" s="99"/>
      <c r="FE29" s="392"/>
      <c r="FF29" s="99"/>
      <c r="FG29" s="75"/>
      <c r="FH29" s="76"/>
      <c r="FI29" s="870">
        <f t="shared" si="18"/>
        <v>0</v>
      </c>
      <c r="FL29" s="114"/>
      <c r="FM29" s="15">
        <v>22</v>
      </c>
      <c r="FN29" s="99"/>
      <c r="FO29" s="392"/>
      <c r="FP29" s="99"/>
      <c r="FQ29" s="75"/>
      <c r="FR29" s="76"/>
      <c r="FS29" s="870">
        <f t="shared" si="19"/>
        <v>0</v>
      </c>
      <c r="FV29" s="114"/>
      <c r="FW29" s="15"/>
      <c r="FX29" s="74"/>
      <c r="FY29" s="412"/>
      <c r="FZ29" s="74"/>
      <c r="GA29" s="75"/>
      <c r="GB29" s="76"/>
      <c r="GC29" s="388">
        <f t="shared" si="20"/>
        <v>0</v>
      </c>
      <c r="GF29" s="114"/>
      <c r="GG29" s="15"/>
      <c r="GH29" s="632"/>
      <c r="GI29" s="392"/>
      <c r="GJ29" s="99"/>
      <c r="GK29" s="102"/>
      <c r="GL29" s="76"/>
      <c r="GM29" s="870">
        <f t="shared" si="21"/>
        <v>0</v>
      </c>
      <c r="GP29" s="114"/>
      <c r="GQ29" s="15">
        <v>22</v>
      </c>
      <c r="GR29" s="99"/>
      <c r="GS29" s="392"/>
      <c r="GT29" s="99"/>
      <c r="GU29" s="102"/>
      <c r="GV29" s="76"/>
      <c r="GW29" s="870">
        <f>SUM(GW8:GW28)</f>
        <v>661407.1</v>
      </c>
      <c r="GZ29" s="114"/>
      <c r="HA29" s="15"/>
      <c r="HB29" s="99"/>
      <c r="HC29" s="392"/>
      <c r="HD29" s="99"/>
      <c r="HE29" s="102"/>
      <c r="HF29" s="76"/>
      <c r="HG29" s="870">
        <f>SUM(HG8:HG28)</f>
        <v>718828.29200000002</v>
      </c>
      <c r="HJ29" s="114"/>
      <c r="HK29" s="15">
        <v>22</v>
      </c>
      <c r="HL29" s="99"/>
      <c r="HM29" s="392"/>
      <c r="HN29" s="99"/>
      <c r="HO29" s="75"/>
      <c r="HP29" s="76"/>
      <c r="HQ29" s="388">
        <f t="shared" si="24"/>
        <v>0</v>
      </c>
      <c r="HT29" s="114"/>
      <c r="HU29" s="15">
        <v>22</v>
      </c>
      <c r="HV29" s="74"/>
      <c r="HW29" s="412"/>
      <c r="HX29" s="74"/>
      <c r="HY29" s="75"/>
      <c r="HZ29" s="76"/>
      <c r="IA29" s="870">
        <f t="shared" si="25"/>
        <v>0</v>
      </c>
      <c r="ID29" s="114"/>
      <c r="IE29" s="15">
        <v>22</v>
      </c>
      <c r="IF29" s="330"/>
      <c r="IG29" s="359"/>
      <c r="IH29" s="330"/>
      <c r="II29" s="384"/>
      <c r="IJ29" s="316"/>
      <c r="IK29" s="388">
        <f t="shared" si="26"/>
        <v>0</v>
      </c>
      <c r="IM29" s="113"/>
      <c r="IN29" s="114"/>
      <c r="IO29" s="15">
        <v>22</v>
      </c>
      <c r="IP29" s="74"/>
      <c r="IQ29" s="412"/>
      <c r="IR29" s="74"/>
      <c r="IS29" s="75"/>
      <c r="IT29" s="76"/>
      <c r="IU29" s="870">
        <f t="shared" si="27"/>
        <v>0</v>
      </c>
      <c r="IX29" s="114"/>
      <c r="IY29" s="15"/>
      <c r="IZ29" s="99"/>
      <c r="JA29" s="392"/>
      <c r="JB29" s="99"/>
      <c r="JC29" s="75"/>
      <c r="JD29" s="76"/>
      <c r="JE29" s="870">
        <f>SUM(JE8:JE28)</f>
        <v>650618.14</v>
      </c>
      <c r="JH29" s="114"/>
      <c r="JI29" s="15"/>
      <c r="JJ29" s="74"/>
      <c r="JK29" s="412"/>
      <c r="JL29" s="74"/>
      <c r="JM29" s="75"/>
      <c r="JN29" s="76"/>
      <c r="JO29" s="870">
        <f>SUM(JO8:JO28)</f>
        <v>665766.84</v>
      </c>
      <c r="JR29" s="114"/>
      <c r="JS29" s="15"/>
      <c r="JT29" s="99"/>
      <c r="JU29" s="392"/>
      <c r="JV29" s="99"/>
      <c r="JW29" s="102"/>
      <c r="JX29" s="76"/>
      <c r="JY29" s="870">
        <f t="shared" si="30"/>
        <v>0</v>
      </c>
      <c r="KB29" s="114"/>
      <c r="KC29" s="15"/>
      <c r="KD29" s="99"/>
      <c r="KE29" s="392"/>
      <c r="KF29" s="99"/>
      <c r="KG29" s="102"/>
      <c r="KH29" s="76"/>
      <c r="KI29" s="870">
        <f t="shared" si="31"/>
        <v>0</v>
      </c>
      <c r="KL29" s="114"/>
      <c r="KM29" s="15"/>
      <c r="KN29" s="99"/>
      <c r="KO29" s="392"/>
      <c r="KP29" s="99"/>
      <c r="KQ29" s="102"/>
      <c r="KR29" s="76"/>
      <c r="KS29" s="870">
        <f>KR29*KP29</f>
        <v>0</v>
      </c>
      <c r="KV29" s="114"/>
      <c r="KW29" s="15"/>
      <c r="KX29" s="99"/>
      <c r="KY29" s="392"/>
      <c r="KZ29" s="99"/>
      <c r="LA29" s="102"/>
      <c r="LB29" s="76"/>
      <c r="LC29" s="870">
        <f t="shared" si="33"/>
        <v>0</v>
      </c>
      <c r="LF29" s="114"/>
      <c r="LG29" s="15"/>
      <c r="LH29" s="99"/>
      <c r="LI29" s="392"/>
      <c r="LJ29" s="99"/>
      <c r="LK29" s="102"/>
      <c r="LL29" s="76"/>
      <c r="LM29" s="870">
        <f t="shared" si="34"/>
        <v>0</v>
      </c>
      <c r="LP29" s="478"/>
      <c r="LQ29" s="15"/>
      <c r="LR29" s="472"/>
      <c r="LS29" s="392"/>
      <c r="LT29" s="472"/>
      <c r="LU29" s="102"/>
      <c r="LV29" s="76"/>
      <c r="LY29" s="114"/>
      <c r="LZ29" s="15">
        <v>22</v>
      </c>
      <c r="MA29" s="472"/>
      <c r="MB29" s="392"/>
      <c r="MC29" s="472"/>
      <c r="MD29" s="102"/>
      <c r="ME29" s="76"/>
      <c r="MH29" s="101"/>
      <c r="MI29" s="15"/>
      <c r="MJ29" s="99"/>
      <c r="MK29" s="392"/>
      <c r="ML29" s="99"/>
      <c r="MM29" s="102"/>
      <c r="MN29" s="76"/>
      <c r="MQ29" s="114"/>
      <c r="MR29" s="15"/>
      <c r="MS29" s="472"/>
      <c r="MT29" s="392"/>
      <c r="MU29" s="472"/>
      <c r="MV29" s="102"/>
      <c r="MW29" s="76"/>
      <c r="MZ29" s="114"/>
      <c r="NA29" s="15"/>
      <c r="NB29" s="99"/>
      <c r="NC29" s="392"/>
      <c r="ND29" s="99"/>
      <c r="NE29" s="102"/>
      <c r="NF29" s="76"/>
      <c r="NI29" s="114"/>
      <c r="NJ29" s="15"/>
      <c r="NK29" s="99"/>
      <c r="NL29" s="392"/>
      <c r="NM29" s="99"/>
      <c r="NN29" s="102"/>
      <c r="NO29" s="76"/>
      <c r="NR29" s="114"/>
      <c r="NS29" s="15"/>
      <c r="NT29" s="99"/>
      <c r="NU29" s="392"/>
      <c r="NV29" s="99"/>
      <c r="NW29" s="102"/>
      <c r="NX29" s="76"/>
      <c r="OA29" s="114"/>
      <c r="OB29" s="15"/>
      <c r="OC29" s="99"/>
      <c r="OD29" s="392"/>
      <c r="OE29" s="99"/>
      <c r="OF29" s="102"/>
      <c r="OG29" s="76"/>
      <c r="OJ29" s="114"/>
      <c r="OK29" s="15"/>
      <c r="OL29" s="330"/>
      <c r="OM29" s="398"/>
      <c r="ON29" s="330"/>
      <c r="OO29" s="384"/>
      <c r="OP29" s="316"/>
      <c r="OS29" s="114"/>
      <c r="OT29" s="15"/>
      <c r="OU29" s="99"/>
      <c r="OV29" s="392"/>
      <c r="OW29" s="99"/>
      <c r="OX29" s="102"/>
      <c r="OY29" s="76"/>
      <c r="PB29" s="114"/>
      <c r="PC29" s="15"/>
      <c r="PD29" s="99"/>
      <c r="PE29" s="392"/>
      <c r="PF29" s="99"/>
      <c r="PG29" s="102"/>
      <c r="PH29" s="76"/>
      <c r="PK29" s="114"/>
      <c r="PL29" s="15"/>
      <c r="PM29" s="99"/>
      <c r="PN29" s="148"/>
      <c r="PO29" s="99"/>
      <c r="PP29" s="102"/>
      <c r="PQ29" s="76"/>
      <c r="PT29" s="114"/>
      <c r="PU29" s="15"/>
      <c r="PV29" s="99"/>
      <c r="PW29" s="392"/>
      <c r="PX29" s="99"/>
      <c r="PY29" s="102"/>
      <c r="PZ29" s="76"/>
      <c r="QC29" s="114"/>
      <c r="QD29" s="15"/>
      <c r="QE29" s="99"/>
      <c r="QF29" s="392"/>
      <c r="QG29" s="99"/>
      <c r="QH29" s="102"/>
      <c r="QI29" s="76"/>
      <c r="QL29" s="114"/>
      <c r="QM29" s="15"/>
      <c r="QN29" s="99"/>
      <c r="QO29" s="392"/>
      <c r="QP29" s="99"/>
      <c r="QQ29" s="102"/>
      <c r="QR29" s="76"/>
      <c r="QU29" s="114"/>
      <c r="QV29" s="15"/>
      <c r="QW29" s="99"/>
      <c r="QX29" s="392"/>
      <c r="QY29" s="99"/>
      <c r="QZ29" s="102"/>
      <c r="RA29" s="459"/>
      <c r="RD29" s="114"/>
      <c r="RE29" s="15"/>
      <c r="RF29" s="99"/>
      <c r="RG29" s="148"/>
      <c r="RH29" s="99"/>
      <c r="RI29" s="102"/>
      <c r="RJ29" s="76"/>
      <c r="RM29" s="114"/>
      <c r="RN29" s="15"/>
      <c r="RO29" s="99"/>
      <c r="RP29" s="86"/>
      <c r="RQ29" s="99"/>
      <c r="RR29" s="102"/>
      <c r="RS29" s="76"/>
      <c r="RV29" s="114"/>
      <c r="RW29" s="15"/>
      <c r="RX29" s="99"/>
      <c r="RY29" s="86"/>
      <c r="RZ29" s="99"/>
      <c r="SA29" s="102"/>
      <c r="SB29" s="76"/>
      <c r="SE29" s="114"/>
      <c r="SF29" s="15"/>
      <c r="SG29" s="99"/>
      <c r="SH29" s="86"/>
      <c r="SI29" s="99"/>
      <c r="SJ29" s="102"/>
      <c r="SK29" s="76"/>
      <c r="SN29" s="114"/>
      <c r="SO29" s="15"/>
      <c r="SP29" s="99"/>
      <c r="SQ29" s="86"/>
      <c r="SR29" s="99"/>
      <c r="SS29" s="102"/>
      <c r="ST29" s="76"/>
      <c r="SW29" s="114"/>
      <c r="SX29" s="15"/>
      <c r="SY29" s="99"/>
      <c r="SZ29" s="86"/>
      <c r="TA29" s="99"/>
      <c r="TB29" s="102"/>
      <c r="TC29" s="76"/>
      <c r="TF29" s="114"/>
      <c r="TG29" s="15"/>
      <c r="TH29" s="99"/>
      <c r="TI29" s="86"/>
      <c r="TJ29" s="99"/>
      <c r="TK29" s="102"/>
      <c r="TL29" s="76"/>
      <c r="TO29" s="114"/>
      <c r="TP29" s="15"/>
      <c r="TQ29" s="99"/>
      <c r="TR29" s="86"/>
      <c r="TS29" s="99"/>
      <c r="TT29" s="102"/>
      <c r="TU29" s="76"/>
      <c r="TX29" s="114"/>
      <c r="TY29" s="15"/>
      <c r="TZ29" s="99"/>
      <c r="UA29" s="86"/>
      <c r="UB29" s="99"/>
      <c r="UC29" s="102"/>
      <c r="UD29" s="76"/>
      <c r="UG29" s="114"/>
      <c r="UH29" s="15"/>
      <c r="UI29" s="99"/>
      <c r="UJ29" s="86"/>
      <c r="UK29" s="99"/>
      <c r="UL29" s="102"/>
      <c r="UM29" s="76"/>
      <c r="UP29" s="114"/>
      <c r="UQ29" s="15">
        <v>22</v>
      </c>
      <c r="UR29" s="99"/>
      <c r="US29" s="86"/>
      <c r="UT29" s="99"/>
      <c r="UU29" s="102"/>
      <c r="UV29" s="76"/>
      <c r="UY29" s="114"/>
      <c r="UZ29" s="15">
        <v>22</v>
      </c>
      <c r="VA29" s="99"/>
      <c r="VB29" s="86"/>
      <c r="VC29" s="99"/>
      <c r="VD29" s="102"/>
      <c r="VE29" s="76"/>
      <c r="VH29" s="114"/>
      <c r="VI29" s="15">
        <v>22</v>
      </c>
      <c r="VJ29" s="99"/>
      <c r="VK29" s="86"/>
      <c r="VL29" s="99"/>
      <c r="VM29" s="102"/>
      <c r="VN29" s="76"/>
      <c r="VQ29" s="114"/>
      <c r="VR29" s="15">
        <v>22</v>
      </c>
      <c r="VS29" s="99"/>
      <c r="VT29" s="86"/>
      <c r="VU29" s="99"/>
      <c r="VV29" s="102"/>
      <c r="VW29" s="76"/>
      <c r="VZ29" s="114"/>
      <c r="WA29" s="15">
        <v>22</v>
      </c>
      <c r="WB29" s="99"/>
      <c r="WC29" s="86"/>
      <c r="WD29" s="99"/>
      <c r="WE29" s="102"/>
      <c r="WF29" s="76"/>
      <c r="WI29" s="114"/>
      <c r="WJ29" s="15">
        <v>22</v>
      </c>
      <c r="WK29" s="99"/>
      <c r="WL29" s="86"/>
      <c r="WM29" s="99"/>
      <c r="WN29" s="102"/>
      <c r="WO29" s="76"/>
      <c r="WR29" s="114"/>
      <c r="WS29" s="15">
        <v>22</v>
      </c>
      <c r="WT29" s="99"/>
      <c r="WU29" s="86"/>
      <c r="WV29" s="99"/>
      <c r="WW29" s="102"/>
      <c r="WX29" s="76"/>
      <c r="XA29" s="114"/>
      <c r="XB29" s="15">
        <v>22</v>
      </c>
      <c r="XC29" s="99"/>
      <c r="XD29" s="86"/>
      <c r="XE29" s="99"/>
      <c r="XF29" s="102"/>
      <c r="XG29" s="76"/>
      <c r="XJ29" s="114"/>
      <c r="XK29" s="15">
        <v>22</v>
      </c>
      <c r="XL29" s="99"/>
      <c r="XM29" s="86"/>
      <c r="XN29" s="99"/>
      <c r="XO29" s="102"/>
      <c r="XP29" s="76"/>
      <c r="XS29" s="114"/>
      <c r="XT29" s="15">
        <v>22</v>
      </c>
      <c r="XU29" s="99"/>
      <c r="XV29" s="86"/>
      <c r="XW29" s="99"/>
      <c r="XX29" s="102"/>
      <c r="XY29" s="76"/>
      <c r="YB29" s="114"/>
      <c r="YC29" s="15">
        <v>22</v>
      </c>
      <c r="YD29" s="99"/>
      <c r="YE29" s="86"/>
      <c r="YF29" s="99"/>
      <c r="YG29" s="102"/>
      <c r="YH29" s="76"/>
      <c r="YK29" s="114"/>
      <c r="YL29" s="15">
        <v>22</v>
      </c>
      <c r="YM29" s="99"/>
      <c r="YN29" s="86"/>
      <c r="YO29" s="99"/>
      <c r="YP29" s="102"/>
      <c r="YQ29" s="76"/>
      <c r="YT29" s="114"/>
      <c r="YU29" s="15">
        <v>22</v>
      </c>
      <c r="YV29" s="99"/>
      <c r="YW29" s="86"/>
      <c r="YX29" s="99"/>
      <c r="YY29" s="102"/>
      <c r="YZ29" s="76"/>
      <c r="ZC29" s="114"/>
      <c r="ZD29" s="15">
        <v>22</v>
      </c>
      <c r="ZE29" s="99"/>
      <c r="ZF29" s="86"/>
      <c r="ZG29" s="99"/>
      <c r="ZH29" s="102"/>
      <c r="ZI29" s="76"/>
      <c r="ZL29" s="114"/>
      <c r="ZM29" s="15">
        <v>22</v>
      </c>
      <c r="ZN29" s="99"/>
      <c r="ZO29" s="86"/>
      <c r="ZP29" s="99"/>
      <c r="ZQ29" s="102"/>
      <c r="ZR29" s="76"/>
      <c r="ZU29" s="114"/>
      <c r="ZV29" s="15">
        <v>22</v>
      </c>
      <c r="ZW29" s="99"/>
      <c r="ZX29" s="86"/>
      <c r="ZY29" s="99"/>
      <c r="ZZ29" s="102"/>
      <c r="AAA29" s="76"/>
      <c r="AAD29" s="114"/>
      <c r="AAE29" s="15">
        <v>22</v>
      </c>
      <c r="AAF29" s="99"/>
      <c r="AAG29" s="86"/>
      <c r="AAH29" s="99"/>
      <c r="AAI29" s="102"/>
      <c r="AAJ29" s="76"/>
      <c r="AAM29" s="114"/>
      <c r="AAN29" s="15">
        <v>22</v>
      </c>
      <c r="AAO29" s="99"/>
      <c r="AAP29" s="86"/>
      <c r="AAQ29" s="99"/>
      <c r="AAR29" s="102"/>
      <c r="AAS29" s="76"/>
      <c r="AAV29" s="114"/>
      <c r="AAW29" s="15">
        <v>22</v>
      </c>
      <c r="AAX29" s="99"/>
      <c r="AAY29" s="86"/>
      <c r="AAZ29" s="99"/>
      <c r="ABA29" s="102"/>
      <c r="ABB29" s="76"/>
      <c r="ABE29" s="114"/>
      <c r="ABF29" s="15">
        <v>22</v>
      </c>
      <c r="ABG29" s="99"/>
      <c r="ABH29" s="86"/>
      <c r="ABI29" s="99"/>
      <c r="ABJ29" s="102"/>
      <c r="ABK29" s="76"/>
      <c r="ABN29" s="114"/>
      <c r="ABO29" s="15">
        <v>22</v>
      </c>
      <c r="ABP29" s="99"/>
      <c r="ABQ29" s="86"/>
      <c r="ABR29" s="99"/>
      <c r="ABS29" s="102"/>
      <c r="ABT29" s="76"/>
      <c r="ABW29" s="114"/>
      <c r="ABX29" s="15">
        <v>22</v>
      </c>
      <c r="ABY29" s="99"/>
      <c r="ABZ29" s="86"/>
      <c r="ACA29" s="99"/>
      <c r="ACB29" s="102"/>
      <c r="ACC29" s="76"/>
      <c r="ACF29" s="114"/>
      <c r="ACG29" s="15">
        <v>22</v>
      </c>
      <c r="ACH29" s="99"/>
      <c r="ACI29" s="86"/>
      <c r="ACJ29" s="99"/>
      <c r="ACK29" s="102"/>
      <c r="ACL29" s="76"/>
      <c r="ACO29" s="114"/>
      <c r="ACP29" s="15">
        <v>22</v>
      </c>
      <c r="ACQ29" s="99"/>
      <c r="ACR29" s="86"/>
      <c r="ACS29" s="99"/>
      <c r="ACT29" s="102"/>
      <c r="ACU29" s="76"/>
      <c r="ACX29" s="114"/>
      <c r="ACY29" s="15">
        <v>22</v>
      </c>
      <c r="ACZ29" s="99"/>
      <c r="ADA29" s="86"/>
      <c r="ADB29" s="99"/>
      <c r="ADC29" s="102"/>
      <c r="ADD29" s="76"/>
      <c r="ADG29" s="114"/>
      <c r="ADH29" s="15">
        <v>22</v>
      </c>
      <c r="ADI29" s="99"/>
      <c r="ADJ29" s="86"/>
      <c r="ADK29" s="99"/>
      <c r="ADL29" s="102"/>
      <c r="ADM29" s="76"/>
      <c r="ADP29" s="114"/>
      <c r="ADQ29" s="15">
        <v>22</v>
      </c>
      <c r="ADR29" s="99"/>
      <c r="ADS29" s="86"/>
      <c r="ADT29" s="99"/>
      <c r="ADU29" s="102"/>
      <c r="ADV29" s="76"/>
      <c r="ADY29" s="114"/>
      <c r="ADZ29" s="15">
        <v>22</v>
      </c>
      <c r="AEA29" s="99"/>
      <c r="AEB29" s="86"/>
      <c r="AEC29" s="99"/>
      <c r="AED29" s="102"/>
      <c r="AEE29" s="76"/>
    </row>
    <row r="30" spans="1:811" x14ac:dyDescent="0.3">
      <c r="A30" s="150">
        <v>27</v>
      </c>
      <c r="B30" s="82" t="str">
        <f t="shared" ref="B30:H30" si="55">JG5</f>
        <v>SMITHFIELD FRESH MEAT</v>
      </c>
      <c r="C30" s="82" t="str">
        <f t="shared" si="55"/>
        <v>Smithfield</v>
      </c>
      <c r="D30" s="110" t="str">
        <f t="shared" si="55"/>
        <v>PED. 58324426</v>
      </c>
      <c r="E30" s="148">
        <f t="shared" si="55"/>
        <v>44167</v>
      </c>
      <c r="F30" s="93">
        <f t="shared" si="55"/>
        <v>17407.419999999998</v>
      </c>
      <c r="G30" s="79">
        <f t="shared" si="55"/>
        <v>20</v>
      </c>
      <c r="H30" s="49">
        <f t="shared" si="55"/>
        <v>17520.18</v>
      </c>
      <c r="I30" s="113">
        <f>F30-H30</f>
        <v>-112.76000000000204</v>
      </c>
      <c r="L30" s="114"/>
      <c r="M30" s="15"/>
      <c r="N30" s="99"/>
      <c r="O30" s="392"/>
      <c r="P30" s="99"/>
      <c r="Q30" s="102"/>
      <c r="R30" s="76"/>
      <c r="S30" s="871">
        <f>SUM(S8:S29)</f>
        <v>759174.68</v>
      </c>
      <c r="V30" s="114"/>
      <c r="W30" s="15">
        <v>23</v>
      </c>
      <c r="X30" s="99"/>
      <c r="Y30" s="392"/>
      <c r="Z30" s="113"/>
      <c r="AA30" s="75"/>
      <c r="AB30" s="76"/>
      <c r="AC30" s="870">
        <f>SUM(AC8:AC29)</f>
        <v>816579</v>
      </c>
      <c r="AF30" s="114"/>
      <c r="AG30" s="15"/>
      <c r="AH30" s="74"/>
      <c r="AI30" s="392"/>
      <c r="AJ30" s="74"/>
      <c r="AK30" s="102"/>
      <c r="AL30" s="76"/>
      <c r="AM30" s="76">
        <f>SUM(AM8:AM29)</f>
        <v>857385</v>
      </c>
      <c r="AP30" s="114"/>
      <c r="AQ30" s="15"/>
      <c r="AR30" s="472"/>
      <c r="AS30" s="86"/>
      <c r="AT30" s="74"/>
      <c r="AU30" s="102"/>
      <c r="AV30" s="76"/>
      <c r="AY30" s="114"/>
      <c r="AZ30" s="15"/>
      <c r="BA30" s="74"/>
      <c r="BB30" s="148"/>
      <c r="BC30" s="74"/>
      <c r="BD30" s="102"/>
      <c r="BE30" s="76"/>
      <c r="BH30" s="114"/>
      <c r="BI30" s="15"/>
      <c r="BJ30" s="74"/>
      <c r="BK30" s="148"/>
      <c r="BL30" s="74"/>
      <c r="BM30" s="102"/>
      <c r="BN30" s="76"/>
      <c r="BQ30" s="114"/>
      <c r="BR30" s="15"/>
      <c r="BS30" s="74"/>
      <c r="BT30" s="86"/>
      <c r="BU30" s="74"/>
      <c r="BV30" s="102"/>
      <c r="BW30" s="76"/>
      <c r="BZ30" s="114"/>
      <c r="CA30" s="15">
        <v>23</v>
      </c>
      <c r="CB30" s="74"/>
      <c r="CC30" s="460"/>
      <c r="CD30" s="74"/>
      <c r="CE30" s="474"/>
      <c r="CF30" s="462"/>
      <c r="CG30" s="870">
        <f>SUM(CG8:CG29)</f>
        <v>851508</v>
      </c>
      <c r="CJ30" s="114"/>
      <c r="CK30" s="15"/>
      <c r="CL30" s="74"/>
      <c r="CM30" s="392"/>
      <c r="CN30" s="74"/>
      <c r="CO30" s="102"/>
      <c r="CP30" s="76"/>
      <c r="CT30" s="114"/>
      <c r="CU30" s="15"/>
      <c r="CV30" s="74"/>
      <c r="CW30" s="392"/>
      <c r="CX30" s="74"/>
      <c r="CY30" s="102"/>
      <c r="CZ30" s="76"/>
      <c r="DA30" s="870">
        <f>SUM(DA8:DA29)</f>
        <v>852727.5</v>
      </c>
      <c r="DD30" s="114"/>
      <c r="DE30" s="15"/>
      <c r="DF30" s="74"/>
      <c r="DG30" s="392"/>
      <c r="DH30" s="74"/>
      <c r="DI30" s="102"/>
      <c r="DJ30" s="76"/>
      <c r="DK30" s="870">
        <f>SUM(DK8:DK29)</f>
        <v>850360.5</v>
      </c>
      <c r="DN30" s="114"/>
      <c r="DO30" s="15"/>
      <c r="DP30" s="74"/>
      <c r="DQ30" s="392"/>
      <c r="DR30" s="74"/>
      <c r="DS30" s="102"/>
      <c r="DT30" s="76"/>
      <c r="DU30" s="870">
        <f>SUM(DU8:DU29)</f>
        <v>848277</v>
      </c>
      <c r="DX30" s="114"/>
      <c r="DY30" s="15"/>
      <c r="DZ30" s="74"/>
      <c r="EA30" s="412"/>
      <c r="EB30" s="113"/>
      <c r="EC30" s="75"/>
      <c r="ED30" s="76"/>
      <c r="EH30" s="114"/>
      <c r="EI30" s="15"/>
      <c r="EJ30" s="74"/>
      <c r="EK30" s="412"/>
      <c r="EL30" s="113"/>
      <c r="EM30" s="75"/>
      <c r="EN30" s="76"/>
      <c r="EO30" s="870">
        <f>SUM(EO8:EO29)</f>
        <v>781737.60000000009</v>
      </c>
      <c r="ER30" s="101"/>
      <c r="ES30" s="15"/>
      <c r="ET30" s="99"/>
      <c r="EU30" s="392"/>
      <c r="EV30" s="113"/>
      <c r="EW30" s="75"/>
      <c r="EX30" s="76"/>
      <c r="FB30" s="479"/>
      <c r="FC30" s="15"/>
      <c r="FD30" s="74"/>
      <c r="FE30" s="392"/>
      <c r="FF30" s="99"/>
      <c r="FG30" s="75"/>
      <c r="FH30" s="76"/>
      <c r="FI30" s="870">
        <f>SUM(FI8:FI29)</f>
        <v>784299.60000000009</v>
      </c>
      <c r="FL30" s="114"/>
      <c r="FM30" s="15"/>
      <c r="FN30" s="99"/>
      <c r="FO30" s="392"/>
      <c r="FP30" s="99"/>
      <c r="FQ30" s="75"/>
      <c r="FR30" s="76"/>
      <c r="FS30" s="870">
        <f>SUM(FS8:FS29)</f>
        <v>783048</v>
      </c>
      <c r="FV30" s="114"/>
      <c r="FW30" s="15"/>
      <c r="FX30" s="74"/>
      <c r="FY30" s="412"/>
      <c r="FZ30" s="113"/>
      <c r="GA30" s="75"/>
      <c r="GB30" s="76"/>
      <c r="GC30" s="870">
        <f>SUM(GC8:GC29)</f>
        <v>773144.4</v>
      </c>
      <c r="GF30" s="114"/>
      <c r="GG30" s="15"/>
      <c r="GH30" s="632"/>
      <c r="GI30" s="392"/>
      <c r="GJ30" s="74"/>
      <c r="GK30" s="102"/>
      <c r="GL30" s="76"/>
      <c r="GM30" s="870">
        <f>SUM(GM8:GM29)</f>
        <v>714156.79999999981</v>
      </c>
      <c r="GP30" s="114"/>
      <c r="GQ30" s="15">
        <v>23</v>
      </c>
      <c r="GR30" s="99"/>
      <c r="GS30" s="392"/>
      <c r="GT30" s="99"/>
      <c r="GU30" s="102"/>
      <c r="GV30" s="76"/>
      <c r="GZ30" s="114"/>
      <c r="HA30" s="15"/>
      <c r="HB30" s="74"/>
      <c r="HC30" s="460"/>
      <c r="HD30" s="206"/>
      <c r="HE30" s="463"/>
      <c r="HF30" s="462"/>
      <c r="HG30" s="925"/>
      <c r="HJ30" s="114"/>
      <c r="HK30" s="15"/>
      <c r="HL30" s="99"/>
      <c r="HM30" s="392"/>
      <c r="HN30" s="113"/>
      <c r="HO30" s="75"/>
      <c r="HP30" s="76"/>
      <c r="HQ30" s="870">
        <f>SUM(HQ8:HQ29)</f>
        <v>707537.2</v>
      </c>
      <c r="HT30" s="114"/>
      <c r="HU30" s="15">
        <v>23</v>
      </c>
      <c r="HV30" s="74"/>
      <c r="HW30" s="412"/>
      <c r="HX30" s="113"/>
      <c r="HY30" s="75"/>
      <c r="HZ30" s="76"/>
      <c r="IA30" s="870">
        <f>SUM(IA8:IA29)</f>
        <v>721224.8</v>
      </c>
      <c r="ID30" s="114"/>
      <c r="IE30" s="15"/>
      <c r="IF30" s="74"/>
      <c r="IG30" s="86"/>
      <c r="IH30" s="74"/>
      <c r="II30" s="102"/>
      <c r="IJ30" s="76"/>
      <c r="IK30" s="870">
        <f>SUM(IK8:IK29)</f>
        <v>719461.6</v>
      </c>
      <c r="IN30" s="114"/>
      <c r="IO30" s="15"/>
      <c r="IP30" s="74"/>
      <c r="IQ30" s="412"/>
      <c r="IR30" s="113"/>
      <c r="IS30" s="75"/>
      <c r="IT30" s="76"/>
      <c r="IU30" s="870">
        <f>SUM(IU8:IU29)</f>
        <v>716216.40000000014</v>
      </c>
      <c r="IX30" s="114"/>
      <c r="IY30" s="15"/>
      <c r="IZ30" s="99"/>
      <c r="JA30" s="392"/>
      <c r="JB30" s="113"/>
      <c r="JC30" s="75"/>
      <c r="JD30" s="76"/>
      <c r="JH30" s="114"/>
      <c r="JI30" s="15"/>
      <c r="JJ30" s="74"/>
      <c r="JK30" s="412"/>
      <c r="JL30" s="113"/>
      <c r="JM30" s="75"/>
      <c r="JN30" s="76"/>
      <c r="JR30" s="114"/>
      <c r="JS30" s="15"/>
      <c r="JT30" s="99"/>
      <c r="JU30" s="392"/>
      <c r="JV30" s="74"/>
      <c r="JW30" s="102"/>
      <c r="JX30" s="76"/>
      <c r="JY30" s="870">
        <f>SUM(JY8:JY29)</f>
        <v>729186.90000000014</v>
      </c>
      <c r="KB30" s="114"/>
      <c r="KC30" s="15"/>
      <c r="KD30" s="74"/>
      <c r="KE30" s="460"/>
      <c r="KF30" s="206"/>
      <c r="KG30" s="463"/>
      <c r="KH30" s="462"/>
      <c r="KI30" s="925">
        <f>SUM(KI8:KI29)</f>
        <v>740028.9</v>
      </c>
      <c r="KL30" s="114"/>
      <c r="KM30" s="15"/>
      <c r="KN30" s="99"/>
      <c r="KO30" s="392"/>
      <c r="KP30" s="74"/>
      <c r="KQ30" s="102"/>
      <c r="KR30" s="76"/>
      <c r="KS30" s="870">
        <f>SUM(KS8:KS29)</f>
        <v>727647.96</v>
      </c>
      <c r="KV30" s="114"/>
      <c r="KW30" s="15"/>
      <c r="KX30" s="99"/>
      <c r="KY30" s="392"/>
      <c r="KZ30" s="99"/>
      <c r="LA30" s="102"/>
      <c r="LB30" s="76"/>
      <c r="LC30" s="870">
        <f>SUM(LC8:LC29)</f>
        <v>726222.89999999991</v>
      </c>
      <c r="LF30" s="114"/>
      <c r="LG30" s="15"/>
      <c r="LH30" s="74"/>
      <c r="LI30" s="392"/>
      <c r="LJ30" s="74"/>
      <c r="LK30" s="102"/>
      <c r="LL30" s="76"/>
      <c r="LM30" s="870">
        <f>SUM(LM8:LM29)</f>
        <v>720778.50000000012</v>
      </c>
      <c r="LP30" s="478"/>
      <c r="LQ30" s="15"/>
      <c r="LR30" s="472"/>
      <c r="LS30" s="392"/>
      <c r="LT30" s="74"/>
      <c r="LU30" s="102"/>
      <c r="LV30" s="76"/>
      <c r="LY30" s="114"/>
      <c r="LZ30" s="15"/>
      <c r="MA30" s="472"/>
      <c r="MB30" s="392"/>
      <c r="MC30" s="74"/>
      <c r="MD30" s="102"/>
      <c r="ME30" s="76"/>
      <c r="MH30" s="114"/>
      <c r="MI30" s="15"/>
      <c r="MJ30" s="74"/>
      <c r="MK30" s="392"/>
      <c r="ML30" s="74"/>
      <c r="MM30" s="102"/>
      <c r="MN30" s="76"/>
      <c r="MQ30" s="114"/>
      <c r="MR30" s="15"/>
      <c r="MS30" s="472"/>
      <c r="MT30" s="392"/>
      <c r="MU30" s="74"/>
      <c r="MV30" s="102"/>
      <c r="MW30" s="76"/>
      <c r="NA30" s="15"/>
      <c r="NB30" s="74"/>
      <c r="NC30" s="392"/>
      <c r="ND30" s="74"/>
      <c r="NE30" s="102"/>
      <c r="NF30" s="76"/>
      <c r="NI30" s="114"/>
      <c r="NJ30" s="15"/>
      <c r="NK30" s="74"/>
      <c r="NL30" s="392"/>
      <c r="NM30" s="74"/>
      <c r="NN30" s="102"/>
      <c r="NO30" s="76"/>
      <c r="NS30" s="15"/>
      <c r="NT30" s="74"/>
      <c r="NU30" s="392"/>
      <c r="NV30" s="74"/>
      <c r="NW30" s="102"/>
      <c r="NX30" s="76"/>
      <c r="OA30" s="114"/>
      <c r="OB30" s="15"/>
      <c r="OC30" s="74"/>
      <c r="OD30" s="392"/>
      <c r="OE30" s="74"/>
      <c r="OF30" s="102"/>
      <c r="OG30" s="76"/>
      <c r="OJ30" s="114"/>
      <c r="OK30" s="15"/>
      <c r="OL30" s="74"/>
      <c r="OM30" s="392"/>
      <c r="ON30" s="99"/>
      <c r="OO30" s="102"/>
      <c r="OP30" s="76"/>
      <c r="OT30" s="15"/>
      <c r="OU30" s="74"/>
      <c r="OV30" s="392"/>
      <c r="OW30" s="74"/>
      <c r="OX30" s="102"/>
      <c r="OY30" s="76"/>
      <c r="PB30" s="114"/>
      <c r="PC30" s="15"/>
      <c r="PD30" s="74"/>
      <c r="PE30" s="392"/>
      <c r="PF30" s="74"/>
      <c r="PG30" s="102"/>
      <c r="PH30" s="76"/>
      <c r="PK30" s="114"/>
      <c r="PL30" s="15"/>
      <c r="PM30" s="74"/>
      <c r="PN30" s="148"/>
      <c r="PO30" s="74"/>
      <c r="PT30" s="114"/>
      <c r="PU30" s="15"/>
      <c r="PV30" s="74"/>
      <c r="PW30" s="392"/>
      <c r="PX30" s="99"/>
      <c r="PY30" s="102"/>
      <c r="PZ30" s="76"/>
      <c r="QC30" s="114"/>
      <c r="QD30" s="15"/>
      <c r="QE30" s="74"/>
      <c r="QF30" s="392"/>
      <c r="QG30" s="99"/>
      <c r="QH30" s="102"/>
      <c r="QI30" s="76"/>
      <c r="QL30" s="114"/>
      <c r="QM30" s="15"/>
      <c r="QN30" s="74"/>
      <c r="QO30" s="392"/>
      <c r="QP30" s="99"/>
      <c r="QQ30" s="102"/>
      <c r="QR30" s="76"/>
      <c r="QU30" s="114"/>
      <c r="QV30" s="15"/>
      <c r="QW30" s="74"/>
      <c r="QX30" s="392"/>
      <c r="QY30" s="74"/>
      <c r="QZ30" s="102"/>
      <c r="RA30" s="76"/>
      <c r="RD30" s="114"/>
      <c r="RE30" s="15"/>
      <c r="RF30" s="74"/>
      <c r="RG30" s="148"/>
      <c r="RH30" s="74"/>
      <c r="RM30" s="114"/>
      <c r="RN30" s="15"/>
      <c r="RO30" s="74"/>
      <c r="RQ30" s="74"/>
      <c r="RV30" s="114"/>
      <c r="RW30" s="15"/>
      <c r="RX30" s="74"/>
      <c r="RZ30" s="74"/>
      <c r="SE30" s="114"/>
      <c r="SF30" s="15"/>
      <c r="SG30" s="74"/>
      <c r="SI30" s="74"/>
      <c r="SN30" s="114"/>
      <c r="SO30" s="15"/>
      <c r="SP30" s="74"/>
      <c r="SR30" s="74"/>
      <c r="SW30" s="114"/>
      <c r="SX30" s="15"/>
      <c r="SY30" s="74"/>
      <c r="TA30" s="74"/>
      <c r="TF30" s="114"/>
      <c r="TG30" s="15"/>
      <c r="TH30" s="74"/>
      <c r="TJ30" s="74"/>
      <c r="TO30" s="114"/>
      <c r="TP30" s="15"/>
      <c r="TQ30" s="74"/>
      <c r="TS30" s="74"/>
      <c r="TX30" s="114"/>
      <c r="TY30" s="15"/>
      <c r="TZ30" s="74"/>
      <c r="UB30" s="74"/>
      <c r="UG30" s="114"/>
      <c r="UH30" s="15"/>
      <c r="UI30" s="74"/>
      <c r="UK30" s="74"/>
      <c r="UP30" s="114"/>
      <c r="UQ30" s="15">
        <v>23</v>
      </c>
      <c r="UR30" s="74"/>
      <c r="UT30" s="74"/>
      <c r="UY30" s="114"/>
      <c r="UZ30" s="15">
        <v>23</v>
      </c>
      <c r="VA30" s="74"/>
      <c r="VB30" s="86"/>
      <c r="VC30" s="74"/>
      <c r="VD30" s="102"/>
      <c r="VE30" s="76"/>
      <c r="VH30" s="114"/>
      <c r="VI30" s="15">
        <v>23</v>
      </c>
      <c r="VJ30" s="74"/>
      <c r="VK30" s="86"/>
      <c r="VL30" s="74"/>
      <c r="VM30" s="102"/>
      <c r="VN30" s="76"/>
      <c r="VQ30" s="114"/>
      <c r="VR30" s="15">
        <v>23</v>
      </c>
      <c r="VS30" s="74"/>
      <c r="VT30" s="86"/>
      <c r="VU30" s="74"/>
      <c r="VV30" s="102"/>
      <c r="VW30" s="76"/>
      <c r="VZ30" s="114"/>
      <c r="WA30" s="15">
        <v>23</v>
      </c>
      <c r="WB30" s="74"/>
      <c r="WC30" s="86"/>
      <c r="WD30" s="74"/>
      <c r="WE30" s="102"/>
      <c r="WF30" s="76"/>
      <c r="WI30" s="114"/>
      <c r="WJ30" s="15">
        <v>23</v>
      </c>
      <c r="WK30" s="74"/>
      <c r="WL30" s="86"/>
      <c r="WM30" s="74"/>
      <c r="WN30" s="102"/>
      <c r="WO30" s="76"/>
      <c r="WR30" s="114"/>
      <c r="WS30" s="15">
        <v>23</v>
      </c>
      <c r="WT30" s="74"/>
      <c r="WU30" s="86"/>
      <c r="WV30" s="74"/>
      <c r="WW30" s="102"/>
      <c r="WX30" s="76"/>
      <c r="XA30" s="114"/>
      <c r="XB30" s="15">
        <v>23</v>
      </c>
      <c r="XC30" s="74"/>
      <c r="XD30" s="86"/>
      <c r="XE30" s="74"/>
      <c r="XF30" s="102"/>
      <c r="XG30" s="76"/>
      <c r="XJ30" s="114"/>
      <c r="XK30" s="15">
        <v>23</v>
      </c>
      <c r="XL30" s="74"/>
      <c r="XM30" s="86"/>
      <c r="XN30" s="74"/>
      <c r="XO30" s="102"/>
      <c r="XP30" s="76"/>
      <c r="XS30" s="114"/>
      <c r="XT30" s="15">
        <v>23</v>
      </c>
      <c r="XU30" s="74"/>
      <c r="XV30" s="86"/>
      <c r="XW30" s="74"/>
      <c r="XX30" s="102"/>
      <c r="XY30" s="76"/>
      <c r="YB30" s="114"/>
      <c r="YC30" s="15">
        <v>23</v>
      </c>
      <c r="YD30" s="74"/>
      <c r="YE30" s="86"/>
      <c r="YF30" s="74"/>
      <c r="YG30" s="102"/>
      <c r="YH30" s="76"/>
      <c r="YK30" s="114"/>
      <c r="YL30" s="15">
        <v>23</v>
      </c>
      <c r="YM30" s="74"/>
      <c r="YN30" s="86"/>
      <c r="YO30" s="74"/>
      <c r="YP30" s="102"/>
      <c r="YQ30" s="76"/>
      <c r="YT30" s="114"/>
      <c r="YU30" s="15">
        <v>23</v>
      </c>
      <c r="YV30" s="74"/>
      <c r="YW30" s="86"/>
      <c r="YX30" s="74"/>
      <c r="YY30" s="102"/>
      <c r="YZ30" s="76"/>
      <c r="ZC30" s="114"/>
      <c r="ZD30" s="15">
        <v>23</v>
      </c>
      <c r="ZE30" s="74"/>
      <c r="ZF30" s="86"/>
      <c r="ZG30" s="74"/>
      <c r="ZH30" s="102"/>
      <c r="ZI30" s="76"/>
      <c r="ZL30" s="114"/>
      <c r="ZM30" s="15">
        <v>23</v>
      </c>
      <c r="ZN30" s="74"/>
      <c r="ZO30" s="86"/>
      <c r="ZP30" s="74"/>
      <c r="ZQ30" s="102"/>
      <c r="ZR30" s="76"/>
      <c r="ZU30" s="114"/>
      <c r="ZV30" s="15">
        <v>23</v>
      </c>
      <c r="ZW30" s="74"/>
      <c r="ZX30" s="86"/>
      <c r="ZY30" s="74"/>
      <c r="ZZ30" s="102"/>
      <c r="AAA30" s="76"/>
      <c r="AAD30" s="114"/>
      <c r="AAE30" s="15">
        <v>23</v>
      </c>
      <c r="AAF30" s="74"/>
      <c r="AAG30" s="86"/>
      <c r="AAH30" s="74"/>
      <c r="AAI30" s="102"/>
      <c r="AAJ30" s="76"/>
      <c r="AAM30" s="114"/>
      <c r="AAN30" s="15">
        <v>23</v>
      </c>
      <c r="AAO30" s="74"/>
      <c r="AAP30" s="86"/>
      <c r="AAQ30" s="74"/>
      <c r="AAR30" s="102"/>
      <c r="AAS30" s="76"/>
      <c r="AAV30" s="114"/>
      <c r="AAW30" s="15">
        <v>23</v>
      </c>
      <c r="AAX30" s="74"/>
      <c r="AAY30" s="86"/>
      <c r="AAZ30" s="74"/>
      <c r="ABA30" s="102"/>
      <c r="ABB30" s="76"/>
      <c r="ABE30" s="114"/>
      <c r="ABF30" s="15">
        <v>23</v>
      </c>
      <c r="ABG30" s="74"/>
      <c r="ABH30" s="86"/>
      <c r="ABI30" s="74"/>
      <c r="ABJ30" s="102"/>
      <c r="ABK30" s="76"/>
      <c r="ABN30" s="114"/>
      <c r="ABO30" s="15">
        <v>23</v>
      </c>
      <c r="ABP30" s="74"/>
      <c r="ABQ30" s="86"/>
      <c r="ABR30" s="74"/>
      <c r="ABS30" s="102"/>
      <c r="ABT30" s="76"/>
      <c r="ABW30" s="114"/>
      <c r="ABX30" s="15">
        <v>23</v>
      </c>
      <c r="ABY30" s="74"/>
      <c r="ABZ30" s="86"/>
      <c r="ACA30" s="74"/>
      <c r="ACB30" s="102"/>
      <c r="ACC30" s="76"/>
      <c r="ACF30" s="114"/>
      <c r="ACG30" s="15">
        <v>23</v>
      </c>
      <c r="ACH30" s="74"/>
      <c r="ACI30" s="86"/>
      <c r="ACJ30" s="74"/>
      <c r="ACK30" s="102"/>
      <c r="ACL30" s="76"/>
      <c r="ACO30" s="114"/>
      <c r="ACP30" s="15">
        <v>23</v>
      </c>
      <c r="ACQ30" s="74"/>
      <c r="ACR30" s="86"/>
      <c r="ACS30" s="74"/>
      <c r="ACT30" s="102"/>
      <c r="ACU30" s="76"/>
      <c r="ACX30" s="114"/>
      <c r="ACY30" s="15">
        <v>23</v>
      </c>
      <c r="ACZ30" s="74"/>
      <c r="ADA30" s="86"/>
      <c r="ADB30" s="74"/>
      <c r="ADC30" s="102"/>
      <c r="ADD30" s="76"/>
      <c r="ADG30" s="114"/>
      <c r="ADH30" s="15">
        <v>23</v>
      </c>
      <c r="ADI30" s="74"/>
      <c r="ADJ30" s="86"/>
      <c r="ADK30" s="74"/>
      <c r="ADL30" s="102"/>
      <c r="ADM30" s="76"/>
      <c r="ADP30" s="114"/>
      <c r="ADQ30" s="15">
        <v>23</v>
      </c>
      <c r="ADR30" s="74"/>
      <c r="ADS30" s="86"/>
      <c r="ADT30" s="74"/>
      <c r="ADU30" s="102"/>
      <c r="ADV30" s="76"/>
      <c r="ADY30" s="114"/>
      <c r="ADZ30" s="15">
        <v>23</v>
      </c>
      <c r="AEA30" s="74"/>
      <c r="AEB30" s="86"/>
      <c r="AEC30" s="74"/>
      <c r="AED30" s="102"/>
      <c r="AEE30" s="76"/>
    </row>
    <row r="31" spans="1:811" ht="16.2" thickBot="1" x14ac:dyDescent="0.35">
      <c r="A31" s="150">
        <v>28</v>
      </c>
      <c r="B31" s="82" t="str">
        <f t="shared" ref="B31:H31" si="56">JQ5</f>
        <v>SEABOARD FOODS</v>
      </c>
      <c r="C31" s="82" t="str">
        <f t="shared" si="56"/>
        <v>Seaboard</v>
      </c>
      <c r="D31" s="110" t="str">
        <f t="shared" si="56"/>
        <v>PED. 58400253</v>
      </c>
      <c r="E31" s="148">
        <f t="shared" si="56"/>
        <v>44168</v>
      </c>
      <c r="F31" s="93">
        <f t="shared" si="56"/>
        <v>18625.52</v>
      </c>
      <c r="G31" s="79">
        <f t="shared" si="56"/>
        <v>21</v>
      </c>
      <c r="H31" s="49">
        <f t="shared" si="56"/>
        <v>18697.099999999999</v>
      </c>
      <c r="I31" s="113">
        <f t="shared" ref="I31:I92" si="57">F31-H31</f>
        <v>-71.579999999998108</v>
      </c>
      <c r="L31" s="607"/>
      <c r="M31" s="54"/>
      <c r="N31" s="491"/>
      <c r="O31" s="492"/>
      <c r="P31" s="493"/>
      <c r="Q31" s="494"/>
      <c r="R31" s="495"/>
      <c r="S31" s="869"/>
      <c r="V31" s="228"/>
      <c r="W31" s="38"/>
      <c r="X31" s="489"/>
      <c r="Y31" s="481"/>
      <c r="Z31" s="258"/>
      <c r="AA31" s="152"/>
      <c r="AB31" s="245"/>
      <c r="AC31" s="898"/>
      <c r="AF31" s="228"/>
      <c r="AG31" s="38"/>
      <c r="AH31" s="480"/>
      <c r="AI31" s="482"/>
      <c r="AJ31" s="483"/>
      <c r="AK31" s="484"/>
      <c r="AL31" s="462"/>
      <c r="AM31" s="462"/>
      <c r="AP31" s="228"/>
      <c r="AQ31" s="38"/>
      <c r="AR31" s="230"/>
      <c r="AS31" s="257"/>
      <c r="AT31" s="480"/>
      <c r="AU31" s="102"/>
      <c r="AV31" s="76"/>
      <c r="AY31" s="228"/>
      <c r="AZ31" s="485"/>
      <c r="BA31" s="480"/>
      <c r="BB31" s="486"/>
      <c r="BC31" s="480"/>
      <c r="BD31" s="455"/>
      <c r="BH31" s="228"/>
      <c r="BI31" s="485"/>
      <c r="BJ31" s="480"/>
      <c r="BK31" s="487"/>
      <c r="BL31" s="480"/>
      <c r="BM31" s="455"/>
      <c r="BQ31" s="228"/>
      <c r="BR31" s="38"/>
      <c r="BS31" s="480"/>
      <c r="BT31" s="257"/>
      <c r="BU31" s="480"/>
      <c r="BV31" s="455"/>
      <c r="BW31" s="245"/>
      <c r="BZ31" s="228"/>
      <c r="CA31" s="38">
        <v>24</v>
      </c>
      <c r="CB31" s="480"/>
      <c r="CC31" s="667"/>
      <c r="CD31" s="480"/>
      <c r="CE31" s="668"/>
      <c r="CF31" s="669"/>
      <c r="CJ31" s="228"/>
      <c r="CK31" s="38"/>
      <c r="CL31" s="480"/>
      <c r="CM31" s="488"/>
      <c r="CN31" s="480"/>
      <c r="CO31" s="455"/>
      <c r="CP31" s="76"/>
      <c r="CT31" s="228"/>
      <c r="CU31" s="38"/>
      <c r="CV31" s="480"/>
      <c r="CW31" s="488"/>
      <c r="CX31" s="480"/>
      <c r="CY31" s="455"/>
      <c r="CZ31" s="76"/>
      <c r="DD31" s="228"/>
      <c r="DE31" s="38"/>
      <c r="DF31" s="480"/>
      <c r="DG31" s="488"/>
      <c r="DH31" s="480"/>
      <c r="DI31" s="455"/>
      <c r="DJ31" s="76"/>
      <c r="DN31" s="228"/>
      <c r="DO31" s="38"/>
      <c r="DP31" s="480"/>
      <c r="DQ31" s="488"/>
      <c r="DR31" s="480"/>
      <c r="DS31" s="455"/>
      <c r="DT31" s="245"/>
      <c r="DX31" s="228"/>
      <c r="DY31" s="38"/>
      <c r="DZ31" s="480"/>
      <c r="EA31" s="481"/>
      <c r="EB31" s="258"/>
      <c r="EC31" s="152"/>
      <c r="ED31" s="245"/>
      <c r="EE31" s="898"/>
      <c r="EH31" s="228"/>
      <c r="EI31" s="38"/>
      <c r="EJ31" s="480"/>
      <c r="EK31" s="481"/>
      <c r="EL31" s="258"/>
      <c r="EM31" s="152"/>
      <c r="EN31" s="245"/>
      <c r="EO31" s="898"/>
      <c r="ER31" s="101"/>
      <c r="ES31" s="38"/>
      <c r="ET31" s="489"/>
      <c r="EU31" s="533"/>
      <c r="EV31" s="258"/>
      <c r="EW31" s="152"/>
      <c r="EX31" s="245"/>
      <c r="EY31" s="898"/>
      <c r="FB31" s="490"/>
      <c r="FC31" s="38"/>
      <c r="FD31" s="480"/>
      <c r="FE31" s="257"/>
      <c r="FF31" s="480"/>
      <c r="FG31" s="152"/>
      <c r="FH31" s="245"/>
      <c r="FI31" s="898"/>
      <c r="FL31" s="228"/>
      <c r="FM31" s="38"/>
      <c r="FN31" s="489"/>
      <c r="FO31" s="481"/>
      <c r="FP31" s="489"/>
      <c r="FQ31" s="152"/>
      <c r="FR31" s="245"/>
      <c r="FS31" s="898"/>
      <c r="FV31" s="228"/>
      <c r="FW31" s="38"/>
      <c r="FX31" s="480"/>
      <c r="FY31" s="481"/>
      <c r="FZ31" s="258"/>
      <c r="GA31" s="152"/>
      <c r="GB31" s="245"/>
      <c r="GC31" s="898"/>
      <c r="GF31" s="228"/>
      <c r="GG31" s="485"/>
      <c r="GH31" s="633"/>
      <c r="GI31" s="486"/>
      <c r="GJ31" s="480"/>
      <c r="GK31" s="455"/>
      <c r="GP31" s="429"/>
      <c r="GQ31" s="54"/>
      <c r="GR31" s="491"/>
      <c r="GS31" s="492"/>
      <c r="GT31" s="493"/>
      <c r="GU31" s="494"/>
      <c r="GV31" s="495"/>
      <c r="GW31" s="933"/>
      <c r="GZ31" s="429"/>
      <c r="HA31" s="54"/>
      <c r="HB31" s="491"/>
      <c r="HC31" s="492"/>
      <c r="HD31" s="493"/>
      <c r="HE31" s="494"/>
      <c r="HF31" s="495"/>
      <c r="HG31" s="933"/>
      <c r="HJ31" s="228"/>
      <c r="HK31" s="38"/>
      <c r="HL31" s="489"/>
      <c r="HM31" s="481"/>
      <c r="HN31" s="258"/>
      <c r="HO31" s="152"/>
      <c r="HP31" s="245"/>
      <c r="HQ31" s="898"/>
      <c r="HT31" s="228"/>
      <c r="HU31" s="38"/>
      <c r="HV31" s="480"/>
      <c r="HW31" s="481"/>
      <c r="HX31" s="258"/>
      <c r="HY31" s="152"/>
      <c r="HZ31" s="245"/>
      <c r="IA31" s="898"/>
      <c r="ID31" s="228"/>
      <c r="IE31" s="485"/>
      <c r="IF31" s="480"/>
      <c r="IG31" s="486"/>
      <c r="IH31" s="480"/>
      <c r="II31" s="455"/>
      <c r="IN31" s="228"/>
      <c r="IO31" s="38"/>
      <c r="IP31" s="480"/>
      <c r="IQ31" s="481"/>
      <c r="IR31" s="258"/>
      <c r="IS31" s="152"/>
      <c r="IT31" s="245"/>
      <c r="IU31" s="898"/>
      <c r="IX31" s="228"/>
      <c r="IY31" s="38"/>
      <c r="IZ31" s="489"/>
      <c r="JA31" s="481"/>
      <c r="JB31" s="258"/>
      <c r="JC31" s="152"/>
      <c r="JD31" s="245"/>
      <c r="JE31" s="898"/>
      <c r="JH31" s="228"/>
      <c r="JI31" s="38"/>
      <c r="JJ31" s="480"/>
      <c r="JK31" s="481"/>
      <c r="JL31" s="258"/>
      <c r="JM31" s="152"/>
      <c r="JN31" s="245"/>
      <c r="JO31" s="898"/>
      <c r="JR31" s="228"/>
      <c r="JS31" s="485"/>
      <c r="JT31" s="480"/>
      <c r="JU31" s="257"/>
      <c r="JV31" s="480"/>
      <c r="JW31" s="496"/>
      <c r="JX31" s="245"/>
      <c r="JY31" s="898"/>
      <c r="KB31" s="429"/>
      <c r="KC31" s="54"/>
      <c r="KD31" s="491"/>
      <c r="KE31" s="492"/>
      <c r="KF31" s="493"/>
      <c r="KG31" s="494"/>
      <c r="KH31" s="495"/>
      <c r="KI31" s="933"/>
      <c r="KL31" s="228"/>
      <c r="KM31" s="485"/>
      <c r="KN31" s="480"/>
      <c r="KO31" s="257"/>
      <c r="KP31" s="480"/>
      <c r="KQ31" s="496"/>
      <c r="KR31" s="245"/>
      <c r="KS31" s="898"/>
      <c r="KV31" s="228"/>
      <c r="KW31" s="38"/>
      <c r="KX31" s="489"/>
      <c r="KY31" s="481"/>
      <c r="KZ31" s="489"/>
      <c r="LA31" s="496"/>
      <c r="LB31" s="245"/>
      <c r="LC31" s="898"/>
      <c r="LF31" s="228"/>
      <c r="LG31" s="38"/>
      <c r="LH31" s="258"/>
      <c r="LI31" s="257"/>
      <c r="LJ31" s="480"/>
      <c r="LK31" s="496"/>
      <c r="LL31" s="497"/>
      <c r="LM31" s="898"/>
      <c r="LP31" s="498"/>
      <c r="LQ31" s="38"/>
      <c r="LR31" s="499"/>
      <c r="LS31" s="257"/>
      <c r="LT31" s="455"/>
      <c r="LU31" s="496"/>
      <c r="LV31" s="76"/>
      <c r="LY31" s="228"/>
      <c r="LZ31" s="38"/>
      <c r="MA31" s="230"/>
      <c r="MB31" s="257"/>
      <c r="MC31" s="480"/>
      <c r="MD31" s="102"/>
      <c r="ME31" s="76"/>
      <c r="MH31" s="228"/>
      <c r="MI31" s="38"/>
      <c r="MJ31" s="480"/>
      <c r="MK31" s="482"/>
      <c r="ML31" s="483"/>
      <c r="MM31" s="484"/>
      <c r="MN31" s="462"/>
      <c r="MQ31" s="228"/>
      <c r="MR31" s="38"/>
      <c r="MS31" s="230"/>
      <c r="MT31" s="257"/>
      <c r="MU31" s="480"/>
      <c r="MV31" s="102"/>
      <c r="MW31" s="76"/>
      <c r="MZ31" s="485"/>
      <c r="NA31" s="38"/>
      <c r="NB31" s="455"/>
      <c r="NC31" s="257"/>
      <c r="ND31" s="455"/>
      <c r="NE31" s="496"/>
      <c r="NF31" s="245"/>
      <c r="NI31" s="228"/>
      <c r="NJ31" s="38"/>
      <c r="NK31" s="480"/>
      <c r="NL31" s="482"/>
      <c r="NM31" s="483"/>
      <c r="NN31" s="484"/>
      <c r="NO31" s="462"/>
      <c r="NR31" s="485"/>
      <c r="NS31" s="38"/>
      <c r="NT31" s="455"/>
      <c r="NU31" s="257"/>
      <c r="NV31" s="455"/>
      <c r="NW31" s="496"/>
      <c r="NX31" s="245"/>
      <c r="OA31" s="228"/>
      <c r="OB31" s="38"/>
      <c r="OC31" s="480"/>
      <c r="OD31" s="257"/>
      <c r="OE31" s="480"/>
      <c r="OF31" s="496"/>
      <c r="OG31" s="76"/>
      <c r="OJ31" s="228"/>
      <c r="OK31" s="485"/>
      <c r="OL31" s="480"/>
      <c r="OM31" s="257"/>
      <c r="ON31" s="480"/>
      <c r="OO31" s="496"/>
      <c r="OP31" s="76"/>
      <c r="OS31" s="485"/>
      <c r="OT31" s="38"/>
      <c r="OU31" s="455"/>
      <c r="OV31" s="257"/>
      <c r="OW31" s="455"/>
      <c r="OX31" s="496"/>
      <c r="OY31" s="245"/>
      <c r="PB31" s="228"/>
      <c r="PC31" s="485"/>
      <c r="PD31" s="480"/>
      <c r="PE31" s="488"/>
      <c r="PF31" s="480"/>
      <c r="PG31" s="455"/>
      <c r="PK31" s="228"/>
      <c r="PL31" s="485"/>
      <c r="PM31" s="480"/>
      <c r="PN31" s="486"/>
      <c r="PO31" s="480"/>
      <c r="PP31" s="455"/>
      <c r="PT31" s="228"/>
      <c r="PU31" s="485"/>
      <c r="PV31" s="480"/>
      <c r="PW31" s="488"/>
      <c r="PX31" s="480"/>
      <c r="PY31" s="496"/>
      <c r="PZ31" s="76"/>
      <c r="QC31" s="228"/>
      <c r="QD31" s="485"/>
      <c r="QE31" s="480"/>
      <c r="QF31" s="257"/>
      <c r="QG31" s="480"/>
      <c r="QH31" s="496"/>
      <c r="QI31" s="76"/>
      <c r="QL31" s="228"/>
      <c r="QM31" s="485"/>
      <c r="QN31" s="480"/>
      <c r="QO31" s="257"/>
      <c r="QP31" s="480"/>
      <c r="QQ31" s="496"/>
      <c r="QR31" s="76"/>
      <c r="QU31" s="228"/>
      <c r="QV31" s="485"/>
      <c r="QW31" s="480"/>
      <c r="QX31" s="486"/>
      <c r="QY31" s="480"/>
      <c r="QZ31" s="455"/>
      <c r="RD31" s="500"/>
      <c r="RE31" s="501"/>
      <c r="RF31" s="480"/>
      <c r="RG31" s="486"/>
      <c r="RH31" s="480"/>
      <c r="RI31" s="455"/>
      <c r="RM31" s="500"/>
      <c r="RN31" s="501"/>
      <c r="RO31" s="480"/>
      <c r="RP31" s="486"/>
      <c r="RQ31" s="480"/>
      <c r="RR31" s="455"/>
      <c r="RV31" s="500"/>
      <c r="RW31" s="501"/>
      <c r="RX31" s="480"/>
      <c r="RY31" s="486"/>
      <c r="RZ31" s="480"/>
      <c r="SA31" s="455"/>
      <c r="SE31" s="500"/>
      <c r="SF31" s="501"/>
      <c r="SG31" s="480"/>
      <c r="SH31" s="486"/>
      <c r="SI31" s="480"/>
      <c r="SJ31" s="455"/>
      <c r="SN31" s="500"/>
      <c r="SO31" s="501"/>
      <c r="SP31" s="480"/>
      <c r="SQ31" s="486"/>
      <c r="SR31" s="480"/>
      <c r="SS31" s="455"/>
      <c r="SW31" s="500"/>
      <c r="SX31" s="501"/>
      <c r="SY31" s="480"/>
      <c r="SZ31" s="486"/>
      <c r="TA31" s="480"/>
      <c r="TB31" s="455"/>
      <c r="TF31" s="500"/>
      <c r="TG31" s="501"/>
      <c r="TH31" s="480"/>
      <c r="TI31" s="486"/>
      <c r="TJ31" s="480"/>
      <c r="TK31" s="455"/>
      <c r="TO31" s="500"/>
      <c r="TP31" s="501"/>
      <c r="TQ31" s="480"/>
      <c r="TR31" s="486"/>
      <c r="TS31" s="480"/>
      <c r="TT31" s="455"/>
      <c r="TX31" s="500"/>
      <c r="TY31" s="501"/>
      <c r="TZ31" s="480"/>
      <c r="UA31" s="486"/>
      <c r="UB31" s="480"/>
      <c r="UC31" s="455"/>
      <c r="UG31" s="500"/>
      <c r="UH31" s="501"/>
      <c r="UI31" s="480"/>
      <c r="UJ31" s="486"/>
      <c r="UK31" s="480"/>
      <c r="UL31" s="455"/>
      <c r="UP31" s="500"/>
      <c r="UQ31" s="149">
        <v>24</v>
      </c>
      <c r="UR31" s="480"/>
      <c r="US31" s="486"/>
      <c r="UT31" s="480"/>
      <c r="UU31" s="455"/>
      <c r="UY31" s="500"/>
      <c r="UZ31" s="149">
        <v>24</v>
      </c>
      <c r="VA31" s="480"/>
      <c r="VB31" s="86"/>
      <c r="VC31" s="480"/>
      <c r="VD31" s="455"/>
      <c r="VE31" s="76"/>
      <c r="VH31" s="500"/>
      <c r="VI31" s="149">
        <v>24</v>
      </c>
      <c r="VJ31" s="480"/>
      <c r="VK31" s="86"/>
      <c r="VL31" s="480"/>
      <c r="VM31" s="455"/>
      <c r="VN31" s="76"/>
      <c r="VQ31" s="500"/>
      <c r="VR31" s="149">
        <v>24</v>
      </c>
      <c r="VS31" s="480"/>
      <c r="VT31" s="86"/>
      <c r="VU31" s="480"/>
      <c r="VV31" s="455"/>
      <c r="VW31" s="76"/>
      <c r="VZ31" s="500"/>
      <c r="WA31" s="149">
        <v>24</v>
      </c>
      <c r="WB31" s="480"/>
      <c r="WC31" s="86"/>
      <c r="WD31" s="480"/>
      <c r="WE31" s="455"/>
      <c r="WF31" s="76"/>
      <c r="WI31" s="500"/>
      <c r="WJ31" s="149">
        <v>24</v>
      </c>
      <c r="WK31" s="480"/>
      <c r="WL31" s="86"/>
      <c r="WM31" s="480"/>
      <c r="WN31" s="455"/>
      <c r="WO31" s="76"/>
      <c r="WR31" s="500"/>
      <c r="WS31" s="149">
        <v>24</v>
      </c>
      <c r="WT31" s="480"/>
      <c r="WU31" s="86"/>
      <c r="WV31" s="480"/>
      <c r="WW31" s="455"/>
      <c r="WX31" s="76"/>
      <c r="XA31" s="500"/>
      <c r="XB31" s="149">
        <v>24</v>
      </c>
      <c r="XC31" s="480"/>
      <c r="XD31" s="86"/>
      <c r="XE31" s="480"/>
      <c r="XF31" s="455"/>
      <c r="XG31" s="76"/>
      <c r="XJ31" s="500"/>
      <c r="XK31" s="149">
        <v>24</v>
      </c>
      <c r="XL31" s="480"/>
      <c r="XM31" s="86"/>
      <c r="XN31" s="480"/>
      <c r="XO31" s="455"/>
      <c r="XP31" s="76"/>
      <c r="XS31" s="500"/>
      <c r="XT31" s="149">
        <v>24</v>
      </c>
      <c r="XU31" s="480"/>
      <c r="XV31" s="86"/>
      <c r="XW31" s="480"/>
      <c r="XX31" s="455"/>
      <c r="XY31" s="76"/>
      <c r="YB31" s="500"/>
      <c r="YC31" s="149"/>
      <c r="YD31" s="480"/>
      <c r="YE31" s="86"/>
      <c r="YF31" s="480"/>
      <c r="YG31" s="455"/>
      <c r="YH31" s="76"/>
      <c r="YK31" s="500"/>
      <c r="YL31" s="149">
        <v>24</v>
      </c>
      <c r="YM31" s="480"/>
      <c r="YN31" s="86"/>
      <c r="YO31" s="480"/>
      <c r="YP31" s="455"/>
      <c r="YQ31" s="76"/>
      <c r="YT31" s="500"/>
      <c r="YU31" s="149">
        <v>24</v>
      </c>
      <c r="YV31" s="480"/>
      <c r="YW31" s="86"/>
      <c r="YX31" s="480"/>
      <c r="YY31" s="455"/>
      <c r="YZ31" s="76"/>
      <c r="ZC31" s="500"/>
      <c r="ZD31" s="149">
        <v>24</v>
      </c>
      <c r="ZE31" s="480"/>
      <c r="ZF31" s="86"/>
      <c r="ZG31" s="480"/>
      <c r="ZH31" s="455"/>
      <c r="ZI31" s="76"/>
      <c r="ZL31" s="500"/>
      <c r="ZM31" s="149">
        <v>24</v>
      </c>
      <c r="ZN31" s="480"/>
      <c r="ZO31" s="86"/>
      <c r="ZP31" s="480"/>
      <c r="ZQ31" s="455"/>
      <c r="ZR31" s="76"/>
      <c r="ZU31" s="500"/>
      <c r="ZV31" s="149">
        <v>24</v>
      </c>
      <c r="ZW31" s="480"/>
      <c r="ZX31" s="86"/>
      <c r="ZY31" s="480"/>
      <c r="ZZ31" s="455"/>
      <c r="AAA31" s="76"/>
      <c r="AAD31" s="500"/>
      <c r="AAE31" s="149">
        <v>24</v>
      </c>
      <c r="AAF31" s="480"/>
      <c r="AAG31" s="86"/>
      <c r="AAH31" s="480"/>
      <c r="AAI31" s="455"/>
      <c r="AAJ31" s="76"/>
      <c r="AAM31" s="500"/>
      <c r="AAN31" s="149">
        <v>24</v>
      </c>
      <c r="AAO31" s="480"/>
      <c r="AAP31" s="86"/>
      <c r="AAQ31" s="480"/>
      <c r="AAR31" s="455"/>
      <c r="AAS31" s="76"/>
      <c r="AAV31" s="500"/>
      <c r="AAW31" s="149">
        <v>24</v>
      </c>
      <c r="AAX31" s="480"/>
      <c r="AAY31" s="86"/>
      <c r="AAZ31" s="480"/>
      <c r="ABA31" s="455"/>
      <c r="ABB31" s="76"/>
      <c r="ABE31" s="500"/>
      <c r="ABF31" s="149">
        <v>24</v>
      </c>
      <c r="ABG31" s="480"/>
      <c r="ABH31" s="86"/>
      <c r="ABI31" s="480"/>
      <c r="ABJ31" s="455"/>
      <c r="ABK31" s="76"/>
      <c r="ABN31" s="500"/>
      <c r="ABO31" s="149">
        <v>24</v>
      </c>
      <c r="ABP31" s="480"/>
      <c r="ABQ31" s="86"/>
      <c r="ABR31" s="480"/>
      <c r="ABS31" s="455"/>
      <c r="ABT31" s="76"/>
      <c r="ABW31" s="500"/>
      <c r="ABX31" s="149">
        <v>24</v>
      </c>
      <c r="ABY31" s="480"/>
      <c r="ABZ31" s="86"/>
      <c r="ACA31" s="480"/>
      <c r="ACB31" s="455"/>
      <c r="ACC31" s="76"/>
      <c r="ACF31" s="500"/>
      <c r="ACG31" s="149">
        <v>24</v>
      </c>
      <c r="ACH31" s="480"/>
      <c r="ACI31" s="86"/>
      <c r="ACJ31" s="480"/>
      <c r="ACK31" s="455"/>
      <c r="ACL31" s="76"/>
      <c r="ACO31" s="500"/>
      <c r="ACP31" s="149">
        <v>24</v>
      </c>
      <c r="ACQ31" s="480"/>
      <c r="ACR31" s="86"/>
      <c r="ACS31" s="480"/>
      <c r="ACT31" s="455"/>
      <c r="ACU31" s="76"/>
      <c r="ACX31" s="500"/>
      <c r="ACY31" s="149">
        <v>24</v>
      </c>
      <c r="ACZ31" s="480"/>
      <c r="ADA31" s="86"/>
      <c r="ADB31" s="480"/>
      <c r="ADC31" s="455"/>
      <c r="ADD31" s="76"/>
      <c r="ADG31" s="500"/>
      <c r="ADH31" s="149">
        <v>24</v>
      </c>
      <c r="ADI31" s="480"/>
      <c r="ADJ31" s="86"/>
      <c r="ADK31" s="480"/>
      <c r="ADL31" s="455"/>
      <c r="ADM31" s="76"/>
      <c r="ADP31" s="500"/>
      <c r="ADQ31" s="149">
        <v>24</v>
      </c>
      <c r="ADR31" s="480"/>
      <c r="ADS31" s="86"/>
      <c r="ADT31" s="480"/>
      <c r="ADU31" s="455"/>
      <c r="ADV31" s="76"/>
      <c r="ADY31" s="500"/>
      <c r="ADZ31" s="149">
        <v>24</v>
      </c>
      <c r="AEA31" s="480"/>
      <c r="AEB31" s="86"/>
      <c r="AEC31" s="480"/>
      <c r="AED31" s="455"/>
      <c r="AEE31" s="76"/>
    </row>
    <row r="32" spans="1:811" ht="18.75" customHeight="1" thickBot="1" x14ac:dyDescent="0.35">
      <c r="A32" s="150">
        <v>29</v>
      </c>
      <c r="B32" s="82" t="str">
        <f t="shared" ref="B32:H32" si="58">KA5</f>
        <v>F&amp;J TRADING MEAT S DE RL</v>
      </c>
      <c r="C32" s="82" t="str">
        <f t="shared" si="58"/>
        <v>Seaboard</v>
      </c>
      <c r="D32" s="110" t="str">
        <f t="shared" si="58"/>
        <v>PED. 58272798</v>
      </c>
      <c r="E32" s="148">
        <f t="shared" si="58"/>
        <v>44168</v>
      </c>
      <c r="F32" s="93">
        <f t="shared" si="58"/>
        <v>18882.39</v>
      </c>
      <c r="G32" s="79">
        <f t="shared" si="58"/>
        <v>21</v>
      </c>
      <c r="H32" s="49">
        <f t="shared" si="58"/>
        <v>18975.099999999999</v>
      </c>
      <c r="I32" s="113">
        <f t="shared" si="57"/>
        <v>-92.709999999999127</v>
      </c>
      <c r="N32" s="113">
        <f>SUM(N8:N31)</f>
        <v>17253.969999999998</v>
      </c>
      <c r="P32" s="113">
        <f>SUM(P8:P31)</f>
        <v>17253.969999999998</v>
      </c>
      <c r="X32" s="113">
        <f>SUM(X8:X31)</f>
        <v>18146.199999999997</v>
      </c>
      <c r="Z32" s="113">
        <f>SUM(Z8:Z31)</f>
        <v>18146.199999999997</v>
      </c>
      <c r="AH32" s="93">
        <f>SUM(AH8:AH31)</f>
        <v>19053.000000000004</v>
      </c>
      <c r="AJ32" s="93">
        <f>SUM(AJ8:AJ31)</f>
        <v>19053.000000000004</v>
      </c>
      <c r="AR32" s="113">
        <f>SUM(AR8:AR31)</f>
        <v>19099.8</v>
      </c>
      <c r="AT32" s="113">
        <f>SUM(AT8:AT31)</f>
        <v>19099.8</v>
      </c>
      <c r="AY32" s="82"/>
      <c r="BA32" s="113">
        <f>SUM(BA8:BA31)</f>
        <v>18900.499999999996</v>
      </c>
      <c r="BC32" s="113">
        <f>SUM(BC8:BC31)</f>
        <v>18900.499999999996</v>
      </c>
      <c r="BJ32" s="113">
        <f>SUM(BJ8:BJ31)</f>
        <v>18658.3</v>
      </c>
      <c r="BL32" s="113">
        <f>SUM(BL8:BL31)</f>
        <v>18658.3</v>
      </c>
      <c r="BS32" s="113">
        <f>SUM(BS8:BS31)</f>
        <v>17522.899999999994</v>
      </c>
      <c r="BU32" s="113">
        <f>SUM(BU8:BU31)</f>
        <v>17522.899999999994</v>
      </c>
      <c r="CA32" s="15"/>
      <c r="CB32" s="113">
        <f>SUM(CB8:CB31)</f>
        <v>18922.399999999998</v>
      </c>
      <c r="CD32" s="113">
        <f>SUM(CD8:CD31)</f>
        <v>18922.399999999998</v>
      </c>
      <c r="CL32" s="113">
        <f>SUM(CL8:CL31)</f>
        <v>18804.480000000003</v>
      </c>
      <c r="CN32" s="113">
        <f>SUM(CN8:CN31)</f>
        <v>18804.480000000003</v>
      </c>
      <c r="CV32" s="113">
        <f>SUM(CV8:CV31)</f>
        <v>18949.5</v>
      </c>
      <c r="CX32" s="113">
        <f>SUM(CX8:CX31)</f>
        <v>18949.5</v>
      </c>
      <c r="DF32" s="113">
        <f>SUM(DF8:DF31)</f>
        <v>18896.899999999998</v>
      </c>
      <c r="DH32" s="113">
        <f>SUM(DH8:DH31)</f>
        <v>18896.899999999998</v>
      </c>
      <c r="DP32" s="113">
        <f>SUM(DP8:DP31)</f>
        <v>18850.600000000002</v>
      </c>
      <c r="DR32" s="113">
        <f>SUM(DR8:DR31)</f>
        <v>18850.600000000002</v>
      </c>
      <c r="DZ32" s="113">
        <f>SUM(DZ8:DZ31)</f>
        <v>16741.060000000001</v>
      </c>
      <c r="EB32" s="113">
        <f>SUM(EB8:EB31)</f>
        <v>16741.060000000001</v>
      </c>
      <c r="EJ32" s="113">
        <f>SUM(EJ8:EJ31)</f>
        <v>18612.800000000003</v>
      </c>
      <c r="EL32" s="113">
        <f>SUM(EL8:EL31)</f>
        <v>18612.800000000003</v>
      </c>
      <c r="ET32" s="113">
        <f>SUM(ET8:ET31)</f>
        <v>18807.3</v>
      </c>
      <c r="EV32" s="113">
        <f>SUM(EV8:EV31)</f>
        <v>18807.3</v>
      </c>
      <c r="FD32" s="142">
        <f>SUM(FD8:FD31)</f>
        <v>18673.800000000003</v>
      </c>
      <c r="FF32" s="113">
        <f>SUM(FF8:FF31)</f>
        <v>18673.800000000003</v>
      </c>
      <c r="FN32" s="113">
        <f>SUM(FN8:FN31)</f>
        <v>18643.999999999996</v>
      </c>
      <c r="FO32" s="113"/>
      <c r="FP32" s="113">
        <f>SUM(FP8:FP31)</f>
        <v>18643.999999999996</v>
      </c>
      <c r="FQ32" s="82" t="s">
        <v>36</v>
      </c>
      <c r="FX32" s="113">
        <f>SUM(FX8:FX31)</f>
        <v>18408.2</v>
      </c>
      <c r="FZ32" s="113">
        <f>SUM(FZ8:FZ31)</f>
        <v>18408.2</v>
      </c>
      <c r="GH32" s="113">
        <f>SUM(GH8:GH31)</f>
        <v>18793.600000000002</v>
      </c>
      <c r="GJ32" s="113">
        <f>SUM(GJ8:GJ31)</f>
        <v>18793.600000000002</v>
      </c>
      <c r="GR32" s="113">
        <f>SUM(GR8:GR31)</f>
        <v>17405.45</v>
      </c>
      <c r="GT32" s="113">
        <f>SUM(GT8:GT31)</f>
        <v>17405.45</v>
      </c>
      <c r="HB32" s="113">
        <f>SUM(HB8:HB31)</f>
        <v>18916.534</v>
      </c>
      <c r="HD32" s="113">
        <f>SUM(HD8:HD31)</f>
        <v>18916.534</v>
      </c>
      <c r="HL32" s="113">
        <f>SUM(HL8:HL31)</f>
        <v>18619.400000000001</v>
      </c>
      <c r="HN32" s="113">
        <f>SUM(HN8:HN31)</f>
        <v>18619.400000000001</v>
      </c>
      <c r="HV32" s="113">
        <f>SUM(HV8:HV31)</f>
        <v>18979.599999999999</v>
      </c>
      <c r="HX32" s="113">
        <f>SUM(HX8:HX31)</f>
        <v>18979.599999999999</v>
      </c>
      <c r="IF32" s="113">
        <f>SUM(IF8:IF31)</f>
        <v>18933.2</v>
      </c>
      <c r="IH32" s="113">
        <f>SUM(IH8:IH31)</f>
        <v>18933.2</v>
      </c>
      <c r="IP32" s="113">
        <f>SUM(IP8:IP31)</f>
        <v>18847.8</v>
      </c>
      <c r="IR32" s="113">
        <f>SUM(IR8:IR31)</f>
        <v>18847.8</v>
      </c>
      <c r="IZ32" s="113">
        <f>SUM(IZ8:IZ31)</f>
        <v>17121.53</v>
      </c>
      <c r="JB32" s="113">
        <f>SUM(JB8:JB31)</f>
        <v>17121.53</v>
      </c>
      <c r="JJ32" s="113">
        <f>SUM(JJ8:JJ31)</f>
        <v>17520.179999999997</v>
      </c>
      <c r="JL32" s="113">
        <f>SUM(JL8:JL31)</f>
        <v>17520.179999999997</v>
      </c>
      <c r="JT32" s="113">
        <f>SUM(JT8:JT31)</f>
        <v>18697.100000000002</v>
      </c>
      <c r="JV32" s="113">
        <f>SUM(JV8:JV31)</f>
        <v>18697.100000000002</v>
      </c>
      <c r="KD32" s="113">
        <f>SUM(KD8:KD31)</f>
        <v>18975.100000000002</v>
      </c>
      <c r="KF32" s="113">
        <f>SUM(KF8:KF31)</f>
        <v>18975.100000000002</v>
      </c>
      <c r="KN32" s="113">
        <f>SUM(KN8:KN31)</f>
        <v>18657.64</v>
      </c>
      <c r="KP32" s="113">
        <f>SUM(KP8:KP31)</f>
        <v>18657.64</v>
      </c>
      <c r="KX32" s="93">
        <f>SUM(KX8:KX31)</f>
        <v>18621.100000000002</v>
      </c>
      <c r="KZ32" s="113">
        <f>SUM(KZ8:KZ31)</f>
        <v>18621.100000000002</v>
      </c>
      <c r="LG32" s="153"/>
      <c r="LH32" s="93">
        <f>SUM(LH8:LH31)</f>
        <v>18481.5</v>
      </c>
      <c r="LI32" s="93"/>
      <c r="LJ32" s="93">
        <f>SUM(LJ8:LJ31)</f>
        <v>18481.5</v>
      </c>
      <c r="LR32" s="113">
        <f>SUM(LR8:LR31)</f>
        <v>0</v>
      </c>
      <c r="LT32" s="113">
        <f>SUM(LT8:LT31)</f>
        <v>0</v>
      </c>
      <c r="MA32" s="113">
        <f>SUM(MA8:MA31)</f>
        <v>0</v>
      </c>
      <c r="MC32" s="113">
        <f>SUM(MC8:MC31)</f>
        <v>0</v>
      </c>
      <c r="MJ32" s="93">
        <f>SUM(MJ8:MJ31)</f>
        <v>0</v>
      </c>
      <c r="ML32" s="93">
        <f>SUM(ML8:ML31)</f>
        <v>0</v>
      </c>
      <c r="MS32" s="113">
        <f>SUM(MS8:MS31)</f>
        <v>0</v>
      </c>
      <c r="MU32" s="113">
        <f>SUM(MU8:MU31)</f>
        <v>0</v>
      </c>
      <c r="NB32" s="113">
        <f>SUM(NB8:NB31)</f>
        <v>0</v>
      </c>
      <c r="ND32" s="113">
        <f>SUM(ND8:ND31)</f>
        <v>0</v>
      </c>
      <c r="NK32" s="93">
        <f>SUM(NK8:NK31)</f>
        <v>0</v>
      </c>
      <c r="NM32" s="93">
        <f>SUM(NM8:NM31)</f>
        <v>0</v>
      </c>
      <c r="NT32" s="113">
        <f>SUM(NT8:NT31)</f>
        <v>0</v>
      </c>
      <c r="NV32" s="113">
        <f>SUM(NV8:NV31)</f>
        <v>0</v>
      </c>
      <c r="OC32" s="113">
        <f>SUM(OC8:OC31)</f>
        <v>0</v>
      </c>
      <c r="OD32" s="113"/>
      <c r="OE32" s="113">
        <f>SUM(OE8:OE31)</f>
        <v>0</v>
      </c>
      <c r="OL32" s="113">
        <f>SUM(OL8:OL31)</f>
        <v>0</v>
      </c>
      <c r="ON32" s="113">
        <f>SUM(ON8:ON31)</f>
        <v>0</v>
      </c>
      <c r="OU32" s="113">
        <f>SUM(OU8:OU31)</f>
        <v>0</v>
      </c>
      <c r="OW32" s="113">
        <f>SUM(OW8:OW31)</f>
        <v>0</v>
      </c>
      <c r="PD32" s="113">
        <f>SUM(PD8:PD31)</f>
        <v>0</v>
      </c>
      <c r="PE32" s="113"/>
      <c r="PF32" s="113">
        <f>SUM(PF8:PF31)</f>
        <v>0</v>
      </c>
      <c r="PM32" s="113">
        <f>SUM(PM8:PM31)</f>
        <v>0</v>
      </c>
      <c r="PO32" s="113">
        <f>SUM(PO8:PO31)</f>
        <v>0</v>
      </c>
      <c r="PV32" s="113">
        <f>SUM(PV8:PV31)</f>
        <v>0</v>
      </c>
      <c r="PX32" s="113">
        <f>SUM(PX8:PX31)</f>
        <v>0</v>
      </c>
      <c r="QE32" s="113">
        <f>SUM(QE8:QE31)</f>
        <v>0</v>
      </c>
      <c r="QG32" s="113">
        <f>SUM(QG8:QG31)</f>
        <v>0</v>
      </c>
      <c r="QN32" s="113">
        <f>SUM(QN8:QN31)</f>
        <v>0</v>
      </c>
      <c r="QP32" s="113">
        <f>SUM(QP8:QP31)</f>
        <v>0</v>
      </c>
      <c r="QW32" s="113">
        <f>SUM(QW8:QW31)</f>
        <v>0</v>
      </c>
      <c r="QY32" s="113">
        <f>SUM(QY8:QY31)</f>
        <v>0</v>
      </c>
      <c r="RF32" s="113">
        <f>SUM(RF8:RF31)</f>
        <v>0</v>
      </c>
      <c r="RH32" s="113">
        <f>SUM(RH8:RH31)</f>
        <v>0</v>
      </c>
      <c r="RO32" s="113">
        <f>SUM(RO8:RO31)</f>
        <v>0</v>
      </c>
      <c r="RQ32" s="113">
        <f>SUM(RQ8:RQ31)</f>
        <v>0</v>
      </c>
      <c r="RX32" s="113">
        <f>SUM(RX8:RX31)</f>
        <v>0</v>
      </c>
      <c r="RZ32" s="113">
        <f>SUM(RZ8:RZ31)</f>
        <v>0</v>
      </c>
      <c r="SG32" s="113">
        <f>SUM(SG8:SG31)</f>
        <v>0</v>
      </c>
      <c r="SI32" s="113">
        <f>SUM(SI8:SI31)</f>
        <v>0</v>
      </c>
      <c r="SP32" s="113">
        <f>SUM(SP8:SP31)</f>
        <v>0</v>
      </c>
      <c r="SR32" s="113">
        <f>SUM(SR8:SR31)</f>
        <v>0</v>
      </c>
      <c r="SY32" s="113">
        <f>SUM(SY8:SY31)</f>
        <v>0</v>
      </c>
      <c r="TA32" s="113">
        <f>SUM(TA8:TA31)</f>
        <v>0</v>
      </c>
      <c r="TH32" s="113">
        <f>SUM(TH8:TH31)</f>
        <v>0</v>
      </c>
      <c r="TJ32" s="113">
        <f>SUM(TJ8:TJ31)</f>
        <v>0</v>
      </c>
      <c r="TQ32" s="113">
        <f>SUM(TQ8:TQ31)</f>
        <v>0</v>
      </c>
      <c r="TS32" s="113">
        <f>SUM(TS8:TS31)</f>
        <v>0</v>
      </c>
      <c r="TZ32" s="113">
        <f>SUM(TZ8:TZ31)</f>
        <v>0</v>
      </c>
      <c r="UB32" s="113">
        <f>SUM(UB8:UB31)</f>
        <v>0</v>
      </c>
      <c r="UI32" s="113">
        <f>SUM(UI8:UI31)</f>
        <v>0</v>
      </c>
      <c r="UK32" s="113">
        <f>SUM(UK8:UK31)</f>
        <v>0</v>
      </c>
      <c r="UR32" s="113">
        <f>SUM(UR8:UR31)</f>
        <v>0</v>
      </c>
      <c r="UT32" s="113">
        <f>SUM(UT8:UT31)</f>
        <v>0</v>
      </c>
      <c r="VA32" s="113">
        <f>SUM(VA8:VA31)</f>
        <v>0</v>
      </c>
      <c r="VC32" s="113">
        <f>SUM(VC8:VC31)</f>
        <v>0</v>
      </c>
      <c r="VJ32" s="113">
        <f>SUM(VJ8:VJ31)</f>
        <v>0</v>
      </c>
      <c r="VL32" s="113">
        <f>SUM(VL8:VL31)</f>
        <v>0</v>
      </c>
      <c r="VS32" s="113">
        <f>SUM(VS8:VS31)</f>
        <v>0</v>
      </c>
      <c r="VU32" s="113">
        <f>SUM(VU8:VU31)</f>
        <v>0</v>
      </c>
      <c r="WB32" s="113">
        <f>SUM(WB8:WB31)</f>
        <v>0</v>
      </c>
      <c r="WD32" s="113">
        <f>SUM(WD8:WD31)</f>
        <v>0</v>
      </c>
      <c r="WK32" s="113">
        <f>SUM(WK8:WK31)</f>
        <v>0</v>
      </c>
      <c r="WM32" s="113">
        <f>SUM(WM8:WM31)</f>
        <v>0</v>
      </c>
      <c r="WT32" s="113">
        <f>SUM(WT8:WT31)</f>
        <v>0</v>
      </c>
      <c r="WV32" s="113">
        <f>SUM(WV8:WV31)</f>
        <v>0</v>
      </c>
      <c r="XC32" s="113">
        <f>SUM(XC8:XC31)</f>
        <v>0</v>
      </c>
      <c r="XE32" s="113">
        <f>SUM(XE8:XE31)</f>
        <v>0</v>
      </c>
      <c r="XL32" s="113">
        <f>SUM(XL8:XL31)</f>
        <v>0</v>
      </c>
      <c r="XN32" s="113">
        <f>SUM(XN8:XN31)</f>
        <v>0</v>
      </c>
      <c r="XU32" s="113">
        <f>SUM(XU8:XU31)</f>
        <v>0</v>
      </c>
      <c r="XW32" s="113">
        <f>SUM(XW8:XW31)</f>
        <v>0</v>
      </c>
      <c r="YD32" s="113">
        <f>SUM(YD8:YD31)</f>
        <v>0</v>
      </c>
      <c r="YF32" s="113">
        <f>SUM(YF8:YF31)</f>
        <v>0</v>
      </c>
      <c r="YM32" s="113">
        <f>SUM(YM8:YM31)</f>
        <v>0</v>
      </c>
      <c r="YO32" s="113">
        <f>SUM(YO8:YO31)</f>
        <v>0</v>
      </c>
      <c r="YV32" s="113">
        <f>SUM(YV8:YV31)</f>
        <v>0</v>
      </c>
      <c r="YX32" s="113">
        <f>SUM(YX8:YX31)</f>
        <v>0</v>
      </c>
      <c r="ZE32" s="113">
        <f>SUM(ZE8:ZE31)</f>
        <v>0</v>
      </c>
      <c r="ZG32" s="113">
        <f>SUM(ZG8:ZG31)</f>
        <v>0</v>
      </c>
      <c r="ZN32" s="113">
        <f>SUM(ZN8:ZN31)</f>
        <v>0</v>
      </c>
      <c r="ZP32" s="113">
        <f>SUM(ZP8:ZP31)</f>
        <v>0</v>
      </c>
      <c r="ZW32" s="113">
        <f>SUM(ZW8:ZW31)</f>
        <v>0</v>
      </c>
      <c r="ZY32" s="113">
        <f>SUM(ZY8:ZY31)</f>
        <v>0</v>
      </c>
      <c r="AAF32" s="113">
        <f>SUM(AAF8:AAF31)</f>
        <v>0</v>
      </c>
      <c r="AAH32" s="113">
        <f>SUM(AAH8:AAH31)</f>
        <v>0</v>
      </c>
      <c r="AAO32" s="113">
        <f>SUM(AAO8:AAO31)</f>
        <v>0</v>
      </c>
      <c r="AAQ32" s="113">
        <f>SUM(AAQ8:AAQ31)</f>
        <v>0</v>
      </c>
      <c r="AAX32" s="113">
        <f>SUM(AAX8:AAX31)</f>
        <v>0</v>
      </c>
      <c r="AAZ32" s="113">
        <f>SUM(AAZ8:AAZ31)</f>
        <v>0</v>
      </c>
      <c r="ABG32" s="113">
        <f>SUM(ABG8:ABG31)</f>
        <v>0</v>
      </c>
      <c r="ABI32" s="113">
        <f>SUM(ABI8:ABI31)</f>
        <v>0</v>
      </c>
      <c r="ABP32" s="113">
        <f>SUM(ABP8:ABP31)</f>
        <v>0</v>
      </c>
      <c r="ABR32" s="113">
        <f>SUM(ABR8:ABR31)</f>
        <v>0</v>
      </c>
      <c r="ABY32" s="113">
        <f>SUM(ABY8:ABY31)</f>
        <v>0</v>
      </c>
      <c r="ACA32" s="113">
        <f>SUM(ACA8:ACA31)</f>
        <v>0</v>
      </c>
      <c r="ACH32" s="113">
        <f>SUM(ACH8:ACH31)</f>
        <v>0</v>
      </c>
      <c r="ACJ32" s="113">
        <f>SUM(ACJ8:ACJ31)</f>
        <v>0</v>
      </c>
      <c r="ACQ32" s="113">
        <f>SUM(ACQ8:ACQ31)</f>
        <v>0</v>
      </c>
      <c r="ACS32" s="113">
        <f>SUM(ACS8:ACS31)</f>
        <v>0</v>
      </c>
      <c r="ACZ32" s="113">
        <f>SUM(ACZ8:ACZ31)</f>
        <v>0</v>
      </c>
      <c r="ADB32" s="113">
        <f>SUM(ADB8:ADB31)</f>
        <v>0</v>
      </c>
      <c r="ADI32" s="113">
        <f>SUM(ADI8:ADI31)</f>
        <v>0</v>
      </c>
      <c r="ADK32" s="113">
        <f>SUM(ADK8:ADK31)</f>
        <v>0</v>
      </c>
      <c r="ADR32" s="113">
        <f>SUM(ADR8:ADR31)</f>
        <v>0</v>
      </c>
      <c r="ADT32" s="113">
        <f>SUM(ADT8:ADT31)</f>
        <v>0</v>
      </c>
      <c r="AEA32" s="113">
        <f>SUM(AEA8:AEA31)</f>
        <v>0</v>
      </c>
      <c r="AEC32" s="113">
        <f>SUM(AEC8:AEC31)</f>
        <v>0</v>
      </c>
    </row>
    <row r="33" spans="1:809" ht="18.75" customHeight="1" thickBot="1" x14ac:dyDescent="0.35">
      <c r="A33" s="150">
        <v>30</v>
      </c>
      <c r="B33" s="82" t="str">
        <f t="shared" ref="B33:H33" si="59">KK5</f>
        <v>TYSON FRESH MEATS</v>
      </c>
      <c r="C33" s="82" t="str">
        <f t="shared" si="59"/>
        <v xml:space="preserve">I B P </v>
      </c>
      <c r="D33" s="110" t="str">
        <f t="shared" si="59"/>
        <v>PED. 58432475</v>
      </c>
      <c r="E33" s="148">
        <f t="shared" si="59"/>
        <v>44169</v>
      </c>
      <c r="F33" s="93">
        <f t="shared" si="59"/>
        <v>18448.28</v>
      </c>
      <c r="G33" s="79">
        <f t="shared" si="59"/>
        <v>20</v>
      </c>
      <c r="H33" s="49">
        <f t="shared" si="59"/>
        <v>18657.64</v>
      </c>
      <c r="I33" s="113">
        <f t="shared" si="57"/>
        <v>-209.36000000000058</v>
      </c>
      <c r="N33" s="605" t="s">
        <v>21</v>
      </c>
      <c r="O33" s="606"/>
      <c r="P33" s="154">
        <f>N32-P32</f>
        <v>0</v>
      </c>
      <c r="X33" s="605" t="s">
        <v>21</v>
      </c>
      <c r="Y33" s="606"/>
      <c r="Z33" s="154">
        <f>X32-Z32</f>
        <v>0</v>
      </c>
      <c r="AH33" s="427" t="s">
        <v>21</v>
      </c>
      <c r="AI33" s="428"/>
      <c r="AJ33" s="154">
        <f>AK5-AJ32</f>
        <v>0</v>
      </c>
      <c r="AR33" s="427" t="s">
        <v>21</v>
      </c>
      <c r="AS33" s="428"/>
      <c r="AT33" s="389">
        <f>AU5-AT32</f>
        <v>0</v>
      </c>
      <c r="AU33" s="390"/>
      <c r="AY33" s="82"/>
      <c r="BA33" s="427" t="s">
        <v>21</v>
      </c>
      <c r="BB33" s="428"/>
      <c r="BC33" s="154">
        <f>BA32-BC32</f>
        <v>0</v>
      </c>
      <c r="BJ33" s="427" t="s">
        <v>21</v>
      </c>
      <c r="BK33" s="428"/>
      <c r="BL33" s="154">
        <f>BJ32-BL32</f>
        <v>0</v>
      </c>
      <c r="BS33" s="427" t="s">
        <v>21</v>
      </c>
      <c r="BT33" s="428"/>
      <c r="BU33" s="154">
        <f>BS32-BU32</f>
        <v>0</v>
      </c>
      <c r="CA33" s="15"/>
      <c r="CB33" s="427" t="s">
        <v>21</v>
      </c>
      <c r="CC33" s="428"/>
      <c r="CD33" s="154">
        <f>CB32-CD32</f>
        <v>0</v>
      </c>
      <c r="CL33" s="427" t="s">
        <v>21</v>
      </c>
      <c r="CM33" s="428"/>
      <c r="CN33" s="154">
        <f>CL32-CN32</f>
        <v>0</v>
      </c>
      <c r="CV33" s="427" t="s">
        <v>21</v>
      </c>
      <c r="CW33" s="428"/>
      <c r="CX33" s="154">
        <f>CV32-CX32</f>
        <v>0</v>
      </c>
      <c r="DF33" s="427" t="s">
        <v>21</v>
      </c>
      <c r="DG33" s="428"/>
      <c r="DH33" s="154">
        <f>DF32-DH32</f>
        <v>0</v>
      </c>
      <c r="DP33" s="427" t="s">
        <v>21</v>
      </c>
      <c r="DQ33" s="428"/>
      <c r="DR33" s="154">
        <f>DP32-DR32</f>
        <v>0</v>
      </c>
      <c r="DZ33" s="427" t="s">
        <v>21</v>
      </c>
      <c r="EA33" s="428"/>
      <c r="EB33" s="154">
        <f>DZ32-EB32</f>
        <v>0</v>
      </c>
      <c r="EJ33" s="427" t="s">
        <v>21</v>
      </c>
      <c r="EK33" s="428"/>
      <c r="EL33" s="154">
        <f>EJ32-EL32</f>
        <v>0</v>
      </c>
      <c r="ET33" s="427" t="s">
        <v>21</v>
      </c>
      <c r="EU33" s="428"/>
      <c r="EV33" s="364">
        <f>ET32-EV32</f>
        <v>0</v>
      </c>
      <c r="FD33" s="427" t="s">
        <v>21</v>
      </c>
      <c r="FE33" s="428"/>
      <c r="FF33" s="154">
        <f>FD32-FF32</f>
        <v>0</v>
      </c>
      <c r="FN33" s="427" t="s">
        <v>21</v>
      </c>
      <c r="FO33" s="428"/>
      <c r="FP33" s="364">
        <f>FN32-FP32</f>
        <v>0</v>
      </c>
      <c r="FX33" s="427" t="s">
        <v>21</v>
      </c>
      <c r="FY33" s="428"/>
      <c r="FZ33" s="154">
        <f>GA5-FZ32</f>
        <v>0</v>
      </c>
      <c r="GH33" s="427" t="s">
        <v>21</v>
      </c>
      <c r="GI33" s="428"/>
      <c r="GJ33" s="154">
        <f>GH32-GJ32</f>
        <v>0</v>
      </c>
      <c r="GR33" s="427" t="s">
        <v>21</v>
      </c>
      <c r="GS33" s="428"/>
      <c r="GT33" s="154">
        <f>GR32-GT32</f>
        <v>0</v>
      </c>
      <c r="HB33" s="427" t="s">
        <v>21</v>
      </c>
      <c r="HC33" s="428"/>
      <c r="HD33" s="154">
        <f>HB32-HD32</f>
        <v>0</v>
      </c>
      <c r="HL33" s="427" t="s">
        <v>21</v>
      </c>
      <c r="HM33" s="428"/>
      <c r="HN33" s="154">
        <f>HL32-HN32</f>
        <v>0</v>
      </c>
      <c r="HV33" s="427" t="s">
        <v>21</v>
      </c>
      <c r="HW33" s="428"/>
      <c r="HX33" s="154">
        <f>HV32-HX32</f>
        <v>0</v>
      </c>
      <c r="IF33" s="427" t="s">
        <v>21</v>
      </c>
      <c r="IG33" s="428"/>
      <c r="IH33" s="154">
        <f>IF32-IH32</f>
        <v>0</v>
      </c>
      <c r="IP33" s="427" t="s">
        <v>21</v>
      </c>
      <c r="IQ33" s="428"/>
      <c r="IR33" s="154">
        <f>IP32-IR32</f>
        <v>0</v>
      </c>
      <c r="IZ33" s="427" t="s">
        <v>21</v>
      </c>
      <c r="JA33" s="428"/>
      <c r="JB33" s="154">
        <f>IZ32-JB32</f>
        <v>0</v>
      </c>
      <c r="JJ33" s="427" t="s">
        <v>21</v>
      </c>
      <c r="JK33" s="428"/>
      <c r="JL33" s="364">
        <f>JM5-JL32</f>
        <v>0</v>
      </c>
      <c r="JM33" s="288"/>
      <c r="JT33" s="427" t="s">
        <v>21</v>
      </c>
      <c r="JU33" s="428"/>
      <c r="JV33" s="154">
        <f>JW5-JV32</f>
        <v>0</v>
      </c>
      <c r="KD33" s="427" t="s">
        <v>21</v>
      </c>
      <c r="KE33" s="428"/>
      <c r="KF33" s="154">
        <f>KD32-KF32</f>
        <v>0</v>
      </c>
      <c r="KN33" s="427" t="s">
        <v>21</v>
      </c>
      <c r="KO33" s="428"/>
      <c r="KP33" s="275">
        <f>KQ5-KP32</f>
        <v>0</v>
      </c>
      <c r="KX33" s="427" t="s">
        <v>21</v>
      </c>
      <c r="KY33" s="428"/>
      <c r="KZ33" s="154">
        <f>LA5-KZ32</f>
        <v>0</v>
      </c>
      <c r="LR33" s="427" t="s">
        <v>21</v>
      </c>
      <c r="LS33" s="428"/>
      <c r="LT33" s="154">
        <f>LU5-LT32</f>
        <v>0</v>
      </c>
      <c r="MA33" s="427" t="s">
        <v>21</v>
      </c>
      <c r="MB33" s="428"/>
      <c r="MC33" s="154">
        <f>MD5-MC32</f>
        <v>0</v>
      </c>
      <c r="MJ33" s="427" t="s">
        <v>21</v>
      </c>
      <c r="MK33" s="428"/>
      <c r="ML33" s="154">
        <f>MM5-ML32</f>
        <v>0</v>
      </c>
      <c r="MS33" s="427" t="s">
        <v>21</v>
      </c>
      <c r="MT33" s="428"/>
      <c r="MU33" s="154">
        <f>MV5-MU32</f>
        <v>0</v>
      </c>
      <c r="NB33" s="427" t="s">
        <v>21</v>
      </c>
      <c r="NC33" s="428"/>
      <c r="ND33" s="154">
        <f>NE5-ND32</f>
        <v>0</v>
      </c>
      <c r="NK33" s="427" t="s">
        <v>21</v>
      </c>
      <c r="NL33" s="428"/>
      <c r="NM33" s="154">
        <f>NN5-NM32</f>
        <v>0</v>
      </c>
      <c r="NT33" s="427" t="s">
        <v>21</v>
      </c>
      <c r="NU33" s="428"/>
      <c r="NV33" s="154">
        <f>NW5-NV32</f>
        <v>0</v>
      </c>
      <c r="OC33" s="427" t="s">
        <v>21</v>
      </c>
      <c r="OD33" s="428"/>
      <c r="OE33" s="154">
        <f>OF5-OE32</f>
        <v>0</v>
      </c>
      <c r="OL33" s="427" t="s">
        <v>21</v>
      </c>
      <c r="OM33" s="428"/>
      <c r="ON33" s="154">
        <f>OO5-ON32</f>
        <v>0</v>
      </c>
      <c r="OU33" s="427" t="s">
        <v>21</v>
      </c>
      <c r="OV33" s="428"/>
      <c r="OW33" s="154">
        <f>OW32-OU32</f>
        <v>0</v>
      </c>
      <c r="PD33" s="427" t="s">
        <v>21</v>
      </c>
      <c r="PE33" s="428"/>
      <c r="PF33" s="154">
        <f>PG5-PF32</f>
        <v>0</v>
      </c>
      <c r="PM33" s="427" t="s">
        <v>21</v>
      </c>
      <c r="PN33" s="428"/>
      <c r="PO33" s="154">
        <f>PP5-PO32</f>
        <v>0</v>
      </c>
      <c r="PV33" s="427" t="s">
        <v>21</v>
      </c>
      <c r="PW33" s="428"/>
      <c r="PX33" s="154">
        <f>PY5-PX32</f>
        <v>0</v>
      </c>
      <c r="QE33" s="427" t="s">
        <v>21</v>
      </c>
      <c r="QF33" s="428"/>
      <c r="QG33" s="154">
        <f>QH5-QG32</f>
        <v>0</v>
      </c>
      <c r="QN33" s="427" t="s">
        <v>21</v>
      </c>
      <c r="QO33" s="428"/>
      <c r="QP33" s="154">
        <f>QQ5-QP32</f>
        <v>0</v>
      </c>
      <c r="QW33" s="427" t="s">
        <v>21</v>
      </c>
      <c r="QX33" s="428"/>
      <c r="QY33" s="154">
        <f>SUM(QZ5-QY32)</f>
        <v>0</v>
      </c>
      <c r="RF33" s="1028" t="s">
        <v>21</v>
      </c>
      <c r="RG33" s="1029"/>
      <c r="RH33" s="154">
        <f>SUM(RI5-RH32)</f>
        <v>0</v>
      </c>
      <c r="RO33" s="1028" t="s">
        <v>21</v>
      </c>
      <c r="RP33" s="1029"/>
      <c r="RQ33" s="154">
        <f>SUM(RR5-RQ32)</f>
        <v>0</v>
      </c>
      <c r="RX33" s="1028" t="s">
        <v>21</v>
      </c>
      <c r="RY33" s="1029"/>
      <c r="RZ33" s="275">
        <f>SUM(SA5-RZ32)</f>
        <v>0</v>
      </c>
      <c r="SG33" s="1028" t="s">
        <v>21</v>
      </c>
      <c r="SH33" s="1029"/>
      <c r="SI33" s="154">
        <f>SUM(SJ5-SI32)</f>
        <v>0</v>
      </c>
      <c r="SP33" s="1028" t="s">
        <v>21</v>
      </c>
      <c r="SQ33" s="1029"/>
      <c r="SR33" s="154">
        <f>SUM(SS5-SR32)</f>
        <v>0</v>
      </c>
      <c r="SY33" s="1028" t="s">
        <v>21</v>
      </c>
      <c r="SZ33" s="1029"/>
      <c r="TA33" s="154">
        <f>SUM(TB5-TA32)</f>
        <v>0</v>
      </c>
      <c r="TH33" s="1028" t="s">
        <v>21</v>
      </c>
      <c r="TI33" s="1029"/>
      <c r="TJ33" s="154">
        <f>SUM(TK5-TJ32)</f>
        <v>0</v>
      </c>
      <c r="TQ33" s="1028" t="s">
        <v>21</v>
      </c>
      <c r="TR33" s="1029"/>
      <c r="TS33" s="154">
        <f>SUM(TT5-TS32)</f>
        <v>0</v>
      </c>
      <c r="TZ33" s="1028" t="s">
        <v>21</v>
      </c>
      <c r="UA33" s="1029"/>
      <c r="UB33" s="154">
        <f>SUM(UC5-UB32)</f>
        <v>0</v>
      </c>
      <c r="UI33" s="427" t="s">
        <v>21</v>
      </c>
      <c r="UJ33" s="428"/>
      <c r="UK33" s="154">
        <f>SUM(UL5-UK32)</f>
        <v>0</v>
      </c>
      <c r="UR33" s="427" t="s">
        <v>21</v>
      </c>
      <c r="US33" s="428"/>
      <c r="UT33" s="154">
        <f>SUM(UU5-UT32)</f>
        <v>0</v>
      </c>
      <c r="VA33" s="1028" t="s">
        <v>21</v>
      </c>
      <c r="VB33" s="1029"/>
      <c r="VC33" s="154">
        <f>VD5-VC32</f>
        <v>0</v>
      </c>
      <c r="VJ33" s="1028" t="s">
        <v>21</v>
      </c>
      <c r="VK33" s="1029"/>
      <c r="VL33" s="154">
        <f>VM5-VL32</f>
        <v>0</v>
      </c>
      <c r="VS33" s="1028" t="s">
        <v>21</v>
      </c>
      <c r="VT33" s="1029"/>
      <c r="VU33" s="154">
        <f>VV5-VU32</f>
        <v>0</v>
      </c>
      <c r="WB33" s="1028" t="s">
        <v>21</v>
      </c>
      <c r="WC33" s="1029"/>
      <c r="WD33" s="154">
        <f>WE5-WD32</f>
        <v>0</v>
      </c>
      <c r="WK33" s="1028" t="s">
        <v>21</v>
      </c>
      <c r="WL33" s="1029"/>
      <c r="WM33" s="154">
        <f>WN5-WM32</f>
        <v>0</v>
      </c>
      <c r="WT33" s="1028" t="s">
        <v>21</v>
      </c>
      <c r="WU33" s="1029"/>
      <c r="WV33" s="154">
        <f>WW5-WV32</f>
        <v>0</v>
      </c>
      <c r="XC33" s="1028" t="s">
        <v>21</v>
      </c>
      <c r="XD33" s="1029"/>
      <c r="XE33" s="154">
        <f>XF5-XE32</f>
        <v>0</v>
      </c>
      <c r="XL33" s="1028" t="s">
        <v>21</v>
      </c>
      <c r="XM33" s="1029"/>
      <c r="XN33" s="154">
        <f>XO5-XN32</f>
        <v>0</v>
      </c>
      <c r="XU33" s="1028" t="s">
        <v>21</v>
      </c>
      <c r="XV33" s="1029"/>
      <c r="XW33" s="154">
        <f>XX5-XW32</f>
        <v>0</v>
      </c>
      <c r="YD33" s="1028" t="s">
        <v>21</v>
      </c>
      <c r="YE33" s="1029"/>
      <c r="YF33" s="154">
        <f>YG5-YF32</f>
        <v>0</v>
      </c>
      <c r="YM33" s="1028" t="s">
        <v>21</v>
      </c>
      <c r="YN33" s="1029"/>
      <c r="YO33" s="154">
        <f>YP5-YO32</f>
        <v>0</v>
      </c>
      <c r="YV33" s="1028" t="s">
        <v>21</v>
      </c>
      <c r="YW33" s="1029"/>
      <c r="YX33" s="154">
        <f>YY5-YX32</f>
        <v>0</v>
      </c>
      <c r="ZE33" s="1028" t="s">
        <v>21</v>
      </c>
      <c r="ZF33" s="1029"/>
      <c r="ZG33" s="154">
        <f>ZH5-ZG32</f>
        <v>0</v>
      </c>
      <c r="ZN33" s="1028" t="s">
        <v>21</v>
      </c>
      <c r="ZO33" s="1029"/>
      <c r="ZP33" s="154">
        <f>ZQ5-ZP32</f>
        <v>0</v>
      </c>
      <c r="ZW33" s="1028" t="s">
        <v>21</v>
      </c>
      <c r="ZX33" s="1029"/>
      <c r="ZY33" s="154">
        <f>ZZ5-ZY32</f>
        <v>0</v>
      </c>
      <c r="AAF33" s="1028" t="s">
        <v>21</v>
      </c>
      <c r="AAG33" s="1029"/>
      <c r="AAH33" s="154">
        <f>AAH32-AAF32</f>
        <v>0</v>
      </c>
      <c r="AAO33" s="1028" t="s">
        <v>21</v>
      </c>
      <c r="AAP33" s="1029"/>
      <c r="AAQ33" s="154">
        <f>AAR5-AAQ32</f>
        <v>0</v>
      </c>
      <c r="AAX33" s="1028" t="s">
        <v>21</v>
      </c>
      <c r="AAY33" s="1029"/>
      <c r="AAZ33" s="154">
        <f>ABA5-AAZ32</f>
        <v>0</v>
      </c>
      <c r="ABG33" s="1028" t="s">
        <v>21</v>
      </c>
      <c r="ABH33" s="1029"/>
      <c r="ABI33" s="154">
        <f>ABJ5-ABI32</f>
        <v>0</v>
      </c>
      <c r="ABP33" s="1028" t="s">
        <v>21</v>
      </c>
      <c r="ABQ33" s="1029"/>
      <c r="ABR33" s="154">
        <f>ABS5-ABR32</f>
        <v>0</v>
      </c>
      <c r="ABY33" s="1028" t="s">
        <v>21</v>
      </c>
      <c r="ABZ33" s="1029"/>
      <c r="ACA33" s="154">
        <f>ACB5-ACA32</f>
        <v>0</v>
      </c>
      <c r="ACH33" s="1028" t="s">
        <v>21</v>
      </c>
      <c r="ACI33" s="1029"/>
      <c r="ACJ33" s="154">
        <f>ACK5-ACJ32</f>
        <v>0</v>
      </c>
      <c r="ACQ33" s="1028" t="s">
        <v>21</v>
      </c>
      <c r="ACR33" s="1029"/>
      <c r="ACS33" s="154">
        <f>ACT5-ACS32</f>
        <v>0</v>
      </c>
      <c r="ACZ33" s="1028" t="s">
        <v>21</v>
      </c>
      <c r="ADA33" s="1029"/>
      <c r="ADB33" s="154">
        <f>ADC5-ADB32</f>
        <v>0</v>
      </c>
      <c r="ADI33" s="1028" t="s">
        <v>21</v>
      </c>
      <c r="ADJ33" s="1029"/>
      <c r="ADK33" s="154">
        <f>ADL5-ADK32</f>
        <v>0</v>
      </c>
      <c r="ADR33" s="1028" t="s">
        <v>21</v>
      </c>
      <c r="ADS33" s="1029"/>
      <c r="ADT33" s="154">
        <f>ADU5-ADT32</f>
        <v>0</v>
      </c>
      <c r="AEA33" s="1028" t="s">
        <v>21</v>
      </c>
      <c r="AEB33" s="1029"/>
      <c r="AEC33" s="154">
        <f>AED5-AEC32</f>
        <v>0</v>
      </c>
    </row>
    <row r="34" spans="1:809" ht="16.2" thickBot="1" x14ac:dyDescent="0.35">
      <c r="A34" s="150">
        <v>31</v>
      </c>
      <c r="B34" s="82" t="str">
        <f t="shared" ref="B34:H34" si="60">KU5</f>
        <v>SEABOARD FOODS</v>
      </c>
      <c r="C34" s="82" t="str">
        <f t="shared" si="60"/>
        <v>Seaboard</v>
      </c>
      <c r="D34" s="110" t="str">
        <f t="shared" si="60"/>
        <v>PED. 58432472</v>
      </c>
      <c r="E34" s="148">
        <f t="shared" si="60"/>
        <v>44169</v>
      </c>
      <c r="F34" s="93">
        <f t="shared" si="60"/>
        <v>18589.689999999999</v>
      </c>
      <c r="G34" s="79">
        <f t="shared" si="60"/>
        <v>21</v>
      </c>
      <c r="H34" s="49">
        <f t="shared" si="60"/>
        <v>18621.099999999999</v>
      </c>
      <c r="I34" s="113">
        <f t="shared" si="57"/>
        <v>-31.409999999999854</v>
      </c>
      <c r="N34" s="607" t="s">
        <v>4</v>
      </c>
      <c r="O34" s="608"/>
      <c r="P34" s="50"/>
      <c r="X34" s="607" t="s">
        <v>4</v>
      </c>
      <c r="Y34" s="608"/>
      <c r="Z34" s="50">
        <v>0</v>
      </c>
      <c r="AH34" s="429" t="s">
        <v>4</v>
      </c>
      <c r="AI34" s="430"/>
      <c r="AJ34" s="50"/>
      <c r="AR34" s="429" t="s">
        <v>4</v>
      </c>
      <c r="AS34" s="430"/>
      <c r="AT34" s="50"/>
      <c r="AY34" s="82"/>
      <c r="BA34" s="429" t="s">
        <v>4</v>
      </c>
      <c r="BB34" s="430"/>
      <c r="BC34" s="50"/>
      <c r="BJ34" s="429" t="s">
        <v>4</v>
      </c>
      <c r="BK34" s="430"/>
      <c r="BL34" s="50"/>
      <c r="BS34" s="429" t="s">
        <v>4</v>
      </c>
      <c r="BT34" s="430"/>
      <c r="BU34" s="50"/>
      <c r="CA34" s="15"/>
      <c r="CB34" s="429" t="s">
        <v>4</v>
      </c>
      <c r="CC34" s="430"/>
      <c r="CD34" s="50"/>
      <c r="CL34" s="429" t="s">
        <v>4</v>
      </c>
      <c r="CM34" s="430"/>
      <c r="CN34" s="50"/>
      <c r="CV34" s="429" t="s">
        <v>4</v>
      </c>
      <c r="CW34" s="430"/>
      <c r="CX34" s="50"/>
      <c r="DF34" s="429" t="s">
        <v>4</v>
      </c>
      <c r="DG34" s="430"/>
      <c r="DH34" s="50"/>
      <c r="DP34" s="429" t="s">
        <v>4</v>
      </c>
      <c r="DQ34" s="430"/>
      <c r="DR34" s="50"/>
      <c r="DZ34" s="429" t="s">
        <v>4</v>
      </c>
      <c r="EA34" s="430"/>
      <c r="EB34" s="50"/>
      <c r="EJ34" s="429" t="s">
        <v>4</v>
      </c>
      <c r="EK34" s="430"/>
      <c r="EL34" s="50"/>
      <c r="ET34" s="429" t="s">
        <v>4</v>
      </c>
      <c r="EU34" s="430"/>
      <c r="EV34" s="50">
        <v>0</v>
      </c>
      <c r="FD34" s="429" t="s">
        <v>4</v>
      </c>
      <c r="FE34" s="430"/>
      <c r="FF34" s="50"/>
      <c r="FN34" s="429" t="s">
        <v>4</v>
      </c>
      <c r="FO34" s="430"/>
      <c r="FP34" s="50"/>
      <c r="FX34" s="429" t="s">
        <v>4</v>
      </c>
      <c r="FY34" s="430"/>
      <c r="FZ34" s="50"/>
      <c r="GH34" s="429" t="s">
        <v>4</v>
      </c>
      <c r="GI34" s="430"/>
      <c r="GJ34" s="50"/>
      <c r="GR34" s="429" t="s">
        <v>4</v>
      </c>
      <c r="GS34" s="430"/>
      <c r="GT34" s="50"/>
      <c r="HB34" s="429" t="s">
        <v>4</v>
      </c>
      <c r="HC34" s="430"/>
      <c r="HD34" s="50"/>
      <c r="HL34" s="429" t="s">
        <v>4</v>
      </c>
      <c r="HM34" s="430"/>
      <c r="HN34" s="50">
        <v>0</v>
      </c>
      <c r="HV34" s="429" t="s">
        <v>4</v>
      </c>
      <c r="HW34" s="430"/>
      <c r="HX34" s="50"/>
      <c r="IF34" s="429" t="s">
        <v>4</v>
      </c>
      <c r="IG34" s="430"/>
      <c r="IH34" s="50"/>
      <c r="IP34" s="429" t="s">
        <v>4</v>
      </c>
      <c r="IQ34" s="430"/>
      <c r="IR34" s="50"/>
      <c r="IZ34" s="429" t="s">
        <v>4</v>
      </c>
      <c r="JA34" s="430"/>
      <c r="JB34" s="50">
        <v>0</v>
      </c>
      <c r="JJ34" s="429" t="s">
        <v>4</v>
      </c>
      <c r="JK34" s="430"/>
      <c r="JL34" s="50"/>
      <c r="JT34" s="429" t="s">
        <v>4</v>
      </c>
      <c r="JU34" s="430"/>
      <c r="JV34" s="50"/>
      <c r="KD34" s="429" t="s">
        <v>4</v>
      </c>
      <c r="KE34" s="430"/>
      <c r="KF34" s="50"/>
      <c r="KN34" s="429" t="s">
        <v>4</v>
      </c>
      <c r="KO34" s="430"/>
      <c r="KP34" s="50"/>
      <c r="KX34" s="429" t="s">
        <v>4</v>
      </c>
      <c r="KY34" s="430"/>
      <c r="KZ34" s="50"/>
      <c r="LH34" s="427" t="s">
        <v>21</v>
      </c>
      <c r="LI34" s="428"/>
      <c r="LJ34" s="154">
        <f>LK5-LJ32</f>
        <v>0</v>
      </c>
      <c r="LR34" s="429" t="s">
        <v>4</v>
      </c>
      <c r="LS34" s="430"/>
      <c r="LT34" s="50"/>
      <c r="MA34" s="429" t="s">
        <v>4</v>
      </c>
      <c r="MB34" s="430"/>
      <c r="MC34" s="50"/>
      <c r="MJ34" s="429" t="s">
        <v>4</v>
      </c>
      <c r="MK34" s="430"/>
      <c r="ML34" s="50"/>
      <c r="MS34" s="429" t="s">
        <v>4</v>
      </c>
      <c r="MT34" s="430"/>
      <c r="MU34" s="50"/>
      <c r="NB34" s="429" t="s">
        <v>4</v>
      </c>
      <c r="NC34" s="430"/>
      <c r="ND34" s="50"/>
      <c r="NK34" s="429" t="s">
        <v>4</v>
      </c>
      <c r="NL34" s="430"/>
      <c r="NM34" s="50"/>
      <c r="NT34" s="429" t="s">
        <v>4</v>
      </c>
      <c r="NU34" s="430"/>
      <c r="NV34" s="50"/>
      <c r="OC34" s="429" t="s">
        <v>4</v>
      </c>
      <c r="OD34" s="430"/>
      <c r="OE34" s="50"/>
      <c r="OL34" s="429" t="s">
        <v>4</v>
      </c>
      <c r="OM34" s="430"/>
      <c r="ON34" s="50"/>
      <c r="OU34" s="429" t="s">
        <v>4</v>
      </c>
      <c r="OV34" s="430"/>
      <c r="OW34" s="50"/>
      <c r="PD34" s="429" t="s">
        <v>4</v>
      </c>
      <c r="PE34" s="430"/>
      <c r="PF34" s="50"/>
      <c r="PM34" s="429" t="s">
        <v>4</v>
      </c>
      <c r="PN34" s="430"/>
      <c r="PO34" s="50"/>
      <c r="PV34" s="429" t="s">
        <v>4</v>
      </c>
      <c r="PW34" s="430"/>
      <c r="PX34" s="50"/>
      <c r="QE34" s="429" t="s">
        <v>4</v>
      </c>
      <c r="QF34" s="430"/>
      <c r="QG34" s="50"/>
      <c r="QN34" s="429" t="s">
        <v>4</v>
      </c>
      <c r="QO34" s="430"/>
      <c r="QP34" s="50"/>
      <c r="QW34" s="429" t="s">
        <v>4</v>
      </c>
      <c r="QX34" s="430"/>
      <c r="QY34" s="50"/>
      <c r="RF34" s="1030" t="s">
        <v>4</v>
      </c>
      <c r="RG34" s="1031"/>
      <c r="RH34" s="50"/>
      <c r="RO34" s="1030" t="s">
        <v>4</v>
      </c>
      <c r="RP34" s="1031"/>
      <c r="RQ34" s="50"/>
      <c r="RX34" s="1030" t="s">
        <v>4</v>
      </c>
      <c r="RY34" s="1031"/>
      <c r="RZ34" s="50"/>
      <c r="SG34" s="1030" t="s">
        <v>4</v>
      </c>
      <c r="SH34" s="1031"/>
      <c r="SI34" s="50"/>
      <c r="SP34" s="1030" t="s">
        <v>4</v>
      </c>
      <c r="SQ34" s="1031"/>
      <c r="SR34" s="50"/>
      <c r="SY34" s="1030" t="s">
        <v>4</v>
      </c>
      <c r="SZ34" s="1031"/>
      <c r="TA34" s="50"/>
      <c r="TH34" s="1030" t="s">
        <v>4</v>
      </c>
      <c r="TI34" s="1031"/>
      <c r="TJ34" s="50"/>
      <c r="TQ34" s="1030" t="s">
        <v>4</v>
      </c>
      <c r="TR34" s="1031"/>
      <c r="TS34" s="50"/>
      <c r="TZ34" s="1030" t="s">
        <v>4</v>
      </c>
      <c r="UA34" s="1031"/>
      <c r="UB34" s="50"/>
      <c r="UI34" s="429" t="s">
        <v>4</v>
      </c>
      <c r="UJ34" s="430"/>
      <c r="UK34" s="50"/>
      <c r="UR34" s="429" t="s">
        <v>4</v>
      </c>
      <c r="US34" s="430"/>
      <c r="UT34" s="50"/>
      <c r="VA34" s="1030" t="s">
        <v>4</v>
      </c>
      <c r="VB34" s="1031"/>
      <c r="VC34" s="50"/>
      <c r="VJ34" s="1030" t="s">
        <v>4</v>
      </c>
      <c r="VK34" s="1031"/>
      <c r="VL34" s="50"/>
      <c r="VS34" s="1030" t="s">
        <v>4</v>
      </c>
      <c r="VT34" s="1031"/>
      <c r="VU34" s="50"/>
      <c r="WB34" s="1030" t="s">
        <v>4</v>
      </c>
      <c r="WC34" s="1031"/>
      <c r="WD34" s="50"/>
      <c r="WK34" s="1030" t="s">
        <v>4</v>
      </c>
      <c r="WL34" s="1031"/>
      <c r="WM34" s="50"/>
      <c r="WT34" s="1030" t="s">
        <v>4</v>
      </c>
      <c r="WU34" s="1031"/>
      <c r="WV34" s="50"/>
      <c r="XC34" s="1030" t="s">
        <v>4</v>
      </c>
      <c r="XD34" s="1031"/>
      <c r="XE34" s="50"/>
      <c r="XL34" s="1030" t="s">
        <v>4</v>
      </c>
      <c r="XM34" s="1031"/>
      <c r="XN34" s="50"/>
      <c r="XU34" s="1030" t="s">
        <v>4</v>
      </c>
      <c r="XV34" s="1031"/>
      <c r="XW34" s="50"/>
      <c r="YD34" s="1030" t="s">
        <v>4</v>
      </c>
      <c r="YE34" s="1031"/>
      <c r="YF34" s="50"/>
      <c r="YM34" s="1030" t="s">
        <v>4</v>
      </c>
      <c r="YN34" s="1031"/>
      <c r="YO34" s="50"/>
      <c r="YV34" s="1030" t="s">
        <v>4</v>
      </c>
      <c r="YW34" s="1031"/>
      <c r="YX34" s="50"/>
      <c r="ZE34" s="1030" t="s">
        <v>4</v>
      </c>
      <c r="ZF34" s="1031"/>
      <c r="ZG34" s="50"/>
      <c r="ZN34" s="1030" t="s">
        <v>4</v>
      </c>
      <c r="ZO34" s="1031"/>
      <c r="ZP34" s="50"/>
      <c r="ZW34" s="1030" t="s">
        <v>4</v>
      </c>
      <c r="ZX34" s="1031"/>
      <c r="ZY34" s="50"/>
      <c r="AAF34" s="1030" t="s">
        <v>4</v>
      </c>
      <c r="AAG34" s="1031"/>
      <c r="AAH34" s="50"/>
      <c r="AAO34" s="1030" t="s">
        <v>4</v>
      </c>
      <c r="AAP34" s="1031"/>
      <c r="AAQ34" s="50"/>
      <c r="AAX34" s="1030" t="s">
        <v>4</v>
      </c>
      <c r="AAY34" s="1031"/>
      <c r="AAZ34" s="50"/>
      <c r="ABG34" s="1030" t="s">
        <v>4</v>
      </c>
      <c r="ABH34" s="1031"/>
      <c r="ABI34" s="50"/>
      <c r="ABP34" s="1030" t="s">
        <v>4</v>
      </c>
      <c r="ABQ34" s="1031"/>
      <c r="ABR34" s="50"/>
      <c r="ABY34" s="1030" t="s">
        <v>4</v>
      </c>
      <c r="ABZ34" s="1031"/>
      <c r="ACA34" s="50"/>
      <c r="ACH34" s="1030" t="s">
        <v>4</v>
      </c>
      <c r="ACI34" s="1031"/>
      <c r="ACJ34" s="50"/>
      <c r="ACQ34" s="1030" t="s">
        <v>4</v>
      </c>
      <c r="ACR34" s="1031"/>
      <c r="ACS34" s="50"/>
      <c r="ACZ34" s="1030" t="s">
        <v>4</v>
      </c>
      <c r="ADA34" s="1031"/>
      <c r="ADB34" s="50"/>
      <c r="ADI34" s="1030" t="s">
        <v>4</v>
      </c>
      <c r="ADJ34" s="1031"/>
      <c r="ADK34" s="50"/>
      <c r="ADR34" s="1030" t="s">
        <v>4</v>
      </c>
      <c r="ADS34" s="1031"/>
      <c r="ADT34" s="50"/>
      <c r="AEA34" s="1030" t="s">
        <v>4</v>
      </c>
      <c r="AEB34" s="1031"/>
      <c r="AEC34" s="50"/>
    </row>
    <row r="35" spans="1:809" ht="16.2" thickBot="1" x14ac:dyDescent="0.35">
      <c r="A35" s="150">
        <v>32</v>
      </c>
      <c r="B35" s="82" t="str">
        <f t="shared" ref="B35:H35" si="61">LE5</f>
        <v>SEABOARD FOODS</v>
      </c>
      <c r="C35" s="82" t="str">
        <f t="shared" si="61"/>
        <v>Seaboard</v>
      </c>
      <c r="D35" s="110" t="str">
        <f t="shared" si="61"/>
        <v>PED. 58432474</v>
      </c>
      <c r="E35" s="148">
        <f t="shared" si="61"/>
        <v>44169</v>
      </c>
      <c r="F35" s="93">
        <f t="shared" si="61"/>
        <v>18427.349999999999</v>
      </c>
      <c r="G35" s="79">
        <f t="shared" si="61"/>
        <v>21</v>
      </c>
      <c r="H35" s="49">
        <f t="shared" si="61"/>
        <v>18481.5</v>
      </c>
      <c r="I35" s="113">
        <f t="shared" si="57"/>
        <v>-54.150000000001455</v>
      </c>
      <c r="AY35" s="82"/>
      <c r="LH35" s="429" t="s">
        <v>4</v>
      </c>
      <c r="LI35" s="430"/>
      <c r="LJ35" s="50"/>
    </row>
    <row r="36" spans="1:809" x14ac:dyDescent="0.3">
      <c r="A36" s="150">
        <v>33</v>
      </c>
      <c r="B36" s="82">
        <f t="shared" ref="B36:H36" si="62">LO5</f>
        <v>0</v>
      </c>
      <c r="C36" s="82">
        <f t="shared" si="62"/>
        <v>0</v>
      </c>
      <c r="D36" s="110">
        <f t="shared" si="62"/>
        <v>0</v>
      </c>
      <c r="E36" s="148">
        <f t="shared" si="62"/>
        <v>0</v>
      </c>
      <c r="F36" s="93">
        <f t="shared" si="62"/>
        <v>0</v>
      </c>
      <c r="G36" s="79">
        <f t="shared" si="62"/>
        <v>0</v>
      </c>
      <c r="H36" s="49">
        <f t="shared" si="62"/>
        <v>0</v>
      </c>
      <c r="I36" s="113">
        <f t="shared" si="57"/>
        <v>0</v>
      </c>
      <c r="AY36" s="82"/>
    </row>
    <row r="37" spans="1:809" x14ac:dyDescent="0.3">
      <c r="A37" s="150">
        <v>34</v>
      </c>
      <c r="B37" s="82">
        <f t="shared" ref="B37:H37" si="63">LX5</f>
        <v>0</v>
      </c>
      <c r="C37" s="82">
        <f t="shared" si="63"/>
        <v>0</v>
      </c>
      <c r="D37" s="110">
        <f t="shared" si="63"/>
        <v>0</v>
      </c>
      <c r="E37" s="148">
        <f t="shared" si="63"/>
        <v>0</v>
      </c>
      <c r="F37" s="93">
        <f t="shared" si="63"/>
        <v>0</v>
      </c>
      <c r="G37" s="79">
        <f t="shared" si="63"/>
        <v>0</v>
      </c>
      <c r="H37" s="49">
        <f t="shared" si="63"/>
        <v>0</v>
      </c>
      <c r="I37" s="113">
        <f t="shared" si="57"/>
        <v>0</v>
      </c>
      <c r="AY37" s="82"/>
    </row>
    <row r="38" spans="1:809" x14ac:dyDescent="0.3">
      <c r="A38" s="150">
        <v>35</v>
      </c>
      <c r="B38" s="82">
        <f t="shared" ref="B38:H38" si="64">MG5</f>
        <v>0</v>
      </c>
      <c r="C38" s="82">
        <f t="shared" si="64"/>
        <v>0</v>
      </c>
      <c r="D38" s="155">
        <f t="shared" si="64"/>
        <v>0</v>
      </c>
      <c r="E38" s="148">
        <f t="shared" si="64"/>
        <v>0</v>
      </c>
      <c r="F38" s="142">
        <f t="shared" si="64"/>
        <v>0</v>
      </c>
      <c r="G38" s="79">
        <f t="shared" si="64"/>
        <v>0</v>
      </c>
      <c r="H38" s="142">
        <f t="shared" si="64"/>
        <v>0</v>
      </c>
      <c r="I38" s="113">
        <f t="shared" si="57"/>
        <v>0</v>
      </c>
      <c r="AY38" s="82"/>
    </row>
    <row r="39" spans="1:809" x14ac:dyDescent="0.3">
      <c r="A39" s="150">
        <v>36</v>
      </c>
      <c r="B39" s="82">
        <f t="shared" ref="B39:H39" si="65">MP5</f>
        <v>0</v>
      </c>
      <c r="C39" s="82">
        <f t="shared" si="65"/>
        <v>0</v>
      </c>
      <c r="D39" s="156">
        <f t="shared" si="65"/>
        <v>0</v>
      </c>
      <c r="E39" s="148">
        <f t="shared" si="65"/>
        <v>0</v>
      </c>
      <c r="F39" s="113">
        <f t="shared" si="65"/>
        <v>0</v>
      </c>
      <c r="G39" s="79">
        <f t="shared" si="65"/>
        <v>0</v>
      </c>
      <c r="H39" s="142">
        <f t="shared" si="65"/>
        <v>0</v>
      </c>
      <c r="I39" s="113">
        <f t="shared" si="57"/>
        <v>0</v>
      </c>
      <c r="AY39" s="82"/>
    </row>
    <row r="40" spans="1:809" x14ac:dyDescent="0.3">
      <c r="A40" s="150">
        <v>37</v>
      </c>
      <c r="B40" s="82">
        <f t="shared" ref="B40:H40" si="66">MY5</f>
        <v>0</v>
      </c>
      <c r="C40" s="82">
        <f t="shared" si="66"/>
        <v>0</v>
      </c>
      <c r="D40" s="156">
        <f t="shared" si="66"/>
        <v>0</v>
      </c>
      <c r="E40" s="148">
        <f t="shared" si="66"/>
        <v>0</v>
      </c>
      <c r="F40" s="113">
        <f t="shared" si="66"/>
        <v>0</v>
      </c>
      <c r="G40" s="79">
        <f t="shared" si="66"/>
        <v>0</v>
      </c>
      <c r="H40" s="142">
        <f t="shared" si="66"/>
        <v>0</v>
      </c>
      <c r="I40" s="113">
        <f t="shared" si="57"/>
        <v>0</v>
      </c>
      <c r="AY40" s="82"/>
    </row>
    <row r="41" spans="1:809" x14ac:dyDescent="0.3">
      <c r="A41" s="150">
        <v>38</v>
      </c>
      <c r="B41" s="82">
        <f t="shared" ref="B41:H41" si="67">NH5</f>
        <v>0</v>
      </c>
      <c r="C41" s="82">
        <f t="shared" si="67"/>
        <v>0</v>
      </c>
      <c r="D41" s="76">
        <f t="shared" si="67"/>
        <v>0</v>
      </c>
      <c r="E41" s="148">
        <f t="shared" si="67"/>
        <v>0</v>
      </c>
      <c r="F41" s="113">
        <f t="shared" si="67"/>
        <v>0</v>
      </c>
      <c r="G41" s="79">
        <f t="shared" si="67"/>
        <v>0</v>
      </c>
      <c r="H41" s="142">
        <f t="shared" si="67"/>
        <v>0</v>
      </c>
      <c r="I41" s="113">
        <f t="shared" si="57"/>
        <v>0</v>
      </c>
      <c r="AY41" s="82"/>
      <c r="JU41" s="82">
        <v>0</v>
      </c>
      <c r="LS41" s="82">
        <v>1</v>
      </c>
    </row>
    <row r="42" spans="1:809" x14ac:dyDescent="0.3">
      <c r="A42" s="150">
        <v>39</v>
      </c>
      <c r="B42" s="82">
        <f t="shared" ref="B42:H42" si="68">NQ5</f>
        <v>0</v>
      </c>
      <c r="C42" s="82">
        <f t="shared" si="68"/>
        <v>0</v>
      </c>
      <c r="D42" s="76">
        <f t="shared" si="68"/>
        <v>0</v>
      </c>
      <c r="E42" s="148">
        <f t="shared" si="68"/>
        <v>0</v>
      </c>
      <c r="F42" s="113">
        <f t="shared" si="68"/>
        <v>0</v>
      </c>
      <c r="G42" s="79">
        <f t="shared" si="68"/>
        <v>0</v>
      </c>
      <c r="H42" s="142">
        <f t="shared" si="68"/>
        <v>0</v>
      </c>
      <c r="I42" s="113">
        <f t="shared" si="57"/>
        <v>0</v>
      </c>
      <c r="AY42" s="82"/>
    </row>
    <row r="43" spans="1:809" x14ac:dyDescent="0.3">
      <c r="A43" s="150">
        <v>40</v>
      </c>
      <c r="B43" s="82">
        <f t="shared" ref="B43:H43" si="69">NZ5</f>
        <v>0</v>
      </c>
      <c r="C43" s="82">
        <f t="shared" si="69"/>
        <v>0</v>
      </c>
      <c r="D43" s="76">
        <f t="shared" si="69"/>
        <v>0</v>
      </c>
      <c r="E43" s="148">
        <f t="shared" si="69"/>
        <v>0</v>
      </c>
      <c r="F43" s="113">
        <f t="shared" si="69"/>
        <v>0</v>
      </c>
      <c r="G43" s="79">
        <f t="shared" si="69"/>
        <v>0</v>
      </c>
      <c r="H43" s="142">
        <f t="shared" si="69"/>
        <v>0</v>
      </c>
      <c r="I43" s="113">
        <f t="shared" si="57"/>
        <v>0</v>
      </c>
      <c r="AY43" s="82"/>
    </row>
    <row r="44" spans="1:809" x14ac:dyDescent="0.3">
      <c r="A44" s="150">
        <v>41</v>
      </c>
      <c r="B44" s="82">
        <f t="shared" ref="B44:H44" si="70">OI5</f>
        <v>0</v>
      </c>
      <c r="C44" s="82">
        <f t="shared" si="70"/>
        <v>0</v>
      </c>
      <c r="D44" s="76">
        <f t="shared" si="70"/>
        <v>0</v>
      </c>
      <c r="E44" s="148">
        <f t="shared" si="70"/>
        <v>0</v>
      </c>
      <c r="F44" s="113">
        <f t="shared" si="70"/>
        <v>0</v>
      </c>
      <c r="G44" s="79">
        <f t="shared" si="70"/>
        <v>0</v>
      </c>
      <c r="H44" s="142">
        <f t="shared" si="70"/>
        <v>0</v>
      </c>
      <c r="I44" s="113">
        <f t="shared" si="57"/>
        <v>0</v>
      </c>
      <c r="BH44" s="102"/>
    </row>
    <row r="45" spans="1:809" x14ac:dyDescent="0.3">
      <c r="A45" s="150">
        <v>42</v>
      </c>
      <c r="B45" s="82">
        <f t="shared" ref="B45:H45" si="71">OR5</f>
        <v>0</v>
      </c>
      <c r="C45" s="82">
        <f t="shared" si="71"/>
        <v>0</v>
      </c>
      <c r="D45" s="76">
        <f t="shared" si="71"/>
        <v>0</v>
      </c>
      <c r="E45" s="148">
        <f t="shared" si="71"/>
        <v>0</v>
      </c>
      <c r="F45" s="113">
        <f t="shared" si="71"/>
        <v>0</v>
      </c>
      <c r="G45" s="79">
        <f t="shared" si="71"/>
        <v>0</v>
      </c>
      <c r="H45" s="142">
        <f t="shared" si="71"/>
        <v>0</v>
      </c>
      <c r="I45" s="113">
        <f t="shared" si="57"/>
        <v>0</v>
      </c>
      <c r="BH45" s="102"/>
    </row>
    <row r="46" spans="1:809" x14ac:dyDescent="0.3">
      <c r="A46" s="150">
        <v>43</v>
      </c>
      <c r="B46" s="82">
        <f t="shared" ref="B46:H46" si="72">PA5</f>
        <v>0</v>
      </c>
      <c r="C46" s="82">
        <f t="shared" si="72"/>
        <v>0</v>
      </c>
      <c r="D46" s="76">
        <f t="shared" si="72"/>
        <v>0</v>
      </c>
      <c r="E46" s="148">
        <f t="shared" si="72"/>
        <v>0</v>
      </c>
      <c r="F46" s="113">
        <f t="shared" si="72"/>
        <v>0</v>
      </c>
      <c r="G46" s="79">
        <f t="shared" si="72"/>
        <v>0</v>
      </c>
      <c r="H46" s="142">
        <f t="shared" si="72"/>
        <v>0</v>
      </c>
      <c r="I46" s="113">
        <f t="shared" si="57"/>
        <v>0</v>
      </c>
      <c r="BH46" s="102"/>
    </row>
    <row r="47" spans="1:809" x14ac:dyDescent="0.3">
      <c r="A47" s="150">
        <v>44</v>
      </c>
      <c r="B47" s="82">
        <f t="shared" ref="B47:H47" si="73">PJ5</f>
        <v>0</v>
      </c>
      <c r="C47" s="82">
        <f t="shared" si="73"/>
        <v>0</v>
      </c>
      <c r="D47" s="76">
        <f t="shared" si="73"/>
        <v>0</v>
      </c>
      <c r="E47" s="148">
        <f t="shared" si="73"/>
        <v>0</v>
      </c>
      <c r="F47" s="113">
        <f t="shared" si="73"/>
        <v>0</v>
      </c>
      <c r="G47" s="79">
        <f t="shared" si="73"/>
        <v>0</v>
      </c>
      <c r="H47" s="142">
        <f t="shared" si="73"/>
        <v>0</v>
      </c>
      <c r="I47" s="113">
        <f t="shared" si="57"/>
        <v>0</v>
      </c>
      <c r="BH47" s="102"/>
    </row>
    <row r="48" spans="1:809" x14ac:dyDescent="0.3">
      <c r="A48" s="150">
        <v>45</v>
      </c>
      <c r="B48" s="167">
        <f t="shared" ref="B48:H48" si="74">PS5</f>
        <v>0</v>
      </c>
      <c r="C48" s="167">
        <f t="shared" si="74"/>
        <v>0</v>
      </c>
      <c r="D48" s="76">
        <f t="shared" si="74"/>
        <v>0</v>
      </c>
      <c r="E48" s="148">
        <f t="shared" si="74"/>
        <v>0</v>
      </c>
      <c r="F48" s="113">
        <f t="shared" si="74"/>
        <v>0</v>
      </c>
      <c r="G48" s="79">
        <f t="shared" si="74"/>
        <v>0</v>
      </c>
      <c r="H48" s="142">
        <f t="shared" si="74"/>
        <v>0</v>
      </c>
      <c r="I48" s="113">
        <f t="shared" si="57"/>
        <v>0</v>
      </c>
      <c r="BH48" s="102"/>
    </row>
    <row r="49" spans="1:261" x14ac:dyDescent="0.3">
      <c r="A49" s="150">
        <v>46</v>
      </c>
      <c r="B49" s="167">
        <f t="shared" ref="B49:H49" si="75">QB5</f>
        <v>0</v>
      </c>
      <c r="C49" s="167">
        <f t="shared" si="75"/>
        <v>0</v>
      </c>
      <c r="D49" s="76">
        <f t="shared" si="75"/>
        <v>0</v>
      </c>
      <c r="E49" s="148">
        <f t="shared" si="75"/>
        <v>0</v>
      </c>
      <c r="F49" s="113">
        <f t="shared" si="75"/>
        <v>0</v>
      </c>
      <c r="G49" s="79">
        <f t="shared" si="75"/>
        <v>0</v>
      </c>
      <c r="H49" s="142">
        <f t="shared" si="75"/>
        <v>0</v>
      </c>
      <c r="I49" s="113">
        <f t="shared" si="57"/>
        <v>0</v>
      </c>
      <c r="BH49" s="102"/>
    </row>
    <row r="50" spans="1:261" x14ac:dyDescent="0.3">
      <c r="A50" s="150">
        <v>47</v>
      </c>
      <c r="B50" s="167">
        <f t="shared" ref="B50:H50" si="76">QK5</f>
        <v>0</v>
      </c>
      <c r="C50" s="167">
        <f t="shared" si="76"/>
        <v>0</v>
      </c>
      <c r="D50" s="76">
        <f t="shared" si="76"/>
        <v>0</v>
      </c>
      <c r="E50" s="148">
        <f t="shared" si="76"/>
        <v>0</v>
      </c>
      <c r="F50" s="113">
        <f t="shared" si="76"/>
        <v>0</v>
      </c>
      <c r="G50" s="79">
        <f t="shared" si="76"/>
        <v>0</v>
      </c>
      <c r="H50" s="142">
        <f t="shared" si="76"/>
        <v>0</v>
      </c>
      <c r="I50" s="113">
        <f t="shared" si="57"/>
        <v>0</v>
      </c>
    </row>
    <row r="51" spans="1:261" x14ac:dyDescent="0.3">
      <c r="A51" s="150">
        <v>48</v>
      </c>
      <c r="B51" s="167">
        <f t="shared" ref="B51:H51" si="77">QT5</f>
        <v>0</v>
      </c>
      <c r="C51" s="167">
        <f t="shared" si="77"/>
        <v>0</v>
      </c>
      <c r="D51" s="76">
        <f t="shared" si="77"/>
        <v>0</v>
      </c>
      <c r="E51" s="148">
        <f t="shared" si="77"/>
        <v>0</v>
      </c>
      <c r="F51" s="113">
        <f t="shared" si="77"/>
        <v>0</v>
      </c>
      <c r="G51" s="79">
        <f t="shared" si="77"/>
        <v>0</v>
      </c>
      <c r="H51" s="142">
        <f t="shared" si="77"/>
        <v>0</v>
      </c>
      <c r="I51" s="113">
        <f t="shared" si="57"/>
        <v>0</v>
      </c>
      <c r="JA51" s="82">
        <v>1</v>
      </c>
    </row>
    <row r="52" spans="1:261" x14ac:dyDescent="0.3">
      <c r="A52" s="150">
        <v>49</v>
      </c>
      <c r="B52" s="167">
        <f t="shared" ref="B52:H52" si="78">RC5</f>
        <v>0</v>
      </c>
      <c r="C52" s="167">
        <f t="shared" si="78"/>
        <v>0</v>
      </c>
      <c r="D52" s="76">
        <f t="shared" si="78"/>
        <v>0</v>
      </c>
      <c r="E52" s="148">
        <f t="shared" si="78"/>
        <v>0</v>
      </c>
      <c r="F52" s="113">
        <f t="shared" si="78"/>
        <v>0</v>
      </c>
      <c r="G52" s="79">
        <f t="shared" si="78"/>
        <v>0</v>
      </c>
      <c r="H52" s="142">
        <f t="shared" si="78"/>
        <v>0</v>
      </c>
      <c r="I52" s="113">
        <f t="shared" si="57"/>
        <v>0</v>
      </c>
    </row>
    <row r="53" spans="1:261" x14ac:dyDescent="0.3">
      <c r="A53" s="150">
        <v>50</v>
      </c>
      <c r="B53" s="167">
        <f t="shared" ref="B53:H53" si="79">RL5</f>
        <v>0</v>
      </c>
      <c r="C53" s="167">
        <f t="shared" si="79"/>
        <v>0</v>
      </c>
      <c r="D53" s="76">
        <f t="shared" si="79"/>
        <v>0</v>
      </c>
      <c r="E53" s="148">
        <f t="shared" si="79"/>
        <v>0</v>
      </c>
      <c r="F53" s="113">
        <f t="shared" si="79"/>
        <v>0</v>
      </c>
      <c r="G53" s="79">
        <f t="shared" si="79"/>
        <v>0</v>
      </c>
      <c r="H53" s="142">
        <f t="shared" si="79"/>
        <v>0</v>
      </c>
      <c r="I53" s="113">
        <f t="shared" si="57"/>
        <v>0</v>
      </c>
    </row>
    <row r="54" spans="1:261" x14ac:dyDescent="0.3">
      <c r="A54" s="150">
        <v>51</v>
      </c>
      <c r="B54" s="82">
        <f t="shared" ref="B54:H54" si="80">RU5</f>
        <v>0</v>
      </c>
      <c r="C54" s="82">
        <f t="shared" si="80"/>
        <v>0</v>
      </c>
      <c r="D54" s="76">
        <f t="shared" si="80"/>
        <v>0</v>
      </c>
      <c r="E54" s="148">
        <f t="shared" si="80"/>
        <v>0</v>
      </c>
      <c r="F54" s="113">
        <f t="shared" si="80"/>
        <v>0</v>
      </c>
      <c r="G54" s="79">
        <f t="shared" si="80"/>
        <v>0</v>
      </c>
      <c r="H54" s="142">
        <f t="shared" si="80"/>
        <v>0</v>
      </c>
      <c r="I54" s="113">
        <f t="shared" si="57"/>
        <v>0</v>
      </c>
    </row>
    <row r="55" spans="1:261" x14ac:dyDescent="0.3">
      <c r="A55" s="150">
        <v>52</v>
      </c>
      <c r="B55" s="82">
        <f t="shared" ref="B55:H55" si="81">SD5</f>
        <v>0</v>
      </c>
      <c r="C55" s="82">
        <f t="shared" si="81"/>
        <v>0</v>
      </c>
      <c r="D55" s="76">
        <f t="shared" si="81"/>
        <v>0</v>
      </c>
      <c r="E55" s="148">
        <f t="shared" si="81"/>
        <v>0</v>
      </c>
      <c r="F55" s="113">
        <f t="shared" si="81"/>
        <v>0</v>
      </c>
      <c r="G55" s="79">
        <f t="shared" si="81"/>
        <v>0</v>
      </c>
      <c r="H55" s="142">
        <f t="shared" si="81"/>
        <v>0</v>
      </c>
      <c r="I55" s="113">
        <f t="shared" si="57"/>
        <v>0</v>
      </c>
    </row>
    <row r="56" spans="1:261" x14ac:dyDescent="0.3">
      <c r="A56" s="150">
        <v>53</v>
      </c>
      <c r="B56" s="82">
        <f>SM5</f>
        <v>0</v>
      </c>
      <c r="C56" s="82">
        <f>SN5</f>
        <v>0</v>
      </c>
      <c r="D56" s="76">
        <f>SO5</f>
        <v>0</v>
      </c>
      <c r="E56" s="148">
        <f>SG5</f>
        <v>0</v>
      </c>
      <c r="F56" s="113">
        <f>SQ5</f>
        <v>0</v>
      </c>
      <c r="G56" s="79">
        <f>SR5</f>
        <v>0</v>
      </c>
      <c r="H56" s="142">
        <f>SS5</f>
        <v>0</v>
      </c>
      <c r="I56" s="113">
        <f t="shared" si="57"/>
        <v>0</v>
      </c>
    </row>
    <row r="57" spans="1:261" x14ac:dyDescent="0.3">
      <c r="A57" s="150">
        <v>54</v>
      </c>
      <c r="B57" s="82">
        <f t="shared" ref="B57:H57" si="82">SV5</f>
        <v>0</v>
      </c>
      <c r="C57" s="82">
        <f t="shared" si="82"/>
        <v>0</v>
      </c>
      <c r="D57" s="76">
        <f t="shared" si="82"/>
        <v>0</v>
      </c>
      <c r="E57" s="148">
        <f t="shared" si="82"/>
        <v>0</v>
      </c>
      <c r="F57" s="113">
        <f t="shared" si="82"/>
        <v>0</v>
      </c>
      <c r="G57" s="173">
        <f t="shared" si="82"/>
        <v>0</v>
      </c>
      <c r="H57" s="142">
        <f t="shared" si="82"/>
        <v>0</v>
      </c>
      <c r="I57" s="113">
        <f t="shared" si="57"/>
        <v>0</v>
      </c>
    </row>
    <row r="58" spans="1:261" x14ac:dyDescent="0.3">
      <c r="A58" s="150">
        <v>55</v>
      </c>
      <c r="B58" s="82">
        <f t="shared" ref="B58:H58" si="83">TE5</f>
        <v>0</v>
      </c>
      <c r="C58" s="82">
        <f t="shared" si="83"/>
        <v>0</v>
      </c>
      <c r="D58" s="76">
        <f t="shared" si="83"/>
        <v>0</v>
      </c>
      <c r="E58" s="148">
        <f t="shared" si="83"/>
        <v>0</v>
      </c>
      <c r="F58" s="113">
        <f t="shared" si="83"/>
        <v>0</v>
      </c>
      <c r="G58" s="79">
        <f t="shared" si="83"/>
        <v>0</v>
      </c>
      <c r="H58" s="142">
        <f t="shared" si="83"/>
        <v>0</v>
      </c>
      <c r="I58" s="113">
        <f t="shared" si="57"/>
        <v>0</v>
      </c>
    </row>
    <row r="59" spans="1:261" x14ac:dyDescent="0.3">
      <c r="A59" s="150">
        <v>56</v>
      </c>
      <c r="B59" s="82">
        <f t="shared" ref="B59:H59" si="84">TN5</f>
        <v>0</v>
      </c>
      <c r="C59" s="82">
        <f t="shared" si="84"/>
        <v>0</v>
      </c>
      <c r="D59" s="76">
        <f t="shared" si="84"/>
        <v>0</v>
      </c>
      <c r="E59" s="148">
        <f t="shared" si="84"/>
        <v>0</v>
      </c>
      <c r="F59" s="113">
        <f t="shared" si="84"/>
        <v>0</v>
      </c>
      <c r="G59" s="79">
        <f t="shared" si="84"/>
        <v>0</v>
      </c>
      <c r="H59" s="142">
        <f t="shared" si="84"/>
        <v>0</v>
      </c>
      <c r="I59" s="113">
        <f t="shared" si="57"/>
        <v>0</v>
      </c>
    </row>
    <row r="60" spans="1:261" x14ac:dyDescent="0.3">
      <c r="A60" s="150">
        <v>57</v>
      </c>
      <c r="B60" s="82">
        <f t="shared" ref="B60:H60" si="85">TW5</f>
        <v>0</v>
      </c>
      <c r="C60" s="82">
        <f t="shared" si="85"/>
        <v>0</v>
      </c>
      <c r="D60" s="76">
        <f t="shared" si="85"/>
        <v>0</v>
      </c>
      <c r="E60" s="148">
        <f t="shared" si="85"/>
        <v>0</v>
      </c>
      <c r="F60" s="113">
        <f t="shared" si="85"/>
        <v>0</v>
      </c>
      <c r="G60" s="79">
        <f t="shared" si="85"/>
        <v>0</v>
      </c>
      <c r="H60" s="142">
        <f t="shared" si="85"/>
        <v>0</v>
      </c>
      <c r="I60" s="113">
        <f t="shared" si="57"/>
        <v>0</v>
      </c>
    </row>
    <row r="61" spans="1:261" x14ac:dyDescent="0.3">
      <c r="A61" s="150">
        <v>58</v>
      </c>
      <c r="B61" s="82">
        <f>UF5</f>
        <v>0</v>
      </c>
      <c r="C61" s="82">
        <f t="shared" ref="C61:H61" si="86">UG5</f>
        <v>0</v>
      </c>
      <c r="D61" s="76">
        <f t="shared" si="86"/>
        <v>0</v>
      </c>
      <c r="E61" s="148">
        <f t="shared" si="86"/>
        <v>0</v>
      </c>
      <c r="F61" s="113">
        <f t="shared" si="86"/>
        <v>0</v>
      </c>
      <c r="G61" s="79">
        <f t="shared" si="86"/>
        <v>0</v>
      </c>
      <c r="H61" s="502">
        <f t="shared" si="86"/>
        <v>0</v>
      </c>
      <c r="I61" s="113">
        <f t="shared" si="57"/>
        <v>0</v>
      </c>
    </row>
    <row r="62" spans="1:261" x14ac:dyDescent="0.3">
      <c r="A62" s="150">
        <v>59</v>
      </c>
      <c r="B62" s="503">
        <f t="shared" ref="B62:H62" si="87">UO5</f>
        <v>0</v>
      </c>
      <c r="C62" s="503">
        <f t="shared" si="87"/>
        <v>0</v>
      </c>
      <c r="D62" s="504">
        <f t="shared" si="87"/>
        <v>0</v>
      </c>
      <c r="E62" s="505">
        <f t="shared" si="87"/>
        <v>0</v>
      </c>
      <c r="F62" s="506">
        <f t="shared" si="87"/>
        <v>0</v>
      </c>
      <c r="G62" s="507">
        <f t="shared" si="87"/>
        <v>0</v>
      </c>
      <c r="H62" s="502">
        <f t="shared" si="87"/>
        <v>0</v>
      </c>
      <c r="I62" s="113">
        <f t="shared" si="57"/>
        <v>0</v>
      </c>
    </row>
    <row r="63" spans="1:261" x14ac:dyDescent="0.3">
      <c r="A63" s="150">
        <v>60</v>
      </c>
      <c r="B63" s="503">
        <f>UX5</f>
        <v>0</v>
      </c>
      <c r="C63" s="503">
        <f>UY5</f>
        <v>0</v>
      </c>
      <c r="D63" s="504">
        <f>UZ5</f>
        <v>0</v>
      </c>
      <c r="E63" s="505">
        <f>VA5</f>
        <v>0</v>
      </c>
      <c r="F63" s="506">
        <f>VB5</f>
        <v>0</v>
      </c>
      <c r="G63" s="508">
        <f>VL5</f>
        <v>0</v>
      </c>
      <c r="H63" s="502">
        <f>VD5</f>
        <v>0</v>
      </c>
      <c r="I63" s="113">
        <f t="shared" si="57"/>
        <v>0</v>
      </c>
    </row>
    <row r="64" spans="1:261" x14ac:dyDescent="0.3">
      <c r="A64" s="150">
        <v>61</v>
      </c>
      <c r="B64" s="503">
        <f t="shared" ref="B64:H64" si="88">VG5</f>
        <v>0</v>
      </c>
      <c r="C64" s="504">
        <f t="shared" si="88"/>
        <v>0</v>
      </c>
      <c r="D64" s="504">
        <f t="shared" si="88"/>
        <v>0</v>
      </c>
      <c r="E64" s="505">
        <f t="shared" si="88"/>
        <v>0</v>
      </c>
      <c r="F64" s="506">
        <f t="shared" si="88"/>
        <v>0</v>
      </c>
      <c r="G64" s="508">
        <f t="shared" si="88"/>
        <v>0</v>
      </c>
      <c r="H64" s="502">
        <f t="shared" si="88"/>
        <v>0</v>
      </c>
      <c r="I64" s="113">
        <f t="shared" si="57"/>
        <v>0</v>
      </c>
    </row>
    <row r="65" spans="1:9" x14ac:dyDescent="0.3">
      <c r="A65" s="150">
        <v>62</v>
      </c>
      <c r="B65" s="503">
        <f t="shared" ref="B65:H65" si="89">VP5</f>
        <v>0</v>
      </c>
      <c r="C65" s="503">
        <f t="shared" si="89"/>
        <v>0</v>
      </c>
      <c r="D65" s="504">
        <f t="shared" si="89"/>
        <v>0</v>
      </c>
      <c r="E65" s="505">
        <f t="shared" si="89"/>
        <v>0</v>
      </c>
      <c r="F65" s="506">
        <f t="shared" si="89"/>
        <v>0</v>
      </c>
      <c r="G65" s="508">
        <f t="shared" si="89"/>
        <v>0</v>
      </c>
      <c r="H65" s="502">
        <f t="shared" si="89"/>
        <v>0</v>
      </c>
      <c r="I65" s="113">
        <f t="shared" si="57"/>
        <v>0</v>
      </c>
    </row>
    <row r="66" spans="1:9" x14ac:dyDescent="0.3">
      <c r="A66" s="150">
        <v>63</v>
      </c>
      <c r="B66" s="503">
        <f t="shared" ref="B66:H66" si="90">VY5</f>
        <v>0</v>
      </c>
      <c r="C66" s="503">
        <f t="shared" si="90"/>
        <v>0</v>
      </c>
      <c r="D66" s="504">
        <f t="shared" si="90"/>
        <v>0</v>
      </c>
      <c r="E66" s="505">
        <f t="shared" si="90"/>
        <v>0</v>
      </c>
      <c r="F66" s="506">
        <f t="shared" si="90"/>
        <v>0</v>
      </c>
      <c r="G66" s="508">
        <f t="shared" si="90"/>
        <v>0</v>
      </c>
      <c r="H66" s="502">
        <f t="shared" si="90"/>
        <v>0</v>
      </c>
      <c r="I66" s="113">
        <f t="shared" si="57"/>
        <v>0</v>
      </c>
    </row>
    <row r="67" spans="1:9" x14ac:dyDescent="0.3">
      <c r="A67" s="150">
        <v>64</v>
      </c>
      <c r="B67" s="503">
        <f t="shared" ref="B67:H67" si="91">WH5</f>
        <v>0</v>
      </c>
      <c r="C67" s="503">
        <f t="shared" si="91"/>
        <v>0</v>
      </c>
      <c r="D67" s="504">
        <f t="shared" si="91"/>
        <v>0</v>
      </c>
      <c r="E67" s="505">
        <f t="shared" si="91"/>
        <v>0</v>
      </c>
      <c r="F67" s="506">
        <f t="shared" si="91"/>
        <v>0</v>
      </c>
      <c r="G67" s="508">
        <f t="shared" si="91"/>
        <v>0</v>
      </c>
      <c r="H67" s="502">
        <f t="shared" si="91"/>
        <v>0</v>
      </c>
      <c r="I67" s="113">
        <f t="shared" si="57"/>
        <v>0</v>
      </c>
    </row>
    <row r="68" spans="1:9" x14ac:dyDescent="0.3">
      <c r="A68" s="150">
        <v>65</v>
      </c>
      <c r="B68" s="503">
        <f t="shared" ref="B68:H68" si="92">WQ5</f>
        <v>0</v>
      </c>
      <c r="C68" s="503">
        <f t="shared" si="92"/>
        <v>0</v>
      </c>
      <c r="D68" s="504">
        <f t="shared" si="92"/>
        <v>0</v>
      </c>
      <c r="E68" s="505">
        <f t="shared" si="92"/>
        <v>0</v>
      </c>
      <c r="F68" s="506">
        <f t="shared" si="92"/>
        <v>0</v>
      </c>
      <c r="G68" s="508">
        <f t="shared" si="92"/>
        <v>0</v>
      </c>
      <c r="H68" s="502">
        <f t="shared" si="92"/>
        <v>0</v>
      </c>
      <c r="I68" s="113">
        <f t="shared" si="57"/>
        <v>0</v>
      </c>
    </row>
    <row r="69" spans="1:9" x14ac:dyDescent="0.3">
      <c r="A69" s="150">
        <v>66</v>
      </c>
      <c r="B69" s="503">
        <f t="shared" ref="B69:H69" si="93">WZ5</f>
        <v>0</v>
      </c>
      <c r="C69" s="503">
        <f t="shared" si="93"/>
        <v>0</v>
      </c>
      <c r="D69" s="504">
        <f t="shared" si="93"/>
        <v>0</v>
      </c>
      <c r="E69" s="505">
        <f t="shared" si="93"/>
        <v>0</v>
      </c>
      <c r="F69" s="506">
        <f t="shared" si="93"/>
        <v>0</v>
      </c>
      <c r="G69" s="508">
        <f t="shared" si="93"/>
        <v>0</v>
      </c>
      <c r="H69" s="502">
        <f t="shared" si="93"/>
        <v>0</v>
      </c>
      <c r="I69" s="113">
        <f t="shared" si="57"/>
        <v>0</v>
      </c>
    </row>
    <row r="70" spans="1:9" x14ac:dyDescent="0.3">
      <c r="A70" s="150">
        <v>67</v>
      </c>
      <c r="B70" s="503">
        <f t="shared" ref="B70:H70" si="94">XI5</f>
        <v>0</v>
      </c>
      <c r="C70" s="503">
        <f t="shared" si="94"/>
        <v>0</v>
      </c>
      <c r="D70" s="504">
        <f t="shared" si="94"/>
        <v>0</v>
      </c>
      <c r="E70" s="505">
        <f t="shared" si="94"/>
        <v>0</v>
      </c>
      <c r="F70" s="506">
        <f t="shared" si="94"/>
        <v>0</v>
      </c>
      <c r="G70" s="508">
        <f t="shared" si="94"/>
        <v>0</v>
      </c>
      <c r="H70" s="502">
        <f t="shared" si="94"/>
        <v>0</v>
      </c>
      <c r="I70" s="113">
        <f t="shared" si="57"/>
        <v>0</v>
      </c>
    </row>
    <row r="71" spans="1:9" x14ac:dyDescent="0.3">
      <c r="A71" s="150">
        <v>68</v>
      </c>
      <c r="B71" s="509">
        <f t="shared" ref="B71:H71" si="95">XR5</f>
        <v>0</v>
      </c>
      <c r="C71" s="503">
        <f t="shared" si="95"/>
        <v>0</v>
      </c>
      <c r="D71" s="504">
        <f t="shared" si="95"/>
        <v>0</v>
      </c>
      <c r="E71" s="505">
        <f t="shared" si="95"/>
        <v>0</v>
      </c>
      <c r="F71" s="506">
        <f t="shared" si="95"/>
        <v>0</v>
      </c>
      <c r="G71" s="508">
        <f t="shared" si="95"/>
        <v>0</v>
      </c>
      <c r="H71" s="502">
        <f t="shared" si="95"/>
        <v>0</v>
      </c>
      <c r="I71" s="113">
        <f t="shared" si="57"/>
        <v>0</v>
      </c>
    </row>
    <row r="72" spans="1:9" x14ac:dyDescent="0.3">
      <c r="A72" s="150">
        <v>69</v>
      </c>
      <c r="B72" s="503">
        <f t="shared" ref="B72:H72" si="96">YA5</f>
        <v>0</v>
      </c>
      <c r="C72" s="503">
        <f t="shared" si="96"/>
        <v>0</v>
      </c>
      <c r="D72" s="504">
        <f t="shared" si="96"/>
        <v>0</v>
      </c>
      <c r="E72" s="505">
        <f t="shared" si="96"/>
        <v>0</v>
      </c>
      <c r="F72" s="506">
        <f t="shared" si="96"/>
        <v>0</v>
      </c>
      <c r="G72" s="508">
        <f t="shared" si="96"/>
        <v>0</v>
      </c>
      <c r="H72" s="502">
        <f t="shared" si="96"/>
        <v>0</v>
      </c>
      <c r="I72" s="113">
        <f t="shared" si="57"/>
        <v>0</v>
      </c>
    </row>
    <row r="73" spans="1:9" x14ac:dyDescent="0.3">
      <c r="A73" s="150">
        <v>70</v>
      </c>
      <c r="B73" s="503">
        <f t="shared" ref="B73:H73" si="97">YJ5</f>
        <v>0</v>
      </c>
      <c r="C73" s="503">
        <f t="shared" si="97"/>
        <v>0</v>
      </c>
      <c r="D73" s="504">
        <f t="shared" si="97"/>
        <v>0</v>
      </c>
      <c r="E73" s="505">
        <f t="shared" si="97"/>
        <v>0</v>
      </c>
      <c r="F73" s="506">
        <f t="shared" si="97"/>
        <v>0</v>
      </c>
      <c r="G73" s="508">
        <f t="shared" si="97"/>
        <v>0</v>
      </c>
      <c r="H73" s="502">
        <f t="shared" si="97"/>
        <v>0</v>
      </c>
      <c r="I73" s="113">
        <f t="shared" si="57"/>
        <v>0</v>
      </c>
    </row>
    <row r="74" spans="1:9" x14ac:dyDescent="0.3">
      <c r="A74" s="150">
        <v>71</v>
      </c>
      <c r="B74" s="503">
        <f t="shared" ref="B74:H74" si="98">YS5</f>
        <v>0</v>
      </c>
      <c r="C74" s="503">
        <f t="shared" si="98"/>
        <v>0</v>
      </c>
      <c r="D74" s="504">
        <f t="shared" si="98"/>
        <v>0</v>
      </c>
      <c r="E74" s="505">
        <f t="shared" si="98"/>
        <v>0</v>
      </c>
      <c r="F74" s="506">
        <f t="shared" si="98"/>
        <v>0</v>
      </c>
      <c r="G74" s="508">
        <f t="shared" si="98"/>
        <v>0</v>
      </c>
      <c r="H74" s="502">
        <f t="shared" si="98"/>
        <v>0</v>
      </c>
      <c r="I74" s="113">
        <f t="shared" si="57"/>
        <v>0</v>
      </c>
    </row>
    <row r="75" spans="1:9" x14ac:dyDescent="0.3">
      <c r="A75" s="150">
        <v>72</v>
      </c>
      <c r="B75" s="503">
        <f t="shared" ref="B75:H75" si="99">ZB5</f>
        <v>0</v>
      </c>
      <c r="C75" s="503">
        <f t="shared" si="99"/>
        <v>0</v>
      </c>
      <c r="D75" s="504">
        <f t="shared" si="99"/>
        <v>0</v>
      </c>
      <c r="E75" s="505">
        <f t="shared" si="99"/>
        <v>0</v>
      </c>
      <c r="F75" s="506">
        <f t="shared" si="99"/>
        <v>0</v>
      </c>
      <c r="G75" s="508">
        <f t="shared" si="99"/>
        <v>0</v>
      </c>
      <c r="H75" s="502">
        <f t="shared" si="99"/>
        <v>0</v>
      </c>
      <c r="I75" s="113">
        <f t="shared" si="57"/>
        <v>0</v>
      </c>
    </row>
    <row r="76" spans="1:9" x14ac:dyDescent="0.3">
      <c r="A76" s="150">
        <v>73</v>
      </c>
      <c r="B76" s="503">
        <f t="shared" ref="B76:G76" si="100">ZK5</f>
        <v>0</v>
      </c>
      <c r="C76" s="503">
        <f t="shared" si="100"/>
        <v>0</v>
      </c>
      <c r="D76" s="504">
        <f t="shared" si="100"/>
        <v>0</v>
      </c>
      <c r="E76" s="505">
        <f t="shared" si="100"/>
        <v>0</v>
      </c>
      <c r="F76" s="506">
        <f t="shared" si="100"/>
        <v>0</v>
      </c>
      <c r="G76" s="508">
        <f t="shared" si="100"/>
        <v>0</v>
      </c>
      <c r="H76" s="502">
        <f>ZZ5</f>
        <v>0</v>
      </c>
      <c r="I76" s="113">
        <f t="shared" si="57"/>
        <v>0</v>
      </c>
    </row>
    <row r="77" spans="1:9" x14ac:dyDescent="0.3">
      <c r="A77" s="150">
        <v>74</v>
      </c>
      <c r="B77" s="503">
        <f t="shared" ref="B77:H77" si="101">ZT5</f>
        <v>0</v>
      </c>
      <c r="C77" s="503">
        <f t="shared" si="101"/>
        <v>0</v>
      </c>
      <c r="D77" s="504">
        <f t="shared" si="101"/>
        <v>0</v>
      </c>
      <c r="E77" s="505">
        <f t="shared" si="101"/>
        <v>0</v>
      </c>
      <c r="F77" s="506">
        <f t="shared" si="101"/>
        <v>0</v>
      </c>
      <c r="G77" s="508">
        <f t="shared" si="101"/>
        <v>0</v>
      </c>
      <c r="H77" s="502">
        <f t="shared" si="101"/>
        <v>0</v>
      </c>
      <c r="I77" s="113">
        <f t="shared" si="57"/>
        <v>0</v>
      </c>
    </row>
    <row r="78" spans="1:9" x14ac:dyDescent="0.3">
      <c r="A78" s="150">
        <v>75</v>
      </c>
      <c r="B78" s="503">
        <f t="shared" ref="B78:H78" si="102">AAC5</f>
        <v>0</v>
      </c>
      <c r="C78" s="503">
        <f t="shared" si="102"/>
        <v>0</v>
      </c>
      <c r="D78" s="504">
        <f t="shared" si="102"/>
        <v>0</v>
      </c>
      <c r="E78" s="505">
        <f t="shared" si="102"/>
        <v>0</v>
      </c>
      <c r="F78" s="506">
        <f t="shared" si="102"/>
        <v>0</v>
      </c>
      <c r="G78" s="508">
        <f t="shared" si="102"/>
        <v>0</v>
      </c>
      <c r="H78" s="502">
        <f t="shared" si="102"/>
        <v>0</v>
      </c>
      <c r="I78" s="113">
        <f t="shared" si="57"/>
        <v>0</v>
      </c>
    </row>
    <row r="79" spans="1:9" x14ac:dyDescent="0.3">
      <c r="A79" s="150">
        <v>76</v>
      </c>
      <c r="B79" s="503">
        <f>AAL5</f>
        <v>0</v>
      </c>
      <c r="C79" s="503">
        <f>AAM5</f>
        <v>0</v>
      </c>
      <c r="D79" s="504">
        <f>AAN5</f>
        <v>0</v>
      </c>
      <c r="E79" s="505">
        <f>AAO5</f>
        <v>0</v>
      </c>
      <c r="F79" s="506">
        <f>AAP5</f>
        <v>0</v>
      </c>
      <c r="G79" s="508">
        <f>AAZ5</f>
        <v>0</v>
      </c>
      <c r="H79" s="502">
        <f>AAR5</f>
        <v>0</v>
      </c>
      <c r="I79" s="113">
        <f t="shared" si="57"/>
        <v>0</v>
      </c>
    </row>
    <row r="80" spans="1:9" x14ac:dyDescent="0.3">
      <c r="A80" s="150">
        <v>77</v>
      </c>
      <c r="B80" s="82">
        <f t="shared" ref="B80:H80" si="103">AAU5</f>
        <v>0</v>
      </c>
      <c r="C80" s="82">
        <f t="shared" si="103"/>
        <v>0</v>
      </c>
      <c r="D80" s="76">
        <f t="shared" si="103"/>
        <v>0</v>
      </c>
      <c r="E80" s="148">
        <f t="shared" si="103"/>
        <v>0</v>
      </c>
      <c r="F80" s="113">
        <f t="shared" si="103"/>
        <v>0</v>
      </c>
      <c r="G80" s="79">
        <f t="shared" si="103"/>
        <v>0</v>
      </c>
      <c r="H80" s="142">
        <f t="shared" si="103"/>
        <v>0</v>
      </c>
      <c r="I80" s="113">
        <f t="shared" si="57"/>
        <v>0</v>
      </c>
    </row>
    <row r="81" spans="1:9" x14ac:dyDescent="0.3">
      <c r="A81" s="150">
        <v>78</v>
      </c>
      <c r="B81" s="503">
        <f t="shared" ref="B81:H81" si="104">ABD5</f>
        <v>0</v>
      </c>
      <c r="C81" s="503">
        <f t="shared" si="104"/>
        <v>0</v>
      </c>
      <c r="D81" s="504">
        <f t="shared" si="104"/>
        <v>0</v>
      </c>
      <c r="E81" s="505">
        <f t="shared" si="104"/>
        <v>0</v>
      </c>
      <c r="F81" s="506">
        <f t="shared" si="104"/>
        <v>0</v>
      </c>
      <c r="G81" s="508">
        <f t="shared" si="104"/>
        <v>0</v>
      </c>
      <c r="H81" s="502">
        <f t="shared" si="104"/>
        <v>0</v>
      </c>
      <c r="I81" s="113">
        <f t="shared" si="57"/>
        <v>0</v>
      </c>
    </row>
    <row r="82" spans="1:9" x14ac:dyDescent="0.3">
      <c r="A82" s="150">
        <v>79</v>
      </c>
      <c r="B82" s="503">
        <f>ABM5</f>
        <v>0</v>
      </c>
      <c r="C82" s="503">
        <f>ABN5</f>
        <v>0</v>
      </c>
      <c r="D82" s="504">
        <f>ABO5</f>
        <v>0</v>
      </c>
      <c r="E82" s="505">
        <f>ABG5</f>
        <v>0</v>
      </c>
      <c r="F82" s="506">
        <f>ABQ5</f>
        <v>0</v>
      </c>
      <c r="G82" s="510">
        <f>ABR5</f>
        <v>0</v>
      </c>
      <c r="H82" s="502">
        <f>ABS5</f>
        <v>0</v>
      </c>
      <c r="I82" s="113">
        <f t="shared" si="57"/>
        <v>0</v>
      </c>
    </row>
    <row r="83" spans="1:9" x14ac:dyDescent="0.3">
      <c r="A83" s="150">
        <v>80</v>
      </c>
      <c r="B83" s="503">
        <f t="shared" ref="B83:H83" si="105">ABV5</f>
        <v>0</v>
      </c>
      <c r="C83" s="503">
        <f t="shared" si="105"/>
        <v>0</v>
      </c>
      <c r="D83" s="504">
        <f t="shared" si="105"/>
        <v>0</v>
      </c>
      <c r="E83" s="505">
        <f t="shared" si="105"/>
        <v>0</v>
      </c>
      <c r="F83" s="506">
        <f t="shared" si="105"/>
        <v>0</v>
      </c>
      <c r="G83" s="508">
        <f t="shared" si="105"/>
        <v>0</v>
      </c>
      <c r="H83" s="502">
        <f t="shared" si="105"/>
        <v>0</v>
      </c>
      <c r="I83" s="113">
        <f t="shared" si="57"/>
        <v>0</v>
      </c>
    </row>
    <row r="84" spans="1:9" x14ac:dyDescent="0.3">
      <c r="A84" s="150">
        <v>81</v>
      </c>
      <c r="B84" s="503">
        <f>ACE5</f>
        <v>0</v>
      </c>
      <c r="C84" s="503">
        <f>ACF5</f>
        <v>0</v>
      </c>
      <c r="D84" s="504">
        <f>ACG5</f>
        <v>0</v>
      </c>
      <c r="E84" s="505">
        <f>ACH5</f>
        <v>0</v>
      </c>
      <c r="F84" s="506">
        <f>ACI5</f>
        <v>0</v>
      </c>
      <c r="G84" s="510">
        <f>ADB5</f>
        <v>0</v>
      </c>
      <c r="H84" s="502">
        <f>ACK5</f>
        <v>0</v>
      </c>
      <c r="I84" s="113">
        <f t="shared" si="57"/>
        <v>0</v>
      </c>
    </row>
    <row r="85" spans="1:9" x14ac:dyDescent="0.3">
      <c r="A85" s="150">
        <v>82</v>
      </c>
      <c r="B85" s="503">
        <f>ACN5</f>
        <v>0</v>
      </c>
      <c r="C85" s="503">
        <f>ACO5</f>
        <v>0</v>
      </c>
      <c r="D85" s="504">
        <f>ACP5</f>
        <v>0</v>
      </c>
      <c r="E85" s="505">
        <f>ACQ5</f>
        <v>0</v>
      </c>
      <c r="F85" s="506">
        <f>ADJ5</f>
        <v>0</v>
      </c>
      <c r="G85" s="510">
        <f>ACS5</f>
        <v>0</v>
      </c>
      <c r="H85" s="502">
        <f>ACT5</f>
        <v>0</v>
      </c>
      <c r="I85" s="113">
        <f t="shared" si="57"/>
        <v>0</v>
      </c>
    </row>
    <row r="86" spans="1:9" x14ac:dyDescent="0.3">
      <c r="A86" s="150">
        <v>83</v>
      </c>
      <c r="B86" s="503">
        <f t="shared" ref="B86:H86" si="106">ACW5</f>
        <v>0</v>
      </c>
      <c r="C86" s="503">
        <f t="shared" si="106"/>
        <v>0</v>
      </c>
      <c r="D86" s="504">
        <f t="shared" si="106"/>
        <v>0</v>
      </c>
      <c r="E86" s="505">
        <f t="shared" si="106"/>
        <v>0</v>
      </c>
      <c r="F86" s="506">
        <f t="shared" si="106"/>
        <v>0</v>
      </c>
      <c r="G86" s="508">
        <f t="shared" si="106"/>
        <v>0</v>
      </c>
      <c r="H86" s="502">
        <f t="shared" si="106"/>
        <v>0</v>
      </c>
      <c r="I86" s="113">
        <f t="shared" si="57"/>
        <v>0</v>
      </c>
    </row>
    <row r="87" spans="1:9" x14ac:dyDescent="0.3">
      <c r="A87" s="150">
        <v>84</v>
      </c>
      <c r="B87" s="503">
        <f t="shared" ref="B87:H87" si="107">ADF5</f>
        <v>0</v>
      </c>
      <c r="C87" s="503">
        <f t="shared" si="107"/>
        <v>0</v>
      </c>
      <c r="D87" s="504">
        <f t="shared" si="107"/>
        <v>0</v>
      </c>
      <c r="E87" s="505">
        <f t="shared" si="107"/>
        <v>0</v>
      </c>
      <c r="F87" s="506">
        <f t="shared" si="107"/>
        <v>0</v>
      </c>
      <c r="G87" s="508">
        <f t="shared" si="107"/>
        <v>0</v>
      </c>
      <c r="H87" s="502">
        <f t="shared" si="107"/>
        <v>0</v>
      </c>
      <c r="I87" s="506">
        <f t="shared" si="57"/>
        <v>0</v>
      </c>
    </row>
    <row r="88" spans="1:9" x14ac:dyDescent="0.3">
      <c r="A88" s="150">
        <v>85</v>
      </c>
      <c r="B88" s="82">
        <f t="shared" ref="B88:H88" si="108">ADO5</f>
        <v>0</v>
      </c>
      <c r="C88" s="82">
        <f t="shared" si="108"/>
        <v>0</v>
      </c>
      <c r="D88" s="76">
        <f t="shared" si="108"/>
        <v>0</v>
      </c>
      <c r="E88" s="148">
        <f t="shared" si="108"/>
        <v>0</v>
      </c>
      <c r="F88" s="113">
        <f t="shared" si="108"/>
        <v>0</v>
      </c>
      <c r="G88" s="79">
        <f t="shared" si="108"/>
        <v>0</v>
      </c>
      <c r="H88" s="142">
        <f t="shared" si="108"/>
        <v>0</v>
      </c>
      <c r="I88" s="113">
        <f t="shared" si="57"/>
        <v>0</v>
      </c>
    </row>
    <row r="89" spans="1:9" x14ac:dyDescent="0.3">
      <c r="I89" s="113">
        <f t="shared" si="57"/>
        <v>0</v>
      </c>
    </row>
    <row r="90" spans="1:9" x14ac:dyDescent="0.3">
      <c r="I90" s="113">
        <f t="shared" si="57"/>
        <v>0</v>
      </c>
    </row>
    <row r="91" spans="1:9" x14ac:dyDescent="0.3">
      <c r="I91" s="113">
        <f t="shared" si="57"/>
        <v>0</v>
      </c>
    </row>
    <row r="92" spans="1:9" x14ac:dyDescent="0.3">
      <c r="I92" s="113">
        <f t="shared" si="57"/>
        <v>0</v>
      </c>
    </row>
  </sheetData>
  <mergeCells count="164">
    <mergeCell ref="ZW33:ZX33"/>
    <mergeCell ref="ZW34:ZX34"/>
    <mergeCell ref="AAC1:AAI1"/>
    <mergeCell ref="AAF33:AAG33"/>
    <mergeCell ref="AAF34:AAG34"/>
    <mergeCell ref="AAL1:AAR1"/>
    <mergeCell ref="AAO33:AAP33"/>
    <mergeCell ref="AAO34:AAP34"/>
    <mergeCell ref="AAU1:ABA1"/>
    <mergeCell ref="ACE1:ACK1"/>
    <mergeCell ref="ACH33:ACI33"/>
    <mergeCell ref="ACH34:ACI34"/>
    <mergeCell ref="ACN1:ACT1"/>
    <mergeCell ref="ACQ33:ACR33"/>
    <mergeCell ref="ACQ34:ACR34"/>
    <mergeCell ref="ADX1:AED1"/>
    <mergeCell ref="AEA33:AEB33"/>
    <mergeCell ref="AEA34:AEB34"/>
    <mergeCell ref="ACW1:ADC1"/>
    <mergeCell ref="ACZ33:ADA33"/>
    <mergeCell ref="ACZ34:ADA34"/>
    <mergeCell ref="ADF1:ADL1"/>
    <mergeCell ref="ADI33:ADJ33"/>
    <mergeCell ref="ADI34:ADJ34"/>
    <mergeCell ref="ADO1:ADU1"/>
    <mergeCell ref="ADR33:ADS33"/>
    <mergeCell ref="ADR34:ADS34"/>
    <mergeCell ref="ABV1:ACB1"/>
    <mergeCell ref="ABY33:ABZ33"/>
    <mergeCell ref="ABY34:ABZ34"/>
    <mergeCell ref="YJ1:YP1"/>
    <mergeCell ref="YM33:YN33"/>
    <mergeCell ref="YM34:YN34"/>
    <mergeCell ref="YS1:YY1"/>
    <mergeCell ref="YV33:YW33"/>
    <mergeCell ref="YV34:YW34"/>
    <mergeCell ref="ZB1:ZH1"/>
    <mergeCell ref="ZE33:ZF33"/>
    <mergeCell ref="ZE34:ZF34"/>
    <mergeCell ref="ZK1:ZQ1"/>
    <mergeCell ref="ZN33:ZO33"/>
    <mergeCell ref="ZN34:ZO34"/>
    <mergeCell ref="AAX33:AAY33"/>
    <mergeCell ref="AAX34:AAY34"/>
    <mergeCell ref="ABD1:ABJ1"/>
    <mergeCell ref="ABG33:ABH33"/>
    <mergeCell ref="ABG34:ABH34"/>
    <mergeCell ref="ABM1:ABS1"/>
    <mergeCell ref="ABP33:ABQ33"/>
    <mergeCell ref="ABP34:ABQ34"/>
    <mergeCell ref="ZT1:ZZ1"/>
    <mergeCell ref="XI1:XO1"/>
    <mergeCell ref="XL33:XM33"/>
    <mergeCell ref="XL34:XM34"/>
    <mergeCell ref="XR1:XX1"/>
    <mergeCell ref="XU33:XV33"/>
    <mergeCell ref="XU34:XV34"/>
    <mergeCell ref="YA1:YG1"/>
    <mergeCell ref="YD33:YE33"/>
    <mergeCell ref="YD34:YE34"/>
    <mergeCell ref="WH1:WN1"/>
    <mergeCell ref="WK33:WL33"/>
    <mergeCell ref="WK34:WL34"/>
    <mergeCell ref="WQ1:WW1"/>
    <mergeCell ref="WT33:WU33"/>
    <mergeCell ref="WT34:WU34"/>
    <mergeCell ref="WZ1:XF1"/>
    <mergeCell ref="XC33:XD33"/>
    <mergeCell ref="XC34:XD34"/>
    <mergeCell ref="VG1:VM1"/>
    <mergeCell ref="VJ33:VK33"/>
    <mergeCell ref="VJ34:VK34"/>
    <mergeCell ref="VP1:VV1"/>
    <mergeCell ref="VS33:VT33"/>
    <mergeCell ref="VS34:VT34"/>
    <mergeCell ref="VY1:WE1"/>
    <mergeCell ref="WB33:WC33"/>
    <mergeCell ref="WB34:WC34"/>
    <mergeCell ref="UO1:UU1"/>
    <mergeCell ref="UX1:VD1"/>
    <mergeCell ref="VA33:VB33"/>
    <mergeCell ref="VA34:VB34"/>
    <mergeCell ref="QB1:QH1"/>
    <mergeCell ref="IW1:JC1"/>
    <mergeCell ref="LX1:MD1"/>
    <mergeCell ref="KU1:LA1"/>
    <mergeCell ref="KA1:KG1"/>
    <mergeCell ref="JQ1:JW1"/>
    <mergeCell ref="KK1:KQ1"/>
    <mergeCell ref="JG1:JM1"/>
    <mergeCell ref="OI1:OO1"/>
    <mergeCell ref="NZ1:OF1"/>
    <mergeCell ref="MP1:MV1"/>
    <mergeCell ref="LE1:LK1"/>
    <mergeCell ref="NQ1:NW1"/>
    <mergeCell ref="NH1:NN1"/>
    <mergeCell ref="PA1:PG1"/>
    <mergeCell ref="PJ1:PP1"/>
    <mergeCell ref="QK1:QQ1"/>
    <mergeCell ref="QT1:QZ1"/>
    <mergeCell ref="SV1:TB1"/>
    <mergeCell ref="SY33:SZ33"/>
    <mergeCell ref="UF1:UL1"/>
    <mergeCell ref="RU1:SA1"/>
    <mergeCell ref="RX33:RY33"/>
    <mergeCell ref="RX34:RY34"/>
    <mergeCell ref="SD1:SJ1"/>
    <mergeCell ref="SG33:SH33"/>
    <mergeCell ref="TW1:UC1"/>
    <mergeCell ref="TZ33:UA33"/>
    <mergeCell ref="TZ34:UA34"/>
    <mergeCell ref="SG34:SH34"/>
    <mergeCell ref="SM1:SS1"/>
    <mergeCell ref="SP33:SQ33"/>
    <mergeCell ref="SP34:SQ34"/>
    <mergeCell ref="SY34:SZ34"/>
    <mergeCell ref="TE1:TK1"/>
    <mergeCell ref="TH33:TI33"/>
    <mergeCell ref="TH34:TI34"/>
    <mergeCell ref="TN1:TT1"/>
    <mergeCell ref="TQ33:TR33"/>
    <mergeCell ref="TQ34:TR34"/>
    <mergeCell ref="IM1:IS1"/>
    <mergeCell ref="IC1:II1"/>
    <mergeCell ref="HS1:HY1"/>
    <mergeCell ref="RL1:RR1"/>
    <mergeCell ref="JG5:JG6"/>
    <mergeCell ref="IC5:IC6"/>
    <mergeCell ref="FU5:FU6"/>
    <mergeCell ref="HI1:HO1"/>
    <mergeCell ref="GY1:HE1"/>
    <mergeCell ref="GO1:GU1"/>
    <mergeCell ref="GE1:GK1"/>
    <mergeCell ref="FU1:GA1"/>
    <mergeCell ref="RO33:RP33"/>
    <mergeCell ref="RO34:RP34"/>
    <mergeCell ref="RC1:RI1"/>
    <mergeCell ref="MY1:NE1"/>
    <mergeCell ref="PS1:PY1"/>
    <mergeCell ref="LO1:LU1"/>
    <mergeCell ref="MG1:MM1"/>
    <mergeCell ref="OR1:OX1"/>
    <mergeCell ref="RF34:RG34"/>
    <mergeCell ref="RF33:RG33"/>
    <mergeCell ref="FK1:FQ1"/>
    <mergeCell ref="DW1:EC1"/>
    <mergeCell ref="EG1:EM1"/>
    <mergeCell ref="FA1:FG1"/>
    <mergeCell ref="EQ1:EW1"/>
    <mergeCell ref="CI5:CI6"/>
    <mergeCell ref="CS5:CS6"/>
    <mergeCell ref="K1:Q1"/>
    <mergeCell ref="U1:AA1"/>
    <mergeCell ref="AE1:AK1"/>
    <mergeCell ref="AO1:AU1"/>
    <mergeCell ref="DM1:DS1"/>
    <mergeCell ref="DC1:DI1"/>
    <mergeCell ref="BY1:CE1"/>
    <mergeCell ref="BG1:BM1"/>
    <mergeCell ref="AX1:BD1"/>
    <mergeCell ref="CI1:CO1"/>
    <mergeCell ref="BP1:BV1"/>
    <mergeCell ref="U5:U6"/>
    <mergeCell ref="CS1:CY1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3.8" x14ac:dyDescent="0.25"/>
  <cols>
    <col min="1" max="1" width="31.5546875" customWidth="1"/>
    <col min="2" max="2" width="18.5546875" customWidth="1"/>
    <col min="3" max="3" width="14.44140625" customWidth="1"/>
    <col min="4" max="4" width="14" customWidth="1"/>
    <col min="5" max="6" width="13" customWidth="1"/>
    <col min="9" max="9" width="16.44140625" style="142" customWidth="1"/>
    <col min="10" max="10" width="11.44140625" style="12"/>
  </cols>
  <sheetData>
    <row r="1" spans="1:10" ht="40.5" x14ac:dyDescent="0.55000000000000004">
      <c r="A1" s="1034"/>
      <c r="B1" s="1034"/>
      <c r="C1" s="1034"/>
      <c r="D1" s="1034"/>
      <c r="E1" s="1034"/>
      <c r="F1" s="1034"/>
      <c r="G1" s="10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34"/>
    </row>
    <row r="4" spans="1:10" ht="15.75" thickTop="1" x14ac:dyDescent="0.25">
      <c r="B4" s="12"/>
      <c r="C4" s="138"/>
      <c r="D4" s="168"/>
      <c r="E4" s="5"/>
      <c r="F4" s="79"/>
      <c r="G4" s="79"/>
      <c r="I4" s="235"/>
    </row>
    <row r="5" spans="1:10" ht="15" x14ac:dyDescent="0.25">
      <c r="A5" s="79" t="s">
        <v>46</v>
      </c>
      <c r="B5" s="253" t="s">
        <v>48</v>
      </c>
      <c r="C5" s="247"/>
      <c r="D5" s="168"/>
      <c r="E5" s="113"/>
      <c r="F5" s="79"/>
      <c r="G5" s="310">
        <f>F61</f>
        <v>0</v>
      </c>
      <c r="H5" s="7">
        <f>E4+E5-G5+E6+E7</f>
        <v>0</v>
      </c>
      <c r="I5" s="235"/>
    </row>
    <row r="6" spans="1:10" ht="15.75" thickBot="1" x14ac:dyDescent="0.3">
      <c r="B6" s="12"/>
      <c r="C6" s="247"/>
      <c r="D6" s="168"/>
      <c r="E6" s="113"/>
      <c r="F6" s="79"/>
      <c r="I6" s="236"/>
    </row>
    <row r="7" spans="1:10" ht="14.4" thickBot="1" x14ac:dyDescent="0.3">
      <c r="B7" s="12"/>
      <c r="C7" s="247"/>
      <c r="D7" s="168"/>
      <c r="E7" s="113"/>
      <c r="F7" s="79"/>
      <c r="I7" s="1059" t="s">
        <v>19</v>
      </c>
      <c r="J7" s="1061" t="s">
        <v>4</v>
      </c>
    </row>
    <row r="8" spans="1:10" ht="15" thickTop="1" thickBot="1" x14ac:dyDescent="0.3">
      <c r="B8" s="69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0"/>
      <c r="J8" s="1062"/>
    </row>
    <row r="9" spans="1:10" ht="15.75" thickTop="1" x14ac:dyDescent="0.25">
      <c r="A9" s="79"/>
      <c r="B9" s="146">
        <v>10</v>
      </c>
      <c r="C9" s="313"/>
      <c r="D9" s="99">
        <f t="shared" ref="D9:D13" si="0">C9*B9</f>
        <v>0</v>
      </c>
      <c r="E9" s="242"/>
      <c r="F9" s="74">
        <f t="shared" ref="F9:F13" si="1">D9</f>
        <v>0</v>
      </c>
      <c r="G9" s="75"/>
      <c r="H9" s="76"/>
      <c r="I9" s="235">
        <f>E5-F9+E6+E4</f>
        <v>0</v>
      </c>
      <c r="J9" s="137">
        <f>F4+F5+F6+F7-C9</f>
        <v>0</v>
      </c>
    </row>
    <row r="10" spans="1:10" ht="15" x14ac:dyDescent="0.25">
      <c r="B10" s="146">
        <v>10</v>
      </c>
      <c r="C10" s="15"/>
      <c r="D10" s="99">
        <f t="shared" si="0"/>
        <v>0</v>
      </c>
      <c r="E10" s="242"/>
      <c r="F10" s="74">
        <f t="shared" si="1"/>
        <v>0</v>
      </c>
      <c r="G10" s="75"/>
      <c r="H10" s="316"/>
      <c r="I10" s="235">
        <f>I9-F10</f>
        <v>0</v>
      </c>
      <c r="J10" s="137">
        <f>J9-C10</f>
        <v>0</v>
      </c>
    </row>
    <row r="11" spans="1:10" ht="15" x14ac:dyDescent="0.25">
      <c r="A11" s="60" t="s">
        <v>32</v>
      </c>
      <c r="B11" s="146">
        <f>B10</f>
        <v>10</v>
      </c>
      <c r="C11" s="313"/>
      <c r="D11" s="99">
        <f t="shared" si="0"/>
        <v>0</v>
      </c>
      <c r="E11" s="242"/>
      <c r="F11" s="74">
        <f t="shared" si="1"/>
        <v>0</v>
      </c>
      <c r="G11" s="75"/>
      <c r="H11" s="76"/>
      <c r="I11" s="235">
        <f t="shared" ref="I11:I59" si="2">I10-F11</f>
        <v>0</v>
      </c>
      <c r="J11" s="137">
        <f t="shared" ref="J11:J59" si="3">J10-C11</f>
        <v>0</v>
      </c>
    </row>
    <row r="12" spans="1:10" ht="15" x14ac:dyDescent="0.25">
      <c r="A12" s="92"/>
      <c r="B12" s="146">
        <f t="shared" ref="B12:B60" si="4">B11</f>
        <v>10</v>
      </c>
      <c r="C12" s="313"/>
      <c r="D12" s="99">
        <f t="shared" si="0"/>
        <v>0</v>
      </c>
      <c r="E12" s="242"/>
      <c r="F12" s="74">
        <f t="shared" si="1"/>
        <v>0</v>
      </c>
      <c r="G12" s="75"/>
      <c r="H12" s="76"/>
      <c r="I12" s="235">
        <f t="shared" si="2"/>
        <v>0</v>
      </c>
      <c r="J12" s="137">
        <f t="shared" si="3"/>
        <v>0</v>
      </c>
    </row>
    <row r="13" spans="1:10" ht="15" x14ac:dyDescent="0.25">
      <c r="B13" s="146">
        <f t="shared" si="4"/>
        <v>10</v>
      </c>
      <c r="C13" s="313"/>
      <c r="D13" s="99">
        <f t="shared" si="0"/>
        <v>0</v>
      </c>
      <c r="E13" s="242"/>
      <c r="F13" s="74">
        <f t="shared" si="1"/>
        <v>0</v>
      </c>
      <c r="G13" s="75"/>
      <c r="H13" s="76"/>
      <c r="I13" s="235">
        <f t="shared" si="2"/>
        <v>0</v>
      </c>
      <c r="J13" s="137">
        <f t="shared" si="3"/>
        <v>0</v>
      </c>
    </row>
    <row r="14" spans="1:10" ht="15" x14ac:dyDescent="0.25">
      <c r="A14" s="60" t="s">
        <v>33</v>
      </c>
      <c r="B14" s="146">
        <f t="shared" si="4"/>
        <v>10</v>
      </c>
      <c r="C14" s="313"/>
      <c r="D14" s="330">
        <f>C14*B14</f>
        <v>0</v>
      </c>
      <c r="E14" s="621"/>
      <c r="F14" s="314">
        <f>D14</f>
        <v>0</v>
      </c>
      <c r="G14" s="315"/>
      <c r="H14" s="316"/>
      <c r="I14" s="331">
        <f t="shared" si="2"/>
        <v>0</v>
      </c>
      <c r="J14" s="318">
        <f t="shared" si="3"/>
        <v>0</v>
      </c>
    </row>
    <row r="15" spans="1:10" ht="15" x14ac:dyDescent="0.25">
      <c r="B15" s="146">
        <f t="shared" si="4"/>
        <v>10</v>
      </c>
      <c r="C15" s="313"/>
      <c r="D15" s="99">
        <f>C15*B15</f>
        <v>0</v>
      </c>
      <c r="E15" s="242"/>
      <c r="F15" s="74">
        <f>D15</f>
        <v>0</v>
      </c>
      <c r="G15" s="75"/>
      <c r="H15" s="316"/>
      <c r="I15" s="331">
        <f t="shared" si="2"/>
        <v>0</v>
      </c>
      <c r="J15" s="318">
        <f t="shared" si="3"/>
        <v>0</v>
      </c>
    </row>
    <row r="16" spans="1:10" ht="15" x14ac:dyDescent="0.25">
      <c r="B16" s="146">
        <f t="shared" si="4"/>
        <v>10</v>
      </c>
      <c r="C16" s="313"/>
      <c r="D16" s="99">
        <f t="shared" ref="D16:D60" si="5">C16*B16</f>
        <v>0</v>
      </c>
      <c r="E16" s="242"/>
      <c r="F16" s="74">
        <f t="shared" ref="F16:F60" si="6">D16</f>
        <v>0</v>
      </c>
      <c r="G16" s="75"/>
      <c r="H16" s="316"/>
      <c r="I16" s="331">
        <f t="shared" si="2"/>
        <v>0</v>
      </c>
      <c r="J16" s="318">
        <f t="shared" si="3"/>
        <v>0</v>
      </c>
    </row>
    <row r="17" spans="2:10" ht="15" x14ac:dyDescent="0.25">
      <c r="B17" s="146">
        <f t="shared" si="4"/>
        <v>10</v>
      </c>
      <c r="C17" s="15"/>
      <c r="D17" s="99">
        <f t="shared" si="5"/>
        <v>0</v>
      </c>
      <c r="E17" s="242"/>
      <c r="F17" s="74">
        <f t="shared" si="6"/>
        <v>0</v>
      </c>
      <c r="G17" s="75"/>
      <c r="H17" s="316"/>
      <c r="I17" s="331">
        <f t="shared" si="2"/>
        <v>0</v>
      </c>
      <c r="J17" s="318">
        <f t="shared" si="3"/>
        <v>0</v>
      </c>
    </row>
    <row r="18" spans="2:10" ht="15" x14ac:dyDescent="0.25">
      <c r="B18" s="146">
        <f t="shared" si="4"/>
        <v>10</v>
      </c>
      <c r="C18" s="15"/>
      <c r="D18" s="99">
        <f t="shared" si="5"/>
        <v>0</v>
      </c>
      <c r="E18" s="242"/>
      <c r="F18" s="74">
        <f t="shared" si="6"/>
        <v>0</v>
      </c>
      <c r="G18" s="75"/>
      <c r="H18" s="316"/>
      <c r="I18" s="331">
        <f t="shared" si="2"/>
        <v>0</v>
      </c>
      <c r="J18" s="318">
        <f t="shared" si="3"/>
        <v>0</v>
      </c>
    </row>
    <row r="19" spans="2:10" ht="15" x14ac:dyDescent="0.25">
      <c r="B19" s="146">
        <f t="shared" si="4"/>
        <v>10</v>
      </c>
      <c r="C19" s="15"/>
      <c r="D19" s="99">
        <f t="shared" si="5"/>
        <v>0</v>
      </c>
      <c r="E19" s="242"/>
      <c r="F19" s="74">
        <f t="shared" si="6"/>
        <v>0</v>
      </c>
      <c r="G19" s="75"/>
      <c r="H19" s="316"/>
      <c r="I19" s="331">
        <f t="shared" si="2"/>
        <v>0</v>
      </c>
      <c r="J19" s="318">
        <f t="shared" si="3"/>
        <v>0</v>
      </c>
    </row>
    <row r="20" spans="2:10" ht="15" x14ac:dyDescent="0.25">
      <c r="B20" s="146">
        <f t="shared" si="4"/>
        <v>10</v>
      </c>
      <c r="C20" s="15"/>
      <c r="D20" s="99">
        <f t="shared" si="5"/>
        <v>0</v>
      </c>
      <c r="E20" s="242"/>
      <c r="F20" s="74">
        <f t="shared" si="6"/>
        <v>0</v>
      </c>
      <c r="G20" s="75"/>
      <c r="H20" s="316"/>
      <c r="I20" s="331">
        <f t="shared" si="2"/>
        <v>0</v>
      </c>
      <c r="J20" s="318">
        <f t="shared" si="3"/>
        <v>0</v>
      </c>
    </row>
    <row r="21" spans="2:10" ht="15" x14ac:dyDescent="0.25">
      <c r="B21" s="146">
        <f t="shared" si="4"/>
        <v>10</v>
      </c>
      <c r="C21" s="15"/>
      <c r="D21" s="99">
        <f t="shared" si="5"/>
        <v>0</v>
      </c>
      <c r="E21" s="242"/>
      <c r="F21" s="74">
        <f t="shared" si="6"/>
        <v>0</v>
      </c>
      <c r="G21" s="75"/>
      <c r="H21" s="316"/>
      <c r="I21" s="331">
        <f t="shared" si="2"/>
        <v>0</v>
      </c>
      <c r="J21" s="318">
        <f t="shared" si="3"/>
        <v>0</v>
      </c>
    </row>
    <row r="22" spans="2:10" ht="15" x14ac:dyDescent="0.25">
      <c r="B22" s="146">
        <f t="shared" si="4"/>
        <v>10</v>
      </c>
      <c r="C22" s="15"/>
      <c r="D22" s="99">
        <f t="shared" si="5"/>
        <v>0</v>
      </c>
      <c r="E22" s="242"/>
      <c r="F22" s="74">
        <f t="shared" si="6"/>
        <v>0</v>
      </c>
      <c r="G22" s="75"/>
      <c r="H22" s="316"/>
      <c r="I22" s="235">
        <f t="shared" si="2"/>
        <v>0</v>
      </c>
      <c r="J22" s="318">
        <f t="shared" si="3"/>
        <v>0</v>
      </c>
    </row>
    <row r="23" spans="2:10" ht="15" x14ac:dyDescent="0.25">
      <c r="B23" s="146">
        <f t="shared" si="4"/>
        <v>10</v>
      </c>
      <c r="C23" s="15"/>
      <c r="D23" s="99">
        <f t="shared" si="5"/>
        <v>0</v>
      </c>
      <c r="E23" s="242"/>
      <c r="F23" s="74">
        <f t="shared" si="6"/>
        <v>0</v>
      </c>
      <c r="G23" s="75"/>
      <c r="H23" s="76"/>
      <c r="I23" s="235">
        <f t="shared" si="2"/>
        <v>0</v>
      </c>
      <c r="J23" s="137">
        <f t="shared" si="3"/>
        <v>0</v>
      </c>
    </row>
    <row r="24" spans="2:10" ht="15" x14ac:dyDescent="0.25">
      <c r="B24" s="146">
        <f t="shared" si="4"/>
        <v>10</v>
      </c>
      <c r="C24" s="15"/>
      <c r="D24" s="99">
        <f t="shared" si="5"/>
        <v>0</v>
      </c>
      <c r="E24" s="242"/>
      <c r="F24" s="74">
        <f t="shared" si="6"/>
        <v>0</v>
      </c>
      <c r="G24" s="75"/>
      <c r="H24" s="76"/>
      <c r="I24" s="235">
        <f t="shared" si="2"/>
        <v>0</v>
      </c>
      <c r="J24" s="137">
        <f t="shared" si="3"/>
        <v>0</v>
      </c>
    </row>
    <row r="25" spans="2:10" ht="15" x14ac:dyDescent="0.25">
      <c r="B25" s="146">
        <f t="shared" si="4"/>
        <v>10</v>
      </c>
      <c r="C25" s="15"/>
      <c r="D25" s="99">
        <f t="shared" si="5"/>
        <v>0</v>
      </c>
      <c r="E25" s="242"/>
      <c r="F25" s="74">
        <f t="shared" si="6"/>
        <v>0</v>
      </c>
      <c r="G25" s="75"/>
      <c r="H25" s="76"/>
      <c r="I25" s="235">
        <f t="shared" si="2"/>
        <v>0</v>
      </c>
      <c r="J25" s="137">
        <f t="shared" si="3"/>
        <v>0</v>
      </c>
    </row>
    <row r="26" spans="2:10" x14ac:dyDescent="0.25">
      <c r="B26" s="146">
        <f t="shared" si="4"/>
        <v>10</v>
      </c>
      <c r="C26" s="15"/>
      <c r="D26" s="99">
        <f t="shared" si="5"/>
        <v>0</v>
      </c>
      <c r="E26" s="242"/>
      <c r="F26" s="74">
        <f t="shared" si="6"/>
        <v>0</v>
      </c>
      <c r="G26" s="75"/>
      <c r="H26" s="76"/>
      <c r="I26" s="235">
        <f t="shared" si="2"/>
        <v>0</v>
      </c>
      <c r="J26" s="137">
        <f t="shared" si="3"/>
        <v>0</v>
      </c>
    </row>
    <row r="27" spans="2:10" x14ac:dyDescent="0.25">
      <c r="B27" s="146">
        <f t="shared" si="4"/>
        <v>10</v>
      </c>
      <c r="C27" s="15"/>
      <c r="D27" s="99">
        <f t="shared" si="5"/>
        <v>0</v>
      </c>
      <c r="E27" s="242"/>
      <c r="F27" s="74">
        <f t="shared" si="6"/>
        <v>0</v>
      </c>
      <c r="G27" s="75"/>
      <c r="H27" s="76"/>
      <c r="I27" s="235">
        <f t="shared" si="2"/>
        <v>0</v>
      </c>
      <c r="J27" s="137">
        <f t="shared" si="3"/>
        <v>0</v>
      </c>
    </row>
    <row r="28" spans="2:10" x14ac:dyDescent="0.25">
      <c r="B28" s="146">
        <f t="shared" si="4"/>
        <v>10</v>
      </c>
      <c r="C28" s="15"/>
      <c r="D28" s="99">
        <f t="shared" si="5"/>
        <v>0</v>
      </c>
      <c r="E28" s="242"/>
      <c r="F28" s="74">
        <f t="shared" si="6"/>
        <v>0</v>
      </c>
      <c r="G28" s="75"/>
      <c r="H28" s="76"/>
      <c r="I28" s="235">
        <f t="shared" si="2"/>
        <v>0</v>
      </c>
      <c r="J28" s="137">
        <f t="shared" si="3"/>
        <v>0</v>
      </c>
    </row>
    <row r="29" spans="2:10" x14ac:dyDescent="0.25">
      <c r="B29" s="146">
        <f t="shared" si="4"/>
        <v>10</v>
      </c>
      <c r="C29" s="15"/>
      <c r="D29" s="99">
        <f t="shared" si="5"/>
        <v>0</v>
      </c>
      <c r="E29" s="242"/>
      <c r="F29" s="74">
        <f t="shared" si="6"/>
        <v>0</v>
      </c>
      <c r="G29" s="75"/>
      <c r="H29" s="76"/>
      <c r="I29" s="235">
        <f t="shared" si="2"/>
        <v>0</v>
      </c>
      <c r="J29" s="137">
        <f t="shared" si="3"/>
        <v>0</v>
      </c>
    </row>
    <row r="30" spans="2:10" x14ac:dyDescent="0.25">
      <c r="B30" s="146">
        <f t="shared" si="4"/>
        <v>10</v>
      </c>
      <c r="C30" s="15"/>
      <c r="D30" s="99">
        <f t="shared" si="5"/>
        <v>0</v>
      </c>
      <c r="E30" s="242"/>
      <c r="F30" s="74">
        <f t="shared" si="6"/>
        <v>0</v>
      </c>
      <c r="G30" s="75"/>
      <c r="H30" s="76"/>
      <c r="I30" s="235">
        <f t="shared" si="2"/>
        <v>0</v>
      </c>
      <c r="J30" s="137">
        <f t="shared" si="3"/>
        <v>0</v>
      </c>
    </row>
    <row r="31" spans="2:10" x14ac:dyDescent="0.25">
      <c r="B31" s="146">
        <f t="shared" si="4"/>
        <v>10</v>
      </c>
      <c r="C31" s="15"/>
      <c r="D31" s="99">
        <f t="shared" si="5"/>
        <v>0</v>
      </c>
      <c r="E31" s="242"/>
      <c r="F31" s="74">
        <f t="shared" si="6"/>
        <v>0</v>
      </c>
      <c r="G31" s="75"/>
      <c r="H31" s="76"/>
      <c r="I31" s="235">
        <f t="shared" si="2"/>
        <v>0</v>
      </c>
      <c r="J31" s="137">
        <f t="shared" si="3"/>
        <v>0</v>
      </c>
    </row>
    <row r="32" spans="2:10" x14ac:dyDescent="0.25">
      <c r="B32" s="146">
        <f t="shared" si="4"/>
        <v>10</v>
      </c>
      <c r="C32" s="15"/>
      <c r="D32" s="99">
        <f t="shared" si="5"/>
        <v>0</v>
      </c>
      <c r="E32" s="242"/>
      <c r="F32" s="74">
        <f t="shared" si="6"/>
        <v>0</v>
      </c>
      <c r="G32" s="75"/>
      <c r="H32" s="76"/>
      <c r="I32" s="235">
        <f t="shared" si="2"/>
        <v>0</v>
      </c>
      <c r="J32" s="137">
        <f t="shared" si="3"/>
        <v>0</v>
      </c>
    </row>
    <row r="33" spans="1:10" x14ac:dyDescent="0.25">
      <c r="B33" s="146">
        <f t="shared" si="4"/>
        <v>10</v>
      </c>
      <c r="C33" s="15"/>
      <c r="D33" s="99">
        <f t="shared" si="5"/>
        <v>0</v>
      </c>
      <c r="E33" s="147"/>
      <c r="F33" s="74">
        <f t="shared" si="6"/>
        <v>0</v>
      </c>
      <c r="G33" s="75"/>
      <c r="H33" s="76"/>
      <c r="I33" s="235">
        <f t="shared" si="2"/>
        <v>0</v>
      </c>
      <c r="J33" s="137">
        <f t="shared" si="3"/>
        <v>0</v>
      </c>
    </row>
    <row r="34" spans="1:10" x14ac:dyDescent="0.25">
      <c r="B34" s="146">
        <f t="shared" si="4"/>
        <v>10</v>
      </c>
      <c r="C34" s="15"/>
      <c r="D34" s="99">
        <f t="shared" si="5"/>
        <v>0</v>
      </c>
      <c r="E34" s="147"/>
      <c r="F34" s="74">
        <f t="shared" si="6"/>
        <v>0</v>
      </c>
      <c r="G34" s="75"/>
      <c r="H34" s="76"/>
      <c r="I34" s="235">
        <f t="shared" si="2"/>
        <v>0</v>
      </c>
      <c r="J34" s="137">
        <f t="shared" si="3"/>
        <v>0</v>
      </c>
    </row>
    <row r="35" spans="1:10" x14ac:dyDescent="0.25">
      <c r="B35" s="146">
        <f t="shared" si="4"/>
        <v>10</v>
      </c>
      <c r="C35" s="15"/>
      <c r="D35" s="99">
        <f t="shared" si="5"/>
        <v>0</v>
      </c>
      <c r="E35" s="147"/>
      <c r="F35" s="74">
        <f t="shared" si="6"/>
        <v>0</v>
      </c>
      <c r="G35" s="75"/>
      <c r="H35" s="76"/>
      <c r="I35" s="235">
        <f t="shared" si="2"/>
        <v>0</v>
      </c>
      <c r="J35" s="137">
        <f t="shared" si="3"/>
        <v>0</v>
      </c>
    </row>
    <row r="36" spans="1:10" x14ac:dyDescent="0.25">
      <c r="A36" s="82"/>
      <c r="B36" s="146">
        <f t="shared" si="4"/>
        <v>10</v>
      </c>
      <c r="C36" s="15"/>
      <c r="D36" s="99">
        <f t="shared" si="5"/>
        <v>0</v>
      </c>
      <c r="E36" s="147"/>
      <c r="F36" s="74">
        <f t="shared" si="6"/>
        <v>0</v>
      </c>
      <c r="G36" s="75"/>
      <c r="H36" s="76"/>
      <c r="I36" s="235">
        <f t="shared" si="2"/>
        <v>0</v>
      </c>
      <c r="J36" s="137">
        <f t="shared" si="3"/>
        <v>0</v>
      </c>
    </row>
    <row r="37" spans="1:10" x14ac:dyDescent="0.25">
      <c r="B37" s="146">
        <f t="shared" si="4"/>
        <v>10</v>
      </c>
      <c r="C37" s="15"/>
      <c r="D37" s="99">
        <f t="shared" si="5"/>
        <v>0</v>
      </c>
      <c r="E37" s="147"/>
      <c r="F37" s="74">
        <f t="shared" si="6"/>
        <v>0</v>
      </c>
      <c r="G37" s="75"/>
      <c r="H37" s="76"/>
      <c r="I37" s="235">
        <f t="shared" si="2"/>
        <v>0</v>
      </c>
      <c r="J37" s="137">
        <f t="shared" si="3"/>
        <v>0</v>
      </c>
    </row>
    <row r="38" spans="1:10" x14ac:dyDescent="0.25">
      <c r="B38" s="146">
        <f t="shared" si="4"/>
        <v>10</v>
      </c>
      <c r="C38" s="15"/>
      <c r="D38" s="99">
        <f t="shared" si="5"/>
        <v>0</v>
      </c>
      <c r="E38" s="242"/>
      <c r="F38" s="74">
        <f t="shared" si="6"/>
        <v>0</v>
      </c>
      <c r="G38" s="75"/>
      <c r="H38" s="76"/>
      <c r="I38" s="235">
        <f t="shared" si="2"/>
        <v>0</v>
      </c>
      <c r="J38" s="137">
        <f t="shared" si="3"/>
        <v>0</v>
      </c>
    </row>
    <row r="39" spans="1:10" x14ac:dyDescent="0.25">
      <c r="B39" s="146">
        <f t="shared" si="4"/>
        <v>10</v>
      </c>
      <c r="C39" s="15"/>
      <c r="D39" s="99">
        <f t="shared" si="5"/>
        <v>0</v>
      </c>
      <c r="E39" s="242"/>
      <c r="F39" s="74">
        <f t="shared" si="6"/>
        <v>0</v>
      </c>
      <c r="G39" s="75"/>
      <c r="H39" s="76"/>
      <c r="I39" s="235">
        <f t="shared" si="2"/>
        <v>0</v>
      </c>
      <c r="J39" s="137">
        <f t="shared" si="3"/>
        <v>0</v>
      </c>
    </row>
    <row r="40" spans="1:10" x14ac:dyDescent="0.25">
      <c r="B40" s="146">
        <f t="shared" si="4"/>
        <v>10</v>
      </c>
      <c r="C40" s="15"/>
      <c r="D40" s="99">
        <f t="shared" si="5"/>
        <v>0</v>
      </c>
      <c r="E40" s="242"/>
      <c r="F40" s="74">
        <f t="shared" si="6"/>
        <v>0</v>
      </c>
      <c r="G40" s="75"/>
      <c r="H40" s="76"/>
      <c r="I40" s="235">
        <f t="shared" si="2"/>
        <v>0</v>
      </c>
      <c r="J40" s="137">
        <f t="shared" si="3"/>
        <v>0</v>
      </c>
    </row>
    <row r="41" spans="1:10" x14ac:dyDescent="0.25">
      <c r="B41" s="146">
        <f t="shared" si="4"/>
        <v>10</v>
      </c>
      <c r="C41" s="15"/>
      <c r="D41" s="99">
        <f t="shared" si="5"/>
        <v>0</v>
      </c>
      <c r="E41" s="242"/>
      <c r="F41" s="74">
        <f t="shared" si="6"/>
        <v>0</v>
      </c>
      <c r="G41" s="75"/>
      <c r="H41" s="76"/>
      <c r="I41" s="235">
        <f t="shared" si="2"/>
        <v>0</v>
      </c>
      <c r="J41" s="137">
        <f t="shared" si="3"/>
        <v>0</v>
      </c>
    </row>
    <row r="42" spans="1:10" x14ac:dyDescent="0.25">
      <c r="B42" s="146">
        <f t="shared" si="4"/>
        <v>10</v>
      </c>
      <c r="C42" s="15"/>
      <c r="D42" s="99">
        <f t="shared" si="5"/>
        <v>0</v>
      </c>
      <c r="E42" s="242"/>
      <c r="F42" s="74">
        <f t="shared" si="6"/>
        <v>0</v>
      </c>
      <c r="G42" s="75"/>
      <c r="H42" s="76"/>
      <c r="I42" s="235">
        <f t="shared" si="2"/>
        <v>0</v>
      </c>
      <c r="J42" s="137">
        <f t="shared" si="3"/>
        <v>0</v>
      </c>
    </row>
    <row r="43" spans="1:10" x14ac:dyDescent="0.25">
      <c r="B43" s="146">
        <f t="shared" si="4"/>
        <v>10</v>
      </c>
      <c r="C43" s="15"/>
      <c r="D43" s="99">
        <f t="shared" si="5"/>
        <v>0</v>
      </c>
      <c r="E43" s="242"/>
      <c r="F43" s="74">
        <f t="shared" si="6"/>
        <v>0</v>
      </c>
      <c r="G43" s="75"/>
      <c r="H43" s="76"/>
      <c r="I43" s="235">
        <f t="shared" si="2"/>
        <v>0</v>
      </c>
      <c r="J43" s="137">
        <f t="shared" si="3"/>
        <v>0</v>
      </c>
    </row>
    <row r="44" spans="1:10" x14ac:dyDescent="0.25">
      <c r="B44" s="146">
        <f t="shared" si="4"/>
        <v>10</v>
      </c>
      <c r="C44" s="15"/>
      <c r="D44" s="99">
        <f t="shared" si="5"/>
        <v>0</v>
      </c>
      <c r="E44" s="242"/>
      <c r="F44" s="74">
        <f t="shared" si="6"/>
        <v>0</v>
      </c>
      <c r="G44" s="75"/>
      <c r="H44" s="76"/>
      <c r="I44" s="235">
        <f t="shared" si="2"/>
        <v>0</v>
      </c>
      <c r="J44" s="137">
        <f t="shared" si="3"/>
        <v>0</v>
      </c>
    </row>
    <row r="45" spans="1:10" x14ac:dyDescent="0.25">
      <c r="B45" s="146">
        <f t="shared" si="4"/>
        <v>10</v>
      </c>
      <c r="C45" s="15"/>
      <c r="D45" s="99">
        <f t="shared" si="5"/>
        <v>0</v>
      </c>
      <c r="E45" s="242"/>
      <c r="F45" s="74">
        <f t="shared" si="6"/>
        <v>0</v>
      </c>
      <c r="G45" s="75"/>
      <c r="H45" s="76"/>
      <c r="I45" s="235">
        <f t="shared" si="2"/>
        <v>0</v>
      </c>
      <c r="J45" s="137">
        <f t="shared" si="3"/>
        <v>0</v>
      </c>
    </row>
    <row r="46" spans="1:10" x14ac:dyDescent="0.25">
      <c r="B46" s="146">
        <f t="shared" si="4"/>
        <v>10</v>
      </c>
      <c r="C46" s="15"/>
      <c r="D46" s="99">
        <f t="shared" si="5"/>
        <v>0</v>
      </c>
      <c r="E46" s="242"/>
      <c r="F46" s="74">
        <f t="shared" si="6"/>
        <v>0</v>
      </c>
      <c r="G46" s="75"/>
      <c r="H46" s="76"/>
      <c r="I46" s="235">
        <f t="shared" si="2"/>
        <v>0</v>
      </c>
      <c r="J46" s="137">
        <f t="shared" si="3"/>
        <v>0</v>
      </c>
    </row>
    <row r="47" spans="1:10" x14ac:dyDescent="0.25">
      <c r="B47" s="146">
        <f t="shared" si="4"/>
        <v>10</v>
      </c>
      <c r="C47" s="15"/>
      <c r="D47" s="99">
        <f t="shared" si="5"/>
        <v>0</v>
      </c>
      <c r="E47" s="242"/>
      <c r="F47" s="74">
        <f t="shared" si="6"/>
        <v>0</v>
      </c>
      <c r="G47" s="75"/>
      <c r="H47" s="76"/>
      <c r="I47" s="235">
        <f t="shared" si="2"/>
        <v>0</v>
      </c>
      <c r="J47" s="137">
        <f t="shared" si="3"/>
        <v>0</v>
      </c>
    </row>
    <row r="48" spans="1:10" x14ac:dyDescent="0.25">
      <c r="B48" s="146">
        <f t="shared" si="4"/>
        <v>10</v>
      </c>
      <c r="C48" s="15"/>
      <c r="D48" s="99">
        <f t="shared" si="5"/>
        <v>0</v>
      </c>
      <c r="E48" s="242"/>
      <c r="F48" s="74">
        <f t="shared" si="6"/>
        <v>0</v>
      </c>
      <c r="G48" s="75"/>
      <c r="H48" s="76"/>
      <c r="I48" s="235">
        <f t="shared" si="2"/>
        <v>0</v>
      </c>
      <c r="J48" s="137">
        <f t="shared" si="3"/>
        <v>0</v>
      </c>
    </row>
    <row r="49" spans="2:10" x14ac:dyDescent="0.25">
      <c r="B49" s="146">
        <f t="shared" si="4"/>
        <v>10</v>
      </c>
      <c r="C49" s="15"/>
      <c r="D49" s="99">
        <f t="shared" si="5"/>
        <v>0</v>
      </c>
      <c r="E49" s="242"/>
      <c r="F49" s="74">
        <f t="shared" si="6"/>
        <v>0</v>
      </c>
      <c r="G49" s="75"/>
      <c r="H49" s="76"/>
      <c r="I49" s="235">
        <f t="shared" si="2"/>
        <v>0</v>
      </c>
      <c r="J49" s="137">
        <f t="shared" si="3"/>
        <v>0</v>
      </c>
    </row>
    <row r="50" spans="2:10" x14ac:dyDescent="0.25">
      <c r="B50" s="146">
        <f t="shared" si="4"/>
        <v>10</v>
      </c>
      <c r="C50" s="15"/>
      <c r="D50" s="99">
        <f t="shared" si="5"/>
        <v>0</v>
      </c>
      <c r="E50" s="242"/>
      <c r="F50" s="74">
        <f t="shared" si="6"/>
        <v>0</v>
      </c>
      <c r="G50" s="75"/>
      <c r="H50" s="76"/>
      <c r="I50" s="235">
        <f t="shared" si="2"/>
        <v>0</v>
      </c>
      <c r="J50" s="137">
        <f t="shared" si="3"/>
        <v>0</v>
      </c>
    </row>
    <row r="51" spans="2:10" x14ac:dyDescent="0.25">
      <c r="B51" s="146">
        <f t="shared" si="4"/>
        <v>10</v>
      </c>
      <c r="C51" s="15"/>
      <c r="D51" s="99">
        <f t="shared" si="5"/>
        <v>0</v>
      </c>
      <c r="E51" s="242"/>
      <c r="F51" s="74">
        <f t="shared" si="6"/>
        <v>0</v>
      </c>
      <c r="G51" s="75"/>
      <c r="H51" s="76"/>
      <c r="I51" s="235">
        <f t="shared" si="2"/>
        <v>0</v>
      </c>
      <c r="J51" s="137">
        <f t="shared" si="3"/>
        <v>0</v>
      </c>
    </row>
    <row r="52" spans="2:10" x14ac:dyDescent="0.25">
      <c r="B52" s="146">
        <f t="shared" si="4"/>
        <v>10</v>
      </c>
      <c r="C52" s="15"/>
      <c r="D52" s="99">
        <f t="shared" si="5"/>
        <v>0</v>
      </c>
      <c r="E52" s="242"/>
      <c r="F52" s="74">
        <f t="shared" si="6"/>
        <v>0</v>
      </c>
      <c r="G52" s="75"/>
      <c r="H52" s="76"/>
      <c r="I52" s="235">
        <f t="shared" si="2"/>
        <v>0</v>
      </c>
      <c r="J52" s="137">
        <f t="shared" si="3"/>
        <v>0</v>
      </c>
    </row>
    <row r="53" spans="2:10" x14ac:dyDescent="0.25">
      <c r="B53" s="146">
        <f t="shared" si="4"/>
        <v>10</v>
      </c>
      <c r="C53" s="15"/>
      <c r="D53" s="99">
        <f t="shared" si="5"/>
        <v>0</v>
      </c>
      <c r="E53" s="242"/>
      <c r="F53" s="74">
        <f t="shared" si="6"/>
        <v>0</v>
      </c>
      <c r="G53" s="75"/>
      <c r="H53" s="76"/>
      <c r="I53" s="235">
        <f t="shared" si="2"/>
        <v>0</v>
      </c>
      <c r="J53" s="137">
        <f t="shared" si="3"/>
        <v>0</v>
      </c>
    </row>
    <row r="54" spans="2:10" x14ac:dyDescent="0.25">
      <c r="B54" s="146">
        <f t="shared" si="4"/>
        <v>10</v>
      </c>
      <c r="C54" s="15"/>
      <c r="D54" s="99">
        <f t="shared" si="5"/>
        <v>0</v>
      </c>
      <c r="E54" s="242"/>
      <c r="F54" s="74">
        <f t="shared" si="6"/>
        <v>0</v>
      </c>
      <c r="G54" s="75"/>
      <c r="H54" s="76"/>
      <c r="I54" s="235">
        <f t="shared" si="2"/>
        <v>0</v>
      </c>
      <c r="J54" s="137">
        <f t="shared" si="3"/>
        <v>0</v>
      </c>
    </row>
    <row r="55" spans="2:10" x14ac:dyDescent="0.25">
      <c r="B55" s="146">
        <f t="shared" si="4"/>
        <v>10</v>
      </c>
      <c r="C55" s="15"/>
      <c r="D55" s="99">
        <f t="shared" si="5"/>
        <v>0</v>
      </c>
      <c r="E55" s="242"/>
      <c r="F55" s="74">
        <f t="shared" si="6"/>
        <v>0</v>
      </c>
      <c r="G55" s="75"/>
      <c r="H55" s="76"/>
      <c r="I55" s="235">
        <f t="shared" si="2"/>
        <v>0</v>
      </c>
      <c r="J55" s="137">
        <f t="shared" si="3"/>
        <v>0</v>
      </c>
    </row>
    <row r="56" spans="2:10" x14ac:dyDescent="0.25">
      <c r="B56" s="146">
        <f t="shared" si="4"/>
        <v>10</v>
      </c>
      <c r="C56" s="15"/>
      <c r="D56" s="99">
        <f t="shared" si="5"/>
        <v>0</v>
      </c>
      <c r="E56" s="242"/>
      <c r="F56" s="74">
        <f t="shared" si="6"/>
        <v>0</v>
      </c>
      <c r="G56" s="75"/>
      <c r="H56" s="76"/>
      <c r="I56" s="235">
        <f t="shared" si="2"/>
        <v>0</v>
      </c>
      <c r="J56" s="137">
        <f t="shared" si="3"/>
        <v>0</v>
      </c>
    </row>
    <row r="57" spans="2:10" x14ac:dyDescent="0.25">
      <c r="B57" s="146">
        <f t="shared" si="4"/>
        <v>10</v>
      </c>
      <c r="C57" s="15"/>
      <c r="D57" s="99">
        <f t="shared" si="5"/>
        <v>0</v>
      </c>
      <c r="E57" s="242"/>
      <c r="F57" s="74">
        <f t="shared" si="6"/>
        <v>0</v>
      </c>
      <c r="G57" s="75"/>
      <c r="H57" s="76"/>
      <c r="I57" s="235">
        <f t="shared" si="2"/>
        <v>0</v>
      </c>
      <c r="J57" s="137">
        <f t="shared" si="3"/>
        <v>0</v>
      </c>
    </row>
    <row r="58" spans="2:10" x14ac:dyDescent="0.25">
      <c r="B58" s="146">
        <f t="shared" si="4"/>
        <v>10</v>
      </c>
      <c r="C58" s="15"/>
      <c r="D58" s="99">
        <f t="shared" si="5"/>
        <v>0</v>
      </c>
      <c r="E58" s="242"/>
      <c r="F58" s="74">
        <f t="shared" si="6"/>
        <v>0</v>
      </c>
      <c r="G58" s="75"/>
      <c r="H58" s="76"/>
      <c r="I58" s="235">
        <f t="shared" si="2"/>
        <v>0</v>
      </c>
      <c r="J58" s="137">
        <f t="shared" si="3"/>
        <v>0</v>
      </c>
    </row>
    <row r="59" spans="2:10" x14ac:dyDescent="0.25">
      <c r="B59" s="146">
        <f t="shared" si="4"/>
        <v>10</v>
      </c>
      <c r="C59" s="15"/>
      <c r="D59" s="99">
        <f t="shared" si="5"/>
        <v>0</v>
      </c>
      <c r="E59" s="242"/>
      <c r="F59" s="74">
        <f t="shared" si="6"/>
        <v>0</v>
      </c>
      <c r="G59" s="75"/>
      <c r="H59" s="76"/>
      <c r="I59" s="235">
        <f t="shared" si="2"/>
        <v>0</v>
      </c>
      <c r="J59" s="137">
        <f t="shared" si="3"/>
        <v>0</v>
      </c>
    </row>
    <row r="60" spans="2:10" ht="14.4" thickBot="1" x14ac:dyDescent="0.3">
      <c r="B60" s="146">
        <f t="shared" si="4"/>
        <v>10</v>
      </c>
      <c r="C60" s="38"/>
      <c r="D60" s="169">
        <f t="shared" si="5"/>
        <v>0</v>
      </c>
      <c r="E60" s="244"/>
      <c r="F60" s="169">
        <f t="shared" si="6"/>
        <v>0</v>
      </c>
      <c r="G60" s="152"/>
      <c r="H60" s="245"/>
    </row>
    <row r="61" spans="2:10" ht="14.4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4.4" thickBot="1" x14ac:dyDescent="0.3">
      <c r="C62" s="15"/>
      <c r="D62" s="6"/>
      <c r="E62" s="13"/>
      <c r="F62" s="6"/>
      <c r="G62" s="31"/>
      <c r="H62" s="17"/>
    </row>
    <row r="63" spans="2:10" ht="14.4" x14ac:dyDescent="0.3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ht="14.4" x14ac:dyDescent="0.3">
      <c r="C64" s="1057" t="s">
        <v>19</v>
      </c>
      <c r="D64" s="1058"/>
      <c r="E64" s="40">
        <f>E4+E5-F61+E6+E7</f>
        <v>0</v>
      </c>
      <c r="F64" s="6"/>
      <c r="G64" s="6"/>
      <c r="H64" s="17"/>
    </row>
    <row r="65" spans="3:8" ht="15" thickBot="1" x14ac:dyDescent="0.35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U67"/>
  <sheetViews>
    <sheetView topLeftCell="K1" workbookViewId="0">
      <pane xSplit="4" ySplit="9" topLeftCell="P10" activePane="bottomRight" state="frozen"/>
      <selection activeCell="K1" sqref="K1"/>
      <selection pane="topRight" activeCell="O1" sqref="O1"/>
      <selection pane="bottomLeft" activeCell="K10" sqref="K10"/>
      <selection pane="bottomRight" activeCell="U19" sqref="U19"/>
    </sheetView>
  </sheetViews>
  <sheetFormatPr baseColWidth="10" defaultRowHeight="13.8" x14ac:dyDescent="0.25"/>
  <cols>
    <col min="1" max="1" width="25.88671875" bestFit="1" customWidth="1"/>
    <col min="2" max="2" width="15.5546875" customWidth="1"/>
    <col min="12" max="12" width="25.88671875" bestFit="1" customWidth="1"/>
    <col min="13" max="13" width="15.5546875" customWidth="1"/>
  </cols>
  <sheetData>
    <row r="1" spans="1:21" ht="45.75" x14ac:dyDescent="0.65">
      <c r="A1" s="1071" t="s">
        <v>170</v>
      </c>
      <c r="B1" s="1071"/>
      <c r="C1" s="1071"/>
      <c r="D1" s="1071"/>
      <c r="E1" s="1071"/>
      <c r="F1" s="1071"/>
      <c r="G1" s="1071"/>
      <c r="H1" s="106">
        <v>1</v>
      </c>
      <c r="L1" s="1066" t="s">
        <v>191</v>
      </c>
      <c r="M1" s="1066"/>
      <c r="N1" s="1066"/>
      <c r="O1" s="1066"/>
      <c r="P1" s="1066"/>
      <c r="Q1" s="1066"/>
      <c r="R1" s="1066"/>
      <c r="S1" s="106">
        <v>1</v>
      </c>
    </row>
    <row r="2" spans="1:21" ht="15.75" thickBot="1" x14ac:dyDescent="0.3">
      <c r="D2" s="48"/>
      <c r="F2" s="5"/>
      <c r="O2" s="48"/>
      <c r="Q2" s="5"/>
    </row>
    <row r="3" spans="1:21" ht="16.5" thickTop="1" thickBot="1" x14ac:dyDescent="0.3">
      <c r="A3" s="8" t="s">
        <v>0</v>
      </c>
      <c r="B3" s="681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  <c r="L3" s="8" t="s">
        <v>0</v>
      </c>
      <c r="M3" s="681" t="s">
        <v>1</v>
      </c>
      <c r="N3" s="9" t="s">
        <v>13</v>
      </c>
      <c r="O3" s="119" t="s">
        <v>2</v>
      </c>
      <c r="P3" s="9" t="s">
        <v>3</v>
      </c>
      <c r="Q3" s="122" t="s">
        <v>4</v>
      </c>
      <c r="R3" s="47" t="s">
        <v>12</v>
      </c>
      <c r="S3" s="36" t="s">
        <v>11</v>
      </c>
    </row>
    <row r="4" spans="1:21" ht="26.25" customHeight="1" thickTop="1" x14ac:dyDescent="0.25">
      <c r="B4" s="1063" t="s">
        <v>106</v>
      </c>
      <c r="C4" s="348">
        <v>44</v>
      </c>
      <c r="D4" s="375">
        <v>44126</v>
      </c>
      <c r="E4" s="535">
        <v>566.12</v>
      </c>
      <c r="F4" s="536">
        <v>20</v>
      </c>
      <c r="G4" s="79"/>
      <c r="M4" s="840" t="s">
        <v>106</v>
      </c>
      <c r="N4" s="348"/>
      <c r="O4" s="375"/>
      <c r="P4" s="535"/>
      <c r="Q4" s="536"/>
      <c r="R4" s="79"/>
    </row>
    <row r="5" spans="1:21" ht="15" customHeight="1" thickBot="1" x14ac:dyDescent="0.35">
      <c r="A5" s="1065" t="s">
        <v>123</v>
      </c>
      <c r="B5" s="1064"/>
      <c r="C5" s="348"/>
      <c r="D5" s="537"/>
      <c r="E5" s="414"/>
      <c r="F5" s="380"/>
      <c r="G5" s="362">
        <f>F64</f>
        <v>566.12</v>
      </c>
      <c r="H5" s="63">
        <f>E4+E5+E6-G5</f>
        <v>0</v>
      </c>
      <c r="L5" s="839" t="s">
        <v>183</v>
      </c>
      <c r="M5" s="841"/>
      <c r="N5" s="348">
        <v>58.12</v>
      </c>
      <c r="O5" s="537">
        <v>44153</v>
      </c>
      <c r="P5" s="414">
        <v>9086.69</v>
      </c>
      <c r="Q5" s="380">
        <v>455</v>
      </c>
      <c r="R5" s="362">
        <f>Q64</f>
        <v>2018.7</v>
      </c>
      <c r="S5" s="63">
        <f>P4+P5+P6-R5</f>
        <v>7067.9900000000007</v>
      </c>
    </row>
    <row r="6" spans="1:21" ht="16.5" customHeight="1" thickBot="1" x14ac:dyDescent="0.35">
      <c r="A6" s="1065"/>
      <c r="B6" s="538"/>
      <c r="C6" s="348"/>
      <c r="D6" s="537"/>
      <c r="E6" s="414"/>
      <c r="F6" s="380"/>
      <c r="G6" s="289"/>
      <c r="H6" s="286"/>
      <c r="L6" s="839"/>
      <c r="M6" s="538"/>
      <c r="N6" s="348"/>
      <c r="O6" s="537"/>
      <c r="P6" s="414"/>
      <c r="Q6" s="380"/>
      <c r="R6" s="289"/>
      <c r="S6" s="286"/>
    </row>
    <row r="7" spans="1:21" ht="15.75" customHeight="1" thickBot="1" x14ac:dyDescent="0.35">
      <c r="A7" s="1065"/>
      <c r="B7" s="523"/>
      <c r="C7" s="348"/>
      <c r="D7" s="537"/>
      <c r="E7" s="414"/>
      <c r="F7" s="380"/>
      <c r="G7" s="289"/>
      <c r="H7" s="286"/>
      <c r="I7" s="707"/>
      <c r="J7" s="707"/>
      <c r="L7" s="839"/>
      <c r="M7" s="523"/>
      <c r="N7" s="348"/>
      <c r="O7" s="537"/>
      <c r="P7" s="414"/>
      <c r="Q7" s="380"/>
      <c r="R7" s="289"/>
      <c r="S7" s="286"/>
      <c r="T7" s="707"/>
      <c r="U7" s="707"/>
    </row>
    <row r="8" spans="1:21" ht="16.5" customHeight="1" thickTop="1" thickBot="1" x14ac:dyDescent="0.35">
      <c r="A8" s="286"/>
      <c r="B8" s="523"/>
      <c r="C8" s="348"/>
      <c r="D8" s="537"/>
      <c r="E8" s="414"/>
      <c r="F8" s="380"/>
      <c r="G8" s="289"/>
      <c r="H8" s="286"/>
      <c r="I8" s="1067" t="s">
        <v>52</v>
      </c>
      <c r="J8" s="1069" t="s">
        <v>4</v>
      </c>
      <c r="L8" s="286"/>
      <c r="M8" s="523"/>
      <c r="N8" s="348"/>
      <c r="O8" s="537"/>
      <c r="P8" s="414"/>
      <c r="Q8" s="380"/>
      <c r="R8" s="289"/>
      <c r="S8" s="286"/>
      <c r="T8" s="1067" t="s">
        <v>52</v>
      </c>
      <c r="U8" s="106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068"/>
      <c r="J9" s="1070"/>
      <c r="L9" s="1"/>
      <c r="M9" s="24" t="s">
        <v>7</v>
      </c>
      <c r="N9" s="20" t="s">
        <v>8</v>
      </c>
      <c r="O9" s="120" t="s">
        <v>3</v>
      </c>
      <c r="P9" s="21" t="s">
        <v>2</v>
      </c>
      <c r="Q9" s="123" t="s">
        <v>9</v>
      </c>
      <c r="R9" s="22" t="s">
        <v>15</v>
      </c>
      <c r="S9" s="29"/>
      <c r="T9" s="1068"/>
      <c r="U9" s="1070"/>
    </row>
    <row r="10" spans="1:21" ht="15.75" thickTop="1" x14ac:dyDescent="0.25">
      <c r="A10" s="2"/>
      <c r="B10" s="90"/>
      <c r="C10" s="15">
        <v>20</v>
      </c>
      <c r="D10" s="170">
        <v>566.12</v>
      </c>
      <c r="E10" s="393">
        <v>44169</v>
      </c>
      <c r="F10" s="74">
        <f t="shared" ref="F10:F27" si="0">D10</f>
        <v>566.12</v>
      </c>
      <c r="G10" s="315" t="s">
        <v>486</v>
      </c>
      <c r="H10" s="316">
        <v>46</v>
      </c>
      <c r="I10" s="262">
        <f>E4+E5+E6-F10+E7+E8</f>
        <v>0</v>
      </c>
      <c r="J10" s="137">
        <f>F4+F5+F6+F7-C10+F8</f>
        <v>0</v>
      </c>
      <c r="L10" s="2"/>
      <c r="M10" s="90"/>
      <c r="N10" s="15">
        <v>45</v>
      </c>
      <c r="O10" s="170">
        <v>934.3</v>
      </c>
      <c r="P10" s="393">
        <v>44153</v>
      </c>
      <c r="Q10" s="74">
        <f t="shared" ref="Q10:Q63" si="1">O10</f>
        <v>934.3</v>
      </c>
      <c r="R10" s="315" t="s">
        <v>395</v>
      </c>
      <c r="S10" s="316">
        <v>70</v>
      </c>
      <c r="T10" s="262">
        <f>P4+P5+P6-Q10+P7+P8</f>
        <v>8152.39</v>
      </c>
      <c r="U10" s="137">
        <f>Q4+Q5+Q6+Q7-N10+Q8</f>
        <v>410</v>
      </c>
    </row>
    <row r="11" spans="1:21" ht="15" x14ac:dyDescent="0.25">
      <c r="A11" s="2"/>
      <c r="B11" s="90"/>
      <c r="C11" s="15"/>
      <c r="D11" s="170"/>
      <c r="E11" s="392"/>
      <c r="F11" s="74">
        <f t="shared" si="0"/>
        <v>0</v>
      </c>
      <c r="G11" s="913"/>
      <c r="H11" s="915"/>
      <c r="I11" s="930">
        <f>I10-F11</f>
        <v>0</v>
      </c>
      <c r="J11" s="968">
        <f>J10-C11</f>
        <v>0</v>
      </c>
      <c r="L11" s="2"/>
      <c r="M11" s="90"/>
      <c r="N11" s="15">
        <v>45</v>
      </c>
      <c r="O11" s="170">
        <v>902.2</v>
      </c>
      <c r="P11" s="393">
        <v>44168</v>
      </c>
      <c r="Q11" s="74">
        <f t="shared" ref="Q11" si="2">O11</f>
        <v>902.2</v>
      </c>
      <c r="R11" s="315" t="s">
        <v>480</v>
      </c>
      <c r="S11" s="316">
        <v>70</v>
      </c>
      <c r="T11" s="262">
        <f>T10-Q11</f>
        <v>7250.1900000000005</v>
      </c>
      <c r="U11" s="137">
        <f>U10-N11</f>
        <v>365</v>
      </c>
    </row>
    <row r="12" spans="1:21" ht="15" x14ac:dyDescent="0.25">
      <c r="A12" s="87" t="s">
        <v>32</v>
      </c>
      <c r="B12" s="90"/>
      <c r="C12" s="15"/>
      <c r="D12" s="170"/>
      <c r="E12" s="392"/>
      <c r="F12" s="74">
        <f t="shared" si="0"/>
        <v>0</v>
      </c>
      <c r="G12" s="913"/>
      <c r="H12" s="915"/>
      <c r="I12" s="930">
        <f t="shared" ref="I12:I53" si="3">I11-F12</f>
        <v>0</v>
      </c>
      <c r="J12" s="968">
        <f t="shared" ref="J12:J53" si="4">J11-C12</f>
        <v>0</v>
      </c>
      <c r="L12" s="87" t="s">
        <v>32</v>
      </c>
      <c r="M12" s="90"/>
      <c r="N12" s="15">
        <v>10</v>
      </c>
      <c r="O12" s="170">
        <v>182.2</v>
      </c>
      <c r="P12" s="392">
        <v>44170</v>
      </c>
      <c r="Q12" s="74">
        <f t="shared" si="1"/>
        <v>182.2</v>
      </c>
      <c r="R12" s="315" t="s">
        <v>501</v>
      </c>
      <c r="S12" s="316">
        <v>70</v>
      </c>
      <c r="T12" s="262">
        <f t="shared" ref="T12:T53" si="5">T11-Q12</f>
        <v>7067.9900000000007</v>
      </c>
      <c r="U12" s="137">
        <f t="shared" ref="U12:U53" si="6">U11-N12</f>
        <v>355</v>
      </c>
    </row>
    <row r="13" spans="1:21" ht="15" x14ac:dyDescent="0.25">
      <c r="A13" s="88"/>
      <c r="B13" s="90"/>
      <c r="C13" s="15"/>
      <c r="D13" s="170"/>
      <c r="E13" s="412"/>
      <c r="F13" s="74">
        <f t="shared" si="0"/>
        <v>0</v>
      </c>
      <c r="G13" s="913"/>
      <c r="H13" s="915"/>
      <c r="I13" s="930">
        <f t="shared" si="3"/>
        <v>0</v>
      </c>
      <c r="J13" s="968">
        <f t="shared" si="4"/>
        <v>0</v>
      </c>
      <c r="L13" s="88"/>
      <c r="M13" s="90"/>
      <c r="N13" s="15"/>
      <c r="O13" s="170"/>
      <c r="P13" s="412"/>
      <c r="Q13" s="74">
        <f t="shared" si="1"/>
        <v>0</v>
      </c>
      <c r="R13" s="315"/>
      <c r="S13" s="316"/>
      <c r="T13" s="262">
        <f t="shared" si="5"/>
        <v>7067.9900000000007</v>
      </c>
      <c r="U13" s="137">
        <f t="shared" si="6"/>
        <v>355</v>
      </c>
    </row>
    <row r="14" spans="1:21" ht="15" x14ac:dyDescent="0.25">
      <c r="A14" s="90"/>
      <c r="B14" s="90"/>
      <c r="C14" s="15"/>
      <c r="D14" s="170"/>
      <c r="E14" s="412"/>
      <c r="F14" s="74">
        <f t="shared" si="0"/>
        <v>0</v>
      </c>
      <c r="G14" s="315"/>
      <c r="H14" s="316"/>
      <c r="I14" s="317">
        <f t="shared" si="3"/>
        <v>0</v>
      </c>
      <c r="J14" s="318">
        <f t="shared" si="4"/>
        <v>0</v>
      </c>
      <c r="L14" s="90"/>
      <c r="M14" s="90"/>
      <c r="N14" s="15"/>
      <c r="O14" s="170"/>
      <c r="P14" s="412"/>
      <c r="Q14" s="74">
        <f t="shared" si="1"/>
        <v>0</v>
      </c>
      <c r="R14" s="315"/>
      <c r="S14" s="316"/>
      <c r="T14" s="317">
        <f t="shared" si="5"/>
        <v>7067.9900000000007</v>
      </c>
      <c r="U14" s="318">
        <f t="shared" si="6"/>
        <v>355</v>
      </c>
    </row>
    <row r="15" spans="1:21" ht="15" x14ac:dyDescent="0.25">
      <c r="A15" s="89" t="s">
        <v>33</v>
      </c>
      <c r="B15" s="90"/>
      <c r="C15" s="15"/>
      <c r="D15" s="170"/>
      <c r="E15" s="412"/>
      <c r="F15" s="74">
        <f t="shared" si="0"/>
        <v>0</v>
      </c>
      <c r="G15" s="315"/>
      <c r="H15" s="316"/>
      <c r="I15" s="317">
        <f t="shared" si="3"/>
        <v>0</v>
      </c>
      <c r="J15" s="318">
        <f t="shared" si="4"/>
        <v>0</v>
      </c>
      <c r="L15" s="89" t="s">
        <v>33</v>
      </c>
      <c r="M15" s="90"/>
      <c r="N15" s="15"/>
      <c r="O15" s="170"/>
      <c r="P15" s="412"/>
      <c r="Q15" s="74">
        <f t="shared" si="1"/>
        <v>0</v>
      </c>
      <c r="R15" s="315"/>
      <c r="S15" s="316"/>
      <c r="T15" s="317">
        <f t="shared" si="5"/>
        <v>7067.9900000000007</v>
      </c>
      <c r="U15" s="318">
        <f t="shared" si="6"/>
        <v>355</v>
      </c>
    </row>
    <row r="16" spans="1:21" ht="15" x14ac:dyDescent="0.25">
      <c r="A16" s="88"/>
      <c r="B16" s="90"/>
      <c r="C16" s="15"/>
      <c r="D16" s="170"/>
      <c r="E16" s="392"/>
      <c r="F16" s="74">
        <f t="shared" si="0"/>
        <v>0</v>
      </c>
      <c r="G16" s="315"/>
      <c r="H16" s="316"/>
      <c r="I16" s="317">
        <f t="shared" si="3"/>
        <v>0</v>
      </c>
      <c r="J16" s="318">
        <f t="shared" si="4"/>
        <v>0</v>
      </c>
      <c r="L16" s="88"/>
      <c r="M16" s="90"/>
      <c r="N16" s="15"/>
      <c r="O16" s="170"/>
      <c r="P16" s="392"/>
      <c r="Q16" s="74">
        <f t="shared" si="1"/>
        <v>0</v>
      </c>
      <c r="R16" s="315"/>
      <c r="S16" s="316"/>
      <c r="T16" s="317">
        <f t="shared" si="5"/>
        <v>7067.9900000000007</v>
      </c>
      <c r="U16" s="318">
        <f t="shared" si="6"/>
        <v>355</v>
      </c>
    </row>
    <row r="17" spans="1:21" ht="15" x14ac:dyDescent="0.25">
      <c r="A17" s="90"/>
      <c r="B17" s="90"/>
      <c r="C17" s="15"/>
      <c r="D17" s="170"/>
      <c r="E17" s="412"/>
      <c r="F17" s="74">
        <f t="shared" si="0"/>
        <v>0</v>
      </c>
      <c r="G17" s="315"/>
      <c r="H17" s="316"/>
      <c r="I17" s="317">
        <f t="shared" si="3"/>
        <v>0</v>
      </c>
      <c r="J17" s="318">
        <f t="shared" si="4"/>
        <v>0</v>
      </c>
      <c r="L17" s="90"/>
      <c r="M17" s="90"/>
      <c r="N17" s="15"/>
      <c r="O17" s="170"/>
      <c r="P17" s="412"/>
      <c r="Q17" s="74">
        <f t="shared" si="1"/>
        <v>0</v>
      </c>
      <c r="R17" s="315"/>
      <c r="S17" s="316"/>
      <c r="T17" s="317">
        <f t="shared" si="5"/>
        <v>7067.9900000000007</v>
      </c>
      <c r="U17" s="318">
        <f t="shared" si="6"/>
        <v>355</v>
      </c>
    </row>
    <row r="18" spans="1:21" ht="15" x14ac:dyDescent="0.25">
      <c r="A18" s="2"/>
      <c r="B18" s="90"/>
      <c r="C18" s="15"/>
      <c r="D18" s="170"/>
      <c r="E18" s="412"/>
      <c r="F18" s="74">
        <f t="shared" si="0"/>
        <v>0</v>
      </c>
      <c r="G18" s="723"/>
      <c r="H18" s="316"/>
      <c r="I18" s="317">
        <f t="shared" si="3"/>
        <v>0</v>
      </c>
      <c r="J18" s="318">
        <f t="shared" si="4"/>
        <v>0</v>
      </c>
      <c r="L18" s="2"/>
      <c r="M18" s="90"/>
      <c r="N18" s="15"/>
      <c r="O18" s="170"/>
      <c r="P18" s="412"/>
      <c r="Q18" s="74">
        <f t="shared" si="1"/>
        <v>0</v>
      </c>
      <c r="R18" s="723"/>
      <c r="S18" s="316"/>
      <c r="T18" s="317">
        <f t="shared" si="5"/>
        <v>7067.9900000000007</v>
      </c>
      <c r="U18" s="318">
        <f t="shared" si="6"/>
        <v>355</v>
      </c>
    </row>
    <row r="19" spans="1:21" ht="15" x14ac:dyDescent="0.25">
      <c r="A19" s="2"/>
      <c r="B19" s="90"/>
      <c r="C19" s="55"/>
      <c r="D19" s="170"/>
      <c r="E19" s="412"/>
      <c r="F19" s="74">
        <f t="shared" si="0"/>
        <v>0</v>
      </c>
      <c r="G19" s="315"/>
      <c r="H19" s="316"/>
      <c r="I19" s="317">
        <f t="shared" si="3"/>
        <v>0</v>
      </c>
      <c r="J19" s="318">
        <f t="shared" si="4"/>
        <v>0</v>
      </c>
      <c r="L19" s="2"/>
      <c r="M19" s="90"/>
      <c r="N19" s="55"/>
      <c r="O19" s="170"/>
      <c r="P19" s="412"/>
      <c r="Q19" s="74">
        <f t="shared" si="1"/>
        <v>0</v>
      </c>
      <c r="R19" s="315"/>
      <c r="S19" s="316"/>
      <c r="T19" s="317">
        <f t="shared" si="5"/>
        <v>7067.9900000000007</v>
      </c>
      <c r="U19" s="318">
        <f t="shared" si="6"/>
        <v>355</v>
      </c>
    </row>
    <row r="20" spans="1:21" ht="15" x14ac:dyDescent="0.25">
      <c r="A20" s="2"/>
      <c r="B20" s="90"/>
      <c r="C20" s="15"/>
      <c r="D20" s="521"/>
      <c r="E20" s="516"/>
      <c r="F20" s="512">
        <f t="shared" si="0"/>
        <v>0</v>
      </c>
      <c r="G20" s="513"/>
      <c r="H20" s="514"/>
      <c r="I20" s="317">
        <f t="shared" si="3"/>
        <v>0</v>
      </c>
      <c r="J20" s="318">
        <f t="shared" si="4"/>
        <v>0</v>
      </c>
      <c r="L20" s="2"/>
      <c r="M20" s="90"/>
      <c r="N20" s="15"/>
      <c r="O20" s="521"/>
      <c r="P20" s="516"/>
      <c r="Q20" s="512">
        <f t="shared" si="1"/>
        <v>0</v>
      </c>
      <c r="R20" s="513"/>
      <c r="S20" s="514"/>
      <c r="T20" s="317">
        <f t="shared" si="5"/>
        <v>7067.9900000000007</v>
      </c>
      <c r="U20" s="318">
        <f t="shared" si="6"/>
        <v>355</v>
      </c>
    </row>
    <row r="21" spans="1:21" ht="15" x14ac:dyDescent="0.25">
      <c r="A21" s="2"/>
      <c r="B21" s="90"/>
      <c r="C21" s="15"/>
      <c r="D21" s="521"/>
      <c r="E21" s="516"/>
      <c r="F21" s="512">
        <f t="shared" si="0"/>
        <v>0</v>
      </c>
      <c r="G21" s="513"/>
      <c r="H21" s="514"/>
      <c r="I21" s="262">
        <f t="shared" si="3"/>
        <v>0</v>
      </c>
      <c r="J21" s="137">
        <f t="shared" si="4"/>
        <v>0</v>
      </c>
      <c r="L21" s="2"/>
      <c r="M21" s="90"/>
      <c r="N21" s="15"/>
      <c r="O21" s="521"/>
      <c r="P21" s="516"/>
      <c r="Q21" s="512">
        <f t="shared" si="1"/>
        <v>0</v>
      </c>
      <c r="R21" s="513"/>
      <c r="S21" s="514"/>
      <c r="T21" s="262">
        <f t="shared" si="5"/>
        <v>7067.9900000000007</v>
      </c>
      <c r="U21" s="137">
        <f t="shared" si="6"/>
        <v>355</v>
      </c>
    </row>
    <row r="22" spans="1:21" ht="15" x14ac:dyDescent="0.25">
      <c r="A22" s="2"/>
      <c r="B22" s="90"/>
      <c r="C22" s="15"/>
      <c r="D22" s="521"/>
      <c r="E22" s="516"/>
      <c r="F22" s="512">
        <f t="shared" si="0"/>
        <v>0</v>
      </c>
      <c r="G22" s="513"/>
      <c r="H22" s="514"/>
      <c r="I22" s="262">
        <f t="shared" si="3"/>
        <v>0</v>
      </c>
      <c r="J22" s="137">
        <f t="shared" si="4"/>
        <v>0</v>
      </c>
      <c r="L22" s="2"/>
      <c r="M22" s="90"/>
      <c r="N22" s="15"/>
      <c r="O22" s="521"/>
      <c r="P22" s="516"/>
      <c r="Q22" s="512">
        <f t="shared" si="1"/>
        <v>0</v>
      </c>
      <c r="R22" s="513"/>
      <c r="S22" s="514"/>
      <c r="T22" s="262">
        <f t="shared" si="5"/>
        <v>7067.9900000000007</v>
      </c>
      <c r="U22" s="137">
        <f t="shared" si="6"/>
        <v>355</v>
      </c>
    </row>
    <row r="23" spans="1:21" ht="15" x14ac:dyDescent="0.25">
      <c r="A23" s="2"/>
      <c r="B23" s="90"/>
      <c r="C23" s="15"/>
      <c r="D23" s="521"/>
      <c r="E23" s="520"/>
      <c r="F23" s="512">
        <f t="shared" si="0"/>
        <v>0</v>
      </c>
      <c r="G23" s="513"/>
      <c r="H23" s="514"/>
      <c r="I23" s="262">
        <f t="shared" si="3"/>
        <v>0</v>
      </c>
      <c r="J23" s="137">
        <f t="shared" si="4"/>
        <v>0</v>
      </c>
      <c r="L23" s="2"/>
      <c r="M23" s="90"/>
      <c r="N23" s="15"/>
      <c r="O23" s="521"/>
      <c r="P23" s="520"/>
      <c r="Q23" s="512">
        <f t="shared" si="1"/>
        <v>0</v>
      </c>
      <c r="R23" s="513"/>
      <c r="S23" s="514"/>
      <c r="T23" s="262">
        <f t="shared" si="5"/>
        <v>7067.9900000000007</v>
      </c>
      <c r="U23" s="137">
        <f t="shared" si="6"/>
        <v>355</v>
      </c>
    </row>
    <row r="24" spans="1:21" ht="15" x14ac:dyDescent="0.25">
      <c r="A24" s="2"/>
      <c r="B24" s="90"/>
      <c r="C24" s="15"/>
      <c r="D24" s="521"/>
      <c r="E24" s="520"/>
      <c r="F24" s="512">
        <f t="shared" si="0"/>
        <v>0</v>
      </c>
      <c r="G24" s="513"/>
      <c r="H24" s="514"/>
      <c r="I24" s="262">
        <f t="shared" si="3"/>
        <v>0</v>
      </c>
      <c r="J24" s="137">
        <f t="shared" si="4"/>
        <v>0</v>
      </c>
      <c r="L24" s="2"/>
      <c r="M24" s="90"/>
      <c r="N24" s="15"/>
      <c r="O24" s="521"/>
      <c r="P24" s="520"/>
      <c r="Q24" s="512">
        <f t="shared" si="1"/>
        <v>0</v>
      </c>
      <c r="R24" s="513"/>
      <c r="S24" s="514"/>
      <c r="T24" s="262">
        <f t="shared" si="5"/>
        <v>7067.9900000000007</v>
      </c>
      <c r="U24" s="137">
        <f t="shared" si="6"/>
        <v>355</v>
      </c>
    </row>
    <row r="25" spans="1:21" ht="15" x14ac:dyDescent="0.25">
      <c r="A25" s="2"/>
      <c r="B25" s="90"/>
      <c r="C25" s="15"/>
      <c r="D25" s="521"/>
      <c r="E25" s="520"/>
      <c r="F25" s="512">
        <f t="shared" si="0"/>
        <v>0</v>
      </c>
      <c r="G25" s="513"/>
      <c r="H25" s="514"/>
      <c r="I25" s="317">
        <f t="shared" si="3"/>
        <v>0</v>
      </c>
      <c r="J25" s="137">
        <f t="shared" si="4"/>
        <v>0</v>
      </c>
      <c r="K25" s="286"/>
      <c r="L25" s="2"/>
      <c r="M25" s="90"/>
      <c r="N25" s="15"/>
      <c r="O25" s="521"/>
      <c r="P25" s="520"/>
      <c r="Q25" s="512">
        <f t="shared" si="1"/>
        <v>0</v>
      </c>
      <c r="R25" s="513"/>
      <c r="S25" s="514"/>
      <c r="T25" s="317">
        <f t="shared" si="5"/>
        <v>7067.9900000000007</v>
      </c>
      <c r="U25" s="137">
        <f t="shared" si="6"/>
        <v>355</v>
      </c>
    </row>
    <row r="26" spans="1:21" ht="15" x14ac:dyDescent="0.25">
      <c r="A26" s="2"/>
      <c r="B26" s="90"/>
      <c r="C26" s="15"/>
      <c r="D26" s="521">
        <f t="shared" ref="D26:D62" si="7">C26*B26</f>
        <v>0</v>
      </c>
      <c r="E26" s="520"/>
      <c r="F26" s="512">
        <f t="shared" si="0"/>
        <v>0</v>
      </c>
      <c r="G26" s="513"/>
      <c r="H26" s="514"/>
      <c r="I26" s="317">
        <f t="shared" si="3"/>
        <v>0</v>
      </c>
      <c r="J26" s="137">
        <f t="shared" si="4"/>
        <v>0</v>
      </c>
      <c r="K26" s="286"/>
      <c r="L26" s="2"/>
      <c r="M26" s="90"/>
      <c r="N26" s="15"/>
      <c r="O26" s="521">
        <f t="shared" ref="O26:O62" si="8">N26*M26</f>
        <v>0</v>
      </c>
      <c r="P26" s="520"/>
      <c r="Q26" s="512">
        <f t="shared" si="1"/>
        <v>0</v>
      </c>
      <c r="R26" s="513"/>
      <c r="S26" s="514"/>
      <c r="T26" s="317">
        <f t="shared" si="5"/>
        <v>7067.9900000000007</v>
      </c>
      <c r="U26" s="137">
        <f t="shared" si="6"/>
        <v>355</v>
      </c>
    </row>
    <row r="27" spans="1:21" ht="15" x14ac:dyDescent="0.25">
      <c r="A27" s="2"/>
      <c r="B27" s="90"/>
      <c r="C27" s="15"/>
      <c r="D27" s="521">
        <f t="shared" si="7"/>
        <v>0</v>
      </c>
      <c r="E27" s="516"/>
      <c r="F27" s="512">
        <f t="shared" si="0"/>
        <v>0</v>
      </c>
      <c r="G27" s="513"/>
      <c r="H27" s="514"/>
      <c r="I27" s="317">
        <f t="shared" si="3"/>
        <v>0</v>
      </c>
      <c r="J27" s="137">
        <f t="shared" si="4"/>
        <v>0</v>
      </c>
      <c r="K27" s="286"/>
      <c r="L27" s="2"/>
      <c r="M27" s="90"/>
      <c r="N27" s="15"/>
      <c r="O27" s="521">
        <f t="shared" si="8"/>
        <v>0</v>
      </c>
      <c r="P27" s="516"/>
      <c r="Q27" s="512">
        <f t="shared" si="1"/>
        <v>0</v>
      </c>
      <c r="R27" s="513"/>
      <c r="S27" s="514"/>
      <c r="T27" s="317">
        <f t="shared" si="5"/>
        <v>7067.9900000000007</v>
      </c>
      <c r="U27" s="137">
        <f t="shared" si="6"/>
        <v>355</v>
      </c>
    </row>
    <row r="28" spans="1:21" ht="15" x14ac:dyDescent="0.25">
      <c r="A28" s="2"/>
      <c r="B28" s="90"/>
      <c r="C28" s="15"/>
      <c r="D28" s="521">
        <f t="shared" si="7"/>
        <v>0</v>
      </c>
      <c r="E28" s="516"/>
      <c r="F28" s="512">
        <f t="shared" ref="F28:F63" si="9">D28</f>
        <v>0</v>
      </c>
      <c r="G28" s="513"/>
      <c r="H28" s="514"/>
      <c r="I28" s="317">
        <f t="shared" si="3"/>
        <v>0</v>
      </c>
      <c r="J28" s="137">
        <f t="shared" si="4"/>
        <v>0</v>
      </c>
      <c r="K28" s="286"/>
      <c r="L28" s="2"/>
      <c r="M28" s="90"/>
      <c r="N28" s="15"/>
      <c r="O28" s="521">
        <f t="shared" si="8"/>
        <v>0</v>
      </c>
      <c r="P28" s="516"/>
      <c r="Q28" s="512">
        <f t="shared" si="1"/>
        <v>0</v>
      </c>
      <c r="R28" s="513"/>
      <c r="S28" s="514"/>
      <c r="T28" s="317">
        <f t="shared" si="5"/>
        <v>7067.9900000000007</v>
      </c>
      <c r="U28" s="137">
        <f t="shared" si="6"/>
        <v>355</v>
      </c>
    </row>
    <row r="29" spans="1:21" ht="15" x14ac:dyDescent="0.25">
      <c r="A29" s="2"/>
      <c r="B29" s="90"/>
      <c r="C29" s="15"/>
      <c r="D29" s="521">
        <f t="shared" si="7"/>
        <v>0</v>
      </c>
      <c r="E29" s="516"/>
      <c r="F29" s="512">
        <f t="shared" si="9"/>
        <v>0</v>
      </c>
      <c r="G29" s="513"/>
      <c r="H29" s="514"/>
      <c r="I29" s="317">
        <f t="shared" si="3"/>
        <v>0</v>
      </c>
      <c r="J29" s="137">
        <f t="shared" si="4"/>
        <v>0</v>
      </c>
      <c r="K29" s="286"/>
      <c r="L29" s="2"/>
      <c r="M29" s="90"/>
      <c r="N29" s="15"/>
      <c r="O29" s="521">
        <f t="shared" si="8"/>
        <v>0</v>
      </c>
      <c r="P29" s="516"/>
      <c r="Q29" s="512">
        <f t="shared" si="1"/>
        <v>0</v>
      </c>
      <c r="R29" s="513"/>
      <c r="S29" s="514"/>
      <c r="T29" s="317">
        <f t="shared" si="5"/>
        <v>7067.9900000000007</v>
      </c>
      <c r="U29" s="137">
        <f t="shared" si="6"/>
        <v>355</v>
      </c>
    </row>
    <row r="30" spans="1:21" ht="15" x14ac:dyDescent="0.25">
      <c r="A30" s="2"/>
      <c r="B30" s="90"/>
      <c r="C30" s="15"/>
      <c r="D30" s="521">
        <f t="shared" si="7"/>
        <v>0</v>
      </c>
      <c r="E30" s="516"/>
      <c r="F30" s="512">
        <f t="shared" si="9"/>
        <v>0</v>
      </c>
      <c r="G30" s="513"/>
      <c r="H30" s="514"/>
      <c r="I30" s="317">
        <f t="shared" si="3"/>
        <v>0</v>
      </c>
      <c r="J30" s="137">
        <f t="shared" si="4"/>
        <v>0</v>
      </c>
      <c r="K30" s="286"/>
      <c r="L30" s="2"/>
      <c r="M30" s="90"/>
      <c r="N30" s="15"/>
      <c r="O30" s="521">
        <f t="shared" si="8"/>
        <v>0</v>
      </c>
      <c r="P30" s="516"/>
      <c r="Q30" s="512">
        <f t="shared" si="1"/>
        <v>0</v>
      </c>
      <c r="R30" s="513"/>
      <c r="S30" s="514"/>
      <c r="T30" s="317">
        <f t="shared" si="5"/>
        <v>7067.9900000000007</v>
      </c>
      <c r="U30" s="137">
        <f t="shared" si="6"/>
        <v>355</v>
      </c>
    </row>
    <row r="31" spans="1:21" ht="15" x14ac:dyDescent="0.25">
      <c r="A31" s="2"/>
      <c r="B31" s="90"/>
      <c r="C31" s="15"/>
      <c r="D31" s="521">
        <f t="shared" si="7"/>
        <v>0</v>
      </c>
      <c r="E31" s="516"/>
      <c r="F31" s="512">
        <f t="shared" si="9"/>
        <v>0</v>
      </c>
      <c r="G31" s="513"/>
      <c r="H31" s="514"/>
      <c r="I31" s="317">
        <f t="shared" si="3"/>
        <v>0</v>
      </c>
      <c r="J31" s="137">
        <f t="shared" si="4"/>
        <v>0</v>
      </c>
      <c r="K31" s="286"/>
      <c r="L31" s="2"/>
      <c r="M31" s="90"/>
      <c r="N31" s="15"/>
      <c r="O31" s="521">
        <f t="shared" si="8"/>
        <v>0</v>
      </c>
      <c r="P31" s="516"/>
      <c r="Q31" s="512">
        <f t="shared" si="1"/>
        <v>0</v>
      </c>
      <c r="R31" s="513"/>
      <c r="S31" s="514"/>
      <c r="T31" s="317">
        <f t="shared" si="5"/>
        <v>7067.9900000000007</v>
      </c>
      <c r="U31" s="137">
        <f t="shared" si="6"/>
        <v>355</v>
      </c>
    </row>
    <row r="32" spans="1:21" ht="15" x14ac:dyDescent="0.25">
      <c r="A32" s="2"/>
      <c r="B32" s="90"/>
      <c r="C32" s="15"/>
      <c r="D32" s="521">
        <f t="shared" si="7"/>
        <v>0</v>
      </c>
      <c r="E32" s="516"/>
      <c r="F32" s="512">
        <f t="shared" si="9"/>
        <v>0</v>
      </c>
      <c r="G32" s="513"/>
      <c r="H32" s="514"/>
      <c r="I32" s="317">
        <f t="shared" si="3"/>
        <v>0</v>
      </c>
      <c r="J32" s="137">
        <f t="shared" si="4"/>
        <v>0</v>
      </c>
      <c r="K32" s="286"/>
      <c r="L32" s="2"/>
      <c r="M32" s="90"/>
      <c r="N32" s="15"/>
      <c r="O32" s="521">
        <f t="shared" si="8"/>
        <v>0</v>
      </c>
      <c r="P32" s="516"/>
      <c r="Q32" s="512">
        <f t="shared" si="1"/>
        <v>0</v>
      </c>
      <c r="R32" s="513"/>
      <c r="S32" s="514"/>
      <c r="T32" s="317">
        <f t="shared" si="5"/>
        <v>7067.9900000000007</v>
      </c>
      <c r="U32" s="137">
        <f t="shared" si="6"/>
        <v>355</v>
      </c>
    </row>
    <row r="33" spans="1:21" ht="15" x14ac:dyDescent="0.25">
      <c r="A33" s="2"/>
      <c r="B33" s="90"/>
      <c r="C33" s="15"/>
      <c r="D33" s="521">
        <f t="shared" si="7"/>
        <v>0</v>
      </c>
      <c r="E33" s="516"/>
      <c r="F33" s="512">
        <f t="shared" si="9"/>
        <v>0</v>
      </c>
      <c r="G33" s="515"/>
      <c r="H33" s="514"/>
      <c r="I33" s="317">
        <f t="shared" si="3"/>
        <v>0</v>
      </c>
      <c r="J33" s="137">
        <f t="shared" si="4"/>
        <v>0</v>
      </c>
      <c r="K33" s="286"/>
      <c r="L33" s="2"/>
      <c r="M33" s="90"/>
      <c r="N33" s="15"/>
      <c r="O33" s="521">
        <f t="shared" si="8"/>
        <v>0</v>
      </c>
      <c r="P33" s="516"/>
      <c r="Q33" s="512">
        <f t="shared" si="1"/>
        <v>0</v>
      </c>
      <c r="R33" s="515"/>
      <c r="S33" s="514"/>
      <c r="T33" s="317">
        <f t="shared" si="5"/>
        <v>7067.9900000000007</v>
      </c>
      <c r="U33" s="137">
        <f t="shared" si="6"/>
        <v>355</v>
      </c>
    </row>
    <row r="34" spans="1:21" ht="15" x14ac:dyDescent="0.25">
      <c r="A34" s="2"/>
      <c r="B34" s="90"/>
      <c r="C34" s="15"/>
      <c r="D34" s="521">
        <f t="shared" si="7"/>
        <v>0</v>
      </c>
      <c r="E34" s="519"/>
      <c r="F34" s="512">
        <f t="shared" si="9"/>
        <v>0</v>
      </c>
      <c r="G34" s="515"/>
      <c r="H34" s="514"/>
      <c r="I34" s="317">
        <f t="shared" si="3"/>
        <v>0</v>
      </c>
      <c r="J34" s="137">
        <f t="shared" si="4"/>
        <v>0</v>
      </c>
      <c r="K34" s="286"/>
      <c r="L34" s="2"/>
      <c r="M34" s="90"/>
      <c r="N34" s="15"/>
      <c r="O34" s="521">
        <f t="shared" si="8"/>
        <v>0</v>
      </c>
      <c r="P34" s="519"/>
      <c r="Q34" s="512">
        <f t="shared" si="1"/>
        <v>0</v>
      </c>
      <c r="R34" s="515"/>
      <c r="S34" s="514"/>
      <c r="T34" s="317">
        <f t="shared" si="5"/>
        <v>7067.9900000000007</v>
      </c>
      <c r="U34" s="137">
        <f t="shared" si="6"/>
        <v>355</v>
      </c>
    </row>
    <row r="35" spans="1:21" ht="15" x14ac:dyDescent="0.25">
      <c r="A35" s="2"/>
      <c r="B35" s="90"/>
      <c r="C35" s="15"/>
      <c r="D35" s="521">
        <f t="shared" si="7"/>
        <v>0</v>
      </c>
      <c r="E35" s="519"/>
      <c r="F35" s="512">
        <f t="shared" si="9"/>
        <v>0</v>
      </c>
      <c r="G35" s="515"/>
      <c r="H35" s="514"/>
      <c r="I35" s="317">
        <f t="shared" si="3"/>
        <v>0</v>
      </c>
      <c r="J35" s="137">
        <f t="shared" si="4"/>
        <v>0</v>
      </c>
      <c r="L35" s="2"/>
      <c r="M35" s="90"/>
      <c r="N35" s="15"/>
      <c r="O35" s="521">
        <f t="shared" si="8"/>
        <v>0</v>
      </c>
      <c r="P35" s="519"/>
      <c r="Q35" s="512">
        <f t="shared" si="1"/>
        <v>0</v>
      </c>
      <c r="R35" s="515"/>
      <c r="S35" s="514"/>
      <c r="T35" s="317">
        <f t="shared" si="5"/>
        <v>7067.9900000000007</v>
      </c>
      <c r="U35" s="137">
        <f t="shared" si="6"/>
        <v>355</v>
      </c>
    </row>
    <row r="36" spans="1:21" ht="15" x14ac:dyDescent="0.25">
      <c r="A36" s="2"/>
      <c r="B36" s="90"/>
      <c r="C36" s="15"/>
      <c r="D36" s="521">
        <f t="shared" si="7"/>
        <v>0</v>
      </c>
      <c r="E36" s="519"/>
      <c r="F36" s="512">
        <f t="shared" si="9"/>
        <v>0</v>
      </c>
      <c r="G36" s="515"/>
      <c r="H36" s="514"/>
      <c r="I36" s="317">
        <f t="shared" si="3"/>
        <v>0</v>
      </c>
      <c r="J36" s="137">
        <f t="shared" si="4"/>
        <v>0</v>
      </c>
      <c r="L36" s="2"/>
      <c r="M36" s="90"/>
      <c r="N36" s="15"/>
      <c r="O36" s="521">
        <f t="shared" si="8"/>
        <v>0</v>
      </c>
      <c r="P36" s="519"/>
      <c r="Q36" s="512">
        <f t="shared" si="1"/>
        <v>0</v>
      </c>
      <c r="R36" s="515"/>
      <c r="S36" s="514"/>
      <c r="T36" s="317">
        <f t="shared" si="5"/>
        <v>7067.9900000000007</v>
      </c>
      <c r="U36" s="137">
        <f t="shared" si="6"/>
        <v>355</v>
      </c>
    </row>
    <row r="37" spans="1:21" x14ac:dyDescent="0.25">
      <c r="A37" s="2"/>
      <c r="B37" s="90"/>
      <c r="C37" s="15"/>
      <c r="D37" s="170">
        <f t="shared" si="7"/>
        <v>0</v>
      </c>
      <c r="E37" s="393"/>
      <c r="F37" s="74">
        <f t="shared" si="9"/>
        <v>0</v>
      </c>
      <c r="G37" s="75"/>
      <c r="H37" s="316"/>
      <c r="I37" s="317">
        <f t="shared" si="3"/>
        <v>0</v>
      </c>
      <c r="J37" s="137">
        <f t="shared" si="4"/>
        <v>0</v>
      </c>
      <c r="L37" s="2"/>
      <c r="M37" s="90"/>
      <c r="N37" s="15"/>
      <c r="O37" s="170">
        <f t="shared" si="8"/>
        <v>0</v>
      </c>
      <c r="P37" s="393"/>
      <c r="Q37" s="74">
        <f t="shared" si="1"/>
        <v>0</v>
      </c>
      <c r="R37" s="75"/>
      <c r="S37" s="316"/>
      <c r="T37" s="317">
        <f t="shared" si="5"/>
        <v>7067.9900000000007</v>
      </c>
      <c r="U37" s="137">
        <f t="shared" si="6"/>
        <v>355</v>
      </c>
    </row>
    <row r="38" spans="1:21" x14ac:dyDescent="0.25">
      <c r="A38" s="2"/>
      <c r="B38" s="90"/>
      <c r="C38" s="15"/>
      <c r="D38" s="170">
        <f t="shared" si="7"/>
        <v>0</v>
      </c>
      <c r="E38" s="393"/>
      <c r="F38" s="74">
        <f t="shared" si="9"/>
        <v>0</v>
      </c>
      <c r="G38" s="75"/>
      <c r="H38" s="316"/>
      <c r="I38" s="317">
        <f t="shared" si="3"/>
        <v>0</v>
      </c>
      <c r="J38" s="137">
        <f t="shared" si="4"/>
        <v>0</v>
      </c>
      <c r="L38" s="2"/>
      <c r="M38" s="90"/>
      <c r="N38" s="15"/>
      <c r="O38" s="170">
        <f t="shared" si="8"/>
        <v>0</v>
      </c>
      <c r="P38" s="393"/>
      <c r="Q38" s="74">
        <f t="shared" si="1"/>
        <v>0</v>
      </c>
      <c r="R38" s="75"/>
      <c r="S38" s="316"/>
      <c r="T38" s="317">
        <f t="shared" si="5"/>
        <v>7067.9900000000007</v>
      </c>
      <c r="U38" s="137">
        <f t="shared" si="6"/>
        <v>355</v>
      </c>
    </row>
    <row r="39" spans="1:21" x14ac:dyDescent="0.25">
      <c r="A39" s="2"/>
      <c r="B39" s="90"/>
      <c r="C39" s="15"/>
      <c r="D39" s="170">
        <f t="shared" si="7"/>
        <v>0</v>
      </c>
      <c r="E39" s="393"/>
      <c r="F39" s="74">
        <f t="shared" si="9"/>
        <v>0</v>
      </c>
      <c r="G39" s="75"/>
      <c r="H39" s="316"/>
      <c r="I39" s="317">
        <f t="shared" si="3"/>
        <v>0</v>
      </c>
      <c r="J39" s="137">
        <f t="shared" si="4"/>
        <v>0</v>
      </c>
      <c r="L39" s="2"/>
      <c r="M39" s="90"/>
      <c r="N39" s="15"/>
      <c r="O39" s="170">
        <f t="shared" si="8"/>
        <v>0</v>
      </c>
      <c r="P39" s="393"/>
      <c r="Q39" s="74">
        <f t="shared" si="1"/>
        <v>0</v>
      </c>
      <c r="R39" s="75"/>
      <c r="S39" s="316"/>
      <c r="T39" s="317">
        <f t="shared" si="5"/>
        <v>7067.9900000000007</v>
      </c>
      <c r="U39" s="137">
        <f t="shared" si="6"/>
        <v>355</v>
      </c>
    </row>
    <row r="40" spans="1:21" x14ac:dyDescent="0.25">
      <c r="A40" s="2"/>
      <c r="B40" s="90"/>
      <c r="C40" s="15"/>
      <c r="D40" s="170">
        <f t="shared" si="7"/>
        <v>0</v>
      </c>
      <c r="E40" s="393"/>
      <c r="F40" s="74">
        <f t="shared" si="9"/>
        <v>0</v>
      </c>
      <c r="G40" s="75"/>
      <c r="H40" s="316"/>
      <c r="I40" s="317">
        <f t="shared" si="3"/>
        <v>0</v>
      </c>
      <c r="J40" s="137">
        <f t="shared" si="4"/>
        <v>0</v>
      </c>
      <c r="L40" s="2"/>
      <c r="M40" s="90"/>
      <c r="N40" s="15"/>
      <c r="O40" s="170">
        <f t="shared" si="8"/>
        <v>0</v>
      </c>
      <c r="P40" s="393"/>
      <c r="Q40" s="74">
        <f t="shared" si="1"/>
        <v>0</v>
      </c>
      <c r="R40" s="75"/>
      <c r="S40" s="316"/>
      <c r="T40" s="317">
        <f t="shared" si="5"/>
        <v>7067.9900000000007</v>
      </c>
      <c r="U40" s="137">
        <f t="shared" si="6"/>
        <v>355</v>
      </c>
    </row>
    <row r="41" spans="1:21" x14ac:dyDescent="0.25">
      <c r="A41" s="2"/>
      <c r="B41" s="90"/>
      <c r="C41" s="15"/>
      <c r="D41" s="170">
        <f t="shared" si="7"/>
        <v>0</v>
      </c>
      <c r="E41" s="393"/>
      <c r="F41" s="74">
        <f t="shared" si="9"/>
        <v>0</v>
      </c>
      <c r="G41" s="75"/>
      <c r="H41" s="316"/>
      <c r="I41" s="317">
        <f t="shared" si="3"/>
        <v>0</v>
      </c>
      <c r="J41" s="137">
        <f t="shared" si="4"/>
        <v>0</v>
      </c>
      <c r="L41" s="2"/>
      <c r="M41" s="90"/>
      <c r="N41" s="15"/>
      <c r="O41" s="170">
        <f t="shared" si="8"/>
        <v>0</v>
      </c>
      <c r="P41" s="393"/>
      <c r="Q41" s="74">
        <f t="shared" si="1"/>
        <v>0</v>
      </c>
      <c r="R41" s="75"/>
      <c r="S41" s="316"/>
      <c r="T41" s="317">
        <f t="shared" si="5"/>
        <v>7067.9900000000007</v>
      </c>
      <c r="U41" s="137">
        <f t="shared" si="6"/>
        <v>355</v>
      </c>
    </row>
    <row r="42" spans="1:21" x14ac:dyDescent="0.25">
      <c r="A42" s="2"/>
      <c r="B42" s="90"/>
      <c r="C42" s="15"/>
      <c r="D42" s="170">
        <f t="shared" si="7"/>
        <v>0</v>
      </c>
      <c r="E42" s="393"/>
      <c r="F42" s="74">
        <f t="shared" si="9"/>
        <v>0</v>
      </c>
      <c r="G42" s="75"/>
      <c r="H42" s="76"/>
      <c r="I42" s="262">
        <f t="shared" si="3"/>
        <v>0</v>
      </c>
      <c r="J42" s="137">
        <f t="shared" si="4"/>
        <v>0</v>
      </c>
      <c r="L42" s="2"/>
      <c r="M42" s="90"/>
      <c r="N42" s="15"/>
      <c r="O42" s="170">
        <f t="shared" si="8"/>
        <v>0</v>
      </c>
      <c r="P42" s="393"/>
      <c r="Q42" s="74">
        <f t="shared" si="1"/>
        <v>0</v>
      </c>
      <c r="R42" s="75"/>
      <c r="S42" s="76"/>
      <c r="T42" s="262">
        <f t="shared" si="5"/>
        <v>7067.9900000000007</v>
      </c>
      <c r="U42" s="137">
        <f t="shared" si="6"/>
        <v>355</v>
      </c>
    </row>
    <row r="43" spans="1:21" x14ac:dyDescent="0.25">
      <c r="A43" s="2"/>
      <c r="B43" s="90"/>
      <c r="C43" s="15"/>
      <c r="D43" s="170">
        <f t="shared" si="7"/>
        <v>0</v>
      </c>
      <c r="E43" s="393"/>
      <c r="F43" s="74">
        <f t="shared" si="9"/>
        <v>0</v>
      </c>
      <c r="G43" s="75"/>
      <c r="H43" s="76"/>
      <c r="I43" s="262">
        <f t="shared" si="3"/>
        <v>0</v>
      </c>
      <c r="J43" s="137">
        <f t="shared" si="4"/>
        <v>0</v>
      </c>
      <c r="L43" s="2"/>
      <c r="M43" s="90"/>
      <c r="N43" s="15"/>
      <c r="O43" s="170">
        <f t="shared" si="8"/>
        <v>0</v>
      </c>
      <c r="P43" s="393"/>
      <c r="Q43" s="74">
        <f t="shared" si="1"/>
        <v>0</v>
      </c>
      <c r="R43" s="75"/>
      <c r="S43" s="76"/>
      <c r="T43" s="262">
        <f t="shared" si="5"/>
        <v>7067.9900000000007</v>
      </c>
      <c r="U43" s="137">
        <f t="shared" si="6"/>
        <v>355</v>
      </c>
    </row>
    <row r="44" spans="1:21" x14ac:dyDescent="0.25">
      <c r="A44" s="2"/>
      <c r="B44" s="90"/>
      <c r="C44" s="15"/>
      <c r="D44" s="170">
        <f t="shared" si="7"/>
        <v>0</v>
      </c>
      <c r="E44" s="393"/>
      <c r="F44" s="74">
        <f t="shared" si="9"/>
        <v>0</v>
      </c>
      <c r="G44" s="75"/>
      <c r="H44" s="76"/>
      <c r="I44" s="262">
        <f t="shared" si="3"/>
        <v>0</v>
      </c>
      <c r="J44" s="137">
        <f t="shared" si="4"/>
        <v>0</v>
      </c>
      <c r="L44" s="2"/>
      <c r="M44" s="90"/>
      <c r="N44" s="15"/>
      <c r="O44" s="170">
        <f t="shared" si="8"/>
        <v>0</v>
      </c>
      <c r="P44" s="393"/>
      <c r="Q44" s="74">
        <f t="shared" si="1"/>
        <v>0</v>
      </c>
      <c r="R44" s="75"/>
      <c r="S44" s="76"/>
      <c r="T44" s="262">
        <f t="shared" si="5"/>
        <v>7067.9900000000007</v>
      </c>
      <c r="U44" s="137">
        <f t="shared" si="6"/>
        <v>355</v>
      </c>
    </row>
    <row r="45" spans="1:21" x14ac:dyDescent="0.25">
      <c r="A45" s="2"/>
      <c r="B45" s="90"/>
      <c r="C45" s="15"/>
      <c r="D45" s="170">
        <f t="shared" si="7"/>
        <v>0</v>
      </c>
      <c r="E45" s="393"/>
      <c r="F45" s="74">
        <f t="shared" si="9"/>
        <v>0</v>
      </c>
      <c r="G45" s="75"/>
      <c r="H45" s="76"/>
      <c r="I45" s="262">
        <f t="shared" si="3"/>
        <v>0</v>
      </c>
      <c r="J45" s="137">
        <f t="shared" si="4"/>
        <v>0</v>
      </c>
      <c r="L45" s="2"/>
      <c r="M45" s="90"/>
      <c r="N45" s="15"/>
      <c r="O45" s="170">
        <f t="shared" si="8"/>
        <v>0</v>
      </c>
      <c r="P45" s="393"/>
      <c r="Q45" s="74">
        <f t="shared" si="1"/>
        <v>0</v>
      </c>
      <c r="R45" s="75"/>
      <c r="S45" s="76"/>
      <c r="T45" s="262">
        <f t="shared" si="5"/>
        <v>7067.9900000000007</v>
      </c>
      <c r="U45" s="137">
        <f t="shared" si="6"/>
        <v>355</v>
      </c>
    </row>
    <row r="46" spans="1:21" x14ac:dyDescent="0.25">
      <c r="A46" s="2"/>
      <c r="B46" s="90"/>
      <c r="C46" s="15"/>
      <c r="D46" s="170">
        <f t="shared" si="7"/>
        <v>0</v>
      </c>
      <c r="E46" s="393"/>
      <c r="F46" s="74">
        <f t="shared" si="9"/>
        <v>0</v>
      </c>
      <c r="G46" s="75"/>
      <c r="H46" s="76"/>
      <c r="I46" s="262">
        <f t="shared" si="3"/>
        <v>0</v>
      </c>
      <c r="J46" s="137">
        <f t="shared" si="4"/>
        <v>0</v>
      </c>
      <c r="L46" s="2"/>
      <c r="M46" s="90"/>
      <c r="N46" s="15"/>
      <c r="O46" s="170">
        <f t="shared" si="8"/>
        <v>0</v>
      </c>
      <c r="P46" s="393"/>
      <c r="Q46" s="74">
        <f t="shared" si="1"/>
        <v>0</v>
      </c>
      <c r="R46" s="75"/>
      <c r="S46" s="76"/>
      <c r="T46" s="262">
        <f t="shared" si="5"/>
        <v>7067.9900000000007</v>
      </c>
      <c r="U46" s="137">
        <f t="shared" si="6"/>
        <v>355</v>
      </c>
    </row>
    <row r="47" spans="1:21" x14ac:dyDescent="0.25">
      <c r="A47" s="2"/>
      <c r="B47" s="90"/>
      <c r="C47" s="15"/>
      <c r="D47" s="170">
        <f t="shared" si="7"/>
        <v>0</v>
      </c>
      <c r="E47" s="393"/>
      <c r="F47" s="74">
        <f t="shared" si="9"/>
        <v>0</v>
      </c>
      <c r="G47" s="75"/>
      <c r="H47" s="76"/>
      <c r="I47" s="262">
        <f t="shared" si="3"/>
        <v>0</v>
      </c>
      <c r="J47" s="137">
        <f t="shared" si="4"/>
        <v>0</v>
      </c>
      <c r="L47" s="2"/>
      <c r="M47" s="90"/>
      <c r="N47" s="15"/>
      <c r="O47" s="170">
        <f t="shared" si="8"/>
        <v>0</v>
      </c>
      <c r="P47" s="393"/>
      <c r="Q47" s="74">
        <f t="shared" si="1"/>
        <v>0</v>
      </c>
      <c r="R47" s="75"/>
      <c r="S47" s="76"/>
      <c r="T47" s="262">
        <f t="shared" si="5"/>
        <v>7067.9900000000007</v>
      </c>
      <c r="U47" s="137">
        <f t="shared" si="6"/>
        <v>355</v>
      </c>
    </row>
    <row r="48" spans="1:21" x14ac:dyDescent="0.25">
      <c r="A48" s="2"/>
      <c r="B48" s="90"/>
      <c r="C48" s="15"/>
      <c r="D48" s="170">
        <f t="shared" si="7"/>
        <v>0</v>
      </c>
      <c r="E48" s="393"/>
      <c r="F48" s="74">
        <f t="shared" si="9"/>
        <v>0</v>
      </c>
      <c r="G48" s="75"/>
      <c r="H48" s="76"/>
      <c r="I48" s="262">
        <f t="shared" si="3"/>
        <v>0</v>
      </c>
      <c r="J48" s="137">
        <f t="shared" si="4"/>
        <v>0</v>
      </c>
      <c r="L48" s="2"/>
      <c r="M48" s="90"/>
      <c r="N48" s="15"/>
      <c r="O48" s="170">
        <f t="shared" si="8"/>
        <v>0</v>
      </c>
      <c r="P48" s="393"/>
      <c r="Q48" s="74">
        <f t="shared" si="1"/>
        <v>0</v>
      </c>
      <c r="R48" s="75"/>
      <c r="S48" s="76"/>
      <c r="T48" s="262">
        <f t="shared" si="5"/>
        <v>7067.9900000000007</v>
      </c>
      <c r="U48" s="137">
        <f t="shared" si="6"/>
        <v>355</v>
      </c>
    </row>
    <row r="49" spans="1:21" x14ac:dyDescent="0.25">
      <c r="A49" s="2"/>
      <c r="B49" s="90"/>
      <c r="C49" s="15"/>
      <c r="D49" s="170">
        <f t="shared" si="7"/>
        <v>0</v>
      </c>
      <c r="E49" s="393"/>
      <c r="F49" s="74">
        <f t="shared" si="9"/>
        <v>0</v>
      </c>
      <c r="G49" s="75"/>
      <c r="H49" s="76"/>
      <c r="I49" s="262">
        <f t="shared" si="3"/>
        <v>0</v>
      </c>
      <c r="J49" s="137">
        <f t="shared" si="4"/>
        <v>0</v>
      </c>
      <c r="L49" s="2"/>
      <c r="M49" s="90"/>
      <c r="N49" s="15"/>
      <c r="O49" s="170">
        <f t="shared" si="8"/>
        <v>0</v>
      </c>
      <c r="P49" s="393"/>
      <c r="Q49" s="74">
        <f t="shared" si="1"/>
        <v>0</v>
      </c>
      <c r="R49" s="75"/>
      <c r="S49" s="76"/>
      <c r="T49" s="262">
        <f t="shared" si="5"/>
        <v>7067.9900000000007</v>
      </c>
      <c r="U49" s="137">
        <f t="shared" si="6"/>
        <v>355</v>
      </c>
    </row>
    <row r="50" spans="1:21" x14ac:dyDescent="0.25">
      <c r="A50" s="2"/>
      <c r="B50" s="90"/>
      <c r="C50" s="15"/>
      <c r="D50" s="170">
        <f t="shared" si="7"/>
        <v>0</v>
      </c>
      <c r="E50" s="393"/>
      <c r="F50" s="74">
        <f t="shared" si="9"/>
        <v>0</v>
      </c>
      <c r="G50" s="75"/>
      <c r="H50" s="76"/>
      <c r="I50" s="262">
        <f t="shared" si="3"/>
        <v>0</v>
      </c>
      <c r="J50" s="137">
        <f t="shared" si="4"/>
        <v>0</v>
      </c>
      <c r="L50" s="2"/>
      <c r="M50" s="90"/>
      <c r="N50" s="15"/>
      <c r="O50" s="170">
        <f t="shared" si="8"/>
        <v>0</v>
      </c>
      <c r="P50" s="393"/>
      <c r="Q50" s="74">
        <f t="shared" si="1"/>
        <v>0</v>
      </c>
      <c r="R50" s="75"/>
      <c r="S50" s="76"/>
      <c r="T50" s="262">
        <f t="shared" si="5"/>
        <v>7067.9900000000007</v>
      </c>
      <c r="U50" s="137">
        <f t="shared" si="6"/>
        <v>355</v>
      </c>
    </row>
    <row r="51" spans="1:21" x14ac:dyDescent="0.25">
      <c r="A51" s="2"/>
      <c r="B51" s="90"/>
      <c r="C51" s="15"/>
      <c r="D51" s="170">
        <f t="shared" si="7"/>
        <v>0</v>
      </c>
      <c r="E51" s="393"/>
      <c r="F51" s="74">
        <f t="shared" si="9"/>
        <v>0</v>
      </c>
      <c r="G51" s="75"/>
      <c r="H51" s="76"/>
      <c r="I51" s="262">
        <f t="shared" si="3"/>
        <v>0</v>
      </c>
      <c r="J51" s="137">
        <f t="shared" si="4"/>
        <v>0</v>
      </c>
      <c r="L51" s="2"/>
      <c r="M51" s="90"/>
      <c r="N51" s="15"/>
      <c r="O51" s="170">
        <f t="shared" si="8"/>
        <v>0</v>
      </c>
      <c r="P51" s="393"/>
      <c r="Q51" s="74">
        <f t="shared" si="1"/>
        <v>0</v>
      </c>
      <c r="R51" s="75"/>
      <c r="S51" s="76"/>
      <c r="T51" s="262">
        <f t="shared" si="5"/>
        <v>7067.9900000000007</v>
      </c>
      <c r="U51" s="137">
        <f t="shared" si="6"/>
        <v>355</v>
      </c>
    </row>
    <row r="52" spans="1:21" x14ac:dyDescent="0.25">
      <c r="A52" s="2"/>
      <c r="B52" s="90"/>
      <c r="C52" s="15"/>
      <c r="D52" s="170">
        <f t="shared" si="7"/>
        <v>0</v>
      </c>
      <c r="E52" s="393"/>
      <c r="F52" s="74">
        <f t="shared" si="9"/>
        <v>0</v>
      </c>
      <c r="G52" s="75"/>
      <c r="H52" s="76"/>
      <c r="I52" s="262">
        <f t="shared" si="3"/>
        <v>0</v>
      </c>
      <c r="J52" s="137">
        <f t="shared" si="4"/>
        <v>0</v>
      </c>
      <c r="L52" s="2"/>
      <c r="M52" s="90"/>
      <c r="N52" s="15"/>
      <c r="O52" s="170">
        <f t="shared" si="8"/>
        <v>0</v>
      </c>
      <c r="P52" s="393"/>
      <c r="Q52" s="74">
        <f t="shared" si="1"/>
        <v>0</v>
      </c>
      <c r="R52" s="75"/>
      <c r="S52" s="76"/>
      <c r="T52" s="262">
        <f t="shared" si="5"/>
        <v>7067.9900000000007</v>
      </c>
      <c r="U52" s="137">
        <f t="shared" si="6"/>
        <v>355</v>
      </c>
    </row>
    <row r="53" spans="1:21" x14ac:dyDescent="0.25">
      <c r="A53" s="2"/>
      <c r="B53" s="90"/>
      <c r="C53" s="15"/>
      <c r="D53" s="170">
        <f t="shared" si="7"/>
        <v>0</v>
      </c>
      <c r="E53" s="393"/>
      <c r="F53" s="74">
        <f t="shared" si="9"/>
        <v>0</v>
      </c>
      <c r="G53" s="75"/>
      <c r="H53" s="76"/>
      <c r="I53" s="262">
        <f t="shared" si="3"/>
        <v>0</v>
      </c>
      <c r="J53" s="137">
        <f t="shared" si="4"/>
        <v>0</v>
      </c>
      <c r="L53" s="2"/>
      <c r="M53" s="90"/>
      <c r="N53" s="15"/>
      <c r="O53" s="170">
        <f t="shared" si="8"/>
        <v>0</v>
      </c>
      <c r="P53" s="393"/>
      <c r="Q53" s="74">
        <f t="shared" si="1"/>
        <v>0</v>
      </c>
      <c r="R53" s="75"/>
      <c r="S53" s="76"/>
      <c r="T53" s="262">
        <f t="shared" si="5"/>
        <v>7067.9900000000007</v>
      </c>
      <c r="U53" s="137">
        <f t="shared" si="6"/>
        <v>355</v>
      </c>
    </row>
    <row r="54" spans="1:21" x14ac:dyDescent="0.25">
      <c r="A54" s="2"/>
      <c r="B54" s="90"/>
      <c r="C54" s="15"/>
      <c r="D54" s="170">
        <f t="shared" si="7"/>
        <v>0</v>
      </c>
      <c r="E54" s="393"/>
      <c r="F54" s="74">
        <f t="shared" si="9"/>
        <v>0</v>
      </c>
      <c r="G54" s="75"/>
      <c r="H54" s="76"/>
      <c r="I54" s="66"/>
      <c r="L54" s="2"/>
      <c r="M54" s="90"/>
      <c r="N54" s="15"/>
      <c r="O54" s="170">
        <f t="shared" si="8"/>
        <v>0</v>
      </c>
      <c r="P54" s="393"/>
      <c r="Q54" s="74">
        <f t="shared" si="1"/>
        <v>0</v>
      </c>
      <c r="R54" s="75"/>
      <c r="S54" s="76"/>
      <c r="T54" s="66"/>
    </row>
    <row r="55" spans="1:21" x14ac:dyDescent="0.25">
      <c r="A55" s="2"/>
      <c r="B55" s="90"/>
      <c r="C55" s="15"/>
      <c r="D55" s="170">
        <f t="shared" si="7"/>
        <v>0</v>
      </c>
      <c r="E55" s="393"/>
      <c r="F55" s="74">
        <f t="shared" si="9"/>
        <v>0</v>
      </c>
      <c r="G55" s="75"/>
      <c r="H55" s="76"/>
      <c r="I55" s="66"/>
      <c r="L55" s="2"/>
      <c r="M55" s="90"/>
      <c r="N55" s="15"/>
      <c r="O55" s="170">
        <f t="shared" si="8"/>
        <v>0</v>
      </c>
      <c r="P55" s="393"/>
      <c r="Q55" s="74">
        <f t="shared" si="1"/>
        <v>0</v>
      </c>
      <c r="R55" s="75"/>
      <c r="S55" s="76"/>
      <c r="T55" s="66"/>
    </row>
    <row r="56" spans="1:21" x14ac:dyDescent="0.25">
      <c r="A56" s="2"/>
      <c r="B56" s="90"/>
      <c r="C56" s="15"/>
      <c r="D56" s="170">
        <f t="shared" si="7"/>
        <v>0</v>
      </c>
      <c r="E56" s="393"/>
      <c r="F56" s="74">
        <f t="shared" si="9"/>
        <v>0</v>
      </c>
      <c r="G56" s="75"/>
      <c r="H56" s="76"/>
      <c r="I56" s="66"/>
      <c r="L56" s="2"/>
      <c r="M56" s="90"/>
      <c r="N56" s="15"/>
      <c r="O56" s="170">
        <f t="shared" si="8"/>
        <v>0</v>
      </c>
      <c r="P56" s="393"/>
      <c r="Q56" s="74">
        <f t="shared" si="1"/>
        <v>0</v>
      </c>
      <c r="R56" s="75"/>
      <c r="S56" s="76"/>
      <c r="T56" s="66"/>
    </row>
    <row r="57" spans="1:21" x14ac:dyDescent="0.25">
      <c r="A57" s="2"/>
      <c r="B57" s="90"/>
      <c r="C57" s="15"/>
      <c r="D57" s="170">
        <f t="shared" si="7"/>
        <v>0</v>
      </c>
      <c r="E57" s="393"/>
      <c r="F57" s="74">
        <f t="shared" si="9"/>
        <v>0</v>
      </c>
      <c r="G57" s="75"/>
      <c r="H57" s="76"/>
      <c r="I57" s="66"/>
      <c r="L57" s="2"/>
      <c r="M57" s="90"/>
      <c r="N57" s="15"/>
      <c r="O57" s="170">
        <f t="shared" si="8"/>
        <v>0</v>
      </c>
      <c r="P57" s="393"/>
      <c r="Q57" s="74">
        <f t="shared" si="1"/>
        <v>0</v>
      </c>
      <c r="R57" s="75"/>
      <c r="S57" s="76"/>
      <c r="T57" s="66"/>
    </row>
    <row r="58" spans="1:21" x14ac:dyDescent="0.25">
      <c r="A58" s="2"/>
      <c r="B58" s="90"/>
      <c r="C58" s="15"/>
      <c r="D58" s="170">
        <f t="shared" si="7"/>
        <v>0</v>
      </c>
      <c r="E58" s="393"/>
      <c r="F58" s="74">
        <f t="shared" si="9"/>
        <v>0</v>
      </c>
      <c r="G58" s="75"/>
      <c r="H58" s="76"/>
      <c r="I58" s="66"/>
      <c r="L58" s="2"/>
      <c r="M58" s="90"/>
      <c r="N58" s="15"/>
      <c r="O58" s="170">
        <f t="shared" si="8"/>
        <v>0</v>
      </c>
      <c r="P58" s="393"/>
      <c r="Q58" s="74">
        <f t="shared" si="1"/>
        <v>0</v>
      </c>
      <c r="R58" s="75"/>
      <c r="S58" s="76"/>
      <c r="T58" s="66"/>
    </row>
    <row r="59" spans="1:21" x14ac:dyDescent="0.25">
      <c r="A59" s="2"/>
      <c r="B59" s="90"/>
      <c r="C59" s="15"/>
      <c r="D59" s="170">
        <f t="shared" si="7"/>
        <v>0</v>
      </c>
      <c r="E59" s="393"/>
      <c r="F59" s="74">
        <f t="shared" si="9"/>
        <v>0</v>
      </c>
      <c r="G59" s="75"/>
      <c r="H59" s="76"/>
      <c r="L59" s="2"/>
      <c r="M59" s="90"/>
      <c r="N59" s="15"/>
      <c r="O59" s="170">
        <f t="shared" si="8"/>
        <v>0</v>
      </c>
      <c r="P59" s="393"/>
      <c r="Q59" s="74">
        <f t="shared" si="1"/>
        <v>0</v>
      </c>
      <c r="R59" s="75"/>
      <c r="S59" s="76"/>
    </row>
    <row r="60" spans="1:21" x14ac:dyDescent="0.25">
      <c r="A60" s="2"/>
      <c r="B60" s="90"/>
      <c r="C60" s="15"/>
      <c r="D60" s="170">
        <f t="shared" si="7"/>
        <v>0</v>
      </c>
      <c r="E60" s="393"/>
      <c r="F60" s="74">
        <f t="shared" si="9"/>
        <v>0</v>
      </c>
      <c r="G60" s="75"/>
      <c r="H60" s="76"/>
      <c r="L60" s="2"/>
      <c r="M60" s="90"/>
      <c r="N60" s="15"/>
      <c r="O60" s="170">
        <f t="shared" si="8"/>
        <v>0</v>
      </c>
      <c r="P60" s="393"/>
      <c r="Q60" s="74">
        <f t="shared" si="1"/>
        <v>0</v>
      </c>
      <c r="R60" s="75"/>
      <c r="S60" s="76"/>
    </row>
    <row r="61" spans="1:21" x14ac:dyDescent="0.25">
      <c r="A61" s="2"/>
      <c r="B61" s="90"/>
      <c r="C61" s="15"/>
      <c r="D61" s="170">
        <f t="shared" si="7"/>
        <v>0</v>
      </c>
      <c r="E61" s="393"/>
      <c r="F61" s="74">
        <f t="shared" si="9"/>
        <v>0</v>
      </c>
      <c r="G61" s="75"/>
      <c r="H61" s="76"/>
      <c r="L61" s="2"/>
      <c r="M61" s="90"/>
      <c r="N61" s="15"/>
      <c r="O61" s="170">
        <f t="shared" si="8"/>
        <v>0</v>
      </c>
      <c r="P61" s="393"/>
      <c r="Q61" s="74">
        <f t="shared" si="1"/>
        <v>0</v>
      </c>
      <c r="R61" s="75"/>
      <c r="S61" s="76"/>
    </row>
    <row r="62" spans="1:21" x14ac:dyDescent="0.25">
      <c r="A62" s="2"/>
      <c r="B62" s="90"/>
      <c r="C62" s="15"/>
      <c r="D62" s="170">
        <f t="shared" si="7"/>
        <v>0</v>
      </c>
      <c r="E62" s="393"/>
      <c r="F62" s="74">
        <f t="shared" si="9"/>
        <v>0</v>
      </c>
      <c r="G62" s="75"/>
      <c r="H62" s="76"/>
      <c r="L62" s="2"/>
      <c r="M62" s="90"/>
      <c r="N62" s="15"/>
      <c r="O62" s="170">
        <f t="shared" si="8"/>
        <v>0</v>
      </c>
      <c r="P62" s="393"/>
      <c r="Q62" s="74">
        <f t="shared" si="1"/>
        <v>0</v>
      </c>
      <c r="R62" s="75"/>
      <c r="S62" s="76"/>
    </row>
    <row r="63" spans="1:21" ht="14.4" thickBot="1" x14ac:dyDescent="0.3">
      <c r="A63" s="4"/>
      <c r="B63" s="90"/>
      <c r="C63" s="38"/>
      <c r="D63" s="230">
        <f>C63*B32</f>
        <v>0</v>
      </c>
      <c r="E63" s="177"/>
      <c r="F63" s="169">
        <f t="shared" si="9"/>
        <v>0</v>
      </c>
      <c r="G63" s="152"/>
      <c r="H63" s="76"/>
      <c r="L63" s="4"/>
      <c r="M63" s="90"/>
      <c r="N63" s="38"/>
      <c r="O63" s="230">
        <f>N63*M32</f>
        <v>0</v>
      </c>
      <c r="P63" s="177"/>
      <c r="Q63" s="169">
        <f t="shared" si="1"/>
        <v>0</v>
      </c>
      <c r="R63" s="152"/>
      <c r="S63" s="76"/>
    </row>
    <row r="64" spans="1:21" ht="15.6" thickTop="1" thickBot="1" x14ac:dyDescent="0.35">
      <c r="C64" s="97">
        <f>SUM(C10:C63)</f>
        <v>20</v>
      </c>
      <c r="D64" s="49">
        <f>SUM(D10:D63)</f>
        <v>566.12</v>
      </c>
      <c r="E64" s="39"/>
      <c r="F64" s="5">
        <f>SUM(F10:F63)</f>
        <v>566.12</v>
      </c>
      <c r="N64" s="97">
        <f>SUM(N10:N63)</f>
        <v>100</v>
      </c>
      <c r="O64" s="49">
        <f>SUM(O10:O63)</f>
        <v>2018.7</v>
      </c>
      <c r="P64" s="39"/>
      <c r="Q64" s="5">
        <f>SUM(Q10:Q63)</f>
        <v>2018.7</v>
      </c>
    </row>
    <row r="65" spans="1:17" ht="15" thickBot="1" x14ac:dyDescent="0.35">
      <c r="A65" s="53"/>
      <c r="D65" s="121" t="s">
        <v>4</v>
      </c>
      <c r="E65" s="73">
        <f>F4+F5+F6-+C64</f>
        <v>0</v>
      </c>
      <c r="F65" s="5"/>
      <c r="L65" s="53"/>
      <c r="O65" s="121" t="s">
        <v>4</v>
      </c>
      <c r="P65" s="73">
        <f>Q4+Q5+Q6-+N64</f>
        <v>355</v>
      </c>
      <c r="Q65" s="5"/>
    </row>
    <row r="66" spans="1:17" ht="14.4" thickBot="1" x14ac:dyDescent="0.3">
      <c r="A66" s="129"/>
      <c r="D66" s="48"/>
      <c r="F66" s="5"/>
      <c r="L66" s="129"/>
      <c r="O66" s="48"/>
      <c r="Q66" s="5"/>
    </row>
    <row r="67" spans="1:17" ht="15" thickTop="1" thickBot="1" x14ac:dyDescent="0.3">
      <c r="A67" s="48"/>
      <c r="C67" s="1054" t="s">
        <v>11</v>
      </c>
      <c r="D67" s="1055"/>
      <c r="E67" s="159">
        <f>E5+E4+E6+-F64</f>
        <v>0</v>
      </c>
      <c r="F67" s="5"/>
      <c r="L67" s="48"/>
      <c r="N67" s="1054" t="s">
        <v>11</v>
      </c>
      <c r="O67" s="1055"/>
      <c r="P67" s="159">
        <f>P5+P4+P6+-Q64</f>
        <v>7067.9900000000007</v>
      </c>
      <c r="Q67" s="5"/>
    </row>
  </sheetData>
  <mergeCells count="10">
    <mergeCell ref="T8:T9"/>
    <mergeCell ref="U8:U9"/>
    <mergeCell ref="I8:I9"/>
    <mergeCell ref="J8:J9"/>
    <mergeCell ref="A1:G1"/>
    <mergeCell ref="C67:D67"/>
    <mergeCell ref="B4:B5"/>
    <mergeCell ref="A5:A7"/>
    <mergeCell ref="N67:O67"/>
    <mergeCell ref="L1:R1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B20" sqref="B20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48"/>
  </cols>
  <sheetData>
    <row r="1" spans="1:11" ht="45.75" x14ac:dyDescent="0.65">
      <c r="A1" s="1034"/>
      <c r="B1" s="1034"/>
      <c r="C1" s="1034"/>
      <c r="D1" s="1034"/>
      <c r="E1" s="1034"/>
      <c r="F1" s="1034"/>
      <c r="G1" s="1034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17.25" thickTop="1" thickBot="1" x14ac:dyDescent="0.3">
      <c r="A4" s="82"/>
      <c r="B4" s="158"/>
      <c r="C4" s="293"/>
      <c r="D4" s="375"/>
      <c r="E4" s="377"/>
      <c r="F4" s="378"/>
    </row>
    <row r="5" spans="1:11" ht="15" customHeight="1" thickBot="1" x14ac:dyDescent="0.35">
      <c r="A5" s="1074" t="s">
        <v>70</v>
      </c>
      <c r="B5" s="1076" t="s">
        <v>85</v>
      </c>
      <c r="C5" s="293"/>
      <c r="D5" s="375"/>
      <c r="E5" s="377"/>
      <c r="F5" s="378"/>
      <c r="G5" s="362">
        <f>F44</f>
        <v>0</v>
      </c>
      <c r="H5" s="63">
        <f>E4+E5+E6-G5</f>
        <v>0</v>
      </c>
    </row>
    <row r="6" spans="1:11" ht="16.8" thickTop="1" thickBot="1" x14ac:dyDescent="0.35">
      <c r="A6" s="1075"/>
      <c r="B6" s="1077"/>
      <c r="C6" s="293"/>
      <c r="D6" s="375"/>
      <c r="E6" s="379"/>
      <c r="F6" s="380"/>
      <c r="G6" s="286"/>
      <c r="I6" s="1078" t="s">
        <v>3</v>
      </c>
      <c r="J6" s="1072" t="s">
        <v>4</v>
      </c>
    </row>
    <row r="7" spans="1:11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73"/>
    </row>
    <row r="8" spans="1:11" ht="15.75" thickTop="1" x14ac:dyDescent="0.25">
      <c r="A8" s="87" t="s">
        <v>32</v>
      </c>
      <c r="B8" s="90"/>
      <c r="C8" s="15"/>
      <c r="D8" s="214"/>
      <c r="E8" s="393"/>
      <c r="F8" s="74">
        <f t="shared" ref="F8" si="0">D8</f>
        <v>0</v>
      </c>
      <c r="G8" s="315"/>
      <c r="H8" s="295"/>
      <c r="I8" s="317">
        <f>E5+E4-F8+E6</f>
        <v>0</v>
      </c>
      <c r="J8" s="137">
        <f>F4+F5+F6-C8</f>
        <v>0</v>
      </c>
    </row>
    <row r="9" spans="1:11" ht="15" x14ac:dyDescent="0.25">
      <c r="A9" s="241"/>
      <c r="B9" s="90"/>
      <c r="C9" s="15"/>
      <c r="D9" s="214"/>
      <c r="E9" s="393"/>
      <c r="F9" s="74">
        <f t="shared" ref="F9:F13" si="1">D9</f>
        <v>0</v>
      </c>
      <c r="G9" s="315"/>
      <c r="H9" s="295"/>
      <c r="I9" s="317">
        <f>I8-F9</f>
        <v>0</v>
      </c>
      <c r="J9" s="318">
        <f>J8-C9</f>
        <v>0</v>
      </c>
      <c r="K9" s="286"/>
    </row>
    <row r="10" spans="1:11" ht="15" x14ac:dyDescent="0.25">
      <c r="A10" s="227"/>
      <c r="B10" s="90"/>
      <c r="C10" s="15"/>
      <c r="D10" s="616"/>
      <c r="E10" s="622"/>
      <c r="F10" s="617">
        <f t="shared" si="1"/>
        <v>0</v>
      </c>
      <c r="G10" s="618"/>
      <c r="H10" s="623"/>
      <c r="I10" s="317">
        <f t="shared" ref="I10:I42" si="2">I9-F10</f>
        <v>0</v>
      </c>
      <c r="J10" s="318">
        <f t="shared" ref="J10:J42" si="3">J9-C10</f>
        <v>0</v>
      </c>
      <c r="K10" s="286"/>
    </row>
    <row r="11" spans="1:11" ht="15" x14ac:dyDescent="0.25">
      <c r="A11" s="89" t="s">
        <v>33</v>
      </c>
      <c r="B11" s="90"/>
      <c r="C11" s="15"/>
      <c r="D11" s="616"/>
      <c r="E11" s="622"/>
      <c r="F11" s="617">
        <f t="shared" si="1"/>
        <v>0</v>
      </c>
      <c r="G11" s="618"/>
      <c r="H11" s="623"/>
      <c r="I11" s="317">
        <f t="shared" si="2"/>
        <v>0</v>
      </c>
      <c r="J11" s="318">
        <f t="shared" si="3"/>
        <v>0</v>
      </c>
      <c r="K11" s="286"/>
    </row>
    <row r="12" spans="1:11" ht="15" x14ac:dyDescent="0.25">
      <c r="A12" s="79"/>
      <c r="B12" s="90"/>
      <c r="C12" s="15"/>
      <c r="D12" s="616"/>
      <c r="E12" s="622"/>
      <c r="F12" s="617">
        <f t="shared" si="1"/>
        <v>0</v>
      </c>
      <c r="G12" s="618"/>
      <c r="H12" s="623"/>
      <c r="I12" s="317">
        <f t="shared" si="2"/>
        <v>0</v>
      </c>
      <c r="J12" s="318">
        <f t="shared" si="3"/>
        <v>0</v>
      </c>
      <c r="K12" s="286"/>
    </row>
    <row r="13" spans="1:11" ht="15" x14ac:dyDescent="0.25">
      <c r="A13" s="79"/>
      <c r="B13" s="90"/>
      <c r="C13" s="15"/>
      <c r="D13" s="616"/>
      <c r="E13" s="620"/>
      <c r="F13" s="617">
        <f t="shared" si="1"/>
        <v>0</v>
      </c>
      <c r="G13" s="618"/>
      <c r="H13" s="623"/>
      <c r="I13" s="317">
        <f t="shared" si="2"/>
        <v>0</v>
      </c>
      <c r="J13" s="318">
        <f t="shared" si="3"/>
        <v>0</v>
      </c>
      <c r="K13" s="286"/>
    </row>
    <row r="14" spans="1:11" ht="15" x14ac:dyDescent="0.25">
      <c r="B14" s="90"/>
      <c r="C14" s="15"/>
      <c r="D14" s="616"/>
      <c r="E14" s="620"/>
      <c r="F14" s="617">
        <f>D14</f>
        <v>0</v>
      </c>
      <c r="G14" s="618"/>
      <c r="H14" s="623"/>
      <c r="I14" s="317">
        <f t="shared" si="2"/>
        <v>0</v>
      </c>
      <c r="J14" s="318">
        <f t="shared" si="3"/>
        <v>0</v>
      </c>
      <c r="K14" s="286"/>
    </row>
    <row r="15" spans="1:11" ht="15" x14ac:dyDescent="0.25">
      <c r="B15" s="90"/>
      <c r="C15" s="313"/>
      <c r="D15" s="616"/>
      <c r="E15" s="620"/>
      <c r="F15" s="617">
        <f>D15</f>
        <v>0</v>
      </c>
      <c r="G15" s="618"/>
      <c r="H15" s="623"/>
      <c r="I15" s="317">
        <f t="shared" si="2"/>
        <v>0</v>
      </c>
      <c r="J15" s="318">
        <f t="shared" si="3"/>
        <v>0</v>
      </c>
      <c r="K15" s="286"/>
    </row>
    <row r="16" spans="1:11" ht="15" x14ac:dyDescent="0.25">
      <c r="A16" s="88"/>
      <c r="B16" s="90"/>
      <c r="C16" s="15"/>
      <c r="D16" s="616"/>
      <c r="E16" s="619"/>
      <c r="F16" s="617">
        <f>D16</f>
        <v>0</v>
      </c>
      <c r="G16" s="618"/>
      <c r="H16" s="623"/>
      <c r="I16" s="317">
        <f t="shared" si="2"/>
        <v>0</v>
      </c>
      <c r="J16" s="318">
        <f t="shared" si="3"/>
        <v>0</v>
      </c>
      <c r="K16" s="286"/>
    </row>
    <row r="17" spans="1:11" ht="15" x14ac:dyDescent="0.25">
      <c r="A17" s="90"/>
      <c r="B17" s="90"/>
      <c r="C17" s="15"/>
      <c r="D17" s="616"/>
      <c r="E17" s="619"/>
      <c r="F17" s="617">
        <f t="shared" ref="F17:F43" si="4">D17</f>
        <v>0</v>
      </c>
      <c r="G17" s="630"/>
      <c r="H17" s="623"/>
      <c r="I17" s="317">
        <f t="shared" si="2"/>
        <v>0</v>
      </c>
      <c r="J17" s="318">
        <f t="shared" si="3"/>
        <v>0</v>
      </c>
      <c r="K17" s="286"/>
    </row>
    <row r="18" spans="1:11" ht="15" x14ac:dyDescent="0.25">
      <c r="A18" s="2"/>
      <c r="B18" s="90"/>
      <c r="C18" s="15"/>
      <c r="D18" s="616"/>
      <c r="E18" s="619"/>
      <c r="F18" s="617">
        <f t="shared" si="4"/>
        <v>0</v>
      </c>
      <c r="G18" s="618"/>
      <c r="H18" s="623"/>
      <c r="I18" s="317">
        <f t="shared" si="2"/>
        <v>0</v>
      </c>
      <c r="J18" s="318">
        <f t="shared" si="3"/>
        <v>0</v>
      </c>
    </row>
    <row r="19" spans="1:11" ht="15" x14ac:dyDescent="0.25">
      <c r="A19" s="2"/>
      <c r="B19" s="90"/>
      <c r="C19" s="15"/>
      <c r="D19" s="214"/>
      <c r="E19" s="412"/>
      <c r="F19" s="74">
        <f t="shared" si="4"/>
        <v>0</v>
      </c>
      <c r="G19" s="315"/>
      <c r="H19" s="295"/>
      <c r="I19" s="317">
        <f t="shared" si="2"/>
        <v>0</v>
      </c>
      <c r="J19" s="318">
        <f t="shared" si="3"/>
        <v>0</v>
      </c>
    </row>
    <row r="20" spans="1:11" ht="15" x14ac:dyDescent="0.25">
      <c r="A20" s="2"/>
      <c r="B20" s="90"/>
      <c r="C20" s="15"/>
      <c r="D20" s="214"/>
      <c r="E20" s="392"/>
      <c r="F20" s="74">
        <f t="shared" si="4"/>
        <v>0</v>
      </c>
      <c r="G20" s="315"/>
      <c r="H20" s="295"/>
      <c r="I20" s="317">
        <f t="shared" si="2"/>
        <v>0</v>
      </c>
      <c r="J20" s="318">
        <f t="shared" si="3"/>
        <v>0</v>
      </c>
    </row>
    <row r="21" spans="1:11" ht="15" x14ac:dyDescent="0.25">
      <c r="A21" s="2"/>
      <c r="B21" s="90"/>
      <c r="C21" s="15"/>
      <c r="D21" s="214"/>
      <c r="E21" s="392"/>
      <c r="F21" s="74">
        <f t="shared" si="4"/>
        <v>0</v>
      </c>
      <c r="G21" s="75"/>
      <c r="H21" s="138"/>
      <c r="I21" s="262">
        <f t="shared" si="2"/>
        <v>0</v>
      </c>
      <c r="J21" s="137">
        <f t="shared" si="3"/>
        <v>0</v>
      </c>
    </row>
    <row r="22" spans="1:11" ht="15" x14ac:dyDescent="0.25">
      <c r="A22" s="2"/>
      <c r="B22" s="90"/>
      <c r="C22" s="15"/>
      <c r="D22" s="214"/>
      <c r="E22" s="392"/>
      <c r="F22" s="74">
        <f t="shared" si="4"/>
        <v>0</v>
      </c>
      <c r="G22" s="75"/>
      <c r="H22" s="138"/>
      <c r="I22" s="262">
        <f t="shared" si="2"/>
        <v>0</v>
      </c>
      <c r="J22" s="137">
        <f t="shared" si="3"/>
        <v>0</v>
      </c>
    </row>
    <row r="23" spans="1:11" ht="15" x14ac:dyDescent="0.25">
      <c r="A23" s="2"/>
      <c r="B23" s="90"/>
      <c r="C23" s="15"/>
      <c r="D23" s="214"/>
      <c r="E23" s="392"/>
      <c r="F23" s="74">
        <f t="shared" si="4"/>
        <v>0</v>
      </c>
      <c r="G23" s="75"/>
      <c r="H23" s="138"/>
      <c r="I23" s="262">
        <f t="shared" si="2"/>
        <v>0</v>
      </c>
      <c r="J23" s="137">
        <f t="shared" si="3"/>
        <v>0</v>
      </c>
    </row>
    <row r="24" spans="1:11" ht="15" x14ac:dyDescent="0.25">
      <c r="A24" s="2"/>
      <c r="B24" s="90"/>
      <c r="C24" s="15"/>
      <c r="D24" s="214"/>
      <c r="E24" s="412"/>
      <c r="F24" s="74">
        <f t="shared" si="4"/>
        <v>0</v>
      </c>
      <c r="G24" s="75"/>
      <c r="H24" s="138"/>
      <c r="I24" s="262">
        <f t="shared" si="2"/>
        <v>0</v>
      </c>
      <c r="J24" s="137">
        <f t="shared" si="3"/>
        <v>0</v>
      </c>
    </row>
    <row r="25" spans="1:11" x14ac:dyDescent="0.25">
      <c r="A25" s="2"/>
      <c r="B25" s="90"/>
      <c r="C25" s="15"/>
      <c r="D25" s="214"/>
      <c r="E25" s="412"/>
      <c r="F25" s="74">
        <f t="shared" si="4"/>
        <v>0</v>
      </c>
      <c r="G25" s="75"/>
      <c r="H25" s="138"/>
      <c r="I25" s="262">
        <f t="shared" si="2"/>
        <v>0</v>
      </c>
      <c r="J25" s="137">
        <f t="shared" si="3"/>
        <v>0</v>
      </c>
    </row>
    <row r="26" spans="1:11" x14ac:dyDescent="0.25">
      <c r="A26" s="2"/>
      <c r="B26" s="90"/>
      <c r="C26" s="15"/>
      <c r="D26" s="214"/>
      <c r="E26" s="412"/>
      <c r="F26" s="74">
        <f t="shared" si="4"/>
        <v>0</v>
      </c>
      <c r="G26" s="75"/>
      <c r="H26" s="138"/>
      <c r="I26" s="262">
        <f t="shared" si="2"/>
        <v>0</v>
      </c>
      <c r="J26" s="137">
        <f t="shared" si="3"/>
        <v>0</v>
      </c>
    </row>
    <row r="27" spans="1:11" x14ac:dyDescent="0.25">
      <c r="A27" s="215"/>
      <c r="B27" s="90"/>
      <c r="C27" s="15"/>
      <c r="D27" s="214"/>
      <c r="E27" s="412"/>
      <c r="F27" s="74">
        <f t="shared" si="4"/>
        <v>0</v>
      </c>
      <c r="G27" s="75"/>
      <c r="H27" s="138"/>
      <c r="I27" s="262">
        <f t="shared" si="2"/>
        <v>0</v>
      </c>
      <c r="J27" s="137">
        <f t="shared" si="3"/>
        <v>0</v>
      </c>
    </row>
    <row r="28" spans="1:11" x14ac:dyDescent="0.25">
      <c r="A28" s="215"/>
      <c r="B28" s="90"/>
      <c r="C28" s="15"/>
      <c r="D28" s="214">
        <f t="shared" ref="D28:D42" si="5">C28*B28</f>
        <v>0</v>
      </c>
      <c r="E28" s="392"/>
      <c r="F28" s="74">
        <f t="shared" si="4"/>
        <v>0</v>
      </c>
      <c r="G28" s="315"/>
      <c r="H28" s="295"/>
      <c r="I28" s="317">
        <f t="shared" si="2"/>
        <v>0</v>
      </c>
      <c r="J28" s="318">
        <f t="shared" si="3"/>
        <v>0</v>
      </c>
    </row>
    <row r="29" spans="1:11" x14ac:dyDescent="0.25">
      <c r="A29" s="215"/>
      <c r="B29" s="90"/>
      <c r="C29" s="15"/>
      <c r="D29" s="214">
        <f t="shared" si="5"/>
        <v>0</v>
      </c>
      <c r="E29" s="392"/>
      <c r="F29" s="74">
        <f t="shared" si="4"/>
        <v>0</v>
      </c>
      <c r="G29" s="315"/>
      <c r="H29" s="295"/>
      <c r="I29" s="317">
        <f t="shared" si="2"/>
        <v>0</v>
      </c>
      <c r="J29" s="318">
        <f t="shared" si="3"/>
        <v>0</v>
      </c>
    </row>
    <row r="30" spans="1:11" x14ac:dyDescent="0.25">
      <c r="A30" s="215"/>
      <c r="B30" s="90"/>
      <c r="C30" s="15"/>
      <c r="D30" s="214">
        <f t="shared" si="5"/>
        <v>0</v>
      </c>
      <c r="E30" s="392"/>
      <c r="F30" s="74">
        <f t="shared" si="4"/>
        <v>0</v>
      </c>
      <c r="G30" s="315"/>
      <c r="H30" s="295"/>
      <c r="I30" s="317">
        <f t="shared" si="2"/>
        <v>0</v>
      </c>
      <c r="J30" s="318">
        <f t="shared" si="3"/>
        <v>0</v>
      </c>
    </row>
    <row r="31" spans="1:11" x14ac:dyDescent="0.25">
      <c r="A31" s="215"/>
      <c r="B31" s="90"/>
      <c r="C31" s="15"/>
      <c r="D31" s="214">
        <f t="shared" si="5"/>
        <v>0</v>
      </c>
      <c r="E31" s="392"/>
      <c r="F31" s="74">
        <f t="shared" si="4"/>
        <v>0</v>
      </c>
      <c r="G31" s="315"/>
      <c r="H31" s="295"/>
      <c r="I31" s="317">
        <f t="shared" si="2"/>
        <v>0</v>
      </c>
      <c r="J31" s="318">
        <f t="shared" si="3"/>
        <v>0</v>
      </c>
    </row>
    <row r="32" spans="1:11" x14ac:dyDescent="0.25">
      <c r="A32" s="2"/>
      <c r="B32" s="90"/>
      <c r="C32" s="15"/>
      <c r="D32" s="214">
        <f t="shared" si="5"/>
        <v>0</v>
      </c>
      <c r="E32" s="392"/>
      <c r="F32" s="74">
        <f t="shared" si="4"/>
        <v>0</v>
      </c>
      <c r="G32" s="315"/>
      <c r="H32" s="295"/>
      <c r="I32" s="317">
        <f t="shared" si="2"/>
        <v>0</v>
      </c>
      <c r="J32" s="318">
        <f t="shared" si="3"/>
        <v>0</v>
      </c>
    </row>
    <row r="33" spans="1:10" x14ac:dyDescent="0.25">
      <c r="A33" s="2"/>
      <c r="B33" s="90"/>
      <c r="C33" s="15"/>
      <c r="D33" s="214">
        <f t="shared" si="5"/>
        <v>0</v>
      </c>
      <c r="E33" s="392"/>
      <c r="F33" s="74">
        <f t="shared" si="4"/>
        <v>0</v>
      </c>
      <c r="G33" s="75"/>
      <c r="H33" s="138"/>
      <c r="I33" s="262">
        <f t="shared" si="2"/>
        <v>0</v>
      </c>
      <c r="J33" s="137">
        <f t="shared" si="3"/>
        <v>0</v>
      </c>
    </row>
    <row r="34" spans="1:10" x14ac:dyDescent="0.25">
      <c r="A34" s="2"/>
      <c r="B34" s="90"/>
      <c r="C34" s="15"/>
      <c r="D34" s="214">
        <f t="shared" si="5"/>
        <v>0</v>
      </c>
      <c r="E34" s="392"/>
      <c r="F34" s="74">
        <f t="shared" si="4"/>
        <v>0</v>
      </c>
      <c r="G34" s="75"/>
      <c r="H34" s="138"/>
      <c r="I34" s="262">
        <f t="shared" si="2"/>
        <v>0</v>
      </c>
      <c r="J34" s="137">
        <f t="shared" si="3"/>
        <v>0</v>
      </c>
    </row>
    <row r="35" spans="1:10" x14ac:dyDescent="0.25">
      <c r="A35" s="2"/>
      <c r="B35" s="90"/>
      <c r="C35" s="15"/>
      <c r="D35" s="214">
        <f t="shared" si="5"/>
        <v>0</v>
      </c>
      <c r="E35" s="393"/>
      <c r="F35" s="74">
        <f t="shared" si="4"/>
        <v>0</v>
      </c>
      <c r="G35" s="75"/>
      <c r="H35" s="138"/>
      <c r="I35" s="262">
        <f t="shared" si="2"/>
        <v>0</v>
      </c>
      <c r="J35" s="137">
        <f t="shared" si="3"/>
        <v>0</v>
      </c>
    </row>
    <row r="36" spans="1:10" x14ac:dyDescent="0.25">
      <c r="A36" s="2"/>
      <c r="B36" s="90"/>
      <c r="C36" s="15"/>
      <c r="D36" s="214">
        <f t="shared" si="5"/>
        <v>0</v>
      </c>
      <c r="E36" s="393"/>
      <c r="F36" s="74">
        <f t="shared" si="4"/>
        <v>0</v>
      </c>
      <c r="G36" s="75"/>
      <c r="H36" s="138"/>
      <c r="I36" s="262">
        <f t="shared" si="2"/>
        <v>0</v>
      </c>
      <c r="J36" s="137">
        <f t="shared" si="3"/>
        <v>0</v>
      </c>
    </row>
    <row r="37" spans="1:10" x14ac:dyDescent="0.25">
      <c r="A37" s="2"/>
      <c r="B37" s="90"/>
      <c r="C37" s="15"/>
      <c r="D37" s="214">
        <f t="shared" si="5"/>
        <v>0</v>
      </c>
      <c r="E37" s="393"/>
      <c r="F37" s="74">
        <f t="shared" si="4"/>
        <v>0</v>
      </c>
      <c r="G37" s="75"/>
      <c r="H37" s="138"/>
      <c r="I37" s="262">
        <f t="shared" si="2"/>
        <v>0</v>
      </c>
      <c r="J37" s="137">
        <f t="shared" si="3"/>
        <v>0</v>
      </c>
    </row>
    <row r="38" spans="1:10" x14ac:dyDescent="0.25">
      <c r="A38" s="2"/>
      <c r="B38" s="90"/>
      <c r="C38" s="15"/>
      <c r="D38" s="214">
        <f t="shared" si="5"/>
        <v>0</v>
      </c>
      <c r="E38" s="393"/>
      <c r="F38" s="74">
        <f t="shared" si="4"/>
        <v>0</v>
      </c>
      <c r="G38" s="75"/>
      <c r="H38" s="138"/>
      <c r="I38" s="262">
        <f t="shared" si="2"/>
        <v>0</v>
      </c>
      <c r="J38" s="137">
        <f t="shared" si="3"/>
        <v>0</v>
      </c>
    </row>
    <row r="39" spans="1:10" x14ac:dyDescent="0.25">
      <c r="A39" s="2"/>
      <c r="B39" s="90"/>
      <c r="C39" s="15"/>
      <c r="D39" s="214">
        <f t="shared" si="5"/>
        <v>0</v>
      </c>
      <c r="E39" s="393"/>
      <c r="F39" s="74">
        <f t="shared" si="4"/>
        <v>0</v>
      </c>
      <c r="G39" s="75"/>
      <c r="H39" s="138"/>
      <c r="I39" s="262">
        <f t="shared" si="2"/>
        <v>0</v>
      </c>
      <c r="J39" s="137">
        <f t="shared" si="3"/>
        <v>0</v>
      </c>
    </row>
    <row r="40" spans="1:10" x14ac:dyDescent="0.25">
      <c r="A40" s="2"/>
      <c r="B40" s="90"/>
      <c r="C40" s="15"/>
      <c r="D40" s="214">
        <f t="shared" si="5"/>
        <v>0</v>
      </c>
      <c r="E40" s="393"/>
      <c r="F40" s="74">
        <f t="shared" si="4"/>
        <v>0</v>
      </c>
      <c r="G40" s="75"/>
      <c r="H40" s="76"/>
      <c r="I40" s="262">
        <f t="shared" si="2"/>
        <v>0</v>
      </c>
      <c r="J40" s="137">
        <f t="shared" si="3"/>
        <v>0</v>
      </c>
    </row>
    <row r="41" spans="1:10" x14ac:dyDescent="0.25">
      <c r="A41" s="2"/>
      <c r="B41" s="90"/>
      <c r="C41" s="15"/>
      <c r="D41" s="214">
        <f t="shared" si="5"/>
        <v>0</v>
      </c>
      <c r="E41" s="393"/>
      <c r="F41" s="74">
        <f t="shared" si="4"/>
        <v>0</v>
      </c>
      <c r="G41" s="75"/>
      <c r="H41" s="76"/>
      <c r="I41" s="262">
        <f t="shared" si="2"/>
        <v>0</v>
      </c>
      <c r="J41" s="137">
        <f t="shared" si="3"/>
        <v>0</v>
      </c>
    </row>
    <row r="42" spans="1:10" x14ac:dyDescent="0.25">
      <c r="A42" s="2"/>
      <c r="B42" s="90"/>
      <c r="C42" s="15"/>
      <c r="D42" s="214">
        <f t="shared" si="5"/>
        <v>0</v>
      </c>
      <c r="E42" s="393"/>
      <c r="F42" s="74">
        <f t="shared" si="4"/>
        <v>0</v>
      </c>
      <c r="G42" s="75"/>
      <c r="H42" s="76"/>
      <c r="I42" s="262">
        <f t="shared" si="2"/>
        <v>0</v>
      </c>
      <c r="J42" s="137">
        <f t="shared" si="3"/>
        <v>0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4"/>
        <v>0</v>
      </c>
      <c r="G43" s="252"/>
      <c r="H43" s="238"/>
      <c r="J43" s="79"/>
    </row>
    <row r="44" spans="1:10" ht="15.6" thickTop="1" thickBot="1" x14ac:dyDescent="0.35">
      <c r="C44" s="97">
        <f>SUM(C8:C43)</f>
        <v>0</v>
      </c>
      <c r="D44" s="49">
        <f>SUM(D8:D43)</f>
        <v>0</v>
      </c>
      <c r="E44" s="39"/>
      <c r="F44" s="5">
        <f>SUM(F8:F43)</f>
        <v>0</v>
      </c>
      <c r="J44" s="79"/>
    </row>
    <row r="45" spans="1:10" ht="15" thickBot="1" x14ac:dyDescent="0.35">
      <c r="A45" s="53"/>
      <c r="D45" s="121" t="s">
        <v>4</v>
      </c>
      <c r="E45" s="73">
        <f>F4+F5+F6-+C44</f>
        <v>0</v>
      </c>
      <c r="J45" s="79"/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J47"/>
  <sheetViews>
    <sheetView workbookViewId="0">
      <pane ySplit="7" topLeftCell="A8" activePane="bottomLeft" state="frozen"/>
      <selection pane="bottomLeft" activeCell="E16" sqref="E16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48"/>
  </cols>
  <sheetData>
    <row r="1" spans="1:10" ht="45.75" x14ac:dyDescent="0.65">
      <c r="A1" s="1034"/>
      <c r="B1" s="1034"/>
      <c r="C1" s="1034"/>
      <c r="D1" s="1034"/>
      <c r="E1" s="1034"/>
      <c r="F1" s="1034"/>
      <c r="G1" s="1034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293"/>
      <c r="D4" s="375"/>
      <c r="E4" s="377"/>
      <c r="F4" s="378"/>
    </row>
    <row r="5" spans="1:10" ht="15" customHeight="1" thickBot="1" x14ac:dyDescent="0.35">
      <c r="A5" s="1050"/>
      <c r="B5" s="1076" t="s">
        <v>84</v>
      </c>
      <c r="C5" s="293"/>
      <c r="D5" s="375"/>
      <c r="E5" s="379"/>
      <c r="F5" s="380"/>
      <c r="G5" s="362"/>
      <c r="H5" s="63">
        <f>E4+E5+E6-G5</f>
        <v>0</v>
      </c>
    </row>
    <row r="6" spans="1:10" ht="16.8" thickTop="1" thickBot="1" x14ac:dyDescent="0.35">
      <c r="A6" s="1051"/>
      <c r="B6" s="1077"/>
      <c r="C6" s="293"/>
      <c r="D6" s="375"/>
      <c r="E6" s="379"/>
      <c r="F6" s="380"/>
      <c r="G6" s="286"/>
      <c r="I6" s="1078" t="s">
        <v>3</v>
      </c>
      <c r="J6" s="1072" t="s">
        <v>4</v>
      </c>
    </row>
    <row r="7" spans="1:10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73"/>
    </row>
    <row r="8" spans="1:10" ht="15.75" thickTop="1" x14ac:dyDescent="0.25">
      <c r="A8" s="87" t="s">
        <v>32</v>
      </c>
      <c r="B8" s="90"/>
      <c r="C8" s="15"/>
      <c r="D8" s="214"/>
      <c r="E8" s="393"/>
      <c r="F8" s="74">
        <f t="shared" ref="F8:F13" si="0">D8</f>
        <v>0</v>
      </c>
      <c r="G8" s="315"/>
      <c r="H8" s="295"/>
      <c r="I8" s="317">
        <f>E5+E4-F8+E6</f>
        <v>0</v>
      </c>
      <c r="J8" s="318">
        <f>F4+F5+F6-C8</f>
        <v>0</v>
      </c>
    </row>
    <row r="9" spans="1:10" ht="15" x14ac:dyDescent="0.25">
      <c r="A9" s="241"/>
      <c r="B9" s="90"/>
      <c r="C9" s="15"/>
      <c r="D9" s="214"/>
      <c r="E9" s="393"/>
      <c r="F9" s="314">
        <f t="shared" si="0"/>
        <v>0</v>
      </c>
      <c r="G9" s="315"/>
      <c r="H9" s="295"/>
      <c r="I9" s="317">
        <f>I8-F9</f>
        <v>0</v>
      </c>
      <c r="J9" s="318">
        <f>J8-C9</f>
        <v>0</v>
      </c>
    </row>
    <row r="10" spans="1:10" ht="15" x14ac:dyDescent="0.25">
      <c r="A10" s="227"/>
      <c r="B10" s="90"/>
      <c r="C10" s="15"/>
      <c r="D10" s="214"/>
      <c r="E10" s="393"/>
      <c r="F10" s="314">
        <f t="shared" si="0"/>
        <v>0</v>
      </c>
      <c r="G10" s="315"/>
      <c r="H10" s="295"/>
      <c r="I10" s="317">
        <f t="shared" ref="I10:I42" si="1">I9-F10</f>
        <v>0</v>
      </c>
      <c r="J10" s="318">
        <f t="shared" ref="J10:J42" si="2">J9-C10</f>
        <v>0</v>
      </c>
    </row>
    <row r="11" spans="1:10" ht="15" x14ac:dyDescent="0.25">
      <c r="A11" s="89" t="s">
        <v>33</v>
      </c>
      <c r="B11" s="90"/>
      <c r="C11" s="15"/>
      <c r="D11" s="214"/>
      <c r="E11" s="393"/>
      <c r="F11" s="314">
        <f t="shared" si="0"/>
        <v>0</v>
      </c>
      <c r="G11" s="315"/>
      <c r="H11" s="295"/>
      <c r="I11" s="317">
        <f t="shared" si="1"/>
        <v>0</v>
      </c>
      <c r="J11" s="318">
        <f t="shared" si="2"/>
        <v>0</v>
      </c>
    </row>
    <row r="12" spans="1:10" ht="15" x14ac:dyDescent="0.25">
      <c r="A12" s="79"/>
      <c r="B12" s="90"/>
      <c r="C12" s="15"/>
      <c r="D12" s="214"/>
      <c r="E12" s="393"/>
      <c r="F12" s="314">
        <f t="shared" si="0"/>
        <v>0</v>
      </c>
      <c r="G12" s="315"/>
      <c r="H12" s="295"/>
      <c r="I12" s="317">
        <f t="shared" si="1"/>
        <v>0</v>
      </c>
      <c r="J12" s="318">
        <f t="shared" si="2"/>
        <v>0</v>
      </c>
    </row>
    <row r="13" spans="1:10" ht="15" x14ac:dyDescent="0.25">
      <c r="A13" s="79"/>
      <c r="B13" s="90"/>
      <c r="C13" s="15"/>
      <c r="D13" s="214"/>
      <c r="E13" s="392"/>
      <c r="F13" s="74">
        <f t="shared" si="0"/>
        <v>0</v>
      </c>
      <c r="G13" s="315"/>
      <c r="H13" s="295"/>
      <c r="I13" s="317">
        <f t="shared" si="1"/>
        <v>0</v>
      </c>
      <c r="J13" s="318">
        <f t="shared" si="2"/>
        <v>0</v>
      </c>
    </row>
    <row r="14" spans="1:10" ht="15" x14ac:dyDescent="0.25">
      <c r="B14" s="90"/>
      <c r="C14" s="15"/>
      <c r="D14" s="214"/>
      <c r="E14" s="392"/>
      <c r="F14" s="74">
        <f>D14</f>
        <v>0</v>
      </c>
      <c r="G14" s="315"/>
      <c r="H14" s="295"/>
      <c r="I14" s="317">
        <f t="shared" si="1"/>
        <v>0</v>
      </c>
      <c r="J14" s="318">
        <f t="shared" si="2"/>
        <v>0</v>
      </c>
    </row>
    <row r="15" spans="1:10" ht="15" x14ac:dyDescent="0.25">
      <c r="B15" s="90"/>
      <c r="C15" s="313"/>
      <c r="D15" s="214"/>
      <c r="E15" s="392"/>
      <c r="F15" s="74">
        <f>D15</f>
        <v>0</v>
      </c>
      <c r="G15" s="315"/>
      <c r="H15" s="295"/>
      <c r="I15" s="317">
        <f t="shared" si="1"/>
        <v>0</v>
      </c>
      <c r="J15" s="318">
        <f t="shared" si="2"/>
        <v>0</v>
      </c>
    </row>
    <row r="16" spans="1:10" ht="15" x14ac:dyDescent="0.25">
      <c r="A16" s="88"/>
      <c r="B16" s="90"/>
      <c r="C16" s="15"/>
      <c r="D16" s="214"/>
      <c r="E16" s="412"/>
      <c r="F16" s="74">
        <f>D16</f>
        <v>0</v>
      </c>
      <c r="G16" s="75"/>
      <c r="H16" s="295"/>
      <c r="I16" s="317">
        <f t="shared" si="1"/>
        <v>0</v>
      </c>
      <c r="J16" s="318">
        <f t="shared" si="2"/>
        <v>0</v>
      </c>
    </row>
    <row r="17" spans="1:10" ht="15" x14ac:dyDescent="0.25">
      <c r="A17" s="90"/>
      <c r="B17" s="90"/>
      <c r="C17" s="15"/>
      <c r="D17" s="214"/>
      <c r="E17" s="412"/>
      <c r="F17" s="74">
        <f t="shared" ref="F17:F43" si="3">D17</f>
        <v>0</v>
      </c>
      <c r="G17" s="239"/>
      <c r="H17" s="295"/>
      <c r="I17" s="317">
        <f t="shared" si="1"/>
        <v>0</v>
      </c>
      <c r="J17" s="318">
        <f t="shared" si="2"/>
        <v>0</v>
      </c>
    </row>
    <row r="18" spans="1:10" ht="15" x14ac:dyDescent="0.25">
      <c r="A18" s="2"/>
      <c r="B18" s="90"/>
      <c r="C18" s="15"/>
      <c r="D18" s="214"/>
      <c r="E18" s="412"/>
      <c r="F18" s="74">
        <f t="shared" si="3"/>
        <v>0</v>
      </c>
      <c r="G18" s="75"/>
      <c r="H18" s="138"/>
      <c r="I18" s="262">
        <f t="shared" si="1"/>
        <v>0</v>
      </c>
      <c r="J18" s="137">
        <f t="shared" si="2"/>
        <v>0</v>
      </c>
    </row>
    <row r="19" spans="1:10" ht="15" x14ac:dyDescent="0.25">
      <c r="A19" s="2"/>
      <c r="B19" s="90"/>
      <c r="C19" s="15"/>
      <c r="D19" s="214"/>
      <c r="E19" s="412"/>
      <c r="F19" s="74">
        <f t="shared" si="3"/>
        <v>0</v>
      </c>
      <c r="G19" s="75"/>
      <c r="H19" s="138"/>
      <c r="I19" s="262">
        <f t="shared" si="1"/>
        <v>0</v>
      </c>
      <c r="J19" s="137">
        <f t="shared" si="2"/>
        <v>0</v>
      </c>
    </row>
    <row r="20" spans="1:10" ht="15" x14ac:dyDescent="0.25">
      <c r="A20" s="2"/>
      <c r="B20" s="90"/>
      <c r="C20" s="15"/>
      <c r="D20" s="214"/>
      <c r="E20" s="392"/>
      <c r="F20" s="74">
        <f t="shared" si="3"/>
        <v>0</v>
      </c>
      <c r="G20" s="75"/>
      <c r="H20" s="138"/>
      <c r="I20" s="262">
        <f t="shared" si="1"/>
        <v>0</v>
      </c>
      <c r="J20" s="137">
        <f t="shared" si="2"/>
        <v>0</v>
      </c>
    </row>
    <row r="21" spans="1:10" ht="15" x14ac:dyDescent="0.25">
      <c r="A21" s="2"/>
      <c r="B21" s="90"/>
      <c r="C21" s="15"/>
      <c r="D21" s="214"/>
      <c r="E21" s="392"/>
      <c r="F21" s="74">
        <f t="shared" si="3"/>
        <v>0</v>
      </c>
      <c r="G21" s="75"/>
      <c r="H21" s="138"/>
      <c r="I21" s="262">
        <f t="shared" si="1"/>
        <v>0</v>
      </c>
      <c r="J21" s="137">
        <f t="shared" si="2"/>
        <v>0</v>
      </c>
    </row>
    <row r="22" spans="1:10" ht="15" x14ac:dyDescent="0.25">
      <c r="A22" s="2"/>
      <c r="B22" s="90"/>
      <c r="C22" s="15"/>
      <c r="D22" s="214"/>
      <c r="E22" s="392"/>
      <c r="F22" s="74">
        <f t="shared" si="3"/>
        <v>0</v>
      </c>
      <c r="G22" s="75"/>
      <c r="H22" s="138"/>
      <c r="I22" s="262">
        <f t="shared" si="1"/>
        <v>0</v>
      </c>
      <c r="J22" s="137">
        <f t="shared" si="2"/>
        <v>0</v>
      </c>
    </row>
    <row r="23" spans="1:10" ht="15" x14ac:dyDescent="0.25">
      <c r="A23" s="2"/>
      <c r="B23" s="90"/>
      <c r="C23" s="15"/>
      <c r="D23" s="214"/>
      <c r="E23" s="392"/>
      <c r="F23" s="74">
        <f t="shared" si="3"/>
        <v>0</v>
      </c>
      <c r="G23" s="75"/>
      <c r="H23" s="138"/>
      <c r="I23" s="262">
        <f t="shared" si="1"/>
        <v>0</v>
      </c>
      <c r="J23" s="137">
        <f t="shared" si="2"/>
        <v>0</v>
      </c>
    </row>
    <row r="24" spans="1:10" ht="15" x14ac:dyDescent="0.25">
      <c r="A24" s="2"/>
      <c r="B24" s="90"/>
      <c r="C24" s="15"/>
      <c r="D24" s="214"/>
      <c r="E24" s="412"/>
      <c r="F24" s="74">
        <f t="shared" si="3"/>
        <v>0</v>
      </c>
      <c r="G24" s="75"/>
      <c r="H24" s="138"/>
      <c r="I24" s="262">
        <f t="shared" si="1"/>
        <v>0</v>
      </c>
      <c r="J24" s="137">
        <f t="shared" si="2"/>
        <v>0</v>
      </c>
    </row>
    <row r="25" spans="1:10" ht="15" x14ac:dyDescent="0.25">
      <c r="A25" s="2"/>
      <c r="B25" s="90"/>
      <c r="C25" s="15"/>
      <c r="D25" s="214"/>
      <c r="E25" s="412"/>
      <c r="F25" s="74">
        <f t="shared" si="3"/>
        <v>0</v>
      </c>
      <c r="G25" s="75"/>
      <c r="H25" s="138"/>
      <c r="I25" s="262">
        <f t="shared" si="1"/>
        <v>0</v>
      </c>
      <c r="J25" s="137">
        <f t="shared" si="2"/>
        <v>0</v>
      </c>
    </row>
    <row r="26" spans="1:10" ht="15" x14ac:dyDescent="0.25">
      <c r="A26" s="2"/>
      <c r="B26" s="90"/>
      <c r="C26" s="15"/>
      <c r="D26" s="214"/>
      <c r="E26" s="412"/>
      <c r="F26" s="74">
        <f t="shared" si="3"/>
        <v>0</v>
      </c>
      <c r="G26" s="75"/>
      <c r="H26" s="138"/>
      <c r="I26" s="262">
        <f t="shared" si="1"/>
        <v>0</v>
      </c>
      <c r="J26" s="137">
        <f t="shared" si="2"/>
        <v>0</v>
      </c>
    </row>
    <row r="27" spans="1:10" ht="15" x14ac:dyDescent="0.25">
      <c r="A27" s="215"/>
      <c r="B27" s="90"/>
      <c r="C27" s="15"/>
      <c r="D27" s="214"/>
      <c r="E27" s="412"/>
      <c r="F27" s="74">
        <f t="shared" si="3"/>
        <v>0</v>
      </c>
      <c r="G27" s="75"/>
      <c r="H27" s="138"/>
      <c r="I27" s="262">
        <f t="shared" si="1"/>
        <v>0</v>
      </c>
      <c r="J27" s="137">
        <f t="shared" si="2"/>
        <v>0</v>
      </c>
    </row>
    <row r="28" spans="1:10" ht="15" x14ac:dyDescent="0.25">
      <c r="A28" s="215"/>
      <c r="B28" s="90"/>
      <c r="C28" s="15"/>
      <c r="D28" s="214">
        <f t="shared" ref="D28:D42" si="4">C28*B28</f>
        <v>0</v>
      </c>
      <c r="E28" s="392"/>
      <c r="F28" s="74">
        <f t="shared" si="3"/>
        <v>0</v>
      </c>
      <c r="G28" s="315"/>
      <c r="H28" s="295"/>
      <c r="I28" s="317">
        <f t="shared" si="1"/>
        <v>0</v>
      </c>
      <c r="J28" s="318">
        <f t="shared" si="2"/>
        <v>0</v>
      </c>
    </row>
    <row r="29" spans="1:10" ht="15" x14ac:dyDescent="0.25">
      <c r="A29" s="215"/>
      <c r="B29" s="90"/>
      <c r="C29" s="15"/>
      <c r="D29" s="214">
        <f t="shared" si="4"/>
        <v>0</v>
      </c>
      <c r="E29" s="392"/>
      <c r="F29" s="74">
        <f t="shared" si="3"/>
        <v>0</v>
      </c>
      <c r="G29" s="315"/>
      <c r="H29" s="295"/>
      <c r="I29" s="317">
        <f t="shared" si="1"/>
        <v>0</v>
      </c>
      <c r="J29" s="318">
        <f t="shared" si="2"/>
        <v>0</v>
      </c>
    </row>
    <row r="30" spans="1:10" ht="15" x14ac:dyDescent="0.25">
      <c r="A30" s="215"/>
      <c r="B30" s="90"/>
      <c r="C30" s="15"/>
      <c r="D30" s="214">
        <f t="shared" si="4"/>
        <v>0</v>
      </c>
      <c r="E30" s="392"/>
      <c r="F30" s="74">
        <f t="shared" si="3"/>
        <v>0</v>
      </c>
      <c r="G30" s="315"/>
      <c r="H30" s="295"/>
      <c r="I30" s="317">
        <f t="shared" si="1"/>
        <v>0</v>
      </c>
      <c r="J30" s="318">
        <f t="shared" si="2"/>
        <v>0</v>
      </c>
    </row>
    <row r="31" spans="1:10" ht="15" x14ac:dyDescent="0.25">
      <c r="A31" s="215"/>
      <c r="B31" s="90"/>
      <c r="C31" s="15"/>
      <c r="D31" s="214">
        <f t="shared" si="4"/>
        <v>0</v>
      </c>
      <c r="E31" s="392"/>
      <c r="F31" s="74">
        <f t="shared" si="3"/>
        <v>0</v>
      </c>
      <c r="G31" s="315"/>
      <c r="H31" s="295"/>
      <c r="I31" s="317">
        <f t="shared" si="1"/>
        <v>0</v>
      </c>
      <c r="J31" s="318">
        <f t="shared" si="2"/>
        <v>0</v>
      </c>
    </row>
    <row r="32" spans="1:10" ht="15" x14ac:dyDescent="0.25">
      <c r="A32" s="2"/>
      <c r="B32" s="90"/>
      <c r="C32" s="15"/>
      <c r="D32" s="214">
        <f t="shared" si="4"/>
        <v>0</v>
      </c>
      <c r="E32" s="392"/>
      <c r="F32" s="74">
        <f t="shared" si="3"/>
        <v>0</v>
      </c>
      <c r="G32" s="315"/>
      <c r="H32" s="295"/>
      <c r="I32" s="317">
        <f t="shared" si="1"/>
        <v>0</v>
      </c>
      <c r="J32" s="318">
        <f t="shared" si="2"/>
        <v>0</v>
      </c>
    </row>
    <row r="33" spans="1:10" ht="15" x14ac:dyDescent="0.25">
      <c r="A33" s="2"/>
      <c r="B33" s="90"/>
      <c r="C33" s="15"/>
      <c r="D33" s="214">
        <f t="shared" si="4"/>
        <v>0</v>
      </c>
      <c r="E33" s="392"/>
      <c r="F33" s="74">
        <f t="shared" si="3"/>
        <v>0</v>
      </c>
      <c r="G33" s="75"/>
      <c r="H33" s="138"/>
      <c r="I33" s="262">
        <f t="shared" si="1"/>
        <v>0</v>
      </c>
      <c r="J33" s="137">
        <f t="shared" si="2"/>
        <v>0</v>
      </c>
    </row>
    <row r="34" spans="1:10" ht="15" x14ac:dyDescent="0.25">
      <c r="A34" s="2"/>
      <c r="B34" s="90"/>
      <c r="C34" s="15"/>
      <c r="D34" s="214">
        <f t="shared" si="4"/>
        <v>0</v>
      </c>
      <c r="E34" s="392"/>
      <c r="F34" s="74">
        <f t="shared" si="3"/>
        <v>0</v>
      </c>
      <c r="G34" s="75"/>
      <c r="H34" s="138"/>
      <c r="I34" s="262">
        <f t="shared" si="1"/>
        <v>0</v>
      </c>
      <c r="J34" s="137">
        <f t="shared" si="2"/>
        <v>0</v>
      </c>
    </row>
    <row r="35" spans="1:10" x14ac:dyDescent="0.25">
      <c r="A35" s="2"/>
      <c r="B35" s="90"/>
      <c r="C35" s="15"/>
      <c r="D35" s="214">
        <f t="shared" si="4"/>
        <v>0</v>
      </c>
      <c r="E35" s="393"/>
      <c r="F35" s="74">
        <f t="shared" si="3"/>
        <v>0</v>
      </c>
      <c r="G35" s="75"/>
      <c r="H35" s="138"/>
      <c r="I35" s="262">
        <f t="shared" si="1"/>
        <v>0</v>
      </c>
      <c r="J35" s="137">
        <f t="shared" si="2"/>
        <v>0</v>
      </c>
    </row>
    <row r="36" spans="1:10" x14ac:dyDescent="0.25">
      <c r="A36" s="2"/>
      <c r="B36" s="90"/>
      <c r="C36" s="15"/>
      <c r="D36" s="214">
        <f t="shared" si="4"/>
        <v>0</v>
      </c>
      <c r="E36" s="393"/>
      <c r="F36" s="74">
        <f t="shared" si="3"/>
        <v>0</v>
      </c>
      <c r="G36" s="75"/>
      <c r="H36" s="138"/>
      <c r="I36" s="262">
        <f t="shared" si="1"/>
        <v>0</v>
      </c>
      <c r="J36" s="137">
        <f t="shared" si="2"/>
        <v>0</v>
      </c>
    </row>
    <row r="37" spans="1:10" x14ac:dyDescent="0.25">
      <c r="A37" s="2"/>
      <c r="B37" s="90"/>
      <c r="C37" s="15"/>
      <c r="D37" s="214">
        <f t="shared" si="4"/>
        <v>0</v>
      </c>
      <c r="E37" s="393"/>
      <c r="F37" s="74">
        <f t="shared" si="3"/>
        <v>0</v>
      </c>
      <c r="G37" s="75"/>
      <c r="H37" s="138"/>
      <c r="I37" s="262">
        <f t="shared" si="1"/>
        <v>0</v>
      </c>
      <c r="J37" s="137">
        <f t="shared" si="2"/>
        <v>0</v>
      </c>
    </row>
    <row r="38" spans="1:10" x14ac:dyDescent="0.25">
      <c r="A38" s="2"/>
      <c r="B38" s="90"/>
      <c r="C38" s="15"/>
      <c r="D38" s="214">
        <f t="shared" si="4"/>
        <v>0</v>
      </c>
      <c r="E38" s="393"/>
      <c r="F38" s="74">
        <f t="shared" si="3"/>
        <v>0</v>
      </c>
      <c r="G38" s="75"/>
      <c r="H38" s="138"/>
      <c r="I38" s="262">
        <f t="shared" si="1"/>
        <v>0</v>
      </c>
      <c r="J38" s="137">
        <f t="shared" si="2"/>
        <v>0</v>
      </c>
    </row>
    <row r="39" spans="1:10" x14ac:dyDescent="0.25">
      <c r="A39" s="2"/>
      <c r="B39" s="90"/>
      <c r="C39" s="15"/>
      <c r="D39" s="214">
        <f t="shared" si="4"/>
        <v>0</v>
      </c>
      <c r="E39" s="393"/>
      <c r="F39" s="74">
        <f t="shared" si="3"/>
        <v>0</v>
      </c>
      <c r="G39" s="75"/>
      <c r="H39" s="138"/>
      <c r="I39" s="262">
        <f t="shared" si="1"/>
        <v>0</v>
      </c>
      <c r="J39" s="137">
        <f t="shared" si="2"/>
        <v>0</v>
      </c>
    </row>
    <row r="40" spans="1:10" x14ac:dyDescent="0.25">
      <c r="A40" s="2"/>
      <c r="B40" s="90"/>
      <c r="C40" s="15"/>
      <c r="D40" s="214">
        <f t="shared" si="4"/>
        <v>0</v>
      </c>
      <c r="E40" s="393"/>
      <c r="F40" s="74">
        <f t="shared" si="3"/>
        <v>0</v>
      </c>
      <c r="G40" s="75"/>
      <c r="H40" s="76"/>
      <c r="I40" s="262">
        <f t="shared" si="1"/>
        <v>0</v>
      </c>
      <c r="J40" s="137">
        <f t="shared" si="2"/>
        <v>0</v>
      </c>
    </row>
    <row r="41" spans="1:10" x14ac:dyDescent="0.25">
      <c r="A41" s="2"/>
      <c r="B41" s="90"/>
      <c r="C41" s="15"/>
      <c r="D41" s="214">
        <f t="shared" si="4"/>
        <v>0</v>
      </c>
      <c r="E41" s="393"/>
      <c r="F41" s="74">
        <f t="shared" si="3"/>
        <v>0</v>
      </c>
      <c r="G41" s="75"/>
      <c r="H41" s="76"/>
      <c r="I41" s="262">
        <f t="shared" si="1"/>
        <v>0</v>
      </c>
      <c r="J41" s="137">
        <f t="shared" si="2"/>
        <v>0</v>
      </c>
    </row>
    <row r="42" spans="1:10" x14ac:dyDescent="0.25">
      <c r="A42" s="2"/>
      <c r="B42" s="90"/>
      <c r="C42" s="15"/>
      <c r="D42" s="214">
        <f t="shared" si="4"/>
        <v>0</v>
      </c>
      <c r="E42" s="393"/>
      <c r="F42" s="74">
        <f t="shared" si="3"/>
        <v>0</v>
      </c>
      <c r="G42" s="75"/>
      <c r="H42" s="76"/>
      <c r="I42" s="262">
        <f t="shared" si="1"/>
        <v>0</v>
      </c>
      <c r="J42" s="137">
        <f t="shared" si="2"/>
        <v>0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3"/>
        <v>0</v>
      </c>
      <c r="G43" s="252"/>
      <c r="H43" s="238"/>
      <c r="J43" s="79"/>
    </row>
    <row r="44" spans="1:10" ht="15.6" thickTop="1" thickBot="1" x14ac:dyDescent="0.35">
      <c r="C44" s="97">
        <f>SUM(C8:C43)</f>
        <v>0</v>
      </c>
      <c r="D44" s="49">
        <f>SUM(D8:D43)</f>
        <v>0</v>
      </c>
      <c r="E44" s="39"/>
      <c r="F44" s="5">
        <f>SUM(F8:F43)</f>
        <v>0</v>
      </c>
      <c r="J44" s="79"/>
    </row>
    <row r="45" spans="1:10" ht="15" thickBot="1" x14ac:dyDescent="0.35">
      <c r="A45" s="53"/>
      <c r="D45" s="121" t="s">
        <v>4</v>
      </c>
      <c r="E45" s="73">
        <f>F4+F5+F6-+C44</f>
        <v>0</v>
      </c>
      <c r="J45" s="79"/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51"/>
  <sheetViews>
    <sheetView workbookViewId="0">
      <pane ySplit="11" topLeftCell="A12" activePane="bottomLeft" state="frozen"/>
      <selection pane="bottomLeft" activeCell="C10" sqref="C10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0" ht="45.75" x14ac:dyDescent="0.65">
      <c r="A1" s="1034"/>
      <c r="B1" s="1034"/>
      <c r="C1" s="1034"/>
      <c r="D1" s="1034"/>
      <c r="E1" s="1034"/>
      <c r="F1" s="1034"/>
      <c r="G1" s="1034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6.5" thickTop="1" x14ac:dyDescent="0.25">
      <c r="A4" s="646"/>
      <c r="B4" s="646"/>
      <c r="C4" s="574"/>
      <c r="D4" s="294"/>
      <c r="E4" s="292"/>
      <c r="F4" s="318"/>
      <c r="G4" s="680"/>
      <c r="H4" s="381"/>
    </row>
    <row r="5" spans="1:10" ht="16.5" customHeight="1" x14ac:dyDescent="0.3">
      <c r="A5" s="1086"/>
      <c r="B5" s="1084" t="s">
        <v>118</v>
      </c>
      <c r="C5" s="574"/>
      <c r="D5" s="294"/>
      <c r="E5" s="224"/>
      <c r="F5" s="203"/>
    </row>
    <row r="6" spans="1:10" ht="16.5" customHeight="1" x14ac:dyDescent="0.3">
      <c r="A6" s="1086"/>
      <c r="B6" s="1084"/>
      <c r="C6" s="574"/>
      <c r="D6" s="294"/>
      <c r="E6" s="682"/>
      <c r="F6" s="157"/>
      <c r="G6" s="362"/>
      <c r="H6" s="63">
        <f>E5+E6+E8-G6</f>
        <v>0</v>
      </c>
    </row>
    <row r="7" spans="1:10" ht="16.5" customHeight="1" x14ac:dyDescent="0.3">
      <c r="A7" s="1086"/>
      <c r="B7" s="1084"/>
      <c r="C7" s="574"/>
      <c r="D7" s="294"/>
      <c r="E7" s="682"/>
      <c r="F7" s="157"/>
      <c r="G7" s="362"/>
      <c r="H7" s="63"/>
    </row>
    <row r="8" spans="1:10" ht="15" customHeight="1" thickBot="1" x14ac:dyDescent="0.35">
      <c r="A8" s="1087"/>
      <c r="B8" s="1085"/>
      <c r="C8" s="574"/>
      <c r="D8" s="294"/>
      <c r="E8" s="682"/>
      <c r="F8" s="157"/>
      <c r="G8" s="286"/>
    </row>
    <row r="9" spans="1:10" ht="16.5" customHeight="1" thickBot="1" x14ac:dyDescent="0.3">
      <c r="A9" s="344"/>
      <c r="B9" s="679"/>
      <c r="C9" s="574"/>
      <c r="D9" s="294"/>
      <c r="E9" s="682"/>
      <c r="F9" s="157"/>
      <c r="G9" s="286"/>
      <c r="I9" s="703"/>
      <c r="J9" s="704"/>
    </row>
    <row r="10" spans="1:10" ht="16.5" customHeight="1" thickBot="1" x14ac:dyDescent="0.35">
      <c r="A10" s="344"/>
      <c r="B10" s="679"/>
      <c r="C10" s="574"/>
      <c r="D10" s="294"/>
      <c r="E10" s="682"/>
      <c r="F10" s="157"/>
      <c r="G10" s="286"/>
      <c r="I10" s="1080" t="s">
        <v>3</v>
      </c>
      <c r="J10" s="1082" t="s">
        <v>4</v>
      </c>
    </row>
    <row r="11" spans="1:10" ht="15" thickTop="1" thickBot="1" x14ac:dyDescent="0.3">
      <c r="A11" s="1"/>
      <c r="B11" s="24" t="s">
        <v>7</v>
      </c>
      <c r="C11" s="20" t="s">
        <v>8</v>
      </c>
      <c r="D11" s="120" t="s">
        <v>3</v>
      </c>
      <c r="E11" s="21" t="s">
        <v>2</v>
      </c>
      <c r="F11" s="123" t="s">
        <v>9</v>
      </c>
      <c r="G11" s="22" t="s">
        <v>15</v>
      </c>
      <c r="H11" s="29"/>
      <c r="I11" s="1081"/>
      <c r="J11" s="1083"/>
    </row>
    <row r="12" spans="1:10" ht="16.5" thickTop="1" thickBot="1" x14ac:dyDescent="0.3">
      <c r="A12" s="87" t="s">
        <v>32</v>
      </c>
      <c r="B12" s="90"/>
      <c r="C12" s="15"/>
      <c r="D12" s="214"/>
      <c r="E12" s="393"/>
      <c r="F12" s="74">
        <f t="shared" ref="F12:F47" si="0">D12</f>
        <v>0</v>
      </c>
      <c r="G12" s="315"/>
      <c r="H12" s="316"/>
      <c r="I12" s="309">
        <f>E4+E5+E6+E8+E9+E7+E10-F12</f>
        <v>0</v>
      </c>
      <c r="J12" s="280">
        <f>F5+F6+F8+F9-C12+F4+F10+F7</f>
        <v>0</v>
      </c>
    </row>
    <row r="13" spans="1:10" ht="15.75" thickBot="1" x14ac:dyDescent="0.3">
      <c r="A13" s="241"/>
      <c r="B13" s="90"/>
      <c r="C13" s="15"/>
      <c r="D13" s="214"/>
      <c r="E13" s="393"/>
      <c r="F13" s="314">
        <f t="shared" si="0"/>
        <v>0</v>
      </c>
      <c r="G13" s="315"/>
      <c r="H13" s="316"/>
      <c r="I13" s="309">
        <f>I12-F13</f>
        <v>0</v>
      </c>
      <c r="J13" s="522">
        <f>J12-C13</f>
        <v>0</v>
      </c>
    </row>
    <row r="14" spans="1:10" ht="15.75" thickBot="1" x14ac:dyDescent="0.3">
      <c r="A14" s="227"/>
      <c r="B14" s="90"/>
      <c r="C14" s="15"/>
      <c r="D14" s="214"/>
      <c r="E14" s="393"/>
      <c r="F14" s="314">
        <f t="shared" si="0"/>
        <v>0</v>
      </c>
      <c r="G14" s="315"/>
      <c r="H14" s="316"/>
      <c r="I14" s="309">
        <f t="shared" ref="I14:I46" si="1">I13-F14</f>
        <v>0</v>
      </c>
      <c r="J14" s="522">
        <f t="shared" ref="J14:J49" si="2">J13-C14</f>
        <v>0</v>
      </c>
    </row>
    <row r="15" spans="1:10" ht="15.75" thickBot="1" x14ac:dyDescent="0.3">
      <c r="A15" s="89" t="s">
        <v>33</v>
      </c>
      <c r="B15" s="90"/>
      <c r="C15" s="15"/>
      <c r="D15" s="214"/>
      <c r="E15" s="393"/>
      <c r="F15" s="314">
        <f t="shared" si="0"/>
        <v>0</v>
      </c>
      <c r="G15" s="315"/>
      <c r="H15" s="316"/>
      <c r="I15" s="309">
        <f t="shared" si="1"/>
        <v>0</v>
      </c>
      <c r="J15" s="522">
        <f t="shared" si="2"/>
        <v>0</v>
      </c>
    </row>
    <row r="16" spans="1:10" ht="15.75" thickBot="1" x14ac:dyDescent="0.3">
      <c r="A16" s="79"/>
      <c r="B16" s="90"/>
      <c r="C16" s="15"/>
      <c r="D16" s="214"/>
      <c r="E16" s="393"/>
      <c r="F16" s="314">
        <f t="shared" si="0"/>
        <v>0</v>
      </c>
      <c r="G16" s="315"/>
      <c r="H16" s="316"/>
      <c r="I16" s="309">
        <f t="shared" si="1"/>
        <v>0</v>
      </c>
      <c r="J16" s="522">
        <f t="shared" si="2"/>
        <v>0</v>
      </c>
    </row>
    <row r="17" spans="1:13" ht="15.75" thickBot="1" x14ac:dyDescent="0.3">
      <c r="A17" s="79"/>
      <c r="B17" s="90"/>
      <c r="C17" s="15"/>
      <c r="D17" s="74"/>
      <c r="E17" s="254"/>
      <c r="F17" s="74">
        <f t="shared" si="0"/>
        <v>0</v>
      </c>
      <c r="G17" s="315"/>
      <c r="H17" s="316"/>
      <c r="I17" s="309">
        <f t="shared" si="1"/>
        <v>0</v>
      </c>
      <c r="J17" s="522">
        <f t="shared" si="2"/>
        <v>0</v>
      </c>
    </row>
    <row r="18" spans="1:13" ht="15.75" thickBot="1" x14ac:dyDescent="0.3">
      <c r="B18" s="90"/>
      <c r="C18" s="15"/>
      <c r="D18" s="214"/>
      <c r="E18" s="393"/>
      <c r="F18" s="74">
        <f t="shared" si="0"/>
        <v>0</v>
      </c>
      <c r="G18" s="315"/>
      <c r="H18" s="316"/>
      <c r="I18" s="309">
        <f t="shared" si="1"/>
        <v>0</v>
      </c>
      <c r="J18" s="522">
        <f t="shared" si="2"/>
        <v>0</v>
      </c>
      <c r="K18" s="286"/>
      <c r="L18" s="286"/>
      <c r="M18" s="286"/>
    </row>
    <row r="19" spans="1:13" ht="15.75" thickBot="1" x14ac:dyDescent="0.3">
      <c r="B19" s="90"/>
      <c r="C19" s="15"/>
      <c r="D19" s="214"/>
      <c r="E19" s="393"/>
      <c r="F19" s="74">
        <f t="shared" si="0"/>
        <v>0</v>
      </c>
      <c r="G19" s="315"/>
      <c r="H19" s="316"/>
      <c r="I19" s="309">
        <f t="shared" si="1"/>
        <v>0</v>
      </c>
      <c r="J19" s="522">
        <f t="shared" si="2"/>
        <v>0</v>
      </c>
      <c r="K19" s="286"/>
      <c r="L19" s="286"/>
      <c r="M19" s="286"/>
    </row>
    <row r="20" spans="1:13" ht="15.75" thickBot="1" x14ac:dyDescent="0.3">
      <c r="A20" s="88"/>
      <c r="B20" s="90"/>
      <c r="C20" s="15"/>
      <c r="D20" s="214"/>
      <c r="E20" s="393"/>
      <c r="F20" s="74">
        <f t="shared" si="0"/>
        <v>0</v>
      </c>
      <c r="G20" s="315"/>
      <c r="H20" s="316"/>
      <c r="I20" s="309">
        <f t="shared" si="1"/>
        <v>0</v>
      </c>
      <c r="J20" s="522">
        <f t="shared" si="2"/>
        <v>0</v>
      </c>
      <c r="K20" s="286"/>
      <c r="L20" s="286"/>
      <c r="M20" s="286"/>
    </row>
    <row r="21" spans="1:13" ht="15.75" thickBot="1" x14ac:dyDescent="0.3">
      <c r="A21" s="90"/>
      <c r="B21" s="90"/>
      <c r="C21" s="15"/>
      <c r="D21" s="214"/>
      <c r="E21" s="393"/>
      <c r="F21" s="74">
        <f t="shared" si="0"/>
        <v>0</v>
      </c>
      <c r="G21" s="315"/>
      <c r="H21" s="316"/>
      <c r="I21" s="309">
        <f t="shared" si="1"/>
        <v>0</v>
      </c>
      <c r="J21" s="522">
        <f t="shared" si="2"/>
        <v>0</v>
      </c>
      <c r="K21" s="286"/>
      <c r="L21" s="286"/>
      <c r="M21" s="286"/>
    </row>
    <row r="22" spans="1:13" ht="15.75" thickBot="1" x14ac:dyDescent="0.3">
      <c r="A22" s="2"/>
      <c r="B22" s="90"/>
      <c r="C22" s="15"/>
      <c r="D22" s="214"/>
      <c r="E22" s="393"/>
      <c r="F22" s="74">
        <f t="shared" si="0"/>
        <v>0</v>
      </c>
      <c r="G22" s="315"/>
      <c r="H22" s="316"/>
      <c r="I22" s="309">
        <f t="shared" si="1"/>
        <v>0</v>
      </c>
      <c r="J22" s="522">
        <f t="shared" si="2"/>
        <v>0</v>
      </c>
      <c r="K22" s="286"/>
      <c r="L22" s="286"/>
      <c r="M22" s="286"/>
    </row>
    <row r="23" spans="1:13" ht="15.75" thickBot="1" x14ac:dyDescent="0.3">
      <c r="A23" s="2"/>
      <c r="B23" s="90"/>
      <c r="C23" s="15"/>
      <c r="D23" s="214"/>
      <c r="E23" s="393"/>
      <c r="F23" s="74">
        <f t="shared" si="0"/>
        <v>0</v>
      </c>
      <c r="G23" s="315"/>
      <c r="H23" s="316"/>
      <c r="I23" s="309">
        <f t="shared" si="1"/>
        <v>0</v>
      </c>
      <c r="J23" s="522">
        <f t="shared" si="2"/>
        <v>0</v>
      </c>
      <c r="K23" s="286"/>
      <c r="L23" s="286"/>
      <c r="M23" s="286"/>
    </row>
    <row r="24" spans="1:13" ht="15.75" thickBot="1" x14ac:dyDescent="0.3">
      <c r="A24" s="2"/>
      <c r="B24" s="90"/>
      <c r="C24" s="15"/>
      <c r="D24" s="214"/>
      <c r="E24" s="393"/>
      <c r="F24" s="74">
        <f t="shared" si="0"/>
        <v>0</v>
      </c>
      <c r="G24" s="315"/>
      <c r="H24" s="316"/>
      <c r="I24" s="309">
        <f t="shared" si="1"/>
        <v>0</v>
      </c>
      <c r="J24" s="522">
        <f t="shared" si="2"/>
        <v>0</v>
      </c>
      <c r="K24" s="286"/>
      <c r="L24" s="286"/>
      <c r="M24" s="286"/>
    </row>
    <row r="25" spans="1:13" ht="15.75" thickBot="1" x14ac:dyDescent="0.3">
      <c r="A25" s="2"/>
      <c r="B25" s="90"/>
      <c r="C25" s="15"/>
      <c r="D25" s="214"/>
      <c r="E25" s="393"/>
      <c r="F25" s="74">
        <f t="shared" si="0"/>
        <v>0</v>
      </c>
      <c r="G25" s="315"/>
      <c r="H25" s="316"/>
      <c r="I25" s="309">
        <f t="shared" si="1"/>
        <v>0</v>
      </c>
      <c r="J25" s="522">
        <f t="shared" si="2"/>
        <v>0</v>
      </c>
      <c r="K25" s="286"/>
      <c r="L25" s="286"/>
      <c r="M25" s="286"/>
    </row>
    <row r="26" spans="1:13" ht="15.75" thickBot="1" x14ac:dyDescent="0.3">
      <c r="A26" s="2"/>
      <c r="B26" s="90"/>
      <c r="C26" s="15"/>
      <c r="D26" s="214"/>
      <c r="E26" s="393"/>
      <c r="F26" s="74">
        <f t="shared" si="0"/>
        <v>0</v>
      </c>
      <c r="G26" s="315"/>
      <c r="H26" s="316"/>
      <c r="I26" s="309">
        <f t="shared" si="1"/>
        <v>0</v>
      </c>
      <c r="J26" s="522">
        <f t="shared" si="2"/>
        <v>0</v>
      </c>
      <c r="K26" s="286"/>
      <c r="L26" s="286"/>
      <c r="M26" s="286"/>
    </row>
    <row r="27" spans="1:13" ht="15.75" thickBot="1" x14ac:dyDescent="0.3">
      <c r="A27" s="2"/>
      <c r="B27" s="90"/>
      <c r="C27" s="15"/>
      <c r="D27" s="214"/>
      <c r="E27" s="393"/>
      <c r="F27" s="74">
        <f t="shared" si="0"/>
        <v>0</v>
      </c>
      <c r="G27" s="315"/>
      <c r="H27" s="316"/>
      <c r="I27" s="309">
        <f t="shared" si="1"/>
        <v>0</v>
      </c>
      <c r="J27" s="522">
        <f t="shared" si="2"/>
        <v>0</v>
      </c>
    </row>
    <row r="28" spans="1:13" ht="15.75" thickBot="1" x14ac:dyDescent="0.3">
      <c r="A28" s="2"/>
      <c r="B28" s="90"/>
      <c r="C28" s="15"/>
      <c r="D28" s="214">
        <f t="shared" ref="D28:D46" si="3">C28*B28</f>
        <v>0</v>
      </c>
      <c r="E28" s="412"/>
      <c r="F28" s="74">
        <f t="shared" si="0"/>
        <v>0</v>
      </c>
      <c r="G28" s="75"/>
      <c r="H28" s="76"/>
      <c r="I28" s="309">
        <f t="shared" si="1"/>
        <v>0</v>
      </c>
      <c r="J28" s="522">
        <f t="shared" si="2"/>
        <v>0</v>
      </c>
    </row>
    <row r="29" spans="1:13" ht="15.75" thickBot="1" x14ac:dyDescent="0.3">
      <c r="A29" s="2"/>
      <c r="B29" s="90"/>
      <c r="C29" s="15"/>
      <c r="D29" s="214">
        <f t="shared" si="3"/>
        <v>0</v>
      </c>
      <c r="E29" s="412"/>
      <c r="F29" s="74">
        <f t="shared" si="0"/>
        <v>0</v>
      </c>
      <c r="G29" s="75"/>
      <c r="H29" s="76"/>
      <c r="I29" s="309">
        <f t="shared" si="1"/>
        <v>0</v>
      </c>
      <c r="J29" s="522">
        <f t="shared" si="2"/>
        <v>0</v>
      </c>
    </row>
    <row r="30" spans="1:13" ht="15.75" thickBot="1" x14ac:dyDescent="0.3">
      <c r="A30" s="2"/>
      <c r="B30" s="90"/>
      <c r="C30" s="15"/>
      <c r="D30" s="214">
        <f t="shared" si="3"/>
        <v>0</v>
      </c>
      <c r="E30" s="412"/>
      <c r="F30" s="74">
        <f t="shared" si="0"/>
        <v>0</v>
      </c>
      <c r="G30" s="75"/>
      <c r="H30" s="76"/>
      <c r="I30" s="309">
        <f t="shared" si="1"/>
        <v>0</v>
      </c>
      <c r="J30" s="522">
        <f t="shared" si="2"/>
        <v>0</v>
      </c>
    </row>
    <row r="31" spans="1:13" ht="15.75" thickBot="1" x14ac:dyDescent="0.3">
      <c r="A31" s="215"/>
      <c r="B31" s="90"/>
      <c r="C31" s="15"/>
      <c r="D31" s="214">
        <f t="shared" si="3"/>
        <v>0</v>
      </c>
      <c r="E31" s="412"/>
      <c r="F31" s="74">
        <f t="shared" si="0"/>
        <v>0</v>
      </c>
      <c r="G31" s="75"/>
      <c r="H31" s="76"/>
      <c r="I31" s="309">
        <f t="shared" si="1"/>
        <v>0</v>
      </c>
      <c r="J31" s="522">
        <f t="shared" si="2"/>
        <v>0</v>
      </c>
    </row>
    <row r="32" spans="1:13" ht="15.75" thickBot="1" x14ac:dyDescent="0.3">
      <c r="A32" s="215"/>
      <c r="B32" s="90"/>
      <c r="C32" s="15"/>
      <c r="D32" s="214">
        <f t="shared" si="3"/>
        <v>0</v>
      </c>
      <c r="E32" s="392"/>
      <c r="F32" s="74">
        <f t="shared" si="0"/>
        <v>0</v>
      </c>
      <c r="G32" s="75"/>
      <c r="H32" s="76"/>
      <c r="I32" s="309">
        <f t="shared" si="1"/>
        <v>0</v>
      </c>
      <c r="J32" s="522">
        <f t="shared" si="2"/>
        <v>0</v>
      </c>
    </row>
    <row r="33" spans="1:10" ht="15.75" thickBot="1" x14ac:dyDescent="0.3">
      <c r="A33" s="215"/>
      <c r="B33" s="90"/>
      <c r="C33" s="313"/>
      <c r="D33" s="214">
        <f t="shared" si="3"/>
        <v>0</v>
      </c>
      <c r="E33" s="398"/>
      <c r="F33" s="314">
        <f t="shared" si="0"/>
        <v>0</v>
      </c>
      <c r="G33" s="315"/>
      <c r="H33" s="316"/>
      <c r="I33" s="309">
        <f t="shared" si="1"/>
        <v>0</v>
      </c>
      <c r="J33" s="522">
        <f t="shared" si="2"/>
        <v>0</v>
      </c>
    </row>
    <row r="34" spans="1:10" ht="15.75" thickBot="1" x14ac:dyDescent="0.3">
      <c r="A34" s="215"/>
      <c r="B34" s="90"/>
      <c r="C34" s="15"/>
      <c r="D34" s="214">
        <f t="shared" si="3"/>
        <v>0</v>
      </c>
      <c r="E34" s="392"/>
      <c r="F34" s="74">
        <f t="shared" si="0"/>
        <v>0</v>
      </c>
      <c r="G34" s="75"/>
      <c r="H34" s="76"/>
      <c r="I34" s="309">
        <f t="shared" si="1"/>
        <v>0</v>
      </c>
      <c r="J34" s="522">
        <f t="shared" si="2"/>
        <v>0</v>
      </c>
    </row>
    <row r="35" spans="1:10" ht="15.75" thickBot="1" x14ac:dyDescent="0.3">
      <c r="A35" s="215"/>
      <c r="B35" s="90"/>
      <c r="C35" s="15"/>
      <c r="D35" s="214">
        <f t="shared" si="3"/>
        <v>0</v>
      </c>
      <c r="E35" s="392"/>
      <c r="F35" s="74">
        <f t="shared" si="0"/>
        <v>0</v>
      </c>
      <c r="G35" s="75"/>
      <c r="H35" s="76"/>
      <c r="I35" s="309">
        <f t="shared" si="1"/>
        <v>0</v>
      </c>
      <c r="J35" s="522">
        <f t="shared" si="2"/>
        <v>0</v>
      </c>
    </row>
    <row r="36" spans="1:10" ht="15.75" thickBot="1" x14ac:dyDescent="0.3">
      <c r="A36" s="2"/>
      <c r="B36" s="90"/>
      <c r="C36" s="15"/>
      <c r="D36" s="214">
        <f t="shared" si="3"/>
        <v>0</v>
      </c>
      <c r="E36" s="392"/>
      <c r="F36" s="74">
        <f t="shared" si="0"/>
        <v>0</v>
      </c>
      <c r="G36" s="75"/>
      <c r="H36" s="76"/>
      <c r="I36" s="309">
        <f t="shared" si="1"/>
        <v>0</v>
      </c>
      <c r="J36" s="522">
        <f t="shared" si="2"/>
        <v>0</v>
      </c>
    </row>
    <row r="37" spans="1:10" ht="15.75" thickBot="1" x14ac:dyDescent="0.3">
      <c r="A37" s="2"/>
      <c r="B37" s="90"/>
      <c r="C37" s="15"/>
      <c r="D37" s="214">
        <f t="shared" si="3"/>
        <v>0</v>
      </c>
      <c r="E37" s="392"/>
      <c r="F37" s="74">
        <f t="shared" si="0"/>
        <v>0</v>
      </c>
      <c r="G37" s="75"/>
      <c r="H37" s="76"/>
      <c r="I37" s="309">
        <f t="shared" si="1"/>
        <v>0</v>
      </c>
      <c r="J37" s="522">
        <f t="shared" si="2"/>
        <v>0</v>
      </c>
    </row>
    <row r="38" spans="1:10" ht="14.4" thickBot="1" x14ac:dyDescent="0.3">
      <c r="A38" s="2"/>
      <c r="B38" s="90"/>
      <c r="C38" s="15"/>
      <c r="D38" s="214">
        <f t="shared" si="3"/>
        <v>0</v>
      </c>
      <c r="E38" s="392"/>
      <c r="F38" s="74">
        <f t="shared" si="0"/>
        <v>0</v>
      </c>
      <c r="G38" s="75"/>
      <c r="H38" s="76"/>
      <c r="I38" s="309">
        <f t="shared" si="1"/>
        <v>0</v>
      </c>
      <c r="J38" s="522">
        <f t="shared" si="2"/>
        <v>0</v>
      </c>
    </row>
    <row r="39" spans="1:10" ht="14.4" thickBot="1" x14ac:dyDescent="0.3">
      <c r="A39" s="2"/>
      <c r="B39" s="90"/>
      <c r="C39" s="15"/>
      <c r="D39" s="214">
        <f t="shared" si="3"/>
        <v>0</v>
      </c>
      <c r="E39" s="393"/>
      <c r="F39" s="74">
        <f t="shared" si="0"/>
        <v>0</v>
      </c>
      <c r="G39" s="75"/>
      <c r="H39" s="76"/>
      <c r="I39" s="309">
        <f t="shared" si="1"/>
        <v>0</v>
      </c>
      <c r="J39" s="522">
        <f t="shared" si="2"/>
        <v>0</v>
      </c>
    </row>
    <row r="40" spans="1:10" ht="14.4" thickBot="1" x14ac:dyDescent="0.3">
      <c r="A40" s="2"/>
      <c r="B40" s="90"/>
      <c r="C40" s="15"/>
      <c r="D40" s="214">
        <f t="shared" si="3"/>
        <v>0</v>
      </c>
      <c r="E40" s="393"/>
      <c r="F40" s="74">
        <f t="shared" si="0"/>
        <v>0</v>
      </c>
      <c r="G40" s="75"/>
      <c r="H40" s="76"/>
      <c r="I40" s="309">
        <f t="shared" si="1"/>
        <v>0</v>
      </c>
      <c r="J40" s="522">
        <f t="shared" si="2"/>
        <v>0</v>
      </c>
    </row>
    <row r="41" spans="1:10" ht="14.4" thickBot="1" x14ac:dyDescent="0.3">
      <c r="A41" s="2"/>
      <c r="B41" s="90"/>
      <c r="C41" s="15"/>
      <c r="D41" s="214">
        <f t="shared" si="3"/>
        <v>0</v>
      </c>
      <c r="E41" s="393"/>
      <c r="F41" s="74">
        <f t="shared" si="0"/>
        <v>0</v>
      </c>
      <c r="G41" s="75"/>
      <c r="H41" s="76"/>
      <c r="I41" s="309">
        <f t="shared" si="1"/>
        <v>0</v>
      </c>
      <c r="J41" s="522">
        <f t="shared" si="2"/>
        <v>0</v>
      </c>
    </row>
    <row r="42" spans="1:10" ht="14.4" thickBot="1" x14ac:dyDescent="0.3">
      <c r="A42" s="2"/>
      <c r="B42" s="90"/>
      <c r="C42" s="15"/>
      <c r="D42" s="214">
        <f t="shared" si="3"/>
        <v>0</v>
      </c>
      <c r="E42" s="393"/>
      <c r="F42" s="74">
        <f t="shared" si="0"/>
        <v>0</v>
      </c>
      <c r="G42" s="75"/>
      <c r="H42" s="76"/>
      <c r="I42" s="309">
        <f t="shared" si="1"/>
        <v>0</v>
      </c>
      <c r="J42" s="522">
        <f t="shared" si="2"/>
        <v>0</v>
      </c>
    </row>
    <row r="43" spans="1:10" ht="14.4" thickBot="1" x14ac:dyDescent="0.3">
      <c r="A43" s="2"/>
      <c r="B43" s="90"/>
      <c r="C43" s="15"/>
      <c r="D43" s="214">
        <f t="shared" si="3"/>
        <v>0</v>
      </c>
      <c r="E43" s="393"/>
      <c r="F43" s="74">
        <f t="shared" si="0"/>
        <v>0</v>
      </c>
      <c r="G43" s="75"/>
      <c r="H43" s="76"/>
      <c r="I43" s="309">
        <f t="shared" si="1"/>
        <v>0</v>
      </c>
      <c r="J43" s="522">
        <f t="shared" si="2"/>
        <v>0</v>
      </c>
    </row>
    <row r="44" spans="1:10" ht="14.4" thickBot="1" x14ac:dyDescent="0.3">
      <c r="A44" s="2"/>
      <c r="B44" s="90"/>
      <c r="C44" s="15"/>
      <c r="D44" s="214">
        <f t="shared" si="3"/>
        <v>0</v>
      </c>
      <c r="E44" s="393"/>
      <c r="F44" s="74">
        <f t="shared" si="0"/>
        <v>0</v>
      </c>
      <c r="G44" s="75"/>
      <c r="H44" s="76"/>
      <c r="I44" s="309">
        <f t="shared" si="1"/>
        <v>0</v>
      </c>
      <c r="J44" s="522">
        <f t="shared" si="2"/>
        <v>0</v>
      </c>
    </row>
    <row r="45" spans="1:10" ht="14.4" thickBot="1" x14ac:dyDescent="0.3">
      <c r="A45" s="2"/>
      <c r="B45" s="90"/>
      <c r="C45" s="15"/>
      <c r="D45" s="214">
        <f t="shared" si="3"/>
        <v>0</v>
      </c>
      <c r="E45" s="393"/>
      <c r="F45" s="74">
        <f t="shared" si="0"/>
        <v>0</v>
      </c>
      <c r="G45" s="75"/>
      <c r="H45" s="76"/>
      <c r="I45" s="309">
        <f t="shared" si="1"/>
        <v>0</v>
      </c>
      <c r="J45" s="522">
        <f t="shared" si="2"/>
        <v>0</v>
      </c>
    </row>
    <row r="46" spans="1:10" ht="14.4" thickBot="1" x14ac:dyDescent="0.3">
      <c r="A46" s="2"/>
      <c r="B46" s="90"/>
      <c r="C46" s="15"/>
      <c r="D46" s="214">
        <f t="shared" si="3"/>
        <v>0</v>
      </c>
      <c r="E46" s="393"/>
      <c r="F46" s="74">
        <f t="shared" si="0"/>
        <v>0</v>
      </c>
      <c r="G46" s="75"/>
      <c r="H46" s="76"/>
      <c r="I46" s="309">
        <f t="shared" si="1"/>
        <v>0</v>
      </c>
      <c r="J46" s="522">
        <f t="shared" si="2"/>
        <v>0</v>
      </c>
    </row>
    <row r="47" spans="1:10" ht="14.4" thickBot="1" x14ac:dyDescent="0.3">
      <c r="A47" s="4"/>
      <c r="B47" s="90"/>
      <c r="C47" s="38"/>
      <c r="D47" s="249">
        <f>C47*B37</f>
        <v>0</v>
      </c>
      <c r="E47" s="250"/>
      <c r="F47" s="251">
        <f t="shared" si="0"/>
        <v>0</v>
      </c>
      <c r="G47" s="252"/>
      <c r="H47" s="238"/>
      <c r="J47" s="522">
        <f t="shared" si="2"/>
        <v>0</v>
      </c>
    </row>
    <row r="48" spans="1:10" ht="15.6" thickTop="1" thickBot="1" x14ac:dyDescent="0.35">
      <c r="C48" s="97">
        <f>SUM(C12:C47)</f>
        <v>0</v>
      </c>
      <c r="D48" s="49">
        <f>SUM(D12:D47)</f>
        <v>0</v>
      </c>
      <c r="E48" s="39"/>
      <c r="F48" s="5">
        <f>SUM(F12:F47)</f>
        <v>0</v>
      </c>
      <c r="J48" s="522">
        <f t="shared" si="2"/>
        <v>0</v>
      </c>
    </row>
    <row r="49" spans="1:10" ht="15" thickBot="1" x14ac:dyDescent="0.35">
      <c r="A49" s="53"/>
      <c r="D49" s="121" t="s">
        <v>4</v>
      </c>
      <c r="E49" s="73">
        <f>F5+F6+F8-+C48</f>
        <v>0</v>
      </c>
      <c r="J49" s="522">
        <f t="shared" si="2"/>
        <v>0</v>
      </c>
    </row>
    <row r="50" spans="1:10" ht="14.4" thickBot="1" x14ac:dyDescent="0.3">
      <c r="A50" s="129"/>
    </row>
    <row r="51" spans="1:10" ht="15" thickTop="1" thickBot="1" x14ac:dyDescent="0.3">
      <c r="A51" s="48"/>
      <c r="C51" s="1054" t="s">
        <v>11</v>
      </c>
      <c r="D51" s="1055"/>
      <c r="E51" s="159">
        <f>E6+E5+E8+-F48</f>
        <v>0</v>
      </c>
    </row>
  </sheetData>
  <sortState xmlns:xlrd2="http://schemas.microsoft.com/office/spreadsheetml/2017/richdata2" ref="C5:F8">
    <sortCondition descending="1" ref="D5:D8"/>
  </sortState>
  <mergeCells count="6">
    <mergeCell ref="I10:I11"/>
    <mergeCell ref="J10:J11"/>
    <mergeCell ref="A1:G1"/>
    <mergeCell ref="C51:D51"/>
    <mergeCell ref="B5:B8"/>
    <mergeCell ref="A5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3"/>
  <sheetViews>
    <sheetView workbookViewId="0">
      <selection activeCell="G6" sqref="G6"/>
    </sheetView>
  </sheetViews>
  <sheetFormatPr baseColWidth="10" defaultRowHeight="13.8" x14ac:dyDescent="0.25"/>
  <cols>
    <col min="1" max="1" width="25.33203125" bestFit="1" customWidth="1"/>
    <col min="2" max="2" width="16.33203125" bestFit="1" customWidth="1"/>
    <col min="4" max="4" width="11.33203125" customWidth="1"/>
    <col min="9" max="9" width="12.88671875" customWidth="1"/>
  </cols>
  <sheetData>
    <row r="1" spans="1:10" ht="40.5" x14ac:dyDescent="0.55000000000000004">
      <c r="A1" s="1041" t="s">
        <v>169</v>
      </c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3">
      <c r="B4" s="1088" t="s">
        <v>104</v>
      </c>
      <c r="C4" s="138"/>
      <c r="D4" s="148"/>
      <c r="E4" s="93"/>
      <c r="F4" s="79"/>
      <c r="G4" s="555"/>
    </row>
    <row r="5" spans="1:10" ht="15" customHeight="1" x14ac:dyDescent="0.3">
      <c r="A5" s="82" t="s">
        <v>70</v>
      </c>
      <c r="B5" s="1089"/>
      <c r="C5" s="138">
        <v>46</v>
      </c>
      <c r="D5" s="148">
        <v>44114</v>
      </c>
      <c r="E5" s="82">
        <v>944.27</v>
      </c>
      <c r="F5" s="79">
        <v>35</v>
      </c>
      <c r="G5" s="49">
        <f>F36</f>
        <v>1155.57</v>
      </c>
      <c r="H5" s="151">
        <f>E5-G5+E4+E6+E7+E9+E8+E10</f>
        <v>5.6843418860808015E-14</v>
      </c>
    </row>
    <row r="6" spans="1:10" ht="15" x14ac:dyDescent="0.25">
      <c r="C6" s="138">
        <v>52</v>
      </c>
      <c r="D6" s="148">
        <v>44126</v>
      </c>
      <c r="E6" s="82">
        <v>211.3</v>
      </c>
      <c r="F6" s="79">
        <v>7</v>
      </c>
      <c r="G6" s="79"/>
    </row>
    <row r="7" spans="1:10" ht="15" x14ac:dyDescent="0.25">
      <c r="C7" s="138"/>
      <c r="D7" s="148"/>
      <c r="E7" s="113"/>
      <c r="F7" s="79"/>
      <c r="G7" s="79"/>
    </row>
    <row r="8" spans="1:10" ht="15" x14ac:dyDescent="0.25">
      <c r="C8" s="138"/>
      <c r="D8" s="148"/>
      <c r="E8" s="113"/>
      <c r="F8" s="79"/>
      <c r="G8" s="79"/>
    </row>
    <row r="9" spans="1:10" ht="14.25" customHeight="1" x14ac:dyDescent="0.25">
      <c r="A9" s="382"/>
      <c r="B9" s="382"/>
      <c r="C9" s="713"/>
      <c r="D9" s="714"/>
      <c r="E9" s="113"/>
      <c r="F9" s="79"/>
      <c r="G9" s="79"/>
    </row>
    <row r="10" spans="1:10" ht="14.25" customHeight="1" thickBot="1" x14ac:dyDescent="0.3">
      <c r="A10" s="382"/>
      <c r="B10" s="24"/>
      <c r="C10" s="712"/>
      <c r="D10" s="487"/>
      <c r="E10" s="113"/>
      <c r="F10" s="79"/>
      <c r="G10" s="79"/>
    </row>
    <row r="11" spans="1:10" ht="16.5" thickTop="1" thickBot="1" x14ac:dyDescent="0.3">
      <c r="B11" s="24" t="s">
        <v>7</v>
      </c>
      <c r="C11" s="683" t="s">
        <v>8</v>
      </c>
      <c r="D11" s="684" t="s">
        <v>3</v>
      </c>
      <c r="E11" s="23" t="s">
        <v>2</v>
      </c>
      <c r="F11" s="26" t="s">
        <v>18</v>
      </c>
      <c r="G11" s="10" t="s">
        <v>15</v>
      </c>
      <c r="H11" s="24"/>
      <c r="I11" s="599" t="s">
        <v>86</v>
      </c>
    </row>
    <row r="12" spans="1:10" ht="15.75" thickTop="1" x14ac:dyDescent="0.25">
      <c r="A12" s="60"/>
      <c r="B12" s="337">
        <f>F4+F5+F6+F7+F9-C12+F8+F10</f>
        <v>7</v>
      </c>
      <c r="C12" s="15">
        <v>35</v>
      </c>
      <c r="D12" s="14">
        <v>944.27</v>
      </c>
      <c r="E12" s="392">
        <v>44114</v>
      </c>
      <c r="F12" s="330">
        <f>D12</f>
        <v>944.27</v>
      </c>
      <c r="G12" s="384" t="s">
        <v>127</v>
      </c>
      <c r="H12" s="316">
        <v>48</v>
      </c>
      <c r="I12" s="48">
        <f>E6+E5+E4-F12+E7+E9+E8+E10</f>
        <v>211.29999999999995</v>
      </c>
    </row>
    <row r="13" spans="1:10" ht="15" x14ac:dyDescent="0.25">
      <c r="A13" s="82"/>
      <c r="B13" s="597">
        <f>B12-C13</f>
        <v>0</v>
      </c>
      <c r="C13" s="539">
        <v>7</v>
      </c>
      <c r="D13" s="767">
        <v>211.3</v>
      </c>
      <c r="E13" s="768">
        <v>44141</v>
      </c>
      <c r="F13" s="769">
        <f t="shared" ref="F13:F32" si="0">D13</f>
        <v>211.3</v>
      </c>
      <c r="G13" s="770" t="s">
        <v>345</v>
      </c>
      <c r="H13" s="771">
        <v>54</v>
      </c>
      <c r="I13" s="312">
        <f>I12-F13</f>
        <v>0</v>
      </c>
      <c r="J13" s="286"/>
    </row>
    <row r="14" spans="1:10" ht="15" x14ac:dyDescent="0.25">
      <c r="A14" s="82"/>
      <c r="B14" s="597">
        <f t="shared" ref="B14:B32" si="1">B13-C14</f>
        <v>0</v>
      </c>
      <c r="C14" s="539"/>
      <c r="D14" s="767"/>
      <c r="E14" s="768"/>
      <c r="F14" s="769">
        <f t="shared" si="0"/>
        <v>0</v>
      </c>
      <c r="G14" s="977"/>
      <c r="H14" s="978"/>
      <c r="I14" s="979">
        <f t="shared" ref="I14:I32" si="2">I13-F14</f>
        <v>0</v>
      </c>
      <c r="J14" s="286"/>
    </row>
    <row r="15" spans="1:10" ht="15" x14ac:dyDescent="0.25">
      <c r="A15" s="60"/>
      <c r="B15" s="597">
        <f t="shared" si="1"/>
        <v>0</v>
      </c>
      <c r="C15" s="539"/>
      <c r="D15" s="767"/>
      <c r="E15" s="768"/>
      <c r="F15" s="769">
        <f t="shared" si="0"/>
        <v>0</v>
      </c>
      <c r="G15" s="977"/>
      <c r="H15" s="978"/>
      <c r="I15" s="979">
        <f t="shared" si="2"/>
        <v>0</v>
      </c>
      <c r="J15" s="286"/>
    </row>
    <row r="16" spans="1:10" ht="15" x14ac:dyDescent="0.25">
      <c r="A16" s="82"/>
      <c r="B16" s="597">
        <f t="shared" si="1"/>
        <v>0</v>
      </c>
      <c r="C16" s="539"/>
      <c r="D16" s="767"/>
      <c r="E16" s="768"/>
      <c r="F16" s="769">
        <f t="shared" si="0"/>
        <v>0</v>
      </c>
      <c r="G16" s="977"/>
      <c r="H16" s="978"/>
      <c r="I16" s="979">
        <f t="shared" si="2"/>
        <v>0</v>
      </c>
      <c r="J16" s="286"/>
    </row>
    <row r="17" spans="1:10" ht="15" x14ac:dyDescent="0.25">
      <c r="A17" s="82"/>
      <c r="B17" s="597">
        <f t="shared" si="1"/>
        <v>0</v>
      </c>
      <c r="C17" s="539"/>
      <c r="D17" s="767"/>
      <c r="E17" s="768"/>
      <c r="F17" s="769">
        <f t="shared" si="0"/>
        <v>0</v>
      </c>
      <c r="G17" s="770"/>
      <c r="H17" s="772"/>
      <c r="I17" s="312">
        <f t="shared" si="2"/>
        <v>0</v>
      </c>
      <c r="J17" s="286"/>
    </row>
    <row r="18" spans="1:10" ht="15" x14ac:dyDescent="0.25">
      <c r="B18" s="597">
        <f t="shared" si="1"/>
        <v>0</v>
      </c>
      <c r="C18" s="539"/>
      <c r="D18" s="767"/>
      <c r="E18" s="768"/>
      <c r="F18" s="769">
        <f t="shared" si="0"/>
        <v>0</v>
      </c>
      <c r="G18" s="770"/>
      <c r="H18" s="772"/>
      <c r="I18" s="312">
        <f t="shared" si="2"/>
        <v>0</v>
      </c>
    </row>
    <row r="19" spans="1:10" ht="15" x14ac:dyDescent="0.25">
      <c r="B19" s="597">
        <f t="shared" si="1"/>
        <v>0</v>
      </c>
      <c r="C19" s="539"/>
      <c r="D19" s="575"/>
      <c r="E19" s="601"/>
      <c r="F19" s="540">
        <f t="shared" si="0"/>
        <v>0</v>
      </c>
      <c r="G19" s="576"/>
      <c r="H19" s="577"/>
      <c r="I19" s="312">
        <f t="shared" si="2"/>
        <v>0</v>
      </c>
    </row>
    <row r="20" spans="1:10" ht="15" x14ac:dyDescent="0.25">
      <c r="B20" s="597">
        <f t="shared" si="1"/>
        <v>0</v>
      </c>
      <c r="C20" s="539"/>
      <c r="D20" s="575"/>
      <c r="E20" s="602"/>
      <c r="F20" s="540">
        <f t="shared" si="0"/>
        <v>0</v>
      </c>
      <c r="G20" s="576"/>
      <c r="H20" s="577"/>
      <c r="I20" s="312">
        <f t="shared" si="2"/>
        <v>0</v>
      </c>
    </row>
    <row r="21" spans="1:10" ht="15" x14ac:dyDescent="0.25">
      <c r="B21" s="597">
        <f t="shared" si="1"/>
        <v>0</v>
      </c>
      <c r="C21" s="539"/>
      <c r="D21" s="575"/>
      <c r="E21" s="602"/>
      <c r="F21" s="540">
        <f t="shared" si="0"/>
        <v>0</v>
      </c>
      <c r="G21" s="576"/>
      <c r="H21" s="577"/>
      <c r="I21" s="312">
        <f t="shared" si="2"/>
        <v>0</v>
      </c>
    </row>
    <row r="22" spans="1:10" ht="15" x14ac:dyDescent="0.25">
      <c r="B22" s="597">
        <f t="shared" si="1"/>
        <v>0</v>
      </c>
      <c r="C22" s="539"/>
      <c r="D22" s="575"/>
      <c r="E22" s="602"/>
      <c r="F22" s="540">
        <f t="shared" si="0"/>
        <v>0</v>
      </c>
      <c r="G22" s="541"/>
      <c r="H22" s="588"/>
      <c r="I22" s="48">
        <f t="shared" si="2"/>
        <v>0</v>
      </c>
    </row>
    <row r="23" spans="1:10" ht="15" x14ac:dyDescent="0.25">
      <c r="B23" s="597">
        <f t="shared" si="1"/>
        <v>0</v>
      </c>
      <c r="C23" s="539"/>
      <c r="D23" s="575"/>
      <c r="E23" s="602"/>
      <c r="F23" s="540">
        <f t="shared" si="0"/>
        <v>0</v>
      </c>
      <c r="G23" s="541"/>
      <c r="H23" s="588"/>
      <c r="I23" s="48">
        <f t="shared" si="2"/>
        <v>0</v>
      </c>
    </row>
    <row r="24" spans="1:10" ht="15" x14ac:dyDescent="0.25">
      <c r="B24" s="597">
        <f t="shared" si="1"/>
        <v>0</v>
      </c>
      <c r="C24" s="539"/>
      <c r="D24" s="575"/>
      <c r="E24" s="602"/>
      <c r="F24" s="540">
        <f t="shared" si="0"/>
        <v>0</v>
      </c>
      <c r="G24" s="541"/>
      <c r="H24" s="588"/>
      <c r="I24" s="48">
        <f t="shared" si="2"/>
        <v>0</v>
      </c>
    </row>
    <row r="25" spans="1:10" ht="15" x14ac:dyDescent="0.25">
      <c r="B25" s="597">
        <f t="shared" si="1"/>
        <v>0</v>
      </c>
      <c r="C25" s="539"/>
      <c r="D25" s="575"/>
      <c r="E25" s="602"/>
      <c r="F25" s="540">
        <f t="shared" si="0"/>
        <v>0</v>
      </c>
      <c r="G25" s="541"/>
      <c r="H25" s="588"/>
      <c r="I25" s="48">
        <f t="shared" si="2"/>
        <v>0</v>
      </c>
    </row>
    <row r="26" spans="1:10" x14ac:dyDescent="0.25">
      <c r="B26" s="597">
        <f t="shared" si="1"/>
        <v>0</v>
      </c>
      <c r="C26" s="539"/>
      <c r="D26" s="575"/>
      <c r="E26" s="602"/>
      <c r="F26" s="540">
        <f t="shared" si="0"/>
        <v>0</v>
      </c>
      <c r="G26" s="541"/>
      <c r="H26" s="588"/>
      <c r="I26" s="48">
        <f t="shared" si="2"/>
        <v>0</v>
      </c>
    </row>
    <row r="27" spans="1:10" x14ac:dyDescent="0.25">
      <c r="B27" s="597">
        <f t="shared" si="1"/>
        <v>0</v>
      </c>
      <c r="C27" s="539"/>
      <c r="D27" s="575"/>
      <c r="E27" s="602"/>
      <c r="F27" s="540">
        <f t="shared" si="0"/>
        <v>0</v>
      </c>
      <c r="G27" s="541"/>
      <c r="H27" s="588"/>
      <c r="I27" s="48">
        <f t="shared" si="2"/>
        <v>0</v>
      </c>
    </row>
    <row r="28" spans="1:10" x14ac:dyDescent="0.25">
      <c r="B28" s="597">
        <f t="shared" si="1"/>
        <v>0</v>
      </c>
      <c r="C28" s="539"/>
      <c r="D28" s="575"/>
      <c r="E28" s="602"/>
      <c r="F28" s="540">
        <f t="shared" si="0"/>
        <v>0</v>
      </c>
      <c r="G28" s="541"/>
      <c r="H28" s="588"/>
      <c r="I28" s="48">
        <f t="shared" si="2"/>
        <v>0</v>
      </c>
    </row>
    <row r="29" spans="1:10" x14ac:dyDescent="0.25">
      <c r="B29" s="597">
        <f t="shared" si="1"/>
        <v>0</v>
      </c>
      <c r="C29" s="539"/>
      <c r="D29" s="575"/>
      <c r="E29" s="602"/>
      <c r="F29" s="540">
        <f t="shared" si="0"/>
        <v>0</v>
      </c>
      <c r="G29" s="541"/>
      <c r="H29" s="588"/>
      <c r="I29" s="48">
        <f t="shared" si="2"/>
        <v>0</v>
      </c>
    </row>
    <row r="30" spans="1:10" x14ac:dyDescent="0.25">
      <c r="B30" s="597">
        <f t="shared" si="1"/>
        <v>0</v>
      </c>
      <c r="C30" s="539"/>
      <c r="D30" s="575"/>
      <c r="E30" s="602"/>
      <c r="F30" s="540">
        <f t="shared" si="0"/>
        <v>0</v>
      </c>
      <c r="G30" s="541"/>
      <c r="H30" s="588"/>
      <c r="I30" s="48">
        <f t="shared" si="2"/>
        <v>0</v>
      </c>
    </row>
    <row r="31" spans="1:10" x14ac:dyDescent="0.25">
      <c r="B31" s="597">
        <f t="shared" si="1"/>
        <v>0</v>
      </c>
      <c r="C31" s="539"/>
      <c r="D31" s="575"/>
      <c r="E31" s="602"/>
      <c r="F31" s="540">
        <f t="shared" si="0"/>
        <v>0</v>
      </c>
      <c r="G31" s="541"/>
      <c r="H31" s="588"/>
      <c r="I31" s="48">
        <f t="shared" si="2"/>
        <v>0</v>
      </c>
    </row>
    <row r="32" spans="1:10" x14ac:dyDescent="0.25">
      <c r="B32" s="597">
        <f t="shared" si="1"/>
        <v>0</v>
      </c>
      <c r="C32" s="539"/>
      <c r="D32" s="575"/>
      <c r="E32" s="602"/>
      <c r="F32" s="540">
        <f t="shared" si="0"/>
        <v>0</v>
      </c>
      <c r="G32" s="541"/>
      <c r="H32" s="588"/>
      <c r="I32" s="48">
        <f t="shared" si="2"/>
        <v>0</v>
      </c>
    </row>
    <row r="33" spans="1:9" x14ac:dyDescent="0.25">
      <c r="B33" s="598"/>
      <c r="C33" s="539"/>
      <c r="D33" s="575"/>
      <c r="E33" s="589"/>
      <c r="F33" s="575"/>
      <c r="G33" s="590"/>
      <c r="H33" s="588"/>
    </row>
    <row r="34" spans="1:9" x14ac:dyDescent="0.25">
      <c r="B34" s="598"/>
      <c r="C34" s="539"/>
      <c r="D34" s="575"/>
      <c r="E34" s="591"/>
      <c r="F34" s="575"/>
      <c r="G34" s="591"/>
      <c r="H34" s="591"/>
    </row>
    <row r="35" spans="1:9" ht="14.4" thickBot="1" x14ac:dyDescent="0.3">
      <c r="B35" s="80"/>
      <c r="C35" s="542"/>
      <c r="D35" s="592"/>
      <c r="E35" s="593"/>
      <c r="F35" s="592"/>
      <c r="G35" s="594"/>
      <c r="H35" s="594"/>
      <c r="I35" s="24"/>
    </row>
    <row r="36" spans="1:9" ht="15" thickTop="1" thickBot="1" x14ac:dyDescent="0.3">
      <c r="A36" s="82"/>
      <c r="B36" s="82"/>
      <c r="C36" s="113">
        <f>SUM(C12:C35)</f>
        <v>42</v>
      </c>
      <c r="D36" s="113">
        <f>SUM(D12:D35)</f>
        <v>1155.57</v>
      </c>
      <c r="E36" s="82"/>
      <c r="F36" s="113">
        <f>SUM(F12:F35)</f>
        <v>1155.57</v>
      </c>
      <c r="G36" s="82"/>
      <c r="H36" s="82"/>
    </row>
    <row r="37" spans="1:9" x14ac:dyDescent="0.25">
      <c r="A37" s="82"/>
      <c r="B37" s="82"/>
      <c r="C37" s="82"/>
      <c r="D37" s="551" t="s">
        <v>21</v>
      </c>
      <c r="E37" s="552"/>
      <c r="F37" s="154">
        <f>E6+E5+E4-F36+E7</f>
        <v>0</v>
      </c>
      <c r="G37" s="82"/>
      <c r="H37" s="82"/>
    </row>
    <row r="38" spans="1:9" ht="14.4" thickBot="1" x14ac:dyDescent="0.3">
      <c r="A38" s="82"/>
      <c r="B38" s="82"/>
      <c r="C38" s="82"/>
      <c r="D38" s="553" t="s">
        <v>4</v>
      </c>
      <c r="E38" s="554"/>
      <c r="F38" s="672">
        <f>F4+F5+F6+F7+F9-C36</f>
        <v>0</v>
      </c>
      <c r="G38" s="82"/>
      <c r="H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</row>
    <row r="42" spans="1:9" x14ac:dyDescent="0.25">
      <c r="A42" s="82"/>
      <c r="B42" s="82"/>
      <c r="C42" s="82"/>
      <c r="D42" s="82"/>
      <c r="E42" s="82"/>
      <c r="F42" s="82"/>
      <c r="G42" s="82"/>
      <c r="H42" s="82"/>
    </row>
    <row r="43" spans="1:9" x14ac:dyDescent="0.25">
      <c r="A43" s="82"/>
      <c r="B43" s="82"/>
      <c r="C43" s="82"/>
      <c r="D43" s="82"/>
      <c r="E43" s="82"/>
      <c r="F43" s="82"/>
      <c r="G43" s="82"/>
      <c r="H43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653C-C0F4-4BEE-BEDF-FA8FC729F873}">
  <sheetPr>
    <tabColor theme="0" tint="-0.34998626667073579"/>
  </sheetPr>
  <dimension ref="A1:I41"/>
  <sheetViews>
    <sheetView workbookViewId="0">
      <selection activeCell="D15" sqref="D14:D15"/>
    </sheetView>
  </sheetViews>
  <sheetFormatPr baseColWidth="10" defaultRowHeight="13.8" x14ac:dyDescent="0.25"/>
  <cols>
    <col min="1" max="1" width="25.33203125" bestFit="1" customWidth="1"/>
    <col min="2" max="2" width="16.33203125" bestFit="1" customWidth="1"/>
    <col min="4" max="4" width="11.33203125" customWidth="1"/>
    <col min="9" max="9" width="12.88671875" customWidth="1"/>
  </cols>
  <sheetData>
    <row r="1" spans="1:9" ht="40.5" x14ac:dyDescent="0.55000000000000004">
      <c r="A1" s="1041" t="s">
        <v>172</v>
      </c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" thickTop="1" x14ac:dyDescent="0.3">
      <c r="B4" s="1090" t="s">
        <v>93</v>
      </c>
      <c r="C4" s="110"/>
      <c r="D4" s="148"/>
      <c r="E4" s="93"/>
      <c r="F4" s="79"/>
      <c r="G4" s="722"/>
    </row>
    <row r="5" spans="1:9" ht="14.4" x14ac:dyDescent="0.3">
      <c r="A5" s="82" t="s">
        <v>121</v>
      </c>
      <c r="B5" s="1091"/>
      <c r="C5" s="110">
        <v>53</v>
      </c>
      <c r="D5" s="148">
        <v>44119</v>
      </c>
      <c r="E5" s="93">
        <v>408.6</v>
      </c>
      <c r="F5" s="79">
        <v>30</v>
      </c>
      <c r="G5" s="49">
        <f>F34</f>
        <v>408.6</v>
      </c>
      <c r="H5" s="151">
        <f>E5-G5+E4+E6+E7+E8</f>
        <v>0</v>
      </c>
    </row>
    <row r="6" spans="1:9" ht="15" x14ac:dyDescent="0.25">
      <c r="B6" s="79" t="s">
        <v>94</v>
      </c>
      <c r="C6" s="110"/>
      <c r="D6" s="148"/>
      <c r="E6" s="82"/>
      <c r="F6" s="79"/>
      <c r="G6" s="79"/>
    </row>
    <row r="7" spans="1:9" ht="15" x14ac:dyDescent="0.25">
      <c r="C7" s="110"/>
      <c r="D7" s="148"/>
      <c r="E7" s="113"/>
      <c r="F7" s="79"/>
      <c r="G7" s="79"/>
    </row>
    <row r="8" spans="1:9" ht="15.75" thickBot="1" x14ac:dyDescent="0.3">
      <c r="C8" s="110"/>
      <c r="D8" s="148"/>
      <c r="E8" s="113"/>
      <c r="F8" s="79"/>
      <c r="G8" s="79"/>
    </row>
    <row r="9" spans="1:9" ht="16.5" thickTop="1" thickBot="1" x14ac:dyDescent="0.3">
      <c r="B9" s="24" t="s">
        <v>7</v>
      </c>
      <c r="C9" s="20" t="s">
        <v>8</v>
      </c>
      <c r="D9" s="120" t="s">
        <v>3</v>
      </c>
      <c r="E9" s="23" t="s">
        <v>2</v>
      </c>
      <c r="F9" s="26" t="s">
        <v>18</v>
      </c>
      <c r="G9" s="10" t="s">
        <v>15</v>
      </c>
      <c r="H9" s="24"/>
      <c r="I9" s="599" t="s">
        <v>86</v>
      </c>
    </row>
    <row r="10" spans="1:9" ht="15.75" thickTop="1" x14ac:dyDescent="0.25">
      <c r="A10" s="60"/>
      <c r="B10" s="337">
        <f>F4+F5+F6+F7+F8-C10</f>
        <v>20</v>
      </c>
      <c r="C10" s="15">
        <v>10</v>
      </c>
      <c r="D10" s="14">
        <v>136.19999999999999</v>
      </c>
      <c r="E10" s="392">
        <v>44125</v>
      </c>
      <c r="F10" s="330">
        <f>D10</f>
        <v>136.19999999999999</v>
      </c>
      <c r="G10" s="384" t="s">
        <v>134</v>
      </c>
      <c r="H10" s="316">
        <v>55</v>
      </c>
      <c r="I10" s="312">
        <f>E6+E5+E4-F10+E7+E8</f>
        <v>272.40000000000003</v>
      </c>
    </row>
    <row r="11" spans="1:9" ht="15" x14ac:dyDescent="0.25">
      <c r="A11" s="82"/>
      <c r="B11" s="597">
        <f>B10-C11</f>
        <v>13</v>
      </c>
      <c r="C11" s="539">
        <v>7</v>
      </c>
      <c r="D11" s="883">
        <v>95.34</v>
      </c>
      <c r="E11" s="875">
        <v>44139</v>
      </c>
      <c r="F11" s="876">
        <f t="shared" ref="F11:F30" si="0">D11</f>
        <v>95.34</v>
      </c>
      <c r="G11" s="877" t="s">
        <v>324</v>
      </c>
      <c r="H11" s="880">
        <v>55</v>
      </c>
      <c r="I11" s="312">
        <f>I10-F11</f>
        <v>177.06000000000003</v>
      </c>
    </row>
    <row r="12" spans="1:9" ht="15" x14ac:dyDescent="0.25">
      <c r="A12" s="82"/>
      <c r="B12" s="597">
        <f t="shared" ref="B12:B30" si="1">B11-C12</f>
        <v>3</v>
      </c>
      <c r="C12" s="539">
        <v>10</v>
      </c>
      <c r="D12" s="883">
        <v>136.19999999999999</v>
      </c>
      <c r="E12" s="875">
        <v>44139</v>
      </c>
      <c r="F12" s="876">
        <f t="shared" si="0"/>
        <v>136.19999999999999</v>
      </c>
      <c r="G12" s="877" t="s">
        <v>325</v>
      </c>
      <c r="H12" s="880">
        <v>55</v>
      </c>
      <c r="I12" s="312">
        <f t="shared" ref="I12:I30" si="2">I11-F12</f>
        <v>40.860000000000042</v>
      </c>
    </row>
    <row r="13" spans="1:9" ht="15" x14ac:dyDescent="0.25">
      <c r="A13" s="60"/>
      <c r="B13" s="597">
        <f t="shared" si="1"/>
        <v>0</v>
      </c>
      <c r="C13" s="539">
        <v>3</v>
      </c>
      <c r="D13" s="883">
        <v>40.86</v>
      </c>
      <c r="E13" s="875">
        <v>44139</v>
      </c>
      <c r="F13" s="876">
        <f t="shared" si="0"/>
        <v>40.86</v>
      </c>
      <c r="G13" s="877" t="s">
        <v>327</v>
      </c>
      <c r="H13" s="880">
        <v>55</v>
      </c>
      <c r="I13" s="312">
        <f t="shared" si="2"/>
        <v>0</v>
      </c>
    </row>
    <row r="14" spans="1:9" ht="15" x14ac:dyDescent="0.25">
      <c r="A14" s="82"/>
      <c r="B14" s="597">
        <f t="shared" si="1"/>
        <v>0</v>
      </c>
      <c r="C14" s="539"/>
      <c r="D14" s="883"/>
      <c r="E14" s="875"/>
      <c r="F14" s="876">
        <f t="shared" si="0"/>
        <v>0</v>
      </c>
      <c r="G14" s="890"/>
      <c r="H14" s="891"/>
      <c r="I14" s="892">
        <f t="shared" si="2"/>
        <v>0</v>
      </c>
    </row>
    <row r="15" spans="1:9" ht="15" x14ac:dyDescent="0.25">
      <c r="A15" s="82"/>
      <c r="B15" s="597">
        <f t="shared" si="1"/>
        <v>0</v>
      </c>
      <c r="C15" s="539"/>
      <c r="D15" s="883"/>
      <c r="E15" s="875"/>
      <c r="F15" s="876">
        <f t="shared" si="0"/>
        <v>0</v>
      </c>
      <c r="G15" s="890"/>
      <c r="H15" s="891"/>
      <c r="I15" s="892">
        <f t="shared" si="2"/>
        <v>0</v>
      </c>
    </row>
    <row r="16" spans="1:9" ht="15" x14ac:dyDescent="0.25">
      <c r="B16" s="597">
        <f t="shared" si="1"/>
        <v>0</v>
      </c>
      <c r="C16" s="539"/>
      <c r="D16" s="883"/>
      <c r="E16" s="875"/>
      <c r="F16" s="876">
        <f t="shared" si="0"/>
        <v>0</v>
      </c>
      <c r="G16" s="890"/>
      <c r="H16" s="891"/>
      <c r="I16" s="892">
        <f t="shared" si="2"/>
        <v>0</v>
      </c>
    </row>
    <row r="17" spans="2:9" ht="15" x14ac:dyDescent="0.25">
      <c r="B17" s="597">
        <f t="shared" si="1"/>
        <v>0</v>
      </c>
      <c r="C17" s="539"/>
      <c r="D17" s="883"/>
      <c r="E17" s="875"/>
      <c r="F17" s="876">
        <f t="shared" si="0"/>
        <v>0</v>
      </c>
      <c r="G17" s="890"/>
      <c r="H17" s="891"/>
      <c r="I17" s="892">
        <f t="shared" si="2"/>
        <v>0</v>
      </c>
    </row>
    <row r="18" spans="2:9" ht="15" x14ac:dyDescent="0.25">
      <c r="B18" s="597">
        <f t="shared" si="1"/>
        <v>0</v>
      </c>
      <c r="C18" s="539"/>
      <c r="D18" s="883"/>
      <c r="E18" s="878"/>
      <c r="F18" s="876">
        <f t="shared" si="0"/>
        <v>0</v>
      </c>
      <c r="G18" s="890"/>
      <c r="H18" s="891"/>
      <c r="I18" s="892">
        <f t="shared" si="2"/>
        <v>0</v>
      </c>
    </row>
    <row r="19" spans="2:9" ht="15" x14ac:dyDescent="0.25">
      <c r="B19" s="597">
        <f t="shared" si="1"/>
        <v>0</v>
      </c>
      <c r="C19" s="539"/>
      <c r="D19" s="883"/>
      <c r="E19" s="878"/>
      <c r="F19" s="876">
        <f t="shared" si="0"/>
        <v>0</v>
      </c>
      <c r="G19" s="877"/>
      <c r="H19" s="880"/>
      <c r="I19" s="312">
        <f t="shared" si="2"/>
        <v>0</v>
      </c>
    </row>
    <row r="20" spans="2:9" ht="15" x14ac:dyDescent="0.25">
      <c r="B20" s="597">
        <f t="shared" si="1"/>
        <v>0</v>
      </c>
      <c r="C20" s="539"/>
      <c r="D20" s="883"/>
      <c r="E20" s="878"/>
      <c r="F20" s="876">
        <f t="shared" si="0"/>
        <v>0</v>
      </c>
      <c r="G20" s="879"/>
      <c r="H20" s="881"/>
      <c r="I20" s="48">
        <f t="shared" si="2"/>
        <v>0</v>
      </c>
    </row>
    <row r="21" spans="2:9" ht="15" x14ac:dyDescent="0.25">
      <c r="B21" s="597">
        <f t="shared" si="1"/>
        <v>0</v>
      </c>
      <c r="C21" s="539"/>
      <c r="D21" s="884"/>
      <c r="E21" s="602"/>
      <c r="F21" s="540">
        <f t="shared" si="0"/>
        <v>0</v>
      </c>
      <c r="G21" s="541"/>
      <c r="H21" s="882"/>
      <c r="I21" s="48">
        <f t="shared" si="2"/>
        <v>0</v>
      </c>
    </row>
    <row r="22" spans="2:9" ht="15" x14ac:dyDescent="0.25">
      <c r="B22" s="597">
        <f t="shared" si="1"/>
        <v>0</v>
      </c>
      <c r="C22" s="539"/>
      <c r="D22" s="884"/>
      <c r="E22" s="602"/>
      <c r="F22" s="540">
        <f t="shared" si="0"/>
        <v>0</v>
      </c>
      <c r="G22" s="541"/>
      <c r="H22" s="882"/>
      <c r="I22" s="48">
        <f t="shared" si="2"/>
        <v>0</v>
      </c>
    </row>
    <row r="23" spans="2:9" ht="15" x14ac:dyDescent="0.25">
      <c r="B23" s="597">
        <f t="shared" si="1"/>
        <v>0</v>
      </c>
      <c r="C23" s="539"/>
      <c r="D23" s="884"/>
      <c r="E23" s="602"/>
      <c r="F23" s="540">
        <f t="shared" si="0"/>
        <v>0</v>
      </c>
      <c r="G23" s="541"/>
      <c r="H23" s="882"/>
      <c r="I23" s="48">
        <f t="shared" si="2"/>
        <v>0</v>
      </c>
    </row>
    <row r="24" spans="2:9" ht="15" x14ac:dyDescent="0.25">
      <c r="B24" s="597">
        <f t="shared" si="1"/>
        <v>0</v>
      </c>
      <c r="C24" s="539"/>
      <c r="D24" s="884"/>
      <c r="E24" s="602"/>
      <c r="F24" s="540">
        <f t="shared" si="0"/>
        <v>0</v>
      </c>
      <c r="G24" s="541"/>
      <c r="H24" s="882"/>
      <c r="I24" s="48">
        <f t="shared" si="2"/>
        <v>0</v>
      </c>
    </row>
    <row r="25" spans="2:9" ht="15" x14ac:dyDescent="0.25">
      <c r="B25" s="597">
        <f t="shared" si="1"/>
        <v>0</v>
      </c>
      <c r="C25" s="539"/>
      <c r="D25" s="884"/>
      <c r="E25" s="602"/>
      <c r="F25" s="540">
        <f t="shared" si="0"/>
        <v>0</v>
      </c>
      <c r="G25" s="541"/>
      <c r="H25" s="882"/>
      <c r="I25" s="48">
        <f t="shared" si="2"/>
        <v>0</v>
      </c>
    </row>
    <row r="26" spans="2:9" x14ac:dyDescent="0.25">
      <c r="B26" s="597">
        <f t="shared" si="1"/>
        <v>0</v>
      </c>
      <c r="C26" s="539"/>
      <c r="D26" s="884"/>
      <c r="E26" s="602"/>
      <c r="F26" s="540">
        <f t="shared" si="0"/>
        <v>0</v>
      </c>
      <c r="G26" s="541"/>
      <c r="H26" s="882"/>
      <c r="I26" s="48">
        <f t="shared" si="2"/>
        <v>0</v>
      </c>
    </row>
    <row r="27" spans="2:9" x14ac:dyDescent="0.25">
      <c r="B27" s="597">
        <f t="shared" si="1"/>
        <v>0</v>
      </c>
      <c r="C27" s="539"/>
      <c r="D27" s="884"/>
      <c r="E27" s="602"/>
      <c r="F27" s="540">
        <f t="shared" si="0"/>
        <v>0</v>
      </c>
      <c r="G27" s="541"/>
      <c r="H27" s="588"/>
      <c r="I27" s="48">
        <f t="shared" si="2"/>
        <v>0</v>
      </c>
    </row>
    <row r="28" spans="2:9" x14ac:dyDescent="0.25">
      <c r="B28" s="597">
        <f t="shared" si="1"/>
        <v>0</v>
      </c>
      <c r="C28" s="539"/>
      <c r="D28" s="884"/>
      <c r="E28" s="602"/>
      <c r="F28" s="540">
        <f t="shared" si="0"/>
        <v>0</v>
      </c>
      <c r="G28" s="541"/>
      <c r="H28" s="588"/>
      <c r="I28" s="48">
        <f t="shared" si="2"/>
        <v>0</v>
      </c>
    </row>
    <row r="29" spans="2:9" x14ac:dyDescent="0.25">
      <c r="B29" s="597">
        <f t="shared" si="1"/>
        <v>0</v>
      </c>
      <c r="C29" s="539"/>
      <c r="D29" s="884"/>
      <c r="E29" s="602"/>
      <c r="F29" s="540">
        <f t="shared" si="0"/>
        <v>0</v>
      </c>
      <c r="G29" s="541"/>
      <c r="H29" s="588"/>
      <c r="I29" s="48">
        <f t="shared" si="2"/>
        <v>0</v>
      </c>
    </row>
    <row r="30" spans="2:9" x14ac:dyDescent="0.25">
      <c r="B30" s="597">
        <f t="shared" si="1"/>
        <v>0</v>
      </c>
      <c r="C30" s="539"/>
      <c r="D30" s="575"/>
      <c r="E30" s="602"/>
      <c r="F30" s="540">
        <f t="shared" si="0"/>
        <v>0</v>
      </c>
      <c r="G30" s="541"/>
      <c r="H30" s="588"/>
      <c r="I30" s="48">
        <f t="shared" si="2"/>
        <v>0</v>
      </c>
    </row>
    <row r="31" spans="2:9" x14ac:dyDescent="0.25">
      <c r="B31" s="598"/>
      <c r="C31" s="539"/>
      <c r="D31" s="575"/>
      <c r="E31" s="589"/>
      <c r="F31" s="575"/>
      <c r="G31" s="590"/>
      <c r="H31" s="588"/>
    </row>
    <row r="32" spans="2:9" x14ac:dyDescent="0.25">
      <c r="B32" s="598"/>
      <c r="C32" s="539"/>
      <c r="D32" s="575"/>
      <c r="E32" s="591"/>
      <c r="F32" s="575"/>
      <c r="G32" s="591"/>
      <c r="H32" s="591"/>
    </row>
    <row r="33" spans="1:9" ht="14.4" thickBot="1" x14ac:dyDescent="0.3">
      <c r="B33" s="80"/>
      <c r="C33" s="542"/>
      <c r="D33" s="592"/>
      <c r="E33" s="593"/>
      <c r="F33" s="592"/>
      <c r="G33" s="594"/>
      <c r="H33" s="594"/>
      <c r="I33" s="24"/>
    </row>
    <row r="34" spans="1:9" ht="15" thickTop="1" thickBot="1" x14ac:dyDescent="0.3">
      <c r="A34" s="82"/>
      <c r="B34" s="82"/>
      <c r="C34" s="82"/>
      <c r="D34" s="113">
        <f>SUM(D10:D33)</f>
        <v>408.6</v>
      </c>
      <c r="E34" s="82"/>
      <c r="F34" s="113">
        <f>SUM(F10:F33)</f>
        <v>408.6</v>
      </c>
      <c r="G34" s="82"/>
      <c r="H34" s="82"/>
    </row>
    <row r="35" spans="1:9" x14ac:dyDescent="0.25">
      <c r="A35" s="82"/>
      <c r="B35" s="82"/>
      <c r="C35" s="82"/>
      <c r="D35" s="718" t="s">
        <v>21</v>
      </c>
      <c r="E35" s="719"/>
      <c r="F35" s="154">
        <f>E6+E5+E4-F34</f>
        <v>0</v>
      </c>
      <c r="G35" s="82"/>
      <c r="H35" s="82"/>
    </row>
    <row r="36" spans="1:9" ht="14.4" thickBot="1" x14ac:dyDescent="0.3">
      <c r="A36" s="82"/>
      <c r="B36" s="82"/>
      <c r="C36" s="82"/>
      <c r="D36" s="720" t="s">
        <v>4</v>
      </c>
      <c r="E36" s="721"/>
      <c r="F36" s="50">
        <f>F5+F4-C10+F6+F7</f>
        <v>20</v>
      </c>
      <c r="G36" s="82"/>
      <c r="H36" s="82"/>
    </row>
    <row r="37" spans="1:9" x14ac:dyDescent="0.25">
      <c r="A37" s="82"/>
      <c r="B37" s="82"/>
      <c r="C37" s="82"/>
      <c r="D37" s="82"/>
      <c r="E37" s="82"/>
      <c r="F37" s="82"/>
      <c r="G37" s="82"/>
      <c r="H37" s="82"/>
    </row>
    <row r="38" spans="1:9" x14ac:dyDescent="0.25">
      <c r="A38" s="82"/>
      <c r="B38" s="82"/>
      <c r="C38" s="82"/>
      <c r="D38" s="82"/>
      <c r="E38" s="82"/>
      <c r="F38" s="82"/>
      <c r="G38" s="82"/>
      <c r="H38" s="82"/>
    </row>
    <row r="39" spans="1:9" x14ac:dyDescent="0.25">
      <c r="A39" s="82"/>
      <c r="B39" s="82"/>
      <c r="C39" s="82"/>
      <c r="D39" s="82"/>
      <c r="E39" s="82"/>
      <c r="F39" s="82"/>
      <c r="G39" s="82"/>
      <c r="H39" s="82"/>
    </row>
    <row r="40" spans="1:9" x14ac:dyDescent="0.25">
      <c r="A40" s="82"/>
      <c r="B40" s="82"/>
      <c r="C40" s="82"/>
      <c r="D40" s="82"/>
      <c r="E40" s="82"/>
      <c r="F40" s="82"/>
      <c r="G40" s="82"/>
      <c r="H40" s="82"/>
    </row>
    <row r="41" spans="1:9" x14ac:dyDescent="0.25">
      <c r="A41" s="82"/>
      <c r="B41" s="82"/>
      <c r="C41" s="82"/>
      <c r="D41" s="82"/>
      <c r="E41" s="82"/>
      <c r="F41" s="82"/>
      <c r="G41" s="82"/>
      <c r="H41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rgb="FF33CCFF"/>
  </sheetPr>
  <dimension ref="A1:I39"/>
  <sheetViews>
    <sheetView workbookViewId="0">
      <selection activeCell="G10" sqref="G10:I12"/>
    </sheetView>
  </sheetViews>
  <sheetFormatPr baseColWidth="10" defaultRowHeight="13.8" x14ac:dyDescent="0.25"/>
  <cols>
    <col min="1" max="1" width="25.33203125" bestFit="1" customWidth="1"/>
    <col min="2" max="2" width="16.33203125" bestFit="1" customWidth="1"/>
    <col min="4" max="4" width="11.33203125" customWidth="1"/>
  </cols>
  <sheetData>
    <row r="1" spans="1:9" ht="40.5" x14ac:dyDescent="0.55000000000000004">
      <c r="A1" s="1041" t="s">
        <v>173</v>
      </c>
      <c r="B1" s="1041"/>
      <c r="C1" s="1041"/>
      <c r="D1" s="1041"/>
      <c r="E1" s="1041"/>
      <c r="F1" s="1041"/>
      <c r="G1" s="10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" thickTop="1" x14ac:dyDescent="0.3">
      <c r="B4" s="1092" t="s">
        <v>122</v>
      </c>
      <c r="C4" s="110">
        <v>54</v>
      </c>
      <c r="D4" s="148">
        <v>44120</v>
      </c>
      <c r="E4" s="93">
        <v>179.85</v>
      </c>
      <c r="F4" s="79">
        <v>7</v>
      </c>
      <c r="G4" s="528"/>
    </row>
    <row r="5" spans="1:9" ht="14.4" x14ac:dyDescent="0.3">
      <c r="A5" s="82" t="s">
        <v>70</v>
      </c>
      <c r="B5" s="1093"/>
      <c r="C5" s="110">
        <v>57</v>
      </c>
      <c r="D5" s="148">
        <v>44126</v>
      </c>
      <c r="E5" s="93">
        <v>411.58</v>
      </c>
      <c r="F5" s="79">
        <v>15</v>
      </c>
      <c r="G5" s="49">
        <f>F32</f>
        <v>591.42999999999995</v>
      </c>
      <c r="H5" s="151">
        <f>E5-G5</f>
        <v>-179.84999999999997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7</v>
      </c>
      <c r="D8" s="14">
        <v>179.85</v>
      </c>
      <c r="E8" s="86">
        <v>44120</v>
      </c>
      <c r="F8" s="330">
        <f t="shared" ref="F8:F28" si="0">D8</f>
        <v>179.85</v>
      </c>
      <c r="G8" s="384" t="s">
        <v>129</v>
      </c>
      <c r="H8" s="316">
        <v>56</v>
      </c>
      <c r="I8" s="48">
        <f>E4+E5+E6-D8</f>
        <v>411.57999999999993</v>
      </c>
    </row>
    <row r="9" spans="1:9" ht="15.75" x14ac:dyDescent="0.25">
      <c r="A9" s="82"/>
      <c r="B9" s="2"/>
      <c r="C9" s="15">
        <v>15</v>
      </c>
      <c r="D9" s="969">
        <v>411.58</v>
      </c>
      <c r="E9" s="970">
        <v>44169</v>
      </c>
      <c r="F9" s="971">
        <f t="shared" si="0"/>
        <v>411.58</v>
      </c>
      <c r="G9" s="972" t="s">
        <v>486</v>
      </c>
      <c r="H9" s="973">
        <v>59</v>
      </c>
      <c r="I9" s="48">
        <f>I8-D9</f>
        <v>0</v>
      </c>
    </row>
    <row r="10" spans="1:9" ht="15.75" x14ac:dyDescent="0.25">
      <c r="A10" s="82"/>
      <c r="B10" s="2"/>
      <c r="C10" s="15"/>
      <c r="D10" s="969"/>
      <c r="E10" s="970"/>
      <c r="F10" s="971">
        <f t="shared" si="0"/>
        <v>0</v>
      </c>
      <c r="G10" s="974"/>
      <c r="H10" s="975"/>
      <c r="I10" s="892">
        <f t="shared" ref="I10:I18" si="1">I9-D10</f>
        <v>0</v>
      </c>
    </row>
    <row r="11" spans="1:9" ht="15.75" x14ac:dyDescent="0.25">
      <c r="A11" s="60"/>
      <c r="B11" s="2"/>
      <c r="C11" s="15"/>
      <c r="D11" s="969"/>
      <c r="E11" s="970"/>
      <c r="F11" s="971">
        <f t="shared" si="0"/>
        <v>0</v>
      </c>
      <c r="G11" s="974"/>
      <c r="H11" s="975"/>
      <c r="I11" s="892">
        <f t="shared" si="1"/>
        <v>0</v>
      </c>
    </row>
    <row r="12" spans="1:9" ht="15" x14ac:dyDescent="0.25">
      <c r="A12" s="82"/>
      <c r="B12" s="2"/>
      <c r="C12" s="15"/>
      <c r="D12" s="14"/>
      <c r="E12" s="86"/>
      <c r="F12" s="330">
        <f t="shared" si="0"/>
        <v>0</v>
      </c>
      <c r="G12" s="927"/>
      <c r="H12" s="926"/>
      <c r="I12" s="892">
        <f t="shared" si="1"/>
        <v>0</v>
      </c>
    </row>
    <row r="13" spans="1:9" ht="15" x14ac:dyDescent="0.25">
      <c r="A13" s="82"/>
      <c r="B13" s="2"/>
      <c r="C13" s="15"/>
      <c r="D13" s="14"/>
      <c r="E13" s="86"/>
      <c r="F13" s="330">
        <f t="shared" si="0"/>
        <v>0</v>
      </c>
      <c r="G13" s="384"/>
      <c r="H13" s="587"/>
      <c r="I13" s="48">
        <f t="shared" si="1"/>
        <v>0</v>
      </c>
    </row>
    <row r="14" spans="1:9" ht="15" x14ac:dyDescent="0.25">
      <c r="B14" s="2"/>
      <c r="C14" s="15"/>
      <c r="D14" s="14"/>
      <c r="E14" s="86"/>
      <c r="F14" s="330">
        <f t="shared" si="0"/>
        <v>0</v>
      </c>
      <c r="G14" s="384"/>
      <c r="H14" s="587"/>
      <c r="I14" s="48">
        <f t="shared" si="1"/>
        <v>0</v>
      </c>
    </row>
    <row r="15" spans="1:9" ht="15" x14ac:dyDescent="0.25">
      <c r="B15" s="2"/>
      <c r="C15" s="15"/>
      <c r="D15" s="14"/>
      <c r="E15" s="86"/>
      <c r="F15" s="330">
        <f t="shared" si="0"/>
        <v>0</v>
      </c>
      <c r="G15" s="102"/>
      <c r="H15" s="17"/>
      <c r="I15" s="48">
        <f t="shared" si="1"/>
        <v>0</v>
      </c>
    </row>
    <row r="16" spans="1:9" ht="15" x14ac:dyDescent="0.25">
      <c r="B16" s="2"/>
      <c r="C16" s="15"/>
      <c r="D16" s="14"/>
      <c r="E16" s="13"/>
      <c r="F16" s="330">
        <f t="shared" si="0"/>
        <v>0</v>
      </c>
      <c r="G16" s="102"/>
      <c r="H16" s="17"/>
      <c r="I16" s="48">
        <f t="shared" si="1"/>
        <v>0</v>
      </c>
    </row>
    <row r="17" spans="1:9" ht="15" x14ac:dyDescent="0.25">
      <c r="B17" s="2"/>
      <c r="C17" s="15"/>
      <c r="D17" s="6"/>
      <c r="E17" s="13"/>
      <c r="F17" s="330">
        <f t="shared" si="0"/>
        <v>0</v>
      </c>
      <c r="G17" s="102"/>
      <c r="H17" s="17"/>
      <c r="I17" s="48">
        <f t="shared" si="1"/>
        <v>0</v>
      </c>
    </row>
    <row r="18" spans="1:9" ht="15" x14ac:dyDescent="0.25">
      <c r="B18" s="2"/>
      <c r="C18" s="15"/>
      <c r="D18" s="14"/>
      <c r="E18" s="13"/>
      <c r="F18" s="330">
        <f t="shared" si="0"/>
        <v>0</v>
      </c>
      <c r="G18" s="102"/>
      <c r="H18" s="17"/>
      <c r="I18" s="48">
        <f t="shared" si="1"/>
        <v>0</v>
      </c>
    </row>
    <row r="19" spans="1:9" ht="15" x14ac:dyDescent="0.25">
      <c r="B19" s="2"/>
      <c r="C19" s="15"/>
      <c r="D19" s="14"/>
      <c r="E19" s="13"/>
      <c r="F19" s="330">
        <f t="shared" si="0"/>
        <v>0</v>
      </c>
      <c r="G19" s="102"/>
      <c r="H19" s="17"/>
    </row>
    <row r="20" spans="1:9" ht="15" x14ac:dyDescent="0.25">
      <c r="B20" s="2"/>
      <c r="C20" s="15"/>
      <c r="D20" s="14"/>
      <c r="E20" s="13"/>
      <c r="F20" s="330">
        <f t="shared" si="0"/>
        <v>0</v>
      </c>
      <c r="G20" s="102"/>
      <c r="H20" s="17"/>
    </row>
    <row r="21" spans="1:9" ht="15" x14ac:dyDescent="0.25">
      <c r="B21" s="2"/>
      <c r="C21" s="15"/>
      <c r="D21" s="14"/>
      <c r="E21" s="13"/>
      <c r="F21" s="330">
        <f t="shared" si="0"/>
        <v>0</v>
      </c>
      <c r="G21" s="102"/>
      <c r="H21" s="17"/>
    </row>
    <row r="22" spans="1:9" ht="15" x14ac:dyDescent="0.25">
      <c r="B22" s="2"/>
      <c r="C22" s="15"/>
      <c r="D22" s="14"/>
      <c r="E22" s="13"/>
      <c r="F22" s="330">
        <f t="shared" si="0"/>
        <v>0</v>
      </c>
      <c r="G22" s="102"/>
      <c r="H22" s="17"/>
    </row>
    <row r="23" spans="1:9" ht="15" x14ac:dyDescent="0.25">
      <c r="B23" s="2"/>
      <c r="C23" s="15"/>
      <c r="D23" s="14"/>
      <c r="E23" s="13"/>
      <c r="F23" s="330">
        <f t="shared" si="0"/>
        <v>0</v>
      </c>
      <c r="G23" s="102"/>
      <c r="H23" s="17"/>
    </row>
    <row r="24" spans="1:9" ht="15" x14ac:dyDescent="0.25">
      <c r="B24" s="2"/>
      <c r="C24" s="15"/>
      <c r="D24" s="14"/>
      <c r="E24" s="13"/>
      <c r="F24" s="330">
        <f t="shared" si="0"/>
        <v>0</v>
      </c>
      <c r="G24" s="102"/>
      <c r="H24" s="17"/>
    </row>
    <row r="25" spans="1:9" x14ac:dyDescent="0.25">
      <c r="B25" s="2"/>
      <c r="C25" s="15"/>
      <c r="D25" s="14"/>
      <c r="E25" s="13"/>
      <c r="F25" s="330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30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30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30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4.4" thickBot="1" x14ac:dyDescent="0.3">
      <c r="B31" s="80"/>
      <c r="C31" s="94"/>
      <c r="D31" s="83"/>
      <c r="E31" s="129"/>
      <c r="F31" s="83"/>
      <c r="G31" s="24"/>
    </row>
    <row r="32" spans="1:9" ht="15" thickTop="1" thickBot="1" x14ac:dyDescent="0.3">
      <c r="A32" s="82"/>
      <c r="B32" s="82"/>
      <c r="C32" s="137">
        <f>SUM(C8:C31)</f>
        <v>22</v>
      </c>
      <c r="D32" s="113">
        <f>SUM(D8:D31)</f>
        <v>591.42999999999995</v>
      </c>
      <c r="E32" s="82"/>
      <c r="F32" s="113">
        <f>SUM(F8:F31)</f>
        <v>591.42999999999995</v>
      </c>
      <c r="G32" s="82"/>
      <c r="H32" s="82"/>
    </row>
    <row r="33" spans="1:8" x14ac:dyDescent="0.25">
      <c r="A33" s="82"/>
      <c r="B33" s="82"/>
      <c r="C33" s="82"/>
      <c r="D33" s="524" t="s">
        <v>21</v>
      </c>
      <c r="E33" s="525"/>
      <c r="F33" s="154">
        <f>G5-F32</f>
        <v>0</v>
      </c>
      <c r="G33" s="82"/>
      <c r="H33" s="82"/>
    </row>
    <row r="34" spans="1:8" ht="14.4" thickBot="1" x14ac:dyDescent="0.3">
      <c r="A34" s="82"/>
      <c r="B34" s="82"/>
      <c r="C34" s="82"/>
      <c r="D34" s="526" t="s">
        <v>4</v>
      </c>
      <c r="E34" s="527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15" workbookViewId="0">
      <selection activeCell="C24" sqref="C24"/>
    </sheetView>
  </sheetViews>
  <sheetFormatPr baseColWidth="10" defaultRowHeight="13.8" x14ac:dyDescent="0.25"/>
  <cols>
    <col min="1" max="1" width="31" bestFit="1" customWidth="1"/>
    <col min="2" max="2" width="19.6640625" customWidth="1"/>
    <col min="3" max="3" width="12.6640625" bestFit="1" customWidth="1"/>
    <col min="7" max="7" width="12.88671875" bestFit="1" customWidth="1"/>
    <col min="10" max="10" width="11.44140625" style="79"/>
  </cols>
  <sheetData>
    <row r="1" spans="1:10" ht="40.5" x14ac:dyDescent="0.55000000000000004">
      <c r="A1" s="1041" t="s">
        <v>174</v>
      </c>
      <c r="B1" s="1041"/>
      <c r="C1" s="1041"/>
      <c r="D1" s="1041"/>
      <c r="E1" s="1041"/>
      <c r="F1" s="1041"/>
      <c r="G1" s="10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86"/>
      <c r="B4" s="355"/>
      <c r="C4" s="418">
        <v>18161.3</v>
      </c>
      <c r="D4" s="294" t="s">
        <v>3</v>
      </c>
      <c r="E4" s="370"/>
      <c r="F4" s="289"/>
      <c r="G4" s="79"/>
    </row>
    <row r="5" spans="1:10" ht="15" customHeight="1" x14ac:dyDescent="0.25">
      <c r="A5" s="1026" t="s">
        <v>55</v>
      </c>
      <c r="B5" s="1094" t="s">
        <v>56</v>
      </c>
      <c r="C5" s="290">
        <v>48.5</v>
      </c>
      <c r="D5" s="294">
        <v>43808</v>
      </c>
      <c r="E5" s="370">
        <v>18137.12</v>
      </c>
      <c r="F5" s="289">
        <v>880</v>
      </c>
      <c r="G5" s="312">
        <f>F55</f>
        <v>13395.25</v>
      </c>
      <c r="H5" s="7">
        <f>E5-G5+E4+E6+E7</f>
        <v>4741.869999999999</v>
      </c>
    </row>
    <row r="6" spans="1:10" ht="14.4" thickBot="1" x14ac:dyDescent="0.3">
      <c r="A6" s="1026"/>
      <c r="B6" s="1094"/>
      <c r="C6" s="290"/>
      <c r="D6" s="325"/>
      <c r="E6" s="326"/>
      <c r="F6" s="289"/>
      <c r="G6" s="286"/>
    </row>
    <row r="7" spans="1:10" ht="15.75" thickBot="1" x14ac:dyDescent="0.3">
      <c r="A7" s="286"/>
      <c r="B7" s="289"/>
      <c r="C7" s="290"/>
      <c r="D7" s="325"/>
      <c r="E7" s="326"/>
      <c r="F7" s="289"/>
      <c r="I7" s="416"/>
      <c r="J7" s="415"/>
    </row>
    <row r="8" spans="1:10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17" t="s">
        <v>69</v>
      </c>
      <c r="J8" s="415"/>
    </row>
    <row r="9" spans="1:10" ht="15.75" thickTop="1" x14ac:dyDescent="0.25">
      <c r="A9" s="60" t="s">
        <v>32</v>
      </c>
      <c r="B9" s="227">
        <f>F4+F5+F6+F7-C9</f>
        <v>860</v>
      </c>
      <c r="C9" s="15">
        <v>20</v>
      </c>
      <c r="D9" s="74">
        <v>420.5</v>
      </c>
      <c r="E9" s="393">
        <v>43809</v>
      </c>
      <c r="F9" s="74">
        <f t="shared" ref="F9:F54" si="0">D9</f>
        <v>420.5</v>
      </c>
      <c r="G9" s="315" t="s">
        <v>57</v>
      </c>
      <c r="H9" s="316">
        <v>60</v>
      </c>
      <c r="I9" s="85">
        <f>E6+E5+E4-F9+E7</f>
        <v>17716.62</v>
      </c>
      <c r="J9" s="137"/>
    </row>
    <row r="10" spans="1:10" ht="15" x14ac:dyDescent="0.25">
      <c r="A10" s="407" t="s">
        <v>59</v>
      </c>
      <c r="B10" s="227">
        <f>B9-C10</f>
        <v>420</v>
      </c>
      <c r="C10" s="405">
        <v>440</v>
      </c>
      <c r="D10" s="406">
        <v>8994.83</v>
      </c>
      <c r="E10" s="393">
        <v>43809</v>
      </c>
      <c r="F10" s="74">
        <f t="shared" si="0"/>
        <v>8994.83</v>
      </c>
      <c r="G10" s="315" t="s">
        <v>58</v>
      </c>
      <c r="H10" s="316">
        <v>48.5</v>
      </c>
      <c r="I10" s="85">
        <f>I9-F10</f>
        <v>8721.7899999999991</v>
      </c>
      <c r="J10" s="137"/>
    </row>
    <row r="11" spans="1:10" ht="15" x14ac:dyDescent="0.25">
      <c r="A11" s="12"/>
      <c r="B11" s="227">
        <f t="shared" ref="B11:B53" si="1">B10-C11</f>
        <v>415</v>
      </c>
      <c r="C11" s="15">
        <v>5</v>
      </c>
      <c r="D11" s="74">
        <v>108.24</v>
      </c>
      <c r="E11" s="393">
        <v>43811</v>
      </c>
      <c r="F11" s="74">
        <f t="shared" si="0"/>
        <v>108.24</v>
      </c>
      <c r="G11" s="315" t="s">
        <v>60</v>
      </c>
      <c r="H11" s="316">
        <v>60</v>
      </c>
      <c r="I11" s="85">
        <f t="shared" ref="I11:I54" si="2">I10-F11</f>
        <v>8613.5499999999993</v>
      </c>
      <c r="J11" s="137"/>
    </row>
    <row r="12" spans="1:10" ht="15" x14ac:dyDescent="0.25">
      <c r="A12" s="60" t="s">
        <v>33</v>
      </c>
      <c r="B12" s="227">
        <f t="shared" si="1"/>
        <v>400</v>
      </c>
      <c r="C12" s="15">
        <v>15</v>
      </c>
      <c r="D12" s="74">
        <v>317.29000000000002</v>
      </c>
      <c r="E12" s="393">
        <v>43812</v>
      </c>
      <c r="F12" s="74">
        <f t="shared" si="0"/>
        <v>317.29000000000002</v>
      </c>
      <c r="G12" s="315" t="s">
        <v>61</v>
      </c>
      <c r="H12" s="316">
        <v>60</v>
      </c>
      <c r="I12" s="85">
        <f t="shared" si="2"/>
        <v>8296.2599999999984</v>
      </c>
      <c r="J12" s="137"/>
    </row>
    <row r="13" spans="1:10" ht="15" x14ac:dyDescent="0.25">
      <c r="A13" s="84"/>
      <c r="B13" s="227">
        <f t="shared" si="1"/>
        <v>398</v>
      </c>
      <c r="C13" s="15">
        <v>2</v>
      </c>
      <c r="D13" s="74">
        <v>42.26</v>
      </c>
      <c r="E13" s="393">
        <v>43812</v>
      </c>
      <c r="F13" s="74">
        <f t="shared" si="0"/>
        <v>42.26</v>
      </c>
      <c r="G13" s="315" t="s">
        <v>62</v>
      </c>
      <c r="H13" s="316">
        <v>60</v>
      </c>
      <c r="I13" s="85">
        <f t="shared" si="2"/>
        <v>8253.9999999999982</v>
      </c>
      <c r="J13" s="137"/>
    </row>
    <row r="14" spans="1:10" ht="15" x14ac:dyDescent="0.25">
      <c r="A14" s="12"/>
      <c r="B14" s="227">
        <f t="shared" si="1"/>
        <v>366</v>
      </c>
      <c r="C14" s="15">
        <v>32</v>
      </c>
      <c r="D14" s="74">
        <v>624.80999999999995</v>
      </c>
      <c r="E14" s="393">
        <v>43812</v>
      </c>
      <c r="F14" s="74">
        <f t="shared" si="0"/>
        <v>624.80999999999995</v>
      </c>
      <c r="G14" s="315" t="s">
        <v>63</v>
      </c>
      <c r="H14" s="316">
        <v>59</v>
      </c>
      <c r="I14" s="85">
        <f t="shared" si="2"/>
        <v>7629.1899999999987</v>
      </c>
      <c r="J14" s="137"/>
    </row>
    <row r="15" spans="1:10" ht="15" x14ac:dyDescent="0.25">
      <c r="B15" s="227">
        <f t="shared" si="1"/>
        <v>338</v>
      </c>
      <c r="C15" s="55">
        <v>28</v>
      </c>
      <c r="D15" s="74">
        <v>576.4</v>
      </c>
      <c r="E15" s="393">
        <v>43812</v>
      </c>
      <c r="F15" s="74">
        <f t="shared" si="0"/>
        <v>576.4</v>
      </c>
      <c r="G15" s="315" t="s">
        <v>64</v>
      </c>
      <c r="H15" s="316">
        <v>59</v>
      </c>
      <c r="I15" s="85">
        <f t="shared" si="2"/>
        <v>7052.7899999999991</v>
      </c>
      <c r="J15" s="137"/>
    </row>
    <row r="16" spans="1:10" ht="15" x14ac:dyDescent="0.25">
      <c r="B16" s="227">
        <f t="shared" si="1"/>
        <v>310</v>
      </c>
      <c r="C16" s="15">
        <v>28</v>
      </c>
      <c r="D16" s="74">
        <v>581.91999999999996</v>
      </c>
      <c r="E16" s="393">
        <v>43816</v>
      </c>
      <c r="F16" s="74">
        <f t="shared" si="0"/>
        <v>581.91999999999996</v>
      </c>
      <c r="G16" s="315" t="s">
        <v>65</v>
      </c>
      <c r="H16" s="316">
        <v>59</v>
      </c>
      <c r="I16" s="85">
        <f t="shared" si="2"/>
        <v>6470.869999999999</v>
      </c>
      <c r="J16" s="137"/>
    </row>
    <row r="17" spans="2:10" ht="15" x14ac:dyDescent="0.25">
      <c r="B17" s="227">
        <f t="shared" si="1"/>
        <v>282</v>
      </c>
      <c r="C17" s="15">
        <v>28</v>
      </c>
      <c r="D17" s="74">
        <v>572.48</v>
      </c>
      <c r="E17" s="393">
        <v>43816</v>
      </c>
      <c r="F17" s="74">
        <f t="shared" si="0"/>
        <v>572.48</v>
      </c>
      <c r="G17" s="315" t="s">
        <v>65</v>
      </c>
      <c r="H17" s="316">
        <v>59</v>
      </c>
      <c r="I17" s="85">
        <f t="shared" si="2"/>
        <v>5898.3899999999994</v>
      </c>
      <c r="J17" s="137"/>
    </row>
    <row r="18" spans="2:10" ht="15" x14ac:dyDescent="0.25">
      <c r="B18" s="227">
        <f t="shared" si="1"/>
        <v>254</v>
      </c>
      <c r="C18" s="55">
        <v>28</v>
      </c>
      <c r="D18" s="74">
        <v>587.80999999999995</v>
      </c>
      <c r="E18" s="393">
        <v>43821</v>
      </c>
      <c r="F18" s="74">
        <f t="shared" si="0"/>
        <v>587.80999999999995</v>
      </c>
      <c r="G18" s="315" t="s">
        <v>66</v>
      </c>
      <c r="H18" s="316">
        <v>59</v>
      </c>
      <c r="I18" s="85">
        <f t="shared" si="2"/>
        <v>5310.58</v>
      </c>
      <c r="J18" s="137"/>
    </row>
    <row r="19" spans="2:10" ht="15" x14ac:dyDescent="0.25">
      <c r="B19" s="227">
        <f t="shared" si="1"/>
        <v>226</v>
      </c>
      <c r="C19" s="15">
        <v>28</v>
      </c>
      <c r="D19" s="543">
        <v>568.71</v>
      </c>
      <c r="E19" s="544">
        <v>43821</v>
      </c>
      <c r="F19" s="543">
        <f t="shared" si="0"/>
        <v>568.71</v>
      </c>
      <c r="G19" s="545" t="s">
        <v>67</v>
      </c>
      <c r="H19" s="546">
        <v>59</v>
      </c>
      <c r="I19" s="547">
        <f t="shared" si="2"/>
        <v>4741.87</v>
      </c>
      <c r="J19" s="137"/>
    </row>
    <row r="20" spans="2:10" ht="15" x14ac:dyDescent="0.25">
      <c r="B20" s="227">
        <f t="shared" si="1"/>
        <v>226</v>
      </c>
      <c r="C20" s="773"/>
      <c r="D20" s="617"/>
      <c r="E20" s="622"/>
      <c r="F20" s="617">
        <f t="shared" si="0"/>
        <v>0</v>
      </c>
      <c r="G20" s="618"/>
      <c r="H20" s="765"/>
      <c r="I20" s="85">
        <f t="shared" si="2"/>
        <v>4741.87</v>
      </c>
      <c r="J20" s="137"/>
    </row>
    <row r="21" spans="2:10" ht="15" x14ac:dyDescent="0.25">
      <c r="B21" s="227">
        <f t="shared" si="1"/>
        <v>226</v>
      </c>
      <c r="C21" s="773"/>
      <c r="D21" s="617"/>
      <c r="E21" s="622"/>
      <c r="F21" s="617">
        <f t="shared" si="0"/>
        <v>0</v>
      </c>
      <c r="G21" s="618"/>
      <c r="H21" s="765"/>
      <c r="I21" s="85">
        <f t="shared" si="2"/>
        <v>4741.87</v>
      </c>
      <c r="J21" s="137"/>
    </row>
    <row r="22" spans="2:10" ht="15" x14ac:dyDescent="0.25">
      <c r="B22" s="227">
        <f t="shared" si="1"/>
        <v>226</v>
      </c>
      <c r="C22" s="773"/>
      <c r="D22" s="617"/>
      <c r="E22" s="622"/>
      <c r="F22" s="617">
        <f t="shared" si="0"/>
        <v>0</v>
      </c>
      <c r="G22" s="775"/>
      <c r="H22" s="776"/>
      <c r="I22" s="85">
        <f t="shared" si="2"/>
        <v>4741.87</v>
      </c>
      <c r="J22" s="137"/>
    </row>
    <row r="23" spans="2:10" ht="15" x14ac:dyDescent="0.25">
      <c r="B23" s="227">
        <f t="shared" si="1"/>
        <v>226</v>
      </c>
      <c r="C23" s="773"/>
      <c r="D23" s="617"/>
      <c r="E23" s="622"/>
      <c r="F23" s="617">
        <f t="shared" si="0"/>
        <v>0</v>
      </c>
      <c r="G23" s="775"/>
      <c r="H23" s="776"/>
      <c r="I23" s="85">
        <f t="shared" si="2"/>
        <v>4741.87</v>
      </c>
      <c r="J23" s="137"/>
    </row>
    <row r="24" spans="2:10" ht="15" x14ac:dyDescent="0.25">
      <c r="B24" s="227">
        <f t="shared" si="1"/>
        <v>226</v>
      </c>
      <c r="C24" s="773"/>
      <c r="D24" s="617"/>
      <c r="E24" s="622"/>
      <c r="F24" s="617">
        <f t="shared" si="0"/>
        <v>0</v>
      </c>
      <c r="G24" s="775"/>
      <c r="H24" s="776"/>
      <c r="I24" s="85">
        <f t="shared" si="2"/>
        <v>4741.87</v>
      </c>
      <c r="J24" s="137"/>
    </row>
    <row r="25" spans="2:10" ht="15" x14ac:dyDescent="0.25">
      <c r="B25" s="227">
        <f t="shared" si="1"/>
        <v>226</v>
      </c>
      <c r="C25" s="773"/>
      <c r="D25" s="617"/>
      <c r="E25" s="622"/>
      <c r="F25" s="617">
        <f t="shared" si="0"/>
        <v>0</v>
      </c>
      <c r="G25" s="775"/>
      <c r="H25" s="776"/>
      <c r="I25" s="85">
        <f t="shared" si="2"/>
        <v>4741.87</v>
      </c>
      <c r="J25" s="137"/>
    </row>
    <row r="26" spans="2:10" ht="15" x14ac:dyDescent="0.25">
      <c r="B26" s="227">
        <f t="shared" si="1"/>
        <v>226</v>
      </c>
      <c r="C26" s="773"/>
      <c r="D26" s="617"/>
      <c r="E26" s="622"/>
      <c r="F26" s="617">
        <f t="shared" si="0"/>
        <v>0</v>
      </c>
      <c r="G26" s="775"/>
      <c r="H26" s="776"/>
      <c r="I26" s="85">
        <f t="shared" si="2"/>
        <v>4741.87</v>
      </c>
      <c r="J26" s="137"/>
    </row>
    <row r="27" spans="2:10" ht="15" x14ac:dyDescent="0.25">
      <c r="B27" s="227">
        <f t="shared" si="1"/>
        <v>226</v>
      </c>
      <c r="C27" s="773"/>
      <c r="D27" s="617"/>
      <c r="E27" s="622"/>
      <c r="F27" s="617">
        <f t="shared" si="0"/>
        <v>0</v>
      </c>
      <c r="G27" s="775"/>
      <c r="H27" s="776"/>
      <c r="I27" s="85">
        <f t="shared" si="2"/>
        <v>4741.87</v>
      </c>
      <c r="J27" s="137"/>
    </row>
    <row r="28" spans="2:10" ht="15" x14ac:dyDescent="0.25">
      <c r="B28" s="227">
        <f t="shared" si="1"/>
        <v>226</v>
      </c>
      <c r="C28" s="773"/>
      <c r="D28" s="617"/>
      <c r="E28" s="622"/>
      <c r="F28" s="617">
        <f t="shared" si="0"/>
        <v>0</v>
      </c>
      <c r="G28" s="775"/>
      <c r="H28" s="776"/>
      <c r="I28" s="85">
        <f t="shared" si="2"/>
        <v>4741.87</v>
      </c>
      <c r="J28" s="137"/>
    </row>
    <row r="29" spans="2:10" ht="15" x14ac:dyDescent="0.25">
      <c r="B29" s="227">
        <f t="shared" si="1"/>
        <v>226</v>
      </c>
      <c r="C29" s="773"/>
      <c r="D29" s="617"/>
      <c r="E29" s="622"/>
      <c r="F29" s="617">
        <f t="shared" si="0"/>
        <v>0</v>
      </c>
      <c r="G29" s="775"/>
      <c r="H29" s="776"/>
      <c r="I29" s="85">
        <f t="shared" si="2"/>
        <v>4741.87</v>
      </c>
      <c r="J29" s="137"/>
    </row>
    <row r="30" spans="2:10" ht="15" x14ac:dyDescent="0.25">
      <c r="B30" s="227">
        <f t="shared" si="1"/>
        <v>226</v>
      </c>
      <c r="C30" s="773"/>
      <c r="D30" s="617"/>
      <c r="E30" s="622"/>
      <c r="F30" s="617">
        <f t="shared" si="0"/>
        <v>0</v>
      </c>
      <c r="G30" s="775"/>
      <c r="H30" s="776"/>
      <c r="I30" s="85">
        <f t="shared" si="2"/>
        <v>4741.87</v>
      </c>
      <c r="J30" s="137"/>
    </row>
    <row r="31" spans="2:10" ht="15" x14ac:dyDescent="0.25">
      <c r="B31" s="227">
        <f t="shared" si="1"/>
        <v>226</v>
      </c>
      <c r="C31" s="773"/>
      <c r="D31" s="617"/>
      <c r="E31" s="622"/>
      <c r="F31" s="617">
        <f t="shared" si="0"/>
        <v>0</v>
      </c>
      <c r="G31" s="775"/>
      <c r="H31" s="776"/>
      <c r="I31" s="85">
        <f t="shared" si="2"/>
        <v>4741.87</v>
      </c>
      <c r="J31" s="137"/>
    </row>
    <row r="32" spans="2:10" ht="15" x14ac:dyDescent="0.25">
      <c r="B32" s="227">
        <f t="shared" si="1"/>
        <v>226</v>
      </c>
      <c r="C32" s="773"/>
      <c r="D32" s="617"/>
      <c r="E32" s="622"/>
      <c r="F32" s="617">
        <f t="shared" si="0"/>
        <v>0</v>
      </c>
      <c r="G32" s="775"/>
      <c r="H32" s="776"/>
      <c r="I32" s="85">
        <f t="shared" si="2"/>
        <v>4741.87</v>
      </c>
      <c r="J32" s="137"/>
    </row>
    <row r="33" spans="2:10" ht="15" x14ac:dyDescent="0.25">
      <c r="B33" s="227">
        <f t="shared" si="1"/>
        <v>226</v>
      </c>
      <c r="C33" s="773"/>
      <c r="D33" s="617"/>
      <c r="E33" s="622"/>
      <c r="F33" s="617">
        <f t="shared" si="0"/>
        <v>0</v>
      </c>
      <c r="G33" s="775"/>
      <c r="H33" s="776"/>
      <c r="I33" s="85">
        <f t="shared" si="2"/>
        <v>4741.87</v>
      </c>
      <c r="J33" s="137"/>
    </row>
    <row r="34" spans="2:10" ht="15" x14ac:dyDescent="0.25">
      <c r="B34" s="227">
        <f t="shared" si="1"/>
        <v>226</v>
      </c>
      <c r="C34" s="15"/>
      <c r="D34" s="74"/>
      <c r="E34" s="393"/>
      <c r="F34" s="74">
        <f t="shared" si="0"/>
        <v>0</v>
      </c>
      <c r="G34" s="75"/>
      <c r="H34" s="76"/>
      <c r="I34" s="85">
        <f t="shared" si="2"/>
        <v>4741.87</v>
      </c>
      <c r="J34" s="137"/>
    </row>
    <row r="35" spans="2:10" ht="15" x14ac:dyDescent="0.25">
      <c r="B35" s="227">
        <f t="shared" si="1"/>
        <v>226</v>
      </c>
      <c r="C35" s="15"/>
      <c r="D35" s="74"/>
      <c r="E35" s="393"/>
      <c r="F35" s="74">
        <f t="shared" si="0"/>
        <v>0</v>
      </c>
      <c r="G35" s="75"/>
      <c r="H35" s="76"/>
      <c r="I35" s="85">
        <f t="shared" si="2"/>
        <v>4741.87</v>
      </c>
      <c r="J35" s="137"/>
    </row>
    <row r="36" spans="2:10" ht="15" x14ac:dyDescent="0.25">
      <c r="B36" s="227">
        <f t="shared" si="1"/>
        <v>226</v>
      </c>
      <c r="C36" s="15"/>
      <c r="D36" s="74"/>
      <c r="E36" s="393"/>
      <c r="F36" s="74">
        <f t="shared" si="0"/>
        <v>0</v>
      </c>
      <c r="G36" s="75"/>
      <c r="H36" s="76"/>
      <c r="I36" s="85">
        <f t="shared" si="2"/>
        <v>4741.87</v>
      </c>
      <c r="J36" s="137"/>
    </row>
    <row r="37" spans="2:10" ht="15" x14ac:dyDescent="0.25">
      <c r="B37" s="227">
        <f t="shared" si="1"/>
        <v>226</v>
      </c>
      <c r="C37" s="15"/>
      <c r="D37" s="74"/>
      <c r="E37" s="393"/>
      <c r="F37" s="74">
        <f t="shared" si="0"/>
        <v>0</v>
      </c>
      <c r="G37" s="75"/>
      <c r="H37" s="76"/>
      <c r="I37" s="85">
        <f t="shared" si="2"/>
        <v>4741.87</v>
      </c>
      <c r="J37" s="137"/>
    </row>
    <row r="38" spans="2:10" ht="15" x14ac:dyDescent="0.25">
      <c r="B38" s="227">
        <f t="shared" si="1"/>
        <v>226</v>
      </c>
      <c r="C38" s="15"/>
      <c r="D38" s="74"/>
      <c r="E38" s="393"/>
      <c r="F38" s="74">
        <f t="shared" si="0"/>
        <v>0</v>
      </c>
      <c r="G38" s="75"/>
      <c r="H38" s="76"/>
      <c r="I38" s="85">
        <f t="shared" si="2"/>
        <v>4741.87</v>
      </c>
      <c r="J38" s="137"/>
    </row>
    <row r="39" spans="2:10" ht="15" x14ac:dyDescent="0.25">
      <c r="B39" s="227">
        <f t="shared" si="1"/>
        <v>226</v>
      </c>
      <c r="C39" s="15"/>
      <c r="D39" s="74"/>
      <c r="E39" s="393"/>
      <c r="F39" s="74">
        <f t="shared" si="0"/>
        <v>0</v>
      </c>
      <c r="G39" s="75"/>
      <c r="H39" s="76"/>
      <c r="I39" s="85">
        <f t="shared" si="2"/>
        <v>4741.87</v>
      </c>
      <c r="J39" s="137"/>
    </row>
    <row r="40" spans="2:10" ht="15" x14ac:dyDescent="0.25">
      <c r="B40" s="227">
        <f t="shared" si="1"/>
        <v>226</v>
      </c>
      <c r="C40" s="15"/>
      <c r="D40" s="74"/>
      <c r="E40" s="393"/>
      <c r="F40" s="74">
        <f t="shared" si="0"/>
        <v>0</v>
      </c>
      <c r="G40" s="75"/>
      <c r="H40" s="76"/>
      <c r="I40" s="85">
        <f t="shared" si="2"/>
        <v>4741.87</v>
      </c>
      <c r="J40" s="137"/>
    </row>
    <row r="41" spans="2:10" ht="15" x14ac:dyDescent="0.25">
      <c r="B41" s="227">
        <f t="shared" si="1"/>
        <v>226</v>
      </c>
      <c r="C41" s="15"/>
      <c r="D41" s="74"/>
      <c r="E41" s="393"/>
      <c r="F41" s="74">
        <f t="shared" si="0"/>
        <v>0</v>
      </c>
      <c r="G41" s="75"/>
      <c r="H41" s="76"/>
      <c r="I41" s="85">
        <f t="shared" si="2"/>
        <v>4741.87</v>
      </c>
      <c r="J41" s="137"/>
    </row>
    <row r="42" spans="2:10" x14ac:dyDescent="0.25">
      <c r="B42" s="227">
        <f t="shared" si="1"/>
        <v>226</v>
      </c>
      <c r="C42" s="15"/>
      <c r="D42" s="74"/>
      <c r="E42" s="393"/>
      <c r="F42" s="74">
        <f t="shared" si="0"/>
        <v>0</v>
      </c>
      <c r="G42" s="75"/>
      <c r="H42" s="76"/>
      <c r="I42" s="85">
        <f t="shared" si="2"/>
        <v>4741.87</v>
      </c>
      <c r="J42" s="137"/>
    </row>
    <row r="43" spans="2:10" x14ac:dyDescent="0.25">
      <c r="B43" s="227">
        <f t="shared" si="1"/>
        <v>226</v>
      </c>
      <c r="C43" s="15"/>
      <c r="D43" s="74"/>
      <c r="E43" s="393"/>
      <c r="F43" s="74">
        <f t="shared" si="0"/>
        <v>0</v>
      </c>
      <c r="G43" s="75"/>
      <c r="H43" s="76"/>
      <c r="I43" s="85">
        <f t="shared" si="2"/>
        <v>4741.87</v>
      </c>
      <c r="J43" s="137"/>
    </row>
    <row r="44" spans="2:10" x14ac:dyDescent="0.25">
      <c r="B44" s="227">
        <f t="shared" si="1"/>
        <v>226</v>
      </c>
      <c r="C44" s="15"/>
      <c r="D44" s="74"/>
      <c r="E44" s="393"/>
      <c r="F44" s="74">
        <f t="shared" si="0"/>
        <v>0</v>
      </c>
      <c r="G44" s="75"/>
      <c r="H44" s="76"/>
      <c r="I44" s="85">
        <f t="shared" si="2"/>
        <v>4741.87</v>
      </c>
      <c r="J44" s="137"/>
    </row>
    <row r="45" spans="2:10" x14ac:dyDescent="0.25">
      <c r="B45" s="227">
        <f t="shared" si="1"/>
        <v>226</v>
      </c>
      <c r="C45" s="15"/>
      <c r="D45" s="74"/>
      <c r="E45" s="393"/>
      <c r="F45" s="74">
        <f t="shared" si="0"/>
        <v>0</v>
      </c>
      <c r="G45" s="75"/>
      <c r="H45" s="76"/>
      <c r="I45" s="85">
        <f t="shared" si="2"/>
        <v>4741.87</v>
      </c>
      <c r="J45" s="137"/>
    </row>
    <row r="46" spans="2:10" x14ac:dyDescent="0.25">
      <c r="B46" s="227">
        <f t="shared" si="1"/>
        <v>226</v>
      </c>
      <c r="C46" s="15"/>
      <c r="D46" s="74"/>
      <c r="E46" s="393"/>
      <c r="F46" s="74">
        <f t="shared" si="0"/>
        <v>0</v>
      </c>
      <c r="G46" s="75"/>
      <c r="H46" s="76"/>
      <c r="I46" s="85">
        <f t="shared" si="2"/>
        <v>4741.87</v>
      </c>
      <c r="J46" s="137"/>
    </row>
    <row r="47" spans="2:10" x14ac:dyDescent="0.25">
      <c r="B47" s="227">
        <f t="shared" si="1"/>
        <v>226</v>
      </c>
      <c r="C47" s="15"/>
      <c r="D47" s="74"/>
      <c r="E47" s="393"/>
      <c r="F47" s="74">
        <f t="shared" si="0"/>
        <v>0</v>
      </c>
      <c r="G47" s="75"/>
      <c r="H47" s="76"/>
      <c r="I47" s="85">
        <f t="shared" si="2"/>
        <v>4741.87</v>
      </c>
      <c r="J47" s="137"/>
    </row>
    <row r="48" spans="2:10" x14ac:dyDescent="0.25">
      <c r="B48" s="227">
        <f t="shared" si="1"/>
        <v>226</v>
      </c>
      <c r="C48" s="15"/>
      <c r="D48" s="74"/>
      <c r="E48" s="393"/>
      <c r="F48" s="74">
        <f t="shared" si="0"/>
        <v>0</v>
      </c>
      <c r="G48" s="75"/>
      <c r="H48" s="76"/>
      <c r="I48" s="85">
        <f t="shared" si="2"/>
        <v>4741.87</v>
      </c>
      <c r="J48" s="137"/>
    </row>
    <row r="49" spans="2:10" x14ac:dyDescent="0.25">
      <c r="B49" s="227">
        <f t="shared" si="1"/>
        <v>226</v>
      </c>
      <c r="C49" s="15"/>
      <c r="D49" s="74"/>
      <c r="E49" s="393"/>
      <c r="F49" s="74">
        <f t="shared" si="0"/>
        <v>0</v>
      </c>
      <c r="G49" s="75"/>
      <c r="H49" s="76"/>
      <c r="I49" s="85">
        <f t="shared" si="2"/>
        <v>4741.87</v>
      </c>
      <c r="J49" s="137"/>
    </row>
    <row r="50" spans="2:10" x14ac:dyDescent="0.25">
      <c r="B50" s="227">
        <f t="shared" si="1"/>
        <v>226</v>
      </c>
      <c r="C50" s="15"/>
      <c r="D50" s="74"/>
      <c r="E50" s="393"/>
      <c r="F50" s="74">
        <f t="shared" si="0"/>
        <v>0</v>
      </c>
      <c r="G50" s="75"/>
      <c r="H50" s="76"/>
      <c r="I50" s="85">
        <f t="shared" si="2"/>
        <v>4741.87</v>
      </c>
      <c r="J50" s="137"/>
    </row>
    <row r="51" spans="2:10" x14ac:dyDescent="0.25">
      <c r="B51" s="227">
        <f t="shared" si="1"/>
        <v>226</v>
      </c>
      <c r="C51" s="15"/>
      <c r="D51" s="74"/>
      <c r="E51" s="393"/>
      <c r="F51" s="74">
        <f t="shared" si="0"/>
        <v>0</v>
      </c>
      <c r="G51" s="75"/>
      <c r="H51" s="76"/>
      <c r="I51" s="85">
        <f t="shared" si="2"/>
        <v>4741.87</v>
      </c>
      <c r="J51" s="137"/>
    </row>
    <row r="52" spans="2:10" x14ac:dyDescent="0.25">
      <c r="B52" s="227">
        <f t="shared" si="1"/>
        <v>226</v>
      </c>
      <c r="C52" s="15"/>
      <c r="D52" s="74"/>
      <c r="E52" s="393"/>
      <c r="F52" s="74">
        <f t="shared" si="0"/>
        <v>0</v>
      </c>
      <c r="G52" s="75"/>
      <c r="H52" s="76"/>
      <c r="I52" s="85">
        <f t="shared" si="2"/>
        <v>4741.87</v>
      </c>
      <c r="J52" s="137"/>
    </row>
    <row r="53" spans="2:10" x14ac:dyDescent="0.25">
      <c r="B53" s="227">
        <f t="shared" si="1"/>
        <v>226</v>
      </c>
      <c r="C53" s="15"/>
      <c r="D53" s="74"/>
      <c r="E53" s="393"/>
      <c r="F53" s="74">
        <f t="shared" si="0"/>
        <v>0</v>
      </c>
      <c r="G53" s="75"/>
      <c r="H53" s="76"/>
      <c r="I53" s="85">
        <f t="shared" si="2"/>
        <v>4741.87</v>
      </c>
      <c r="J53" s="137"/>
    </row>
    <row r="54" spans="2:10" ht="14.4" thickBot="1" x14ac:dyDescent="0.3">
      <c r="B54" s="3"/>
      <c r="C54" s="37"/>
      <c r="D54" s="169"/>
      <c r="E54" s="177"/>
      <c r="F54" s="169">
        <f t="shared" si="0"/>
        <v>0</v>
      </c>
      <c r="G54" s="260"/>
      <c r="H54" s="82"/>
      <c r="I54" s="85">
        <f t="shared" si="2"/>
        <v>4741.87</v>
      </c>
      <c r="J54" s="137"/>
    </row>
    <row r="55" spans="2:10" x14ac:dyDescent="0.25">
      <c r="C55" s="55">
        <f>SUM(C9:C54)</f>
        <v>654</v>
      </c>
      <c r="D55" s="134">
        <f>SUM(D9:D54)</f>
        <v>13395.25</v>
      </c>
      <c r="E55" s="195"/>
      <c r="F55" s="134">
        <f>SUM(F9:F54)</f>
        <v>13395.25</v>
      </c>
      <c r="G55" s="180"/>
      <c r="H55" s="180"/>
    </row>
    <row r="56" spans="2:10" x14ac:dyDescent="0.25">
      <c r="C56" s="118"/>
    </row>
    <row r="57" spans="2:10" ht="14.4" thickBot="1" x14ac:dyDescent="0.3">
      <c r="B57" s="48"/>
    </row>
    <row r="58" spans="2:10" ht="14.4" thickBot="1" x14ac:dyDescent="0.3">
      <c r="B58" s="98"/>
      <c r="D58" s="46" t="s">
        <v>4</v>
      </c>
      <c r="E58" s="61">
        <f>F5-C55+F4+F6+F7</f>
        <v>226</v>
      </c>
    </row>
    <row r="59" spans="2:10" ht="14.4" thickBot="1" x14ac:dyDescent="0.3">
      <c r="B59" s="135"/>
    </row>
    <row r="60" spans="2:10" ht="14.4" thickBot="1" x14ac:dyDescent="0.3">
      <c r="B60" s="98"/>
      <c r="C60" s="1036" t="s">
        <v>11</v>
      </c>
      <c r="D60" s="1037"/>
      <c r="E60" s="62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B091-5119-4D2B-99B4-C0E4E45B32CA}">
  <sheetPr>
    <tabColor rgb="FF7030A0"/>
  </sheetPr>
  <dimension ref="A1:K53"/>
  <sheetViews>
    <sheetView workbookViewId="0">
      <selection activeCell="F6" sqref="F6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0" ht="45.75" x14ac:dyDescent="0.65">
      <c r="A1" s="1034" t="s">
        <v>162</v>
      </c>
      <c r="B1" s="1034"/>
      <c r="C1" s="1034"/>
      <c r="D1" s="1034"/>
      <c r="E1" s="1034"/>
      <c r="F1" s="1034"/>
      <c r="G1" s="1034"/>
      <c r="H1" s="10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0" ht="17.25" thickTop="1" thickBot="1" x14ac:dyDescent="0.3">
      <c r="A4" s="82"/>
      <c r="B4" s="158"/>
      <c r="C4" s="574"/>
      <c r="D4" s="294"/>
      <c r="E4" s="566"/>
      <c r="F4" s="318"/>
    </row>
    <row r="5" spans="1:10" ht="15" customHeight="1" thickBot="1" x14ac:dyDescent="0.35">
      <c r="A5" s="1096" t="s">
        <v>182</v>
      </c>
      <c r="B5" s="1052" t="s">
        <v>181</v>
      </c>
      <c r="C5" s="574">
        <v>40</v>
      </c>
      <c r="D5" s="294">
        <v>44139</v>
      </c>
      <c r="E5" s="596">
        <v>713.94</v>
      </c>
      <c r="F5" s="380">
        <v>24</v>
      </c>
      <c r="G5" s="362">
        <f>F46</f>
        <v>0</v>
      </c>
      <c r="H5" s="63">
        <f>E7+E8+E5+E4+E6-G5</f>
        <v>713.94</v>
      </c>
    </row>
    <row r="6" spans="1:10" ht="16.8" thickTop="1" thickBot="1" x14ac:dyDescent="0.35">
      <c r="A6" s="1097"/>
      <c r="B6" s="1053"/>
      <c r="C6" s="574"/>
      <c r="D6" s="294"/>
      <c r="E6" s="596"/>
      <c r="F6" s="380"/>
      <c r="I6" s="1078" t="s">
        <v>3</v>
      </c>
      <c r="J6" s="1072" t="s">
        <v>4</v>
      </c>
    </row>
    <row r="7" spans="1:10" ht="15.6" x14ac:dyDescent="0.3">
      <c r="A7" s="685"/>
      <c r="B7" s="705"/>
      <c r="C7" s="574"/>
      <c r="D7" s="294"/>
      <c r="E7" s="686"/>
      <c r="F7" s="380"/>
      <c r="I7" s="1098"/>
      <c r="J7" s="1095"/>
    </row>
    <row r="8" spans="1:10" ht="16.2" thickBot="1" x14ac:dyDescent="0.35">
      <c r="A8" s="685"/>
      <c r="B8" s="679"/>
      <c r="C8" s="574"/>
      <c r="D8" s="294"/>
      <c r="E8" s="686"/>
      <c r="F8" s="380"/>
      <c r="I8" s="1098"/>
      <c r="J8" s="1095"/>
    </row>
    <row r="9" spans="1:10" ht="15" thickTop="1" thickBot="1" x14ac:dyDescent="0.3">
      <c r="A9" s="1"/>
      <c r="B9" s="24" t="s">
        <v>7</v>
      </c>
      <c r="C9" s="20" t="s">
        <v>8</v>
      </c>
      <c r="D9" s="120" t="s">
        <v>3</v>
      </c>
      <c r="E9" s="21" t="s">
        <v>2</v>
      </c>
      <c r="F9" s="123" t="s">
        <v>9</v>
      </c>
      <c r="G9" s="22" t="s">
        <v>15</v>
      </c>
      <c r="H9" s="29"/>
      <c r="I9" s="1079"/>
      <c r="J9" s="1095"/>
    </row>
    <row r="10" spans="1:10" ht="15.75" thickTop="1" x14ac:dyDescent="0.25">
      <c r="A10" s="87" t="s">
        <v>32</v>
      </c>
      <c r="B10" s="90"/>
      <c r="C10" s="15"/>
      <c r="D10" s="214"/>
      <c r="E10" s="393"/>
      <c r="F10" s="74">
        <f t="shared" ref="F10:F45" si="0">D10</f>
        <v>0</v>
      </c>
      <c r="G10" s="315"/>
      <c r="H10" s="316"/>
      <c r="I10" s="309">
        <f>E4+E5+E6+E8+E7-D10</f>
        <v>713.94</v>
      </c>
      <c r="J10" s="522">
        <f>F4+F5+F6+F8-C10+F7</f>
        <v>24</v>
      </c>
    </row>
    <row r="11" spans="1:10" ht="15" x14ac:dyDescent="0.25">
      <c r="A11" s="241"/>
      <c r="B11" s="90"/>
      <c r="C11" s="15"/>
      <c r="D11" s="214"/>
      <c r="E11" s="393"/>
      <c r="F11" s="74">
        <f t="shared" si="0"/>
        <v>0</v>
      </c>
      <c r="G11" s="315"/>
      <c r="H11" s="316"/>
      <c r="I11" s="309">
        <f>I10-D11</f>
        <v>713.94</v>
      </c>
      <c r="J11" s="373">
        <f>J10-C11</f>
        <v>24</v>
      </c>
    </row>
    <row r="12" spans="1:10" ht="15" x14ac:dyDescent="0.25">
      <c r="A12" s="227"/>
      <c r="B12" s="90"/>
      <c r="C12" s="15"/>
      <c r="D12" s="214"/>
      <c r="E12" s="700"/>
      <c r="F12" s="74">
        <f t="shared" si="0"/>
        <v>0</v>
      </c>
      <c r="G12" s="315"/>
      <c r="H12" s="316"/>
      <c r="I12" s="309">
        <f t="shared" ref="I12:I44" si="1">I11-F12</f>
        <v>713.94</v>
      </c>
      <c r="J12" s="373">
        <f t="shared" ref="J12:J44" si="2">J11-C12</f>
        <v>24</v>
      </c>
    </row>
    <row r="13" spans="1:10" ht="15" x14ac:dyDescent="0.25">
      <c r="A13" s="89" t="s">
        <v>33</v>
      </c>
      <c r="B13" s="90"/>
      <c r="C13" s="15"/>
      <c r="D13" s="214"/>
      <c r="E13" s="700"/>
      <c r="F13" s="74">
        <f t="shared" si="0"/>
        <v>0</v>
      </c>
      <c r="G13" s="315"/>
      <c r="H13" s="316"/>
      <c r="I13" s="309">
        <f t="shared" si="1"/>
        <v>713.94</v>
      </c>
      <c r="J13" s="373">
        <f t="shared" si="2"/>
        <v>24</v>
      </c>
    </row>
    <row r="14" spans="1:10" ht="15" x14ac:dyDescent="0.25">
      <c r="A14" s="79"/>
      <c r="B14" s="90"/>
      <c r="C14" s="15"/>
      <c r="D14" s="214"/>
      <c r="E14" s="700"/>
      <c r="F14" s="74">
        <f t="shared" si="0"/>
        <v>0</v>
      </c>
      <c r="G14" s="315"/>
      <c r="H14" s="316"/>
      <c r="I14" s="309">
        <f t="shared" si="1"/>
        <v>713.94</v>
      </c>
      <c r="J14" s="373">
        <f t="shared" si="2"/>
        <v>24</v>
      </c>
    </row>
    <row r="15" spans="1:10" ht="15" x14ac:dyDescent="0.25">
      <c r="A15" s="79"/>
      <c r="B15" s="90"/>
      <c r="C15" s="15"/>
      <c r="D15" s="214"/>
      <c r="E15" s="148"/>
      <c r="F15" s="74">
        <f t="shared" si="0"/>
        <v>0</v>
      </c>
      <c r="G15" s="315"/>
      <c r="H15" s="316"/>
      <c r="I15" s="309">
        <f t="shared" si="1"/>
        <v>713.94</v>
      </c>
      <c r="J15" s="373">
        <f t="shared" si="2"/>
        <v>24</v>
      </c>
    </row>
    <row r="16" spans="1:10" ht="15" x14ac:dyDescent="0.25">
      <c r="B16" s="90"/>
      <c r="C16" s="15"/>
      <c r="D16" s="214"/>
      <c r="E16" s="148"/>
      <c r="F16" s="74">
        <f t="shared" si="0"/>
        <v>0</v>
      </c>
      <c r="G16" s="315"/>
      <c r="H16" s="316"/>
      <c r="I16" s="309">
        <f t="shared" si="1"/>
        <v>713.94</v>
      </c>
      <c r="J16" s="373">
        <f t="shared" si="2"/>
        <v>24</v>
      </c>
    </row>
    <row r="17" spans="1:11" ht="15" x14ac:dyDescent="0.25">
      <c r="B17" s="90"/>
      <c r="C17" s="15"/>
      <c r="D17" s="698"/>
      <c r="E17" s="724"/>
      <c r="F17" s="268">
        <f t="shared" si="0"/>
        <v>0</v>
      </c>
      <c r="G17" s="199"/>
      <c r="H17" s="127"/>
      <c r="I17" s="309">
        <f t="shared" si="1"/>
        <v>713.94</v>
      </c>
      <c r="J17" s="281">
        <f t="shared" si="2"/>
        <v>24</v>
      </c>
    </row>
    <row r="18" spans="1:11" ht="15" x14ac:dyDescent="0.25">
      <c r="A18" s="88"/>
      <c r="B18" s="90"/>
      <c r="C18" s="15"/>
      <c r="D18" s="698"/>
      <c r="E18" s="725"/>
      <c r="F18" s="268">
        <f t="shared" si="0"/>
        <v>0</v>
      </c>
      <c r="G18" s="517"/>
      <c r="H18" s="518"/>
      <c r="I18" s="309">
        <f t="shared" si="1"/>
        <v>713.94</v>
      </c>
      <c r="J18" s="373">
        <f t="shared" si="2"/>
        <v>24</v>
      </c>
      <c r="K18" s="286"/>
    </row>
    <row r="19" spans="1:11" ht="15" x14ac:dyDescent="0.25">
      <c r="A19" s="90"/>
      <c r="B19" s="90"/>
      <c r="C19" s="15"/>
      <c r="D19" s="698"/>
      <c r="E19" s="725"/>
      <c r="F19" s="268">
        <f t="shared" si="0"/>
        <v>0</v>
      </c>
      <c r="G19" s="756"/>
      <c r="H19" s="518"/>
      <c r="I19" s="309">
        <f t="shared" si="1"/>
        <v>713.94</v>
      </c>
      <c r="J19" s="373">
        <f t="shared" si="2"/>
        <v>24</v>
      </c>
      <c r="K19" s="286"/>
    </row>
    <row r="20" spans="1:11" ht="15" x14ac:dyDescent="0.25">
      <c r="A20" s="2"/>
      <c r="B20" s="90"/>
      <c r="C20" s="15"/>
      <c r="D20" s="698"/>
      <c r="E20" s="725"/>
      <c r="F20" s="268">
        <f t="shared" si="0"/>
        <v>0</v>
      </c>
      <c r="G20" s="517"/>
      <c r="H20" s="518"/>
      <c r="I20" s="309">
        <f t="shared" si="1"/>
        <v>713.94</v>
      </c>
      <c r="J20" s="373">
        <f t="shared" si="2"/>
        <v>24</v>
      </c>
      <c r="K20" s="286"/>
    </row>
    <row r="21" spans="1:11" ht="15" x14ac:dyDescent="0.25">
      <c r="A21" s="2"/>
      <c r="B21" s="90"/>
      <c r="C21" s="15"/>
      <c r="D21" s="698"/>
      <c r="E21" s="725"/>
      <c r="F21" s="268">
        <f t="shared" si="0"/>
        <v>0</v>
      </c>
      <c r="G21" s="517"/>
      <c r="H21" s="518"/>
      <c r="I21" s="309">
        <f t="shared" si="1"/>
        <v>713.94</v>
      </c>
      <c r="J21" s="373">
        <f t="shared" si="2"/>
        <v>24</v>
      </c>
      <c r="K21" s="286"/>
    </row>
    <row r="22" spans="1:11" ht="15" x14ac:dyDescent="0.25">
      <c r="A22" s="2"/>
      <c r="B22" s="90"/>
      <c r="C22" s="15"/>
      <c r="D22" s="698"/>
      <c r="E22" s="724"/>
      <c r="F22" s="268">
        <f t="shared" si="0"/>
        <v>0</v>
      </c>
      <c r="G22" s="517"/>
      <c r="H22" s="518"/>
      <c r="I22" s="309">
        <f t="shared" si="1"/>
        <v>713.94</v>
      </c>
      <c r="J22" s="373">
        <f t="shared" si="2"/>
        <v>24</v>
      </c>
      <c r="K22" s="286"/>
    </row>
    <row r="23" spans="1:11" ht="15" x14ac:dyDescent="0.25">
      <c r="A23" s="2"/>
      <c r="B23" s="90"/>
      <c r="C23" s="15"/>
      <c r="D23" s="698"/>
      <c r="E23" s="724"/>
      <c r="F23" s="268">
        <f t="shared" si="0"/>
        <v>0</v>
      </c>
      <c r="G23" s="517"/>
      <c r="H23" s="518"/>
      <c r="I23" s="309">
        <f t="shared" si="1"/>
        <v>713.94</v>
      </c>
      <c r="J23" s="373">
        <f t="shared" si="2"/>
        <v>24</v>
      </c>
      <c r="K23" s="286"/>
    </row>
    <row r="24" spans="1:11" ht="15" x14ac:dyDescent="0.25">
      <c r="A24" s="2"/>
      <c r="B24" s="90"/>
      <c r="C24" s="15"/>
      <c r="D24" s="698"/>
      <c r="E24" s="724"/>
      <c r="F24" s="268">
        <f t="shared" si="0"/>
        <v>0</v>
      </c>
      <c r="G24" s="517"/>
      <c r="H24" s="518"/>
      <c r="I24" s="309">
        <f t="shared" si="1"/>
        <v>713.94</v>
      </c>
      <c r="J24" s="373">
        <f t="shared" si="2"/>
        <v>24</v>
      </c>
      <c r="K24" s="286"/>
    </row>
    <row r="25" spans="1:11" x14ac:dyDescent="0.25">
      <c r="A25" s="2"/>
      <c r="B25" s="90"/>
      <c r="C25" s="15"/>
      <c r="D25" s="698"/>
      <c r="E25" s="724"/>
      <c r="F25" s="268">
        <f t="shared" si="0"/>
        <v>0</v>
      </c>
      <c r="G25" s="517"/>
      <c r="H25" s="518"/>
      <c r="I25" s="309">
        <f t="shared" si="1"/>
        <v>713.94</v>
      </c>
      <c r="J25" s="373">
        <f t="shared" si="2"/>
        <v>24</v>
      </c>
      <c r="K25" s="286"/>
    </row>
    <row r="26" spans="1:11" x14ac:dyDescent="0.25">
      <c r="A26" s="2"/>
      <c r="B26" s="90"/>
      <c r="C26" s="15"/>
      <c r="D26" s="698"/>
      <c r="E26" s="725"/>
      <c r="F26" s="268">
        <f t="shared" si="0"/>
        <v>0</v>
      </c>
      <c r="G26" s="199"/>
      <c r="H26" s="127"/>
      <c r="I26" s="309">
        <f t="shared" si="1"/>
        <v>713.94</v>
      </c>
      <c r="J26" s="281">
        <f t="shared" si="2"/>
        <v>24</v>
      </c>
    </row>
    <row r="27" spans="1:11" x14ac:dyDescent="0.25">
      <c r="A27" s="2"/>
      <c r="B27" s="90"/>
      <c r="C27" s="15"/>
      <c r="D27" s="698"/>
      <c r="E27" s="725"/>
      <c r="F27" s="268">
        <f t="shared" si="0"/>
        <v>0</v>
      </c>
      <c r="G27" s="199"/>
      <c r="H27" s="127"/>
      <c r="I27" s="309">
        <f t="shared" si="1"/>
        <v>713.94</v>
      </c>
      <c r="J27" s="281">
        <f t="shared" si="2"/>
        <v>24</v>
      </c>
    </row>
    <row r="28" spans="1:11" x14ac:dyDescent="0.25">
      <c r="A28" s="2"/>
      <c r="B28" s="90"/>
      <c r="C28" s="15"/>
      <c r="D28" s="698"/>
      <c r="E28" s="725"/>
      <c r="F28" s="268">
        <f t="shared" si="0"/>
        <v>0</v>
      </c>
      <c r="G28" s="199"/>
      <c r="H28" s="127"/>
      <c r="I28" s="309">
        <f t="shared" si="1"/>
        <v>713.94</v>
      </c>
      <c r="J28" s="281">
        <f t="shared" si="2"/>
        <v>24</v>
      </c>
    </row>
    <row r="29" spans="1:11" x14ac:dyDescent="0.25">
      <c r="A29" s="215"/>
      <c r="B29" s="90"/>
      <c r="C29" s="15"/>
      <c r="D29" s="698"/>
      <c r="E29" s="725"/>
      <c r="F29" s="268">
        <f t="shared" si="0"/>
        <v>0</v>
      </c>
      <c r="G29" s="199"/>
      <c r="H29" s="127"/>
      <c r="I29" s="309">
        <f t="shared" si="1"/>
        <v>713.94</v>
      </c>
      <c r="J29" s="281">
        <f t="shared" si="2"/>
        <v>24</v>
      </c>
    </row>
    <row r="30" spans="1:11" x14ac:dyDescent="0.25">
      <c r="A30" s="215"/>
      <c r="B30" s="90"/>
      <c r="C30" s="15"/>
      <c r="D30" s="698"/>
      <c r="E30" s="724"/>
      <c r="F30" s="268">
        <f t="shared" si="0"/>
        <v>0</v>
      </c>
      <c r="G30" s="199"/>
      <c r="H30" s="127"/>
      <c r="I30" s="309">
        <f t="shared" si="1"/>
        <v>713.94</v>
      </c>
      <c r="J30" s="281">
        <f t="shared" si="2"/>
        <v>24</v>
      </c>
    </row>
    <row r="31" spans="1:11" x14ac:dyDescent="0.25">
      <c r="A31" s="215"/>
      <c r="B31" s="90"/>
      <c r="C31" s="313"/>
      <c r="D31" s="726"/>
      <c r="E31" s="727"/>
      <c r="F31" s="534">
        <f t="shared" si="0"/>
        <v>0</v>
      </c>
      <c r="G31" s="517"/>
      <c r="H31" s="518"/>
      <c r="I31" s="309">
        <f t="shared" si="1"/>
        <v>713.94</v>
      </c>
      <c r="J31" s="373">
        <f t="shared" si="2"/>
        <v>24</v>
      </c>
    </row>
    <row r="32" spans="1:11" x14ac:dyDescent="0.25">
      <c r="A32" s="215"/>
      <c r="B32" s="90"/>
      <c r="C32" s="15"/>
      <c r="D32" s="698"/>
      <c r="E32" s="728"/>
      <c r="F32" s="268">
        <f t="shared" si="0"/>
        <v>0</v>
      </c>
      <c r="G32" s="199"/>
      <c r="H32" s="127"/>
      <c r="I32" s="309">
        <f t="shared" si="1"/>
        <v>713.94</v>
      </c>
      <c r="J32" s="281">
        <f t="shared" si="2"/>
        <v>24</v>
      </c>
    </row>
    <row r="33" spans="1:10" x14ac:dyDescent="0.25">
      <c r="A33" s="215"/>
      <c r="B33" s="90"/>
      <c r="C33" s="15"/>
      <c r="D33" s="698"/>
      <c r="E33" s="728"/>
      <c r="F33" s="268">
        <f t="shared" si="0"/>
        <v>0</v>
      </c>
      <c r="G33" s="199"/>
      <c r="H33" s="127"/>
      <c r="I33" s="309">
        <f t="shared" si="1"/>
        <v>713.94</v>
      </c>
      <c r="J33" s="281">
        <f t="shared" si="2"/>
        <v>24</v>
      </c>
    </row>
    <row r="34" spans="1:10" x14ac:dyDescent="0.25">
      <c r="A34" s="2"/>
      <c r="B34" s="90"/>
      <c r="C34" s="15"/>
      <c r="D34" s="698"/>
      <c r="E34" s="728"/>
      <c r="F34" s="268">
        <f t="shared" si="0"/>
        <v>0</v>
      </c>
      <c r="G34" s="199"/>
      <c r="H34" s="127"/>
      <c r="I34" s="309">
        <f t="shared" si="1"/>
        <v>713.94</v>
      </c>
      <c r="J34" s="281">
        <f t="shared" si="2"/>
        <v>24</v>
      </c>
    </row>
    <row r="35" spans="1:10" x14ac:dyDescent="0.25">
      <c r="A35" s="2"/>
      <c r="B35" s="90"/>
      <c r="C35" s="15"/>
      <c r="D35" s="214"/>
      <c r="E35" s="86"/>
      <c r="F35" s="74">
        <f t="shared" si="0"/>
        <v>0</v>
      </c>
      <c r="G35" s="75"/>
      <c r="H35" s="76"/>
      <c r="I35" s="309">
        <f t="shared" si="1"/>
        <v>713.94</v>
      </c>
      <c r="J35" s="281">
        <f t="shared" si="2"/>
        <v>24</v>
      </c>
    </row>
    <row r="36" spans="1:10" x14ac:dyDescent="0.25">
      <c r="A36" s="2"/>
      <c r="B36" s="90"/>
      <c r="C36" s="15"/>
      <c r="D36" s="214"/>
      <c r="E36" s="86"/>
      <c r="F36" s="74">
        <f t="shared" si="0"/>
        <v>0</v>
      </c>
      <c r="G36" s="75"/>
      <c r="H36" s="76"/>
      <c r="I36" s="309">
        <f t="shared" si="1"/>
        <v>713.94</v>
      </c>
      <c r="J36" s="281">
        <f t="shared" si="2"/>
        <v>24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309">
        <f t="shared" si="1"/>
        <v>713.94</v>
      </c>
      <c r="J37" s="281">
        <f t="shared" si="2"/>
        <v>24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309">
        <f t="shared" si="1"/>
        <v>713.94</v>
      </c>
      <c r="J38" s="281">
        <f t="shared" si="2"/>
        <v>24</v>
      </c>
    </row>
    <row r="39" spans="1:10" x14ac:dyDescent="0.25">
      <c r="A39" s="2"/>
      <c r="B39" s="90"/>
      <c r="C39" s="15"/>
      <c r="D39" s="214"/>
      <c r="E39" s="91"/>
      <c r="F39" s="74">
        <f t="shared" si="0"/>
        <v>0</v>
      </c>
      <c r="G39" s="75"/>
      <c r="H39" s="76"/>
      <c r="I39" s="309">
        <f t="shared" si="1"/>
        <v>713.94</v>
      </c>
      <c r="J39" s="281">
        <f t="shared" si="2"/>
        <v>24</v>
      </c>
    </row>
    <row r="40" spans="1:10" x14ac:dyDescent="0.25">
      <c r="A40" s="2"/>
      <c r="B40" s="90"/>
      <c r="C40" s="15"/>
      <c r="D40" s="214"/>
      <c r="E40" s="91"/>
      <c r="F40" s="74">
        <f t="shared" si="0"/>
        <v>0</v>
      </c>
      <c r="G40" s="75"/>
      <c r="H40" s="76"/>
      <c r="I40" s="309">
        <f t="shared" si="1"/>
        <v>713.94</v>
      </c>
      <c r="J40" s="281">
        <f t="shared" si="2"/>
        <v>24</v>
      </c>
    </row>
    <row r="41" spans="1:10" x14ac:dyDescent="0.25">
      <c r="A41" s="2"/>
      <c r="B41" s="90"/>
      <c r="C41" s="15"/>
      <c r="D41" s="214">
        <f t="shared" ref="D41:D44" si="3">C41*B41</f>
        <v>0</v>
      </c>
      <c r="E41" s="91"/>
      <c r="F41" s="74">
        <f t="shared" si="0"/>
        <v>0</v>
      </c>
      <c r="G41" s="75"/>
      <c r="H41" s="76"/>
      <c r="I41" s="309">
        <f t="shared" si="1"/>
        <v>713.94</v>
      </c>
      <c r="J41" s="281">
        <f t="shared" si="2"/>
        <v>24</v>
      </c>
    </row>
    <row r="42" spans="1:10" x14ac:dyDescent="0.25">
      <c r="A42" s="2"/>
      <c r="B42" s="90"/>
      <c r="C42" s="15"/>
      <c r="D42" s="214">
        <f t="shared" si="3"/>
        <v>0</v>
      </c>
      <c r="E42" s="91"/>
      <c r="F42" s="74">
        <f t="shared" si="0"/>
        <v>0</v>
      </c>
      <c r="G42" s="75"/>
      <c r="H42" s="76"/>
      <c r="I42" s="309">
        <f t="shared" si="1"/>
        <v>713.94</v>
      </c>
      <c r="J42" s="281">
        <f t="shared" si="2"/>
        <v>24</v>
      </c>
    </row>
    <row r="43" spans="1:10" x14ac:dyDescent="0.25">
      <c r="A43" s="2"/>
      <c r="B43" s="90"/>
      <c r="C43" s="15"/>
      <c r="D43" s="214">
        <f t="shared" si="3"/>
        <v>0</v>
      </c>
      <c r="E43" s="91"/>
      <c r="F43" s="74">
        <f t="shared" si="0"/>
        <v>0</v>
      </c>
      <c r="G43" s="75"/>
      <c r="H43" s="76"/>
      <c r="I43" s="309">
        <f t="shared" si="1"/>
        <v>713.94</v>
      </c>
      <c r="J43" s="281">
        <f t="shared" si="2"/>
        <v>24</v>
      </c>
    </row>
    <row r="44" spans="1:10" ht="14.4" thickBot="1" x14ac:dyDescent="0.3">
      <c r="A44" s="2"/>
      <c r="B44" s="90"/>
      <c r="C44" s="15"/>
      <c r="D44" s="214">
        <f t="shared" si="3"/>
        <v>0</v>
      </c>
      <c r="E44" s="91"/>
      <c r="F44" s="74">
        <f t="shared" si="0"/>
        <v>0</v>
      </c>
      <c r="G44" s="75"/>
      <c r="H44" s="76"/>
      <c r="I44" s="309">
        <f t="shared" si="1"/>
        <v>713.94</v>
      </c>
      <c r="J44" s="282">
        <f t="shared" si="2"/>
        <v>24</v>
      </c>
    </row>
    <row r="45" spans="1:10" ht="14.4" thickBot="1" x14ac:dyDescent="0.3">
      <c r="A45" s="4"/>
      <c r="B45" s="90"/>
      <c r="C45" s="38"/>
      <c r="D45" s="249">
        <f>C45*B35</f>
        <v>0</v>
      </c>
      <c r="E45" s="250"/>
      <c r="F45" s="251">
        <f t="shared" si="0"/>
        <v>0</v>
      </c>
      <c r="G45" s="252"/>
      <c r="H45" s="238"/>
    </row>
    <row r="46" spans="1:10" ht="15.6" thickTop="1" thickBot="1" x14ac:dyDescent="0.35">
      <c r="C46" s="97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" thickBot="1" x14ac:dyDescent="0.35">
      <c r="A47" s="53"/>
      <c r="D47" s="121" t="s">
        <v>4</v>
      </c>
      <c r="E47" s="73">
        <f>F4+F5+F6-+C46</f>
        <v>24</v>
      </c>
    </row>
    <row r="48" spans="1:10" ht="14.4" thickBot="1" x14ac:dyDescent="0.3">
      <c r="A48" s="129"/>
    </row>
    <row r="49" spans="1:9" ht="15" thickTop="1" thickBot="1" x14ac:dyDescent="0.3">
      <c r="A49" s="48"/>
      <c r="C49" s="1054" t="s">
        <v>11</v>
      </c>
      <c r="D49" s="1055"/>
      <c r="E49" s="159">
        <f>E5+E4+E6+-F46</f>
        <v>713.94</v>
      </c>
    </row>
    <row r="53" spans="1:9" ht="16.8" x14ac:dyDescent="0.3">
      <c r="B53" s="564"/>
      <c r="C53" s="565"/>
      <c r="D53" s="566">
        <v>2034.8</v>
      </c>
      <c r="E53" s="567">
        <v>43899</v>
      </c>
      <c r="F53" s="568">
        <v>26330</v>
      </c>
      <c r="G53" s="566">
        <v>2034.8</v>
      </c>
      <c r="H53" s="569">
        <f t="shared" ref="H53" si="4">G53-D53</f>
        <v>0</v>
      </c>
      <c r="I53" s="570">
        <v>19</v>
      </c>
    </row>
  </sheetData>
  <sortState xmlns:xlrd2="http://schemas.microsoft.com/office/spreadsheetml/2017/richdata2"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3.8" x14ac:dyDescent="0.25"/>
  <cols>
    <col min="1" max="1" width="26.6640625" customWidth="1"/>
    <col min="2" max="2" width="18" customWidth="1"/>
    <col min="3" max="3" width="14.6640625" customWidth="1"/>
    <col min="5" max="5" width="13" bestFit="1" customWidth="1"/>
    <col min="9" max="9" width="11.44140625" style="66"/>
    <col min="11" max="11" width="26.6640625" customWidth="1"/>
    <col min="12" max="12" width="18" customWidth="1"/>
    <col min="13" max="13" width="14.6640625" customWidth="1"/>
    <col min="15" max="15" width="13" bestFit="1" customWidth="1"/>
    <col min="19" max="19" width="11.44140625" style="66"/>
  </cols>
  <sheetData>
    <row r="1" spans="1:19" ht="40.5" x14ac:dyDescent="0.55000000000000004">
      <c r="A1" s="1034" t="s">
        <v>168</v>
      </c>
      <c r="B1" s="1034"/>
      <c r="C1" s="1034"/>
      <c r="D1" s="1034"/>
      <c r="E1" s="1034"/>
      <c r="F1" s="1034"/>
      <c r="G1" s="1034"/>
      <c r="H1" s="11"/>
      <c r="K1" s="1034" t="str">
        <f>A1</f>
        <v>ENTRADA DEL MES DE  NOVIEMBRE   2020</v>
      </c>
      <c r="L1" s="1034"/>
      <c r="M1" s="1034"/>
      <c r="N1" s="1034"/>
      <c r="O1" s="1034"/>
      <c r="P1" s="1034"/>
      <c r="Q1" s="10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746"/>
      <c r="D4" s="747"/>
      <c r="E4" s="12"/>
      <c r="F4" s="12"/>
      <c r="G4" s="175"/>
      <c r="H4" s="175"/>
      <c r="K4" s="12"/>
      <c r="L4" s="12"/>
      <c r="M4" s="12"/>
      <c r="N4" s="12"/>
      <c r="O4" s="12"/>
      <c r="P4" s="12"/>
      <c r="Q4" s="175"/>
      <c r="R4" s="175"/>
    </row>
    <row r="5" spans="1:19" ht="15" customHeight="1" x14ac:dyDescent="0.25">
      <c r="A5" s="296" t="s">
        <v>120</v>
      </c>
      <c r="B5" s="1035" t="s">
        <v>107</v>
      </c>
      <c r="C5" s="321">
        <v>75</v>
      </c>
      <c r="D5" s="294">
        <v>44144</v>
      </c>
      <c r="E5" s="309">
        <v>241.31</v>
      </c>
      <c r="F5" s="300">
        <v>20</v>
      </c>
      <c r="G5" s="310"/>
      <c r="K5" s="296" t="s">
        <v>120</v>
      </c>
      <c r="L5" s="1038" t="s">
        <v>108</v>
      </c>
      <c r="M5" s="321">
        <v>66</v>
      </c>
      <c r="N5" s="294">
        <v>44144</v>
      </c>
      <c r="O5" s="309">
        <v>247.22</v>
      </c>
      <c r="P5" s="300">
        <v>20</v>
      </c>
      <c r="Q5" s="310"/>
    </row>
    <row r="6" spans="1:19" x14ac:dyDescent="0.25">
      <c r="A6" s="296"/>
      <c r="B6" s="1035"/>
      <c r="C6" s="322">
        <v>75</v>
      </c>
      <c r="D6" s="294">
        <v>44160</v>
      </c>
      <c r="E6" s="317">
        <v>83.67</v>
      </c>
      <c r="F6" s="300">
        <v>7</v>
      </c>
      <c r="G6" s="312">
        <f>F78</f>
        <v>448.38</v>
      </c>
      <c r="H6" s="7">
        <f>E6-G6+E7+E5-G5+E4</f>
        <v>271.61</v>
      </c>
      <c r="K6" s="296"/>
      <c r="L6" s="1038"/>
      <c r="M6" s="322"/>
      <c r="N6" s="294"/>
      <c r="O6" s="317"/>
      <c r="P6" s="300"/>
      <c r="Q6" s="312">
        <f>P78</f>
        <v>247.22</v>
      </c>
      <c r="R6" s="7">
        <f>O6-Q6+O7+O5-Q5</f>
        <v>0</v>
      </c>
    </row>
    <row r="7" spans="1:19" ht="15.75" thickBot="1" x14ac:dyDescent="0.3">
      <c r="A7" s="286"/>
      <c r="B7" s="323"/>
      <c r="C7" s="324">
        <v>75</v>
      </c>
      <c r="D7" s="325">
        <v>44166</v>
      </c>
      <c r="E7" s="309">
        <v>395.01</v>
      </c>
      <c r="F7" s="300">
        <v>32</v>
      </c>
      <c r="G7" s="286"/>
      <c r="K7" s="286"/>
      <c r="L7" s="323"/>
      <c r="M7" s="324"/>
      <c r="N7" s="325"/>
      <c r="O7" s="309"/>
      <c r="P7" s="300"/>
      <c r="Q7" s="286"/>
    </row>
    <row r="8" spans="1:19" ht="16.5" customHeight="1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7" t="s">
        <v>32</v>
      </c>
      <c r="B9" s="90">
        <f>F6-C9+F5+F4+F7</f>
        <v>39</v>
      </c>
      <c r="C9" s="15">
        <v>20</v>
      </c>
      <c r="D9" s="314">
        <v>241.31</v>
      </c>
      <c r="E9" s="352">
        <v>44144</v>
      </c>
      <c r="F9" s="314">
        <f t="shared" ref="F9:F72" si="0">D9</f>
        <v>241.31</v>
      </c>
      <c r="G9" s="315" t="s">
        <v>354</v>
      </c>
      <c r="H9" s="316">
        <v>77</v>
      </c>
      <c r="I9" s="326">
        <f>E6-F9+E5+E4+E7</f>
        <v>478.68</v>
      </c>
      <c r="K9" s="87" t="s">
        <v>32</v>
      </c>
      <c r="L9" s="90">
        <f>P6-M9+P5</f>
        <v>0</v>
      </c>
      <c r="M9" s="15">
        <v>20</v>
      </c>
      <c r="N9" s="314">
        <v>247.22</v>
      </c>
      <c r="O9" s="352">
        <v>44144</v>
      </c>
      <c r="P9" s="314">
        <f t="shared" ref="P9:P72" si="1">N9</f>
        <v>247.22</v>
      </c>
      <c r="Q9" s="315" t="s">
        <v>355</v>
      </c>
      <c r="R9" s="316">
        <v>68</v>
      </c>
      <c r="S9" s="326">
        <f>O6-P9+O5</f>
        <v>0</v>
      </c>
    </row>
    <row r="10" spans="1:19" ht="15" x14ac:dyDescent="0.25">
      <c r="A10" s="241"/>
      <c r="B10" s="90">
        <f>B9-C10</f>
        <v>32</v>
      </c>
      <c r="C10" s="15">
        <v>7</v>
      </c>
      <c r="D10" s="314">
        <v>83.67</v>
      </c>
      <c r="E10" s="352">
        <v>44160</v>
      </c>
      <c r="F10" s="314">
        <f t="shared" si="0"/>
        <v>83.67</v>
      </c>
      <c r="G10" s="315" t="s">
        <v>430</v>
      </c>
      <c r="H10" s="316">
        <v>77</v>
      </c>
      <c r="I10" s="326">
        <f>I9-F10</f>
        <v>395.01</v>
      </c>
      <c r="K10" s="241"/>
      <c r="L10" s="90">
        <f>L9-M10</f>
        <v>0</v>
      </c>
      <c r="M10" s="15"/>
      <c r="N10" s="314"/>
      <c r="O10" s="352"/>
      <c r="P10" s="919">
        <f t="shared" si="1"/>
        <v>0</v>
      </c>
      <c r="Q10" s="913"/>
      <c r="R10" s="915"/>
      <c r="S10" s="912">
        <f>S9-P10</f>
        <v>0</v>
      </c>
    </row>
    <row r="11" spans="1:19" ht="15" x14ac:dyDescent="0.25">
      <c r="A11" s="227"/>
      <c r="B11" s="90">
        <f t="shared" ref="B11:B54" si="2">B10-C11</f>
        <v>22</v>
      </c>
      <c r="C11" s="15">
        <v>10</v>
      </c>
      <c r="D11" s="314">
        <v>123.4</v>
      </c>
      <c r="E11" s="352">
        <v>44167</v>
      </c>
      <c r="F11" s="314">
        <f t="shared" si="0"/>
        <v>123.4</v>
      </c>
      <c r="G11" s="315" t="s">
        <v>456</v>
      </c>
      <c r="H11" s="316">
        <v>77</v>
      </c>
      <c r="I11" s="326">
        <f t="shared" ref="I11:I74" si="3">I10-F11</f>
        <v>271.61</v>
      </c>
      <c r="K11" s="227"/>
      <c r="L11" s="90">
        <f t="shared" ref="L11:L54" si="4">L10-M11</f>
        <v>0</v>
      </c>
      <c r="M11" s="15"/>
      <c r="N11" s="314"/>
      <c r="O11" s="352"/>
      <c r="P11" s="919">
        <f t="shared" si="1"/>
        <v>0</v>
      </c>
      <c r="Q11" s="913"/>
      <c r="R11" s="915"/>
      <c r="S11" s="912">
        <f t="shared" ref="S11:S74" si="5">S10-P11</f>
        <v>0</v>
      </c>
    </row>
    <row r="12" spans="1:19" ht="15" x14ac:dyDescent="0.25">
      <c r="A12" s="227"/>
      <c r="B12" s="90">
        <f t="shared" si="2"/>
        <v>22</v>
      </c>
      <c r="C12" s="15"/>
      <c r="D12" s="314"/>
      <c r="E12" s="352"/>
      <c r="F12" s="314">
        <f t="shared" si="0"/>
        <v>0</v>
      </c>
      <c r="G12" s="315"/>
      <c r="H12" s="316"/>
      <c r="I12" s="326">
        <f t="shared" si="3"/>
        <v>271.61</v>
      </c>
      <c r="K12" s="227"/>
      <c r="L12" s="90">
        <f t="shared" si="4"/>
        <v>0</v>
      </c>
      <c r="M12" s="15"/>
      <c r="N12" s="314"/>
      <c r="O12" s="352"/>
      <c r="P12" s="919">
        <f t="shared" si="1"/>
        <v>0</v>
      </c>
      <c r="Q12" s="913"/>
      <c r="R12" s="915"/>
      <c r="S12" s="912">
        <f t="shared" si="5"/>
        <v>0</v>
      </c>
    </row>
    <row r="13" spans="1:19" ht="15" x14ac:dyDescent="0.25">
      <c r="A13" s="89" t="s">
        <v>33</v>
      </c>
      <c r="B13" s="90">
        <f t="shared" si="2"/>
        <v>22</v>
      </c>
      <c r="C13" s="15"/>
      <c r="D13" s="314"/>
      <c r="E13" s="352"/>
      <c r="F13" s="314">
        <f t="shared" si="0"/>
        <v>0</v>
      </c>
      <c r="G13" s="315"/>
      <c r="H13" s="316"/>
      <c r="I13" s="326">
        <f t="shared" si="3"/>
        <v>271.61</v>
      </c>
      <c r="K13" s="89" t="s">
        <v>33</v>
      </c>
      <c r="L13" s="90">
        <f t="shared" si="4"/>
        <v>0</v>
      </c>
      <c r="M13" s="15"/>
      <c r="N13" s="314"/>
      <c r="O13" s="352"/>
      <c r="P13" s="919">
        <f t="shared" si="1"/>
        <v>0</v>
      </c>
      <c r="Q13" s="913"/>
      <c r="R13" s="915"/>
      <c r="S13" s="912">
        <f t="shared" si="5"/>
        <v>0</v>
      </c>
    </row>
    <row r="14" spans="1:19" ht="15" x14ac:dyDescent="0.25">
      <c r="A14" s="79"/>
      <c r="B14" s="90">
        <f t="shared" si="2"/>
        <v>22</v>
      </c>
      <c r="C14" s="15"/>
      <c r="D14" s="314"/>
      <c r="E14" s="352"/>
      <c r="F14" s="314">
        <f t="shared" si="0"/>
        <v>0</v>
      </c>
      <c r="G14" s="315"/>
      <c r="H14" s="316"/>
      <c r="I14" s="326">
        <f t="shared" si="3"/>
        <v>271.61</v>
      </c>
      <c r="K14" s="79"/>
      <c r="L14" s="90">
        <f t="shared" si="4"/>
        <v>0</v>
      </c>
      <c r="M14" s="15"/>
      <c r="N14" s="314"/>
      <c r="O14" s="352"/>
      <c r="P14" s="314">
        <f t="shared" si="1"/>
        <v>0</v>
      </c>
      <c r="Q14" s="315"/>
      <c r="R14" s="316"/>
      <c r="S14" s="326">
        <f t="shared" si="5"/>
        <v>0</v>
      </c>
    </row>
    <row r="15" spans="1:19" ht="15" x14ac:dyDescent="0.25">
      <c r="A15" s="79"/>
      <c r="B15" s="90">
        <f t="shared" si="2"/>
        <v>22</v>
      </c>
      <c r="C15" s="15"/>
      <c r="D15" s="314"/>
      <c r="E15" s="352"/>
      <c r="F15" s="314">
        <f t="shared" si="0"/>
        <v>0</v>
      </c>
      <c r="G15" s="315"/>
      <c r="H15" s="316"/>
      <c r="I15" s="326">
        <f t="shared" si="3"/>
        <v>271.61</v>
      </c>
      <c r="K15" s="79"/>
      <c r="L15" s="90">
        <f t="shared" si="4"/>
        <v>0</v>
      </c>
      <c r="M15" s="15"/>
      <c r="N15" s="314"/>
      <c r="O15" s="352"/>
      <c r="P15" s="314">
        <f t="shared" si="1"/>
        <v>0</v>
      </c>
      <c r="Q15" s="315"/>
      <c r="R15" s="316"/>
      <c r="S15" s="326">
        <f t="shared" si="5"/>
        <v>0</v>
      </c>
    </row>
    <row r="16" spans="1:19" ht="15" x14ac:dyDescent="0.25">
      <c r="B16" s="90">
        <f t="shared" si="2"/>
        <v>22</v>
      </c>
      <c r="C16" s="15"/>
      <c r="D16" s="314"/>
      <c r="E16" s="352"/>
      <c r="F16" s="314">
        <f t="shared" si="0"/>
        <v>0</v>
      </c>
      <c r="G16" s="315"/>
      <c r="H16" s="316"/>
      <c r="I16" s="326">
        <f t="shared" si="3"/>
        <v>271.61</v>
      </c>
      <c r="L16" s="90">
        <f t="shared" si="4"/>
        <v>0</v>
      </c>
      <c r="M16" s="15"/>
      <c r="N16" s="314"/>
      <c r="O16" s="352"/>
      <c r="P16" s="314">
        <f t="shared" si="1"/>
        <v>0</v>
      </c>
      <c r="Q16" s="315"/>
      <c r="R16" s="316"/>
      <c r="S16" s="326">
        <f t="shared" si="5"/>
        <v>0</v>
      </c>
    </row>
    <row r="17" spans="1:19" ht="15" x14ac:dyDescent="0.25">
      <c r="B17" s="90">
        <f t="shared" si="2"/>
        <v>22</v>
      </c>
      <c r="C17" s="15"/>
      <c r="D17" s="314"/>
      <c r="E17" s="352"/>
      <c r="F17" s="314">
        <f t="shared" si="0"/>
        <v>0</v>
      </c>
      <c r="G17" s="315"/>
      <c r="H17" s="316"/>
      <c r="I17" s="326">
        <f t="shared" si="3"/>
        <v>271.61</v>
      </c>
      <c r="L17" s="90">
        <f t="shared" si="4"/>
        <v>0</v>
      </c>
      <c r="M17" s="15"/>
      <c r="N17" s="314"/>
      <c r="O17" s="352"/>
      <c r="P17" s="314">
        <f t="shared" si="1"/>
        <v>0</v>
      </c>
      <c r="Q17" s="315"/>
      <c r="R17" s="316"/>
      <c r="S17" s="326">
        <f t="shared" si="5"/>
        <v>0</v>
      </c>
    </row>
    <row r="18" spans="1:19" ht="15" x14ac:dyDescent="0.25">
      <c r="A18" s="132"/>
      <c r="B18" s="90">
        <f t="shared" si="2"/>
        <v>22</v>
      </c>
      <c r="C18" s="15"/>
      <c r="D18" s="314"/>
      <c r="E18" s="352"/>
      <c r="F18" s="314">
        <f t="shared" si="0"/>
        <v>0</v>
      </c>
      <c r="G18" s="315"/>
      <c r="H18" s="316"/>
      <c r="I18" s="326">
        <f t="shared" si="3"/>
        <v>271.61</v>
      </c>
      <c r="K18" s="132"/>
      <c r="L18" s="90">
        <f t="shared" si="4"/>
        <v>0</v>
      </c>
      <c r="M18" s="15"/>
      <c r="N18" s="314"/>
      <c r="O18" s="352"/>
      <c r="P18" s="314">
        <f t="shared" si="1"/>
        <v>0</v>
      </c>
      <c r="Q18" s="315"/>
      <c r="R18" s="316"/>
      <c r="S18" s="326">
        <f t="shared" si="5"/>
        <v>0</v>
      </c>
    </row>
    <row r="19" spans="1:19" ht="15" x14ac:dyDescent="0.25">
      <c r="A19" s="132"/>
      <c r="B19" s="90">
        <f t="shared" si="2"/>
        <v>22</v>
      </c>
      <c r="C19" s="15"/>
      <c r="D19" s="314"/>
      <c r="E19" s="352"/>
      <c r="F19" s="314">
        <f t="shared" si="0"/>
        <v>0</v>
      </c>
      <c r="G19" s="315"/>
      <c r="H19" s="316"/>
      <c r="I19" s="326">
        <f t="shared" si="3"/>
        <v>271.61</v>
      </c>
      <c r="K19" s="132"/>
      <c r="L19" s="90">
        <f t="shared" si="4"/>
        <v>0</v>
      </c>
      <c r="M19" s="15"/>
      <c r="N19" s="314"/>
      <c r="O19" s="352"/>
      <c r="P19" s="314">
        <f t="shared" si="1"/>
        <v>0</v>
      </c>
      <c r="Q19" s="315"/>
      <c r="R19" s="316"/>
      <c r="S19" s="326">
        <f t="shared" si="5"/>
        <v>0</v>
      </c>
    </row>
    <row r="20" spans="1:19" ht="15" x14ac:dyDescent="0.25">
      <c r="A20" s="132"/>
      <c r="B20" s="90">
        <f t="shared" si="2"/>
        <v>22</v>
      </c>
      <c r="C20" s="15"/>
      <c r="D20" s="314"/>
      <c r="E20" s="352"/>
      <c r="F20" s="314">
        <f t="shared" si="0"/>
        <v>0</v>
      </c>
      <c r="G20" s="315"/>
      <c r="H20" s="316"/>
      <c r="I20" s="326">
        <f t="shared" si="3"/>
        <v>271.61</v>
      </c>
      <c r="K20" s="132"/>
      <c r="L20" s="90">
        <f t="shared" si="4"/>
        <v>0</v>
      </c>
      <c r="M20" s="15"/>
      <c r="N20" s="314"/>
      <c r="O20" s="352"/>
      <c r="P20" s="314">
        <f t="shared" si="1"/>
        <v>0</v>
      </c>
      <c r="Q20" s="315"/>
      <c r="R20" s="316"/>
      <c r="S20" s="326">
        <f t="shared" si="5"/>
        <v>0</v>
      </c>
    </row>
    <row r="21" spans="1:19" ht="15" x14ac:dyDescent="0.25">
      <c r="A21" s="132"/>
      <c r="B21" s="90">
        <f t="shared" si="2"/>
        <v>22</v>
      </c>
      <c r="C21" s="15"/>
      <c r="D21" s="314"/>
      <c r="E21" s="352"/>
      <c r="F21" s="314">
        <f t="shared" si="0"/>
        <v>0</v>
      </c>
      <c r="G21" s="315"/>
      <c r="H21" s="316"/>
      <c r="I21" s="326">
        <f t="shared" si="3"/>
        <v>271.61</v>
      </c>
      <c r="K21" s="132"/>
      <c r="L21" s="90">
        <f t="shared" si="4"/>
        <v>0</v>
      </c>
      <c r="M21" s="15"/>
      <c r="N21" s="314"/>
      <c r="O21" s="352"/>
      <c r="P21" s="314">
        <f t="shared" si="1"/>
        <v>0</v>
      </c>
      <c r="Q21" s="315"/>
      <c r="R21" s="316"/>
      <c r="S21" s="326">
        <f t="shared" si="5"/>
        <v>0</v>
      </c>
    </row>
    <row r="22" spans="1:19" ht="15" x14ac:dyDescent="0.25">
      <c r="A22" s="132"/>
      <c r="B22" s="332">
        <f t="shared" si="2"/>
        <v>22</v>
      </c>
      <c r="C22" s="15"/>
      <c r="D22" s="314"/>
      <c r="E22" s="352"/>
      <c r="F22" s="314">
        <f t="shared" si="0"/>
        <v>0</v>
      </c>
      <c r="G22" s="315"/>
      <c r="H22" s="316"/>
      <c r="I22" s="326">
        <f t="shared" si="3"/>
        <v>271.61</v>
      </c>
      <c r="K22" s="132"/>
      <c r="L22" s="332">
        <f t="shared" si="4"/>
        <v>0</v>
      </c>
      <c r="M22" s="15"/>
      <c r="N22" s="314"/>
      <c r="O22" s="352"/>
      <c r="P22" s="314">
        <f t="shared" si="1"/>
        <v>0</v>
      </c>
      <c r="Q22" s="315"/>
      <c r="R22" s="316"/>
      <c r="S22" s="326">
        <f t="shared" si="5"/>
        <v>0</v>
      </c>
    </row>
    <row r="23" spans="1:19" ht="15" x14ac:dyDescent="0.25">
      <c r="A23" s="133"/>
      <c r="B23" s="332">
        <f t="shared" si="2"/>
        <v>22</v>
      </c>
      <c r="C23" s="15"/>
      <c r="D23" s="314"/>
      <c r="E23" s="352"/>
      <c r="F23" s="314">
        <f t="shared" si="0"/>
        <v>0</v>
      </c>
      <c r="G23" s="315"/>
      <c r="H23" s="316"/>
      <c r="I23" s="326">
        <f t="shared" si="3"/>
        <v>271.61</v>
      </c>
      <c r="K23" s="133"/>
      <c r="L23" s="332">
        <f t="shared" si="4"/>
        <v>0</v>
      </c>
      <c r="M23" s="15"/>
      <c r="N23" s="314"/>
      <c r="O23" s="352"/>
      <c r="P23" s="314">
        <f t="shared" si="1"/>
        <v>0</v>
      </c>
      <c r="Q23" s="315"/>
      <c r="R23" s="316"/>
      <c r="S23" s="326">
        <f t="shared" si="5"/>
        <v>0</v>
      </c>
    </row>
    <row r="24" spans="1:19" ht="15" x14ac:dyDescent="0.25">
      <c r="A24" s="132"/>
      <c r="B24" s="332">
        <f t="shared" si="2"/>
        <v>22</v>
      </c>
      <c r="C24" s="15"/>
      <c r="D24" s="314"/>
      <c r="E24" s="352"/>
      <c r="F24" s="314">
        <f t="shared" si="0"/>
        <v>0</v>
      </c>
      <c r="G24" s="315"/>
      <c r="H24" s="316"/>
      <c r="I24" s="326">
        <f t="shared" si="3"/>
        <v>271.61</v>
      </c>
      <c r="K24" s="132"/>
      <c r="L24" s="332">
        <f t="shared" si="4"/>
        <v>0</v>
      </c>
      <c r="M24" s="15"/>
      <c r="N24" s="314"/>
      <c r="O24" s="352"/>
      <c r="P24" s="314">
        <f t="shared" si="1"/>
        <v>0</v>
      </c>
      <c r="Q24" s="315"/>
      <c r="R24" s="316"/>
      <c r="S24" s="326">
        <f t="shared" si="5"/>
        <v>0</v>
      </c>
    </row>
    <row r="25" spans="1:19" ht="15" x14ac:dyDescent="0.25">
      <c r="A25" s="132"/>
      <c r="B25" s="332">
        <f t="shared" si="2"/>
        <v>22</v>
      </c>
      <c r="C25" s="15"/>
      <c r="D25" s="314"/>
      <c r="E25" s="352"/>
      <c r="F25" s="314">
        <f t="shared" si="0"/>
        <v>0</v>
      </c>
      <c r="G25" s="315"/>
      <c r="H25" s="316"/>
      <c r="I25" s="326">
        <f t="shared" si="3"/>
        <v>271.61</v>
      </c>
      <c r="K25" s="132"/>
      <c r="L25" s="332">
        <f t="shared" si="4"/>
        <v>0</v>
      </c>
      <c r="M25" s="15"/>
      <c r="N25" s="314"/>
      <c r="O25" s="352"/>
      <c r="P25" s="314">
        <f t="shared" si="1"/>
        <v>0</v>
      </c>
      <c r="Q25" s="315"/>
      <c r="R25" s="316"/>
      <c r="S25" s="326">
        <f t="shared" si="5"/>
        <v>0</v>
      </c>
    </row>
    <row r="26" spans="1:19" ht="15" x14ac:dyDescent="0.25">
      <c r="A26" s="132"/>
      <c r="B26" s="227">
        <f t="shared" si="2"/>
        <v>22</v>
      </c>
      <c r="C26" s="15"/>
      <c r="D26" s="314"/>
      <c r="E26" s="352"/>
      <c r="F26" s="314">
        <f t="shared" si="0"/>
        <v>0</v>
      </c>
      <c r="G26" s="315"/>
      <c r="H26" s="316"/>
      <c r="I26" s="326">
        <f t="shared" si="3"/>
        <v>271.61</v>
      </c>
      <c r="K26" s="132"/>
      <c r="L26" s="227">
        <f t="shared" si="4"/>
        <v>0</v>
      </c>
      <c r="M26" s="15"/>
      <c r="N26" s="314"/>
      <c r="O26" s="352"/>
      <c r="P26" s="314">
        <f t="shared" si="1"/>
        <v>0</v>
      </c>
      <c r="Q26" s="315"/>
      <c r="R26" s="316"/>
      <c r="S26" s="326">
        <f t="shared" si="5"/>
        <v>0</v>
      </c>
    </row>
    <row r="27" spans="1:19" ht="15" x14ac:dyDescent="0.25">
      <c r="A27" s="132"/>
      <c r="B27" s="332">
        <f t="shared" si="2"/>
        <v>22</v>
      </c>
      <c r="C27" s="15"/>
      <c r="D27" s="314"/>
      <c r="E27" s="352"/>
      <c r="F27" s="314">
        <f t="shared" si="0"/>
        <v>0</v>
      </c>
      <c r="G27" s="315"/>
      <c r="H27" s="316"/>
      <c r="I27" s="326">
        <f t="shared" si="3"/>
        <v>271.61</v>
      </c>
      <c r="K27" s="132"/>
      <c r="L27" s="332">
        <f t="shared" si="4"/>
        <v>0</v>
      </c>
      <c r="M27" s="15"/>
      <c r="N27" s="314"/>
      <c r="O27" s="352"/>
      <c r="P27" s="314">
        <f t="shared" si="1"/>
        <v>0</v>
      </c>
      <c r="Q27" s="315"/>
      <c r="R27" s="316"/>
      <c r="S27" s="326">
        <f t="shared" si="5"/>
        <v>0</v>
      </c>
    </row>
    <row r="28" spans="1:19" ht="15" x14ac:dyDescent="0.25">
      <c r="A28" s="132"/>
      <c r="B28" s="227">
        <f t="shared" si="2"/>
        <v>22</v>
      </c>
      <c r="C28" s="15"/>
      <c r="D28" s="314"/>
      <c r="E28" s="352"/>
      <c r="F28" s="314">
        <f t="shared" si="0"/>
        <v>0</v>
      </c>
      <c r="G28" s="315"/>
      <c r="H28" s="316"/>
      <c r="I28" s="326">
        <f t="shared" si="3"/>
        <v>271.61</v>
      </c>
      <c r="K28" s="132"/>
      <c r="L28" s="227">
        <f t="shared" si="4"/>
        <v>0</v>
      </c>
      <c r="M28" s="15"/>
      <c r="N28" s="314"/>
      <c r="O28" s="352"/>
      <c r="P28" s="314">
        <f t="shared" si="1"/>
        <v>0</v>
      </c>
      <c r="Q28" s="315"/>
      <c r="R28" s="316"/>
      <c r="S28" s="326">
        <f t="shared" si="5"/>
        <v>0</v>
      </c>
    </row>
    <row r="29" spans="1:19" ht="15" x14ac:dyDescent="0.25">
      <c r="A29" s="132"/>
      <c r="B29" s="332">
        <f t="shared" si="2"/>
        <v>22</v>
      </c>
      <c r="C29" s="15"/>
      <c r="D29" s="314"/>
      <c r="E29" s="352"/>
      <c r="F29" s="314">
        <f t="shared" si="0"/>
        <v>0</v>
      </c>
      <c r="G29" s="315"/>
      <c r="H29" s="316"/>
      <c r="I29" s="326">
        <f t="shared" si="3"/>
        <v>271.61</v>
      </c>
      <c r="K29" s="132"/>
      <c r="L29" s="332">
        <f t="shared" si="4"/>
        <v>0</v>
      </c>
      <c r="M29" s="15"/>
      <c r="N29" s="314"/>
      <c r="O29" s="352"/>
      <c r="P29" s="314">
        <f t="shared" si="1"/>
        <v>0</v>
      </c>
      <c r="Q29" s="315"/>
      <c r="R29" s="316"/>
      <c r="S29" s="326">
        <f t="shared" si="5"/>
        <v>0</v>
      </c>
    </row>
    <row r="30" spans="1:19" ht="15" x14ac:dyDescent="0.25">
      <c r="A30" s="132"/>
      <c r="B30" s="332">
        <f t="shared" si="2"/>
        <v>22</v>
      </c>
      <c r="C30" s="15"/>
      <c r="D30" s="314"/>
      <c r="E30" s="352"/>
      <c r="F30" s="314">
        <f t="shared" si="0"/>
        <v>0</v>
      </c>
      <c r="G30" s="315"/>
      <c r="H30" s="316"/>
      <c r="I30" s="326">
        <f t="shared" si="3"/>
        <v>271.61</v>
      </c>
      <c r="K30" s="132"/>
      <c r="L30" s="332">
        <f t="shared" si="4"/>
        <v>0</v>
      </c>
      <c r="M30" s="15"/>
      <c r="N30" s="314"/>
      <c r="O30" s="352"/>
      <c r="P30" s="314">
        <f t="shared" si="1"/>
        <v>0</v>
      </c>
      <c r="Q30" s="315"/>
      <c r="R30" s="316"/>
      <c r="S30" s="326">
        <f t="shared" si="5"/>
        <v>0</v>
      </c>
    </row>
    <row r="31" spans="1:19" ht="15" x14ac:dyDescent="0.25">
      <c r="A31" s="132"/>
      <c r="B31" s="332">
        <f t="shared" si="2"/>
        <v>22</v>
      </c>
      <c r="C31" s="15"/>
      <c r="D31" s="314"/>
      <c r="E31" s="352"/>
      <c r="F31" s="314">
        <f t="shared" si="0"/>
        <v>0</v>
      </c>
      <c r="G31" s="315"/>
      <c r="H31" s="316"/>
      <c r="I31" s="326">
        <f t="shared" si="3"/>
        <v>271.61</v>
      </c>
      <c r="K31" s="132"/>
      <c r="L31" s="332">
        <f t="shared" si="4"/>
        <v>0</v>
      </c>
      <c r="M31" s="15"/>
      <c r="N31" s="314"/>
      <c r="O31" s="352"/>
      <c r="P31" s="314">
        <f t="shared" si="1"/>
        <v>0</v>
      </c>
      <c r="Q31" s="315"/>
      <c r="R31" s="316"/>
      <c r="S31" s="326">
        <f t="shared" si="5"/>
        <v>0</v>
      </c>
    </row>
    <row r="32" spans="1:19" ht="15" x14ac:dyDescent="0.25">
      <c r="A32" s="132"/>
      <c r="B32" s="332">
        <f t="shared" si="2"/>
        <v>22</v>
      </c>
      <c r="C32" s="15"/>
      <c r="D32" s="314"/>
      <c r="E32" s="352"/>
      <c r="F32" s="314">
        <f t="shared" si="0"/>
        <v>0</v>
      </c>
      <c r="G32" s="315"/>
      <c r="H32" s="316"/>
      <c r="I32" s="326">
        <f t="shared" si="3"/>
        <v>271.61</v>
      </c>
      <c r="K32" s="132"/>
      <c r="L32" s="332">
        <f t="shared" si="4"/>
        <v>0</v>
      </c>
      <c r="M32" s="15"/>
      <c r="N32" s="314"/>
      <c r="O32" s="352"/>
      <c r="P32" s="314">
        <f t="shared" si="1"/>
        <v>0</v>
      </c>
      <c r="Q32" s="315"/>
      <c r="R32" s="316"/>
      <c r="S32" s="326">
        <f t="shared" si="5"/>
        <v>0</v>
      </c>
    </row>
    <row r="33" spans="1:19" ht="15" x14ac:dyDescent="0.25">
      <c r="A33" s="132"/>
      <c r="B33" s="332">
        <f t="shared" si="2"/>
        <v>22</v>
      </c>
      <c r="C33" s="15"/>
      <c r="D33" s="314"/>
      <c r="E33" s="352"/>
      <c r="F33" s="314">
        <f t="shared" si="0"/>
        <v>0</v>
      </c>
      <c r="G33" s="315"/>
      <c r="H33" s="316"/>
      <c r="I33" s="326">
        <f t="shared" si="3"/>
        <v>271.61</v>
      </c>
      <c r="K33" s="132"/>
      <c r="L33" s="332">
        <f t="shared" si="4"/>
        <v>0</v>
      </c>
      <c r="M33" s="15"/>
      <c r="N33" s="314"/>
      <c r="O33" s="352"/>
      <c r="P33" s="314">
        <f t="shared" si="1"/>
        <v>0</v>
      </c>
      <c r="Q33" s="315"/>
      <c r="R33" s="316"/>
      <c r="S33" s="326">
        <f t="shared" si="5"/>
        <v>0</v>
      </c>
    </row>
    <row r="34" spans="1:19" ht="15" x14ac:dyDescent="0.25">
      <c r="A34" s="132"/>
      <c r="B34" s="332">
        <f t="shared" si="2"/>
        <v>22</v>
      </c>
      <c r="C34" s="15"/>
      <c r="D34" s="314"/>
      <c r="E34" s="352"/>
      <c r="F34" s="314">
        <f t="shared" si="0"/>
        <v>0</v>
      </c>
      <c r="G34" s="315"/>
      <c r="H34" s="316"/>
      <c r="I34" s="326">
        <f t="shared" si="3"/>
        <v>271.61</v>
      </c>
      <c r="K34" s="132"/>
      <c r="L34" s="332">
        <f t="shared" si="4"/>
        <v>0</v>
      </c>
      <c r="M34" s="15"/>
      <c r="N34" s="314"/>
      <c r="O34" s="352"/>
      <c r="P34" s="314">
        <f t="shared" si="1"/>
        <v>0</v>
      </c>
      <c r="Q34" s="315"/>
      <c r="R34" s="316"/>
      <c r="S34" s="326">
        <f t="shared" si="5"/>
        <v>0</v>
      </c>
    </row>
    <row r="35" spans="1:19" ht="15" x14ac:dyDescent="0.25">
      <c r="A35" s="132"/>
      <c r="B35" s="332">
        <f t="shared" si="2"/>
        <v>22</v>
      </c>
      <c r="C35" s="15"/>
      <c r="D35" s="314"/>
      <c r="E35" s="352"/>
      <c r="F35" s="314">
        <f t="shared" si="0"/>
        <v>0</v>
      </c>
      <c r="G35" s="315"/>
      <c r="H35" s="316"/>
      <c r="I35" s="326">
        <f t="shared" si="3"/>
        <v>271.61</v>
      </c>
      <c r="K35" s="132"/>
      <c r="L35" s="332">
        <f t="shared" si="4"/>
        <v>0</v>
      </c>
      <c r="M35" s="15"/>
      <c r="N35" s="314"/>
      <c r="O35" s="352"/>
      <c r="P35" s="314">
        <f t="shared" si="1"/>
        <v>0</v>
      </c>
      <c r="Q35" s="315"/>
      <c r="R35" s="316"/>
      <c r="S35" s="326">
        <f t="shared" si="5"/>
        <v>0</v>
      </c>
    </row>
    <row r="36" spans="1:19" x14ac:dyDescent="0.25">
      <c r="A36" s="132" t="s">
        <v>22</v>
      </c>
      <c r="B36" s="332">
        <f t="shared" si="2"/>
        <v>22</v>
      </c>
      <c r="C36" s="15"/>
      <c r="D36" s="314"/>
      <c r="E36" s="352"/>
      <c r="F36" s="314">
        <f t="shared" si="0"/>
        <v>0</v>
      </c>
      <c r="G36" s="315"/>
      <c r="H36" s="316"/>
      <c r="I36" s="326">
        <f t="shared" si="3"/>
        <v>271.61</v>
      </c>
      <c r="K36" s="132" t="s">
        <v>22</v>
      </c>
      <c r="L36" s="332">
        <f t="shared" si="4"/>
        <v>0</v>
      </c>
      <c r="M36" s="15"/>
      <c r="N36" s="314"/>
      <c r="O36" s="352"/>
      <c r="P36" s="314">
        <f t="shared" si="1"/>
        <v>0</v>
      </c>
      <c r="Q36" s="315"/>
      <c r="R36" s="316"/>
      <c r="S36" s="326">
        <f t="shared" si="5"/>
        <v>0</v>
      </c>
    </row>
    <row r="37" spans="1:19" x14ac:dyDescent="0.25">
      <c r="A37" s="133"/>
      <c r="B37" s="332">
        <f t="shared" si="2"/>
        <v>22</v>
      </c>
      <c r="C37" s="15"/>
      <c r="D37" s="314"/>
      <c r="E37" s="352"/>
      <c r="F37" s="314">
        <f t="shared" si="0"/>
        <v>0</v>
      </c>
      <c r="G37" s="315"/>
      <c r="H37" s="316"/>
      <c r="I37" s="326">
        <f t="shared" si="3"/>
        <v>271.61</v>
      </c>
      <c r="K37" s="133"/>
      <c r="L37" s="332">
        <f t="shared" si="4"/>
        <v>0</v>
      </c>
      <c r="M37" s="15"/>
      <c r="N37" s="314"/>
      <c r="O37" s="352"/>
      <c r="P37" s="314">
        <f t="shared" si="1"/>
        <v>0</v>
      </c>
      <c r="Q37" s="315"/>
      <c r="R37" s="316"/>
      <c r="S37" s="326">
        <f t="shared" si="5"/>
        <v>0</v>
      </c>
    </row>
    <row r="38" spans="1:19" x14ac:dyDescent="0.25">
      <c r="A38" s="132"/>
      <c r="B38" s="332">
        <f t="shared" si="2"/>
        <v>22</v>
      </c>
      <c r="C38" s="15"/>
      <c r="D38" s="314"/>
      <c r="E38" s="352"/>
      <c r="F38" s="314">
        <f t="shared" si="0"/>
        <v>0</v>
      </c>
      <c r="G38" s="315"/>
      <c r="H38" s="316"/>
      <c r="I38" s="326">
        <f t="shared" si="3"/>
        <v>271.61</v>
      </c>
      <c r="K38" s="132"/>
      <c r="L38" s="332">
        <f t="shared" si="4"/>
        <v>0</v>
      </c>
      <c r="M38" s="15"/>
      <c r="N38" s="314"/>
      <c r="O38" s="352"/>
      <c r="P38" s="314">
        <f t="shared" si="1"/>
        <v>0</v>
      </c>
      <c r="Q38" s="315"/>
      <c r="R38" s="316"/>
      <c r="S38" s="326">
        <f t="shared" si="5"/>
        <v>0</v>
      </c>
    </row>
    <row r="39" spans="1:19" x14ac:dyDescent="0.25">
      <c r="A39" s="132"/>
      <c r="B39" s="90">
        <f t="shared" si="2"/>
        <v>22</v>
      </c>
      <c r="C39" s="15"/>
      <c r="D39" s="314"/>
      <c r="E39" s="352"/>
      <c r="F39" s="314">
        <f t="shared" si="0"/>
        <v>0</v>
      </c>
      <c r="G39" s="315"/>
      <c r="H39" s="316"/>
      <c r="I39" s="326">
        <f t="shared" si="3"/>
        <v>271.61</v>
      </c>
      <c r="K39" s="132"/>
      <c r="L39" s="90">
        <f t="shared" si="4"/>
        <v>0</v>
      </c>
      <c r="M39" s="15"/>
      <c r="N39" s="314"/>
      <c r="O39" s="352"/>
      <c r="P39" s="314">
        <f t="shared" si="1"/>
        <v>0</v>
      </c>
      <c r="Q39" s="315"/>
      <c r="R39" s="316"/>
      <c r="S39" s="326">
        <f t="shared" si="5"/>
        <v>0</v>
      </c>
    </row>
    <row r="40" spans="1:19" x14ac:dyDescent="0.25">
      <c r="A40" s="132"/>
      <c r="B40" s="90">
        <f t="shared" si="2"/>
        <v>22</v>
      </c>
      <c r="C40" s="15"/>
      <c r="D40" s="314"/>
      <c r="E40" s="352"/>
      <c r="F40" s="314">
        <f t="shared" si="0"/>
        <v>0</v>
      </c>
      <c r="G40" s="315"/>
      <c r="H40" s="316"/>
      <c r="I40" s="326">
        <f t="shared" si="3"/>
        <v>271.61</v>
      </c>
      <c r="K40" s="132"/>
      <c r="L40" s="90">
        <f t="shared" si="4"/>
        <v>0</v>
      </c>
      <c r="M40" s="15"/>
      <c r="N40" s="314"/>
      <c r="O40" s="352"/>
      <c r="P40" s="314">
        <f t="shared" si="1"/>
        <v>0</v>
      </c>
      <c r="Q40" s="315"/>
      <c r="R40" s="316"/>
      <c r="S40" s="326">
        <f t="shared" si="5"/>
        <v>0</v>
      </c>
    </row>
    <row r="41" spans="1:19" x14ac:dyDescent="0.25">
      <c r="A41" s="132"/>
      <c r="B41" s="90">
        <f t="shared" si="2"/>
        <v>22</v>
      </c>
      <c r="C41" s="15"/>
      <c r="D41" s="314"/>
      <c r="E41" s="352"/>
      <c r="F41" s="314">
        <f t="shared" si="0"/>
        <v>0</v>
      </c>
      <c r="G41" s="315"/>
      <c r="H41" s="316"/>
      <c r="I41" s="326">
        <f t="shared" si="3"/>
        <v>271.61</v>
      </c>
      <c r="K41" s="132"/>
      <c r="L41" s="90">
        <f t="shared" si="4"/>
        <v>0</v>
      </c>
      <c r="M41" s="15"/>
      <c r="N41" s="314"/>
      <c r="O41" s="352"/>
      <c r="P41" s="314">
        <f t="shared" si="1"/>
        <v>0</v>
      </c>
      <c r="Q41" s="315"/>
      <c r="R41" s="316"/>
      <c r="S41" s="326">
        <f t="shared" si="5"/>
        <v>0</v>
      </c>
    </row>
    <row r="42" spans="1:19" x14ac:dyDescent="0.25">
      <c r="A42" s="132"/>
      <c r="B42" s="90">
        <f t="shared" si="2"/>
        <v>22</v>
      </c>
      <c r="C42" s="15"/>
      <c r="D42" s="314"/>
      <c r="E42" s="352"/>
      <c r="F42" s="314">
        <f t="shared" si="0"/>
        <v>0</v>
      </c>
      <c r="G42" s="315"/>
      <c r="H42" s="316"/>
      <c r="I42" s="326">
        <f t="shared" si="3"/>
        <v>271.61</v>
      </c>
      <c r="K42" s="132"/>
      <c r="L42" s="90">
        <f t="shared" si="4"/>
        <v>0</v>
      </c>
      <c r="M42" s="15"/>
      <c r="N42" s="314"/>
      <c r="O42" s="352"/>
      <c r="P42" s="314">
        <f t="shared" si="1"/>
        <v>0</v>
      </c>
      <c r="Q42" s="315"/>
      <c r="R42" s="316"/>
      <c r="S42" s="326">
        <f t="shared" si="5"/>
        <v>0</v>
      </c>
    </row>
    <row r="43" spans="1:19" x14ac:dyDescent="0.25">
      <c r="A43" s="132"/>
      <c r="B43" s="90">
        <f t="shared" si="2"/>
        <v>22</v>
      </c>
      <c r="C43" s="15"/>
      <c r="D43" s="314"/>
      <c r="E43" s="352"/>
      <c r="F43" s="314">
        <f t="shared" si="0"/>
        <v>0</v>
      </c>
      <c r="G43" s="315"/>
      <c r="H43" s="316"/>
      <c r="I43" s="326">
        <f t="shared" si="3"/>
        <v>271.61</v>
      </c>
      <c r="K43" s="132"/>
      <c r="L43" s="90">
        <f t="shared" si="4"/>
        <v>0</v>
      </c>
      <c r="M43" s="15"/>
      <c r="N43" s="314"/>
      <c r="O43" s="352"/>
      <c r="P43" s="314">
        <f t="shared" si="1"/>
        <v>0</v>
      </c>
      <c r="Q43" s="315"/>
      <c r="R43" s="316"/>
      <c r="S43" s="326">
        <f t="shared" si="5"/>
        <v>0</v>
      </c>
    </row>
    <row r="44" spans="1:19" x14ac:dyDescent="0.25">
      <c r="A44" s="132"/>
      <c r="B44" s="90">
        <f t="shared" si="2"/>
        <v>22</v>
      </c>
      <c r="C44" s="15"/>
      <c r="D44" s="314"/>
      <c r="E44" s="352"/>
      <c r="F44" s="314">
        <f t="shared" si="0"/>
        <v>0</v>
      </c>
      <c r="G44" s="315"/>
      <c r="H44" s="316"/>
      <c r="I44" s="326">
        <f t="shared" si="3"/>
        <v>271.61</v>
      </c>
      <c r="K44" s="132"/>
      <c r="L44" s="90">
        <f t="shared" si="4"/>
        <v>0</v>
      </c>
      <c r="M44" s="15"/>
      <c r="N44" s="314"/>
      <c r="O44" s="352"/>
      <c r="P44" s="314">
        <f t="shared" si="1"/>
        <v>0</v>
      </c>
      <c r="Q44" s="315"/>
      <c r="R44" s="316"/>
      <c r="S44" s="326">
        <f t="shared" si="5"/>
        <v>0</v>
      </c>
    </row>
    <row r="45" spans="1:19" x14ac:dyDescent="0.25">
      <c r="A45" s="132"/>
      <c r="B45" s="90">
        <f t="shared" si="2"/>
        <v>22</v>
      </c>
      <c r="C45" s="15"/>
      <c r="D45" s="314"/>
      <c r="E45" s="352"/>
      <c r="F45" s="314">
        <f t="shared" si="0"/>
        <v>0</v>
      </c>
      <c r="G45" s="315"/>
      <c r="H45" s="316"/>
      <c r="I45" s="326">
        <f t="shared" si="3"/>
        <v>271.61</v>
      </c>
      <c r="K45" s="132"/>
      <c r="L45" s="90">
        <f t="shared" si="4"/>
        <v>0</v>
      </c>
      <c r="M45" s="15"/>
      <c r="N45" s="314"/>
      <c r="O45" s="352"/>
      <c r="P45" s="314">
        <f t="shared" si="1"/>
        <v>0</v>
      </c>
      <c r="Q45" s="315"/>
      <c r="R45" s="316"/>
      <c r="S45" s="326">
        <f t="shared" si="5"/>
        <v>0</v>
      </c>
    </row>
    <row r="46" spans="1:19" x14ac:dyDescent="0.25">
      <c r="A46" s="132"/>
      <c r="B46" s="90">
        <f t="shared" si="2"/>
        <v>22</v>
      </c>
      <c r="C46" s="15"/>
      <c r="D46" s="314"/>
      <c r="E46" s="352"/>
      <c r="F46" s="314">
        <f t="shared" si="0"/>
        <v>0</v>
      </c>
      <c r="G46" s="315"/>
      <c r="H46" s="316"/>
      <c r="I46" s="326">
        <f t="shared" si="3"/>
        <v>271.61</v>
      </c>
      <c r="K46" s="132"/>
      <c r="L46" s="90">
        <f t="shared" si="4"/>
        <v>0</v>
      </c>
      <c r="M46" s="15"/>
      <c r="N46" s="314"/>
      <c r="O46" s="352"/>
      <c r="P46" s="314">
        <f t="shared" si="1"/>
        <v>0</v>
      </c>
      <c r="Q46" s="315"/>
      <c r="R46" s="316"/>
      <c r="S46" s="326">
        <f t="shared" si="5"/>
        <v>0</v>
      </c>
    </row>
    <row r="47" spans="1:19" x14ac:dyDescent="0.25">
      <c r="A47" s="132"/>
      <c r="B47" s="90">
        <f t="shared" si="2"/>
        <v>22</v>
      </c>
      <c r="C47" s="15"/>
      <c r="D47" s="314"/>
      <c r="E47" s="352"/>
      <c r="F47" s="314">
        <f t="shared" si="0"/>
        <v>0</v>
      </c>
      <c r="G47" s="315"/>
      <c r="H47" s="316"/>
      <c r="I47" s="326">
        <f t="shared" si="3"/>
        <v>271.61</v>
      </c>
      <c r="K47" s="132"/>
      <c r="L47" s="90">
        <f t="shared" si="4"/>
        <v>0</v>
      </c>
      <c r="M47" s="15"/>
      <c r="N47" s="314"/>
      <c r="O47" s="352"/>
      <c r="P47" s="314">
        <f t="shared" si="1"/>
        <v>0</v>
      </c>
      <c r="Q47" s="315"/>
      <c r="R47" s="316"/>
      <c r="S47" s="326">
        <f t="shared" si="5"/>
        <v>0</v>
      </c>
    </row>
    <row r="48" spans="1:19" x14ac:dyDescent="0.25">
      <c r="A48" s="132"/>
      <c r="B48" s="90">
        <f t="shared" si="2"/>
        <v>22</v>
      </c>
      <c r="C48" s="15"/>
      <c r="D48" s="314"/>
      <c r="E48" s="352"/>
      <c r="F48" s="314">
        <f t="shared" si="0"/>
        <v>0</v>
      </c>
      <c r="G48" s="315"/>
      <c r="H48" s="316"/>
      <c r="I48" s="326">
        <f t="shared" si="3"/>
        <v>271.61</v>
      </c>
      <c r="K48" s="132"/>
      <c r="L48" s="90">
        <f t="shared" si="4"/>
        <v>0</v>
      </c>
      <c r="M48" s="15"/>
      <c r="N48" s="314"/>
      <c r="O48" s="352"/>
      <c r="P48" s="314">
        <f t="shared" si="1"/>
        <v>0</v>
      </c>
      <c r="Q48" s="315"/>
      <c r="R48" s="316"/>
      <c r="S48" s="326">
        <f t="shared" si="5"/>
        <v>0</v>
      </c>
    </row>
    <row r="49" spans="1:19" x14ac:dyDescent="0.25">
      <c r="A49" s="132"/>
      <c r="B49" s="90">
        <f t="shared" si="2"/>
        <v>22</v>
      </c>
      <c r="C49" s="15"/>
      <c r="D49" s="314"/>
      <c r="E49" s="352"/>
      <c r="F49" s="314">
        <f t="shared" si="0"/>
        <v>0</v>
      </c>
      <c r="G49" s="315"/>
      <c r="H49" s="316"/>
      <c r="I49" s="326">
        <f t="shared" si="3"/>
        <v>271.61</v>
      </c>
      <c r="K49" s="132"/>
      <c r="L49" s="90">
        <f t="shared" si="4"/>
        <v>0</v>
      </c>
      <c r="M49" s="15"/>
      <c r="N49" s="314"/>
      <c r="O49" s="352"/>
      <c r="P49" s="314">
        <f t="shared" si="1"/>
        <v>0</v>
      </c>
      <c r="Q49" s="315"/>
      <c r="R49" s="316"/>
      <c r="S49" s="326">
        <f t="shared" si="5"/>
        <v>0</v>
      </c>
    </row>
    <row r="50" spans="1:19" x14ac:dyDescent="0.25">
      <c r="A50" s="132"/>
      <c r="B50" s="90">
        <f t="shared" si="2"/>
        <v>22</v>
      </c>
      <c r="C50" s="15"/>
      <c r="D50" s="314"/>
      <c r="E50" s="352"/>
      <c r="F50" s="314">
        <f t="shared" si="0"/>
        <v>0</v>
      </c>
      <c r="G50" s="315"/>
      <c r="H50" s="316"/>
      <c r="I50" s="326">
        <f t="shared" si="3"/>
        <v>271.61</v>
      </c>
      <c r="K50" s="132"/>
      <c r="L50" s="90">
        <f t="shared" si="4"/>
        <v>0</v>
      </c>
      <c r="M50" s="15"/>
      <c r="N50" s="314"/>
      <c r="O50" s="352"/>
      <c r="P50" s="314">
        <f t="shared" si="1"/>
        <v>0</v>
      </c>
      <c r="Q50" s="315"/>
      <c r="R50" s="316"/>
      <c r="S50" s="326">
        <f t="shared" si="5"/>
        <v>0</v>
      </c>
    </row>
    <row r="51" spans="1:19" x14ac:dyDescent="0.25">
      <c r="A51" s="132"/>
      <c r="B51" s="90">
        <f t="shared" si="2"/>
        <v>22</v>
      </c>
      <c r="C51" s="15"/>
      <c r="D51" s="314"/>
      <c r="E51" s="352"/>
      <c r="F51" s="314">
        <f t="shared" si="0"/>
        <v>0</v>
      </c>
      <c r="G51" s="315"/>
      <c r="H51" s="316"/>
      <c r="I51" s="326">
        <f t="shared" si="3"/>
        <v>271.61</v>
      </c>
      <c r="K51" s="132"/>
      <c r="L51" s="90">
        <f t="shared" si="4"/>
        <v>0</v>
      </c>
      <c r="M51" s="15"/>
      <c r="N51" s="314"/>
      <c r="O51" s="352"/>
      <c r="P51" s="314">
        <f t="shared" si="1"/>
        <v>0</v>
      </c>
      <c r="Q51" s="315"/>
      <c r="R51" s="316"/>
      <c r="S51" s="326">
        <f t="shared" si="5"/>
        <v>0</v>
      </c>
    </row>
    <row r="52" spans="1:19" x14ac:dyDescent="0.25">
      <c r="A52" s="132"/>
      <c r="B52" s="90">
        <f t="shared" si="2"/>
        <v>22</v>
      </c>
      <c r="C52" s="15"/>
      <c r="D52" s="314"/>
      <c r="E52" s="352"/>
      <c r="F52" s="314">
        <f t="shared" si="0"/>
        <v>0</v>
      </c>
      <c r="G52" s="315"/>
      <c r="H52" s="316"/>
      <c r="I52" s="326">
        <f t="shared" si="3"/>
        <v>271.61</v>
      </c>
      <c r="K52" s="132"/>
      <c r="L52" s="90">
        <f t="shared" si="4"/>
        <v>0</v>
      </c>
      <c r="M52" s="15"/>
      <c r="N52" s="314"/>
      <c r="O52" s="352"/>
      <c r="P52" s="314">
        <f t="shared" si="1"/>
        <v>0</v>
      </c>
      <c r="Q52" s="315"/>
      <c r="R52" s="316"/>
      <c r="S52" s="326">
        <f t="shared" si="5"/>
        <v>0</v>
      </c>
    </row>
    <row r="53" spans="1:19" x14ac:dyDescent="0.25">
      <c r="A53" s="132"/>
      <c r="B53" s="90">
        <f t="shared" si="2"/>
        <v>22</v>
      </c>
      <c r="C53" s="15"/>
      <c r="D53" s="314"/>
      <c r="E53" s="352"/>
      <c r="F53" s="314">
        <f t="shared" si="0"/>
        <v>0</v>
      </c>
      <c r="G53" s="315"/>
      <c r="H53" s="316"/>
      <c r="I53" s="326">
        <f t="shared" si="3"/>
        <v>271.61</v>
      </c>
      <c r="K53" s="132"/>
      <c r="L53" s="90">
        <f t="shared" si="4"/>
        <v>0</v>
      </c>
      <c r="M53" s="15"/>
      <c r="N53" s="314"/>
      <c r="O53" s="352"/>
      <c r="P53" s="314">
        <f t="shared" si="1"/>
        <v>0</v>
      </c>
      <c r="Q53" s="315"/>
      <c r="R53" s="316"/>
      <c r="S53" s="326">
        <f t="shared" si="5"/>
        <v>0</v>
      </c>
    </row>
    <row r="54" spans="1:19" x14ac:dyDescent="0.25">
      <c r="A54" s="132"/>
      <c r="B54" s="90">
        <f t="shared" si="2"/>
        <v>22</v>
      </c>
      <c r="C54" s="15"/>
      <c r="D54" s="314"/>
      <c r="E54" s="352"/>
      <c r="F54" s="314">
        <f t="shared" si="0"/>
        <v>0</v>
      </c>
      <c r="G54" s="315"/>
      <c r="H54" s="316"/>
      <c r="I54" s="326">
        <f t="shared" si="3"/>
        <v>271.61</v>
      </c>
      <c r="K54" s="132"/>
      <c r="L54" s="90">
        <f t="shared" si="4"/>
        <v>0</v>
      </c>
      <c r="M54" s="15"/>
      <c r="N54" s="314"/>
      <c r="O54" s="352"/>
      <c r="P54" s="314">
        <f t="shared" si="1"/>
        <v>0</v>
      </c>
      <c r="Q54" s="315"/>
      <c r="R54" s="316"/>
      <c r="S54" s="326">
        <f t="shared" si="5"/>
        <v>0</v>
      </c>
    </row>
    <row r="55" spans="1:19" x14ac:dyDescent="0.25">
      <c r="A55" s="132"/>
      <c r="B55" s="12">
        <f>B54-C55</f>
        <v>22</v>
      </c>
      <c r="C55" s="15"/>
      <c r="D55" s="314"/>
      <c r="E55" s="352"/>
      <c r="F55" s="314">
        <f t="shared" si="0"/>
        <v>0</v>
      </c>
      <c r="G55" s="315"/>
      <c r="H55" s="316"/>
      <c r="I55" s="326">
        <f t="shared" si="3"/>
        <v>271.61</v>
      </c>
      <c r="K55" s="132"/>
      <c r="L55" s="12">
        <f>L54-M55</f>
        <v>0</v>
      </c>
      <c r="M55" s="15"/>
      <c r="N55" s="314"/>
      <c r="O55" s="352"/>
      <c r="P55" s="314">
        <f t="shared" si="1"/>
        <v>0</v>
      </c>
      <c r="Q55" s="315"/>
      <c r="R55" s="316"/>
      <c r="S55" s="326">
        <f t="shared" si="5"/>
        <v>0</v>
      </c>
    </row>
    <row r="56" spans="1:19" x14ac:dyDescent="0.25">
      <c r="A56" s="132"/>
      <c r="B56" s="12">
        <f t="shared" ref="B56:B75" si="6">B55-C56</f>
        <v>22</v>
      </c>
      <c r="C56" s="15"/>
      <c r="D56" s="314"/>
      <c r="E56" s="352"/>
      <c r="F56" s="314">
        <f t="shared" si="0"/>
        <v>0</v>
      </c>
      <c r="G56" s="315"/>
      <c r="H56" s="316"/>
      <c r="I56" s="326">
        <f t="shared" si="3"/>
        <v>271.61</v>
      </c>
      <c r="K56" s="132"/>
      <c r="L56" s="12">
        <f t="shared" ref="L56:L75" si="7">L55-M56</f>
        <v>0</v>
      </c>
      <c r="M56" s="15"/>
      <c r="N56" s="314"/>
      <c r="O56" s="352"/>
      <c r="P56" s="314">
        <f t="shared" si="1"/>
        <v>0</v>
      </c>
      <c r="Q56" s="315"/>
      <c r="R56" s="316"/>
      <c r="S56" s="326">
        <f t="shared" si="5"/>
        <v>0</v>
      </c>
    </row>
    <row r="57" spans="1:19" x14ac:dyDescent="0.25">
      <c r="A57" s="132"/>
      <c r="B57" s="12">
        <f t="shared" si="6"/>
        <v>22</v>
      </c>
      <c r="C57" s="15"/>
      <c r="D57" s="314"/>
      <c r="E57" s="352"/>
      <c r="F57" s="314">
        <f t="shared" si="0"/>
        <v>0</v>
      </c>
      <c r="G57" s="315"/>
      <c r="H57" s="316"/>
      <c r="I57" s="326">
        <f t="shared" si="3"/>
        <v>271.61</v>
      </c>
      <c r="K57" s="132"/>
      <c r="L57" s="12">
        <f t="shared" si="7"/>
        <v>0</v>
      </c>
      <c r="M57" s="15"/>
      <c r="N57" s="314"/>
      <c r="O57" s="352"/>
      <c r="P57" s="314">
        <f t="shared" si="1"/>
        <v>0</v>
      </c>
      <c r="Q57" s="315"/>
      <c r="R57" s="316"/>
      <c r="S57" s="326">
        <f t="shared" si="5"/>
        <v>0</v>
      </c>
    </row>
    <row r="58" spans="1:19" x14ac:dyDescent="0.25">
      <c r="A58" s="132"/>
      <c r="B58" s="12">
        <f t="shared" si="6"/>
        <v>22</v>
      </c>
      <c r="C58" s="15"/>
      <c r="D58" s="314"/>
      <c r="E58" s="352"/>
      <c r="F58" s="314">
        <f t="shared" si="0"/>
        <v>0</v>
      </c>
      <c r="G58" s="315"/>
      <c r="H58" s="316"/>
      <c r="I58" s="326">
        <f t="shared" si="3"/>
        <v>271.61</v>
      </c>
      <c r="K58" s="132"/>
      <c r="L58" s="12">
        <f t="shared" si="7"/>
        <v>0</v>
      </c>
      <c r="M58" s="15"/>
      <c r="N58" s="314"/>
      <c r="O58" s="352"/>
      <c r="P58" s="314">
        <f t="shared" si="1"/>
        <v>0</v>
      </c>
      <c r="Q58" s="315"/>
      <c r="R58" s="316"/>
      <c r="S58" s="326">
        <f t="shared" si="5"/>
        <v>0</v>
      </c>
    </row>
    <row r="59" spans="1:19" x14ac:dyDescent="0.25">
      <c r="A59" s="132"/>
      <c r="B59" s="12">
        <f t="shared" si="6"/>
        <v>22</v>
      </c>
      <c r="C59" s="15"/>
      <c r="D59" s="314"/>
      <c r="E59" s="352"/>
      <c r="F59" s="314">
        <f t="shared" si="0"/>
        <v>0</v>
      </c>
      <c r="G59" s="315"/>
      <c r="H59" s="316"/>
      <c r="I59" s="326">
        <f t="shared" si="3"/>
        <v>271.61</v>
      </c>
      <c r="K59" s="132"/>
      <c r="L59" s="12">
        <f t="shared" si="7"/>
        <v>0</v>
      </c>
      <c r="M59" s="15"/>
      <c r="N59" s="314"/>
      <c r="O59" s="352"/>
      <c r="P59" s="314">
        <f t="shared" si="1"/>
        <v>0</v>
      </c>
      <c r="Q59" s="315"/>
      <c r="R59" s="316"/>
      <c r="S59" s="326">
        <f t="shared" si="5"/>
        <v>0</v>
      </c>
    </row>
    <row r="60" spans="1:19" x14ac:dyDescent="0.25">
      <c r="A60" s="132"/>
      <c r="B60" s="12">
        <f t="shared" si="6"/>
        <v>22</v>
      </c>
      <c r="C60" s="15"/>
      <c r="D60" s="314"/>
      <c r="E60" s="352"/>
      <c r="F60" s="314">
        <f t="shared" si="0"/>
        <v>0</v>
      </c>
      <c r="G60" s="315"/>
      <c r="H60" s="316"/>
      <c r="I60" s="326">
        <f t="shared" si="3"/>
        <v>271.61</v>
      </c>
      <c r="K60" s="132"/>
      <c r="L60" s="12">
        <f t="shared" si="7"/>
        <v>0</v>
      </c>
      <c r="M60" s="15"/>
      <c r="N60" s="314"/>
      <c r="O60" s="352"/>
      <c r="P60" s="314">
        <f t="shared" si="1"/>
        <v>0</v>
      </c>
      <c r="Q60" s="315"/>
      <c r="R60" s="316"/>
      <c r="S60" s="326">
        <f t="shared" si="5"/>
        <v>0</v>
      </c>
    </row>
    <row r="61" spans="1:19" x14ac:dyDescent="0.25">
      <c r="A61" s="132"/>
      <c r="B61" s="12">
        <f t="shared" si="6"/>
        <v>22</v>
      </c>
      <c r="C61" s="15"/>
      <c r="D61" s="314"/>
      <c r="E61" s="352"/>
      <c r="F61" s="314">
        <f t="shared" si="0"/>
        <v>0</v>
      </c>
      <c r="G61" s="315"/>
      <c r="H61" s="316"/>
      <c r="I61" s="326">
        <f t="shared" si="3"/>
        <v>271.61</v>
      </c>
      <c r="K61" s="132"/>
      <c r="L61" s="12">
        <f t="shared" si="7"/>
        <v>0</v>
      </c>
      <c r="M61" s="15"/>
      <c r="N61" s="314"/>
      <c r="O61" s="352"/>
      <c r="P61" s="314">
        <f t="shared" si="1"/>
        <v>0</v>
      </c>
      <c r="Q61" s="315"/>
      <c r="R61" s="316"/>
      <c r="S61" s="326">
        <f t="shared" si="5"/>
        <v>0</v>
      </c>
    </row>
    <row r="62" spans="1:19" x14ac:dyDescent="0.25">
      <c r="A62" s="132"/>
      <c r="B62" s="12">
        <f t="shared" si="6"/>
        <v>22</v>
      </c>
      <c r="C62" s="15"/>
      <c r="D62" s="314"/>
      <c r="E62" s="352"/>
      <c r="F62" s="314">
        <f t="shared" si="0"/>
        <v>0</v>
      </c>
      <c r="G62" s="315"/>
      <c r="H62" s="316"/>
      <c r="I62" s="326">
        <f t="shared" si="3"/>
        <v>271.61</v>
      </c>
      <c r="K62" s="132"/>
      <c r="L62" s="12">
        <f t="shared" si="7"/>
        <v>0</v>
      </c>
      <c r="M62" s="15"/>
      <c r="N62" s="314"/>
      <c r="O62" s="352"/>
      <c r="P62" s="314">
        <f t="shared" si="1"/>
        <v>0</v>
      </c>
      <c r="Q62" s="315"/>
      <c r="R62" s="316"/>
      <c r="S62" s="326">
        <f t="shared" si="5"/>
        <v>0</v>
      </c>
    </row>
    <row r="63" spans="1:19" x14ac:dyDescent="0.25">
      <c r="A63" s="132"/>
      <c r="B63" s="12">
        <f t="shared" si="6"/>
        <v>22</v>
      </c>
      <c r="C63" s="15"/>
      <c r="D63" s="314"/>
      <c r="E63" s="352"/>
      <c r="F63" s="314">
        <f t="shared" si="0"/>
        <v>0</v>
      </c>
      <c r="G63" s="315"/>
      <c r="H63" s="316"/>
      <c r="I63" s="326">
        <f t="shared" si="3"/>
        <v>271.61</v>
      </c>
      <c r="K63" s="132"/>
      <c r="L63" s="12">
        <f t="shared" si="7"/>
        <v>0</v>
      </c>
      <c r="M63" s="15"/>
      <c r="N63" s="314"/>
      <c r="O63" s="352"/>
      <c r="P63" s="314">
        <f t="shared" si="1"/>
        <v>0</v>
      </c>
      <c r="Q63" s="315"/>
      <c r="R63" s="316"/>
      <c r="S63" s="326">
        <f t="shared" si="5"/>
        <v>0</v>
      </c>
    </row>
    <row r="64" spans="1:19" x14ac:dyDescent="0.25">
      <c r="A64" s="132"/>
      <c r="B64" s="12">
        <f t="shared" si="6"/>
        <v>22</v>
      </c>
      <c r="C64" s="15"/>
      <c r="D64" s="314"/>
      <c r="E64" s="352"/>
      <c r="F64" s="314">
        <f t="shared" si="0"/>
        <v>0</v>
      </c>
      <c r="G64" s="315"/>
      <c r="H64" s="316"/>
      <c r="I64" s="326">
        <f t="shared" si="3"/>
        <v>271.61</v>
      </c>
      <c r="K64" s="132"/>
      <c r="L64" s="12">
        <f t="shared" si="7"/>
        <v>0</v>
      </c>
      <c r="M64" s="15"/>
      <c r="N64" s="314"/>
      <c r="O64" s="352"/>
      <c r="P64" s="314">
        <f t="shared" si="1"/>
        <v>0</v>
      </c>
      <c r="Q64" s="315"/>
      <c r="R64" s="316"/>
      <c r="S64" s="326">
        <f t="shared" si="5"/>
        <v>0</v>
      </c>
    </row>
    <row r="65" spans="1:19" x14ac:dyDescent="0.25">
      <c r="A65" s="132"/>
      <c r="B65" s="12">
        <f t="shared" si="6"/>
        <v>22</v>
      </c>
      <c r="C65" s="15"/>
      <c r="D65" s="314"/>
      <c r="E65" s="352"/>
      <c r="F65" s="314">
        <f t="shared" si="0"/>
        <v>0</v>
      </c>
      <c r="G65" s="315"/>
      <c r="H65" s="316"/>
      <c r="I65" s="326">
        <f t="shared" si="3"/>
        <v>271.61</v>
      </c>
      <c r="K65" s="132"/>
      <c r="L65" s="12">
        <f t="shared" si="7"/>
        <v>0</v>
      </c>
      <c r="M65" s="15"/>
      <c r="N65" s="314"/>
      <c r="O65" s="352"/>
      <c r="P65" s="314">
        <f t="shared" si="1"/>
        <v>0</v>
      </c>
      <c r="Q65" s="315"/>
      <c r="R65" s="316"/>
      <c r="S65" s="326">
        <f t="shared" si="5"/>
        <v>0</v>
      </c>
    </row>
    <row r="66" spans="1:19" x14ac:dyDescent="0.25">
      <c r="A66" s="132"/>
      <c r="B66" s="12">
        <f t="shared" si="6"/>
        <v>22</v>
      </c>
      <c r="C66" s="15"/>
      <c r="D66" s="314"/>
      <c r="E66" s="352"/>
      <c r="F66" s="314">
        <f t="shared" si="0"/>
        <v>0</v>
      </c>
      <c r="G66" s="315"/>
      <c r="H66" s="316"/>
      <c r="I66" s="326">
        <f t="shared" si="3"/>
        <v>271.61</v>
      </c>
      <c r="K66" s="132"/>
      <c r="L66" s="12">
        <f t="shared" si="7"/>
        <v>0</v>
      </c>
      <c r="M66" s="15"/>
      <c r="N66" s="314"/>
      <c r="O66" s="352"/>
      <c r="P66" s="314">
        <f t="shared" si="1"/>
        <v>0</v>
      </c>
      <c r="Q66" s="315"/>
      <c r="R66" s="316"/>
      <c r="S66" s="326">
        <f t="shared" si="5"/>
        <v>0</v>
      </c>
    </row>
    <row r="67" spans="1:19" x14ac:dyDescent="0.25">
      <c r="A67" s="132"/>
      <c r="B67" s="12">
        <f t="shared" si="6"/>
        <v>22</v>
      </c>
      <c r="C67" s="15"/>
      <c r="D67" s="74"/>
      <c r="E67" s="254"/>
      <c r="F67" s="74">
        <f t="shared" si="0"/>
        <v>0</v>
      </c>
      <c r="G67" s="75"/>
      <c r="H67" s="76"/>
      <c r="I67" s="113">
        <f t="shared" si="3"/>
        <v>271.61</v>
      </c>
      <c r="K67" s="132"/>
      <c r="L67" s="12">
        <f t="shared" si="7"/>
        <v>0</v>
      </c>
      <c r="M67" s="15"/>
      <c r="N67" s="74"/>
      <c r="O67" s="254"/>
      <c r="P67" s="74">
        <f t="shared" si="1"/>
        <v>0</v>
      </c>
      <c r="Q67" s="75"/>
      <c r="R67" s="76"/>
      <c r="S67" s="113">
        <f t="shared" si="5"/>
        <v>0</v>
      </c>
    </row>
    <row r="68" spans="1:19" x14ac:dyDescent="0.25">
      <c r="A68" s="132"/>
      <c r="B68" s="12">
        <f t="shared" si="6"/>
        <v>22</v>
      </c>
      <c r="C68" s="15"/>
      <c r="D68" s="64"/>
      <c r="E68" s="264"/>
      <c r="F68" s="74">
        <f t="shared" si="0"/>
        <v>0</v>
      </c>
      <c r="G68" s="75"/>
      <c r="H68" s="76"/>
      <c r="I68" s="113">
        <f t="shared" si="3"/>
        <v>271.61</v>
      </c>
      <c r="K68" s="132"/>
      <c r="L68" s="12">
        <f t="shared" si="7"/>
        <v>0</v>
      </c>
      <c r="M68" s="15"/>
      <c r="N68" s="64"/>
      <c r="O68" s="264"/>
      <c r="P68" s="74">
        <f t="shared" si="1"/>
        <v>0</v>
      </c>
      <c r="Q68" s="75"/>
      <c r="R68" s="76"/>
      <c r="S68" s="113">
        <f t="shared" si="5"/>
        <v>0</v>
      </c>
    </row>
    <row r="69" spans="1:19" x14ac:dyDescent="0.25">
      <c r="A69" s="132"/>
      <c r="B69" s="12">
        <f t="shared" si="6"/>
        <v>22</v>
      </c>
      <c r="C69" s="15"/>
      <c r="D69" s="64"/>
      <c r="E69" s="264"/>
      <c r="F69" s="74">
        <f t="shared" si="0"/>
        <v>0</v>
      </c>
      <c r="G69" s="75"/>
      <c r="H69" s="76"/>
      <c r="I69" s="113">
        <f t="shared" si="3"/>
        <v>271.61</v>
      </c>
      <c r="K69" s="132"/>
      <c r="L69" s="12">
        <f t="shared" si="7"/>
        <v>0</v>
      </c>
      <c r="M69" s="15"/>
      <c r="N69" s="64"/>
      <c r="O69" s="264"/>
      <c r="P69" s="74">
        <f t="shared" si="1"/>
        <v>0</v>
      </c>
      <c r="Q69" s="75"/>
      <c r="R69" s="76"/>
      <c r="S69" s="113">
        <f t="shared" si="5"/>
        <v>0</v>
      </c>
    </row>
    <row r="70" spans="1:19" x14ac:dyDescent="0.25">
      <c r="A70" s="132"/>
      <c r="B70" s="12">
        <f t="shared" si="6"/>
        <v>22</v>
      </c>
      <c r="C70" s="15"/>
      <c r="D70" s="64"/>
      <c r="E70" s="264"/>
      <c r="F70" s="74">
        <f t="shared" si="0"/>
        <v>0</v>
      </c>
      <c r="G70" s="75"/>
      <c r="H70" s="76"/>
      <c r="I70" s="113">
        <f t="shared" si="3"/>
        <v>271.61</v>
      </c>
      <c r="K70" s="132"/>
      <c r="L70" s="12">
        <f t="shared" si="7"/>
        <v>0</v>
      </c>
      <c r="M70" s="15"/>
      <c r="N70" s="64"/>
      <c r="O70" s="264"/>
      <c r="P70" s="74">
        <f t="shared" si="1"/>
        <v>0</v>
      </c>
      <c r="Q70" s="75"/>
      <c r="R70" s="76"/>
      <c r="S70" s="113">
        <f t="shared" si="5"/>
        <v>0</v>
      </c>
    </row>
    <row r="71" spans="1:19" x14ac:dyDescent="0.25">
      <c r="A71" s="132"/>
      <c r="B71" s="12">
        <f t="shared" si="6"/>
        <v>22</v>
      </c>
      <c r="C71" s="15"/>
      <c r="D71" s="64"/>
      <c r="E71" s="264"/>
      <c r="F71" s="74">
        <f t="shared" si="0"/>
        <v>0</v>
      </c>
      <c r="G71" s="75"/>
      <c r="H71" s="76"/>
      <c r="I71" s="113">
        <f t="shared" si="3"/>
        <v>271.61</v>
      </c>
      <c r="K71" s="132"/>
      <c r="L71" s="12">
        <f t="shared" si="7"/>
        <v>0</v>
      </c>
      <c r="M71" s="15"/>
      <c r="N71" s="64"/>
      <c r="O71" s="264"/>
      <c r="P71" s="74">
        <f t="shared" si="1"/>
        <v>0</v>
      </c>
      <c r="Q71" s="75"/>
      <c r="R71" s="76"/>
      <c r="S71" s="113">
        <f t="shared" si="5"/>
        <v>0</v>
      </c>
    </row>
    <row r="72" spans="1:19" x14ac:dyDescent="0.25">
      <c r="A72" s="132"/>
      <c r="B72" s="12">
        <f t="shared" si="6"/>
        <v>22</v>
      </c>
      <c r="C72" s="15"/>
      <c r="D72" s="64"/>
      <c r="E72" s="264"/>
      <c r="F72" s="74">
        <f t="shared" si="0"/>
        <v>0</v>
      </c>
      <c r="G72" s="75"/>
      <c r="H72" s="76"/>
      <c r="I72" s="113">
        <f t="shared" si="3"/>
        <v>271.61</v>
      </c>
      <c r="K72" s="132"/>
      <c r="L72" s="12">
        <f t="shared" si="7"/>
        <v>0</v>
      </c>
      <c r="M72" s="15"/>
      <c r="N72" s="64"/>
      <c r="O72" s="264"/>
      <c r="P72" s="74">
        <f t="shared" si="1"/>
        <v>0</v>
      </c>
      <c r="Q72" s="75"/>
      <c r="R72" s="76"/>
      <c r="S72" s="113">
        <f t="shared" si="5"/>
        <v>0</v>
      </c>
    </row>
    <row r="73" spans="1:19" x14ac:dyDescent="0.25">
      <c r="A73" s="132"/>
      <c r="B73" s="12">
        <f t="shared" si="6"/>
        <v>22</v>
      </c>
      <c r="C73" s="15"/>
      <c r="D73" s="64"/>
      <c r="E73" s="264"/>
      <c r="F73" s="74">
        <f t="shared" ref="F73" si="8">D73</f>
        <v>0</v>
      </c>
      <c r="G73" s="75"/>
      <c r="H73" s="76"/>
      <c r="I73" s="113">
        <f t="shared" si="3"/>
        <v>271.61</v>
      </c>
      <c r="K73" s="132"/>
      <c r="L73" s="12">
        <f t="shared" si="7"/>
        <v>0</v>
      </c>
      <c r="M73" s="15"/>
      <c r="N73" s="64"/>
      <c r="O73" s="264"/>
      <c r="P73" s="74">
        <f t="shared" ref="P73" si="9">N73</f>
        <v>0</v>
      </c>
      <c r="Q73" s="75"/>
      <c r="R73" s="76"/>
      <c r="S73" s="113">
        <f t="shared" si="5"/>
        <v>0</v>
      </c>
    </row>
    <row r="74" spans="1:19" x14ac:dyDescent="0.25">
      <c r="A74" s="132"/>
      <c r="B74" s="12">
        <f t="shared" si="6"/>
        <v>22</v>
      </c>
      <c r="C74" s="15"/>
      <c r="D74" s="64"/>
      <c r="E74" s="264"/>
      <c r="F74" s="74">
        <f>D74</f>
        <v>0</v>
      </c>
      <c r="G74" s="75"/>
      <c r="H74" s="76"/>
      <c r="I74" s="113">
        <f t="shared" si="3"/>
        <v>271.61</v>
      </c>
      <c r="K74" s="132"/>
      <c r="L74" s="12">
        <f t="shared" si="7"/>
        <v>0</v>
      </c>
      <c r="M74" s="15"/>
      <c r="N74" s="64"/>
      <c r="O74" s="264"/>
      <c r="P74" s="74">
        <f>N74</f>
        <v>0</v>
      </c>
      <c r="Q74" s="75"/>
      <c r="R74" s="76"/>
      <c r="S74" s="113">
        <f t="shared" si="5"/>
        <v>0</v>
      </c>
    </row>
    <row r="75" spans="1:19" x14ac:dyDescent="0.25">
      <c r="A75" s="132"/>
      <c r="B75" s="12">
        <f t="shared" si="6"/>
        <v>22</v>
      </c>
      <c r="C75" s="15"/>
      <c r="D75" s="64"/>
      <c r="E75" s="264"/>
      <c r="F75" s="74">
        <f>D75</f>
        <v>0</v>
      </c>
      <c r="G75" s="75"/>
      <c r="H75" s="76"/>
      <c r="I75" s="113">
        <f t="shared" ref="I75:I76" si="10">I74-F75</f>
        <v>271.61</v>
      </c>
      <c r="K75" s="132"/>
      <c r="L75" s="12">
        <f t="shared" si="7"/>
        <v>0</v>
      </c>
      <c r="M75" s="15"/>
      <c r="N75" s="64"/>
      <c r="O75" s="264"/>
      <c r="P75" s="74">
        <f>N75</f>
        <v>0</v>
      </c>
      <c r="Q75" s="75"/>
      <c r="R75" s="76"/>
      <c r="S75" s="113">
        <f t="shared" ref="S75:S76" si="11">S74-P75</f>
        <v>0</v>
      </c>
    </row>
    <row r="76" spans="1:19" x14ac:dyDescent="0.25">
      <c r="A76" s="132"/>
      <c r="C76" s="15"/>
      <c r="D76" s="64"/>
      <c r="E76" s="264"/>
      <c r="F76" s="74">
        <f>D76</f>
        <v>0</v>
      </c>
      <c r="G76" s="75"/>
      <c r="H76" s="76"/>
      <c r="I76" s="113">
        <f t="shared" si="10"/>
        <v>271.61</v>
      </c>
      <c r="K76" s="132"/>
      <c r="M76" s="15"/>
      <c r="N76" s="64"/>
      <c r="O76" s="264"/>
      <c r="P76" s="74">
        <f>N76</f>
        <v>0</v>
      </c>
      <c r="Q76" s="75"/>
      <c r="R76" s="76"/>
      <c r="S76" s="113">
        <f t="shared" si="11"/>
        <v>0</v>
      </c>
    </row>
    <row r="77" spans="1:19" ht="14.4" thickBot="1" x14ac:dyDescent="0.3">
      <c r="A77" s="132"/>
      <c r="B77" s="16"/>
      <c r="C77" s="54"/>
      <c r="D77" s="115"/>
      <c r="E77" s="243"/>
      <c r="F77" s="111"/>
      <c r="G77" s="112"/>
      <c r="H77" s="65"/>
      <c r="K77" s="132"/>
      <c r="L77" s="16"/>
      <c r="M77" s="54"/>
      <c r="N77" s="115"/>
      <c r="O77" s="243"/>
      <c r="P77" s="111"/>
      <c r="Q77" s="112"/>
      <c r="R77" s="65"/>
    </row>
    <row r="78" spans="1:19" x14ac:dyDescent="0.25">
      <c r="C78" s="55">
        <f>SUM(C9:C77)</f>
        <v>37</v>
      </c>
      <c r="D78" s="6">
        <f>SUM(D9:D77)</f>
        <v>448.38</v>
      </c>
      <c r="F78" s="6">
        <f>SUM(F9:F77)</f>
        <v>448.38</v>
      </c>
      <c r="M78" s="55">
        <f>SUM(M9:M77)</f>
        <v>20</v>
      </c>
      <c r="N78" s="6">
        <f>SUM(N9:N77)</f>
        <v>247.22</v>
      </c>
      <c r="P78" s="6">
        <f>SUM(P9:P77)</f>
        <v>247.22</v>
      </c>
    </row>
    <row r="80" spans="1:19" ht="14.4" thickBot="1" x14ac:dyDescent="0.3"/>
    <row r="81" spans="3:16" ht="14.4" thickBot="1" x14ac:dyDescent="0.3">
      <c r="D81" s="46" t="s">
        <v>4</v>
      </c>
      <c r="E81" s="61">
        <f>F5+F6-C78+F7</f>
        <v>22</v>
      </c>
      <c r="N81" s="46" t="s">
        <v>4</v>
      </c>
      <c r="O81" s="61">
        <f>P5+P6-M78+P7</f>
        <v>0</v>
      </c>
    </row>
    <row r="82" spans="3:16" ht="14.4" thickBot="1" x14ac:dyDescent="0.3"/>
    <row r="83" spans="3:16" ht="14.4" thickBot="1" x14ac:dyDescent="0.3">
      <c r="C83" s="1036" t="s">
        <v>11</v>
      </c>
      <c r="D83" s="1037"/>
      <c r="E83" s="62">
        <f>E5+E6-F78+E7</f>
        <v>271.61</v>
      </c>
      <c r="F83" s="79"/>
      <c r="M83" s="1036" t="s">
        <v>11</v>
      </c>
      <c r="N83" s="1037"/>
      <c r="O83" s="62">
        <f>O5+O6-P78+O7</f>
        <v>0</v>
      </c>
      <c r="P83" s="79"/>
    </row>
  </sheetData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13F-52E2-4877-9D2D-10E3254A51AB}">
  <sheetPr>
    <tabColor rgb="FF33CC33"/>
  </sheetPr>
  <dimension ref="A1:I39"/>
  <sheetViews>
    <sheetView topLeftCell="A22" workbookViewId="0">
      <selection activeCell="F34" sqref="F34"/>
    </sheetView>
  </sheetViews>
  <sheetFormatPr baseColWidth="10" defaultRowHeight="13.8" x14ac:dyDescent="0.25"/>
  <cols>
    <col min="1" max="1" width="25.33203125" bestFit="1" customWidth="1"/>
    <col min="2" max="2" width="16.33203125" bestFit="1" customWidth="1"/>
    <col min="4" max="4" width="11.33203125" customWidth="1"/>
  </cols>
  <sheetData>
    <row r="1" spans="1:9" ht="40.5" x14ac:dyDescent="0.55000000000000004">
      <c r="A1" s="1034" t="s">
        <v>165</v>
      </c>
      <c r="B1" s="1034"/>
      <c r="C1" s="1034"/>
      <c r="D1" s="1034"/>
      <c r="E1" s="1034"/>
      <c r="F1" s="1034"/>
      <c r="G1" s="10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" thickTop="1" x14ac:dyDescent="0.3">
      <c r="B4" s="1092" t="s">
        <v>164</v>
      </c>
      <c r="C4" s="110"/>
      <c r="D4" s="148"/>
      <c r="E4" s="93"/>
      <c r="F4" s="79"/>
      <c r="G4" s="761"/>
    </row>
    <row r="5" spans="1:9" ht="14.4" x14ac:dyDescent="0.3">
      <c r="A5" s="82" t="s">
        <v>70</v>
      </c>
      <c r="B5" s="1093"/>
      <c r="C5" s="110">
        <v>42</v>
      </c>
      <c r="D5" s="148">
        <v>44137</v>
      </c>
      <c r="E5" s="93">
        <v>502.48</v>
      </c>
      <c r="F5" s="79">
        <v>18</v>
      </c>
      <c r="G5" s="49">
        <f>F32</f>
        <v>142.46</v>
      </c>
      <c r="H5" s="151">
        <f>E5-G5</f>
        <v>360.02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5</v>
      </c>
      <c r="D8" s="14">
        <v>142.46</v>
      </c>
      <c r="E8" s="86">
        <v>44154</v>
      </c>
      <c r="F8" s="330">
        <f t="shared" ref="F8:F28" si="0">D8</f>
        <v>142.46</v>
      </c>
      <c r="G8" s="384" t="s">
        <v>403</v>
      </c>
      <c r="H8" s="316">
        <v>44</v>
      </c>
      <c r="I8" s="142">
        <f>E4+E5+E6-D8</f>
        <v>360.02</v>
      </c>
    </row>
    <row r="9" spans="1:9" ht="15" x14ac:dyDescent="0.25">
      <c r="A9" s="82"/>
      <c r="B9" s="2"/>
      <c r="C9" s="15"/>
      <c r="D9" s="14"/>
      <c r="E9" s="86"/>
      <c r="F9" s="330">
        <f t="shared" si="0"/>
        <v>0</v>
      </c>
      <c r="G9" s="384"/>
      <c r="H9" s="587"/>
      <c r="I9" s="142">
        <f>I8-D9</f>
        <v>360.02</v>
      </c>
    </row>
    <row r="10" spans="1:9" ht="15" x14ac:dyDescent="0.25">
      <c r="A10" s="82"/>
      <c r="B10" s="2"/>
      <c r="C10" s="15"/>
      <c r="D10" s="14"/>
      <c r="E10" s="86"/>
      <c r="F10" s="330">
        <f t="shared" si="0"/>
        <v>0</v>
      </c>
      <c r="G10" s="384"/>
      <c r="H10" s="587"/>
      <c r="I10" s="142">
        <f t="shared" ref="I10:I18" si="1">I9-D10</f>
        <v>360.02</v>
      </c>
    </row>
    <row r="11" spans="1:9" ht="15" x14ac:dyDescent="0.25">
      <c r="A11" s="60"/>
      <c r="B11" s="2"/>
      <c r="C11" s="15"/>
      <c r="D11" s="14"/>
      <c r="E11" s="86"/>
      <c r="F11" s="330">
        <f t="shared" si="0"/>
        <v>0</v>
      </c>
      <c r="G11" s="384"/>
      <c r="H11" s="587"/>
      <c r="I11" s="142">
        <f t="shared" si="1"/>
        <v>360.02</v>
      </c>
    </row>
    <row r="12" spans="1:9" ht="15" x14ac:dyDescent="0.25">
      <c r="A12" s="82"/>
      <c r="B12" s="2"/>
      <c r="C12" s="15"/>
      <c r="D12" s="14"/>
      <c r="E12" s="86"/>
      <c r="F12" s="330">
        <f t="shared" si="0"/>
        <v>0</v>
      </c>
      <c r="G12" s="384"/>
      <c r="H12" s="587"/>
      <c r="I12" s="142">
        <f t="shared" si="1"/>
        <v>360.02</v>
      </c>
    </row>
    <row r="13" spans="1:9" ht="15" x14ac:dyDescent="0.25">
      <c r="A13" s="82"/>
      <c r="B13" s="2"/>
      <c r="C13" s="15"/>
      <c r="D13" s="14"/>
      <c r="E13" s="86"/>
      <c r="F13" s="330">
        <f t="shared" si="0"/>
        <v>0</v>
      </c>
      <c r="G13" s="384"/>
      <c r="H13" s="587"/>
      <c r="I13" s="142">
        <f t="shared" si="1"/>
        <v>360.02</v>
      </c>
    </row>
    <row r="14" spans="1:9" ht="15" x14ac:dyDescent="0.25">
      <c r="B14" s="2"/>
      <c r="C14" s="15"/>
      <c r="D14" s="14"/>
      <c r="E14" s="86"/>
      <c r="F14" s="330">
        <f t="shared" si="0"/>
        <v>0</v>
      </c>
      <c r="G14" s="384"/>
      <c r="H14" s="587"/>
      <c r="I14" s="142">
        <f t="shared" si="1"/>
        <v>360.02</v>
      </c>
    </row>
    <row r="15" spans="1:9" ht="15" x14ac:dyDescent="0.25">
      <c r="B15" s="2"/>
      <c r="C15" s="15"/>
      <c r="D15" s="14"/>
      <c r="E15" s="86"/>
      <c r="F15" s="330">
        <f t="shared" si="0"/>
        <v>0</v>
      </c>
      <c r="G15" s="102"/>
      <c r="H15" s="17"/>
      <c r="I15" s="142">
        <f t="shared" si="1"/>
        <v>360.02</v>
      </c>
    </row>
    <row r="16" spans="1:9" ht="15" x14ac:dyDescent="0.25">
      <c r="B16" s="2"/>
      <c r="C16" s="15"/>
      <c r="D16" s="14"/>
      <c r="E16" s="13"/>
      <c r="F16" s="330">
        <f t="shared" si="0"/>
        <v>0</v>
      </c>
      <c r="G16" s="102"/>
      <c r="H16" s="17"/>
      <c r="I16" s="142">
        <f t="shared" si="1"/>
        <v>360.02</v>
      </c>
    </row>
    <row r="17" spans="1:9" ht="15" x14ac:dyDescent="0.25">
      <c r="B17" s="2"/>
      <c r="C17" s="15"/>
      <c r="D17" s="6"/>
      <c r="E17" s="13"/>
      <c r="F17" s="330">
        <f t="shared" si="0"/>
        <v>0</v>
      </c>
      <c r="G17" s="102"/>
      <c r="H17" s="17"/>
      <c r="I17" s="142">
        <f t="shared" si="1"/>
        <v>360.02</v>
      </c>
    </row>
    <row r="18" spans="1:9" ht="15" x14ac:dyDescent="0.25">
      <c r="B18" s="2"/>
      <c r="C18" s="15"/>
      <c r="D18" s="14"/>
      <c r="E18" s="13"/>
      <c r="F18" s="330">
        <f t="shared" si="0"/>
        <v>0</v>
      </c>
      <c r="G18" s="102"/>
      <c r="H18" s="17"/>
      <c r="I18" s="142">
        <f t="shared" si="1"/>
        <v>360.02</v>
      </c>
    </row>
    <row r="19" spans="1:9" ht="15" x14ac:dyDescent="0.25">
      <c r="B19" s="2"/>
      <c r="C19" s="15"/>
      <c r="D19" s="14"/>
      <c r="E19" s="13"/>
      <c r="F19" s="330">
        <f t="shared" si="0"/>
        <v>0</v>
      </c>
      <c r="G19" s="102"/>
      <c r="H19" s="17"/>
      <c r="I19" s="82"/>
    </row>
    <row r="20" spans="1:9" ht="15" x14ac:dyDescent="0.25">
      <c r="B20" s="2"/>
      <c r="C20" s="15"/>
      <c r="D20" s="14"/>
      <c r="E20" s="13"/>
      <c r="F20" s="330">
        <f t="shared" si="0"/>
        <v>0</v>
      </c>
      <c r="G20" s="102"/>
      <c r="H20" s="17"/>
      <c r="I20" s="82"/>
    </row>
    <row r="21" spans="1:9" ht="15" x14ac:dyDescent="0.25">
      <c r="B21" s="2"/>
      <c r="C21" s="15"/>
      <c r="D21" s="14"/>
      <c r="E21" s="13"/>
      <c r="F21" s="330">
        <f t="shared" si="0"/>
        <v>0</v>
      </c>
      <c r="G21" s="102"/>
      <c r="H21" s="17"/>
      <c r="I21" s="82"/>
    </row>
    <row r="22" spans="1:9" ht="15" x14ac:dyDescent="0.25">
      <c r="B22" s="2"/>
      <c r="C22" s="15"/>
      <c r="D22" s="14"/>
      <c r="E22" s="13"/>
      <c r="F22" s="330">
        <f t="shared" si="0"/>
        <v>0</v>
      </c>
      <c r="G22" s="102"/>
      <c r="H22" s="17"/>
      <c r="I22" s="82"/>
    </row>
    <row r="23" spans="1:9" ht="15" x14ac:dyDescent="0.25">
      <c r="B23" s="2"/>
      <c r="C23" s="15"/>
      <c r="D23" s="14"/>
      <c r="E23" s="13"/>
      <c r="F23" s="330">
        <f t="shared" si="0"/>
        <v>0</v>
      </c>
      <c r="G23" s="102"/>
      <c r="H23" s="17"/>
      <c r="I23" s="82"/>
    </row>
    <row r="24" spans="1:9" ht="15" x14ac:dyDescent="0.25">
      <c r="B24" s="2"/>
      <c r="C24" s="15"/>
      <c r="D24" s="14"/>
      <c r="E24" s="13"/>
      <c r="F24" s="330">
        <f t="shared" si="0"/>
        <v>0</v>
      </c>
      <c r="G24" s="102"/>
      <c r="H24" s="17"/>
      <c r="I24" s="82"/>
    </row>
    <row r="25" spans="1:9" ht="15" x14ac:dyDescent="0.25">
      <c r="B25" s="2"/>
      <c r="C25" s="15"/>
      <c r="D25" s="14"/>
      <c r="E25" s="13"/>
      <c r="F25" s="330">
        <f t="shared" si="0"/>
        <v>0</v>
      </c>
      <c r="G25" s="102"/>
      <c r="H25" s="17"/>
      <c r="I25" s="82"/>
    </row>
    <row r="26" spans="1:9" ht="15" x14ac:dyDescent="0.25">
      <c r="B26" s="117"/>
      <c r="C26" s="15"/>
      <c r="D26" s="14"/>
      <c r="E26" s="13"/>
      <c r="F26" s="330">
        <f t="shared" si="0"/>
        <v>0</v>
      </c>
      <c r="G26" s="102"/>
      <c r="H26" s="17"/>
      <c r="I26" s="82"/>
    </row>
    <row r="27" spans="1:9" ht="15" x14ac:dyDescent="0.25">
      <c r="B27" s="114"/>
      <c r="C27" s="15"/>
      <c r="D27" s="14"/>
      <c r="E27" s="13"/>
      <c r="F27" s="330">
        <f t="shared" si="0"/>
        <v>0</v>
      </c>
      <c r="G27" s="102"/>
      <c r="H27" s="17"/>
      <c r="I27" s="82"/>
    </row>
    <row r="28" spans="1:9" ht="15" x14ac:dyDescent="0.25">
      <c r="B28" s="2"/>
      <c r="C28" s="15"/>
      <c r="D28" s="14"/>
      <c r="E28" s="13"/>
      <c r="F28" s="330">
        <f t="shared" si="0"/>
        <v>0</v>
      </c>
      <c r="G28" s="102"/>
      <c r="H28" s="17"/>
      <c r="I28" s="82"/>
    </row>
    <row r="29" spans="1:9" ht="15" x14ac:dyDescent="0.25">
      <c r="B29" s="2"/>
      <c r="C29" s="15"/>
      <c r="D29" s="14"/>
      <c r="E29" s="13"/>
      <c r="F29" s="14"/>
      <c r="G29" s="31"/>
      <c r="H29" s="17"/>
    </row>
    <row r="30" spans="1:9" ht="15" x14ac:dyDescent="0.25">
      <c r="B30" s="2"/>
      <c r="C30" s="15"/>
      <c r="D30" s="6"/>
      <c r="F30" s="6"/>
    </row>
    <row r="31" spans="1:9" ht="15.75" thickBot="1" x14ac:dyDescent="0.3">
      <c r="B31" s="80"/>
      <c r="C31" s="94"/>
      <c r="D31" s="83"/>
      <c r="E31" s="129"/>
      <c r="F31" s="83"/>
      <c r="G31" s="24"/>
    </row>
    <row r="32" spans="1:9" ht="16.5" thickTop="1" thickBot="1" x14ac:dyDescent="0.3">
      <c r="A32" s="82"/>
      <c r="B32" s="82"/>
      <c r="C32" s="137">
        <f>SUM(C8:C31)</f>
        <v>5</v>
      </c>
      <c r="D32" s="113">
        <f>SUM(D8:D31)</f>
        <v>142.46</v>
      </c>
      <c r="E32" s="82"/>
      <c r="F32" s="113">
        <f>SUM(F8:F31)</f>
        <v>142.46</v>
      </c>
      <c r="G32" s="82"/>
      <c r="H32" s="82"/>
    </row>
    <row r="33" spans="1:8" ht="15" x14ac:dyDescent="0.25">
      <c r="A33" s="82"/>
      <c r="B33" s="82"/>
      <c r="C33" s="82"/>
      <c r="D33" s="757" t="s">
        <v>21</v>
      </c>
      <c r="E33" s="758"/>
      <c r="F33" s="154">
        <f>E5-F32</f>
        <v>360.02</v>
      </c>
      <c r="G33" s="82"/>
      <c r="H33" s="82"/>
    </row>
    <row r="34" spans="1:8" ht="15.75" thickBot="1" x14ac:dyDescent="0.3">
      <c r="A34" s="82"/>
      <c r="B34" s="82"/>
      <c r="C34" s="82"/>
      <c r="D34" s="759" t="s">
        <v>4</v>
      </c>
      <c r="E34" s="760"/>
      <c r="F34" s="50">
        <f>F4+F5-C32</f>
        <v>13</v>
      </c>
      <c r="G34" s="82"/>
      <c r="H34" s="82"/>
    </row>
    <row r="35" spans="1:8" ht="15" x14ac:dyDescent="0.25">
      <c r="A35" s="82"/>
      <c r="B35" s="82"/>
      <c r="C35" s="82"/>
      <c r="D35" s="82"/>
      <c r="E35" s="82"/>
      <c r="F35" s="82"/>
      <c r="G35" s="82"/>
      <c r="H35" s="82"/>
    </row>
    <row r="36" spans="1:8" ht="15" x14ac:dyDescent="0.25">
      <c r="A36" s="82"/>
      <c r="B36" s="82"/>
      <c r="C36" s="82"/>
      <c r="D36" s="82"/>
      <c r="E36" s="82"/>
      <c r="F36" s="82"/>
      <c r="G36" s="82"/>
      <c r="H36" s="82"/>
    </row>
    <row r="37" spans="1:8" ht="15" x14ac:dyDescent="0.25">
      <c r="A37" s="82"/>
      <c r="B37" s="82"/>
      <c r="C37" s="82"/>
      <c r="D37" s="82"/>
      <c r="E37" s="82"/>
      <c r="F37" s="82"/>
      <c r="G37" s="82"/>
      <c r="H37" s="82"/>
    </row>
    <row r="38" spans="1:8" ht="15" x14ac:dyDescent="0.25">
      <c r="A38" s="82"/>
      <c r="B38" s="82"/>
      <c r="C38" s="82"/>
      <c r="D38" s="82"/>
      <c r="E38" s="82"/>
      <c r="F38" s="82"/>
      <c r="G38" s="82"/>
      <c r="H38" s="82"/>
    </row>
    <row r="39" spans="1:8" ht="15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230E-12F4-4DB0-85A7-309927C9FC62}">
  <sheetPr>
    <tabColor rgb="FFFF3399"/>
  </sheetPr>
  <dimension ref="A1:I39"/>
  <sheetViews>
    <sheetView workbookViewId="0">
      <selection activeCell="C10" sqref="C10"/>
    </sheetView>
  </sheetViews>
  <sheetFormatPr baseColWidth="10" defaultRowHeight="13.8" x14ac:dyDescent="0.25"/>
  <cols>
    <col min="1" max="1" width="25.33203125" bestFit="1" customWidth="1"/>
    <col min="2" max="2" width="16.33203125" bestFit="1" customWidth="1"/>
    <col min="4" max="4" width="11.33203125" customWidth="1"/>
  </cols>
  <sheetData>
    <row r="1" spans="1:9" ht="40.5" x14ac:dyDescent="0.55000000000000004">
      <c r="A1" s="1034" t="s">
        <v>175</v>
      </c>
      <c r="B1" s="1034"/>
      <c r="C1" s="1034"/>
      <c r="D1" s="1034"/>
      <c r="E1" s="1034"/>
      <c r="F1" s="1034"/>
      <c r="G1" s="10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" thickTop="1" x14ac:dyDescent="0.3">
      <c r="B4" s="1092" t="s">
        <v>166</v>
      </c>
      <c r="C4" s="110"/>
      <c r="D4" s="148"/>
      <c r="E4" s="93"/>
      <c r="F4" s="79"/>
      <c r="G4" s="761"/>
    </row>
    <row r="5" spans="1:9" ht="14.4" x14ac:dyDescent="0.3">
      <c r="A5" s="82" t="s">
        <v>70</v>
      </c>
      <c r="B5" s="1093"/>
      <c r="C5" s="110">
        <v>30</v>
      </c>
      <c r="D5" s="148">
        <v>44137</v>
      </c>
      <c r="E5" s="93">
        <v>50.98</v>
      </c>
      <c r="F5" s="79">
        <v>2</v>
      </c>
      <c r="G5" s="49">
        <f>F32</f>
        <v>50.98</v>
      </c>
      <c r="H5" s="151">
        <f>E5-G5</f>
        <v>0</v>
      </c>
    </row>
    <row r="6" spans="1:9" ht="15.75" thickBot="1" x14ac:dyDescent="0.3">
      <c r="G6" s="79"/>
    </row>
    <row r="7" spans="1:9" ht="16.5" thickTop="1" thickBot="1" x14ac:dyDescent="0.3"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/>
      <c r="B8" s="101"/>
      <c r="C8" s="15">
        <v>2</v>
      </c>
      <c r="D8" s="14">
        <v>50.98</v>
      </c>
      <c r="E8" s="86">
        <v>44149</v>
      </c>
      <c r="F8" s="330">
        <f t="shared" ref="F8:F28" si="0">D8</f>
        <v>50.98</v>
      </c>
      <c r="G8" s="384" t="s">
        <v>381</v>
      </c>
      <c r="H8" s="316">
        <v>32</v>
      </c>
      <c r="I8" s="48">
        <f>E4+E5+E6-D8</f>
        <v>0</v>
      </c>
    </row>
    <row r="9" spans="1:9" ht="15" x14ac:dyDescent="0.25">
      <c r="A9" s="82"/>
      <c r="B9" s="2"/>
      <c r="C9" s="15"/>
      <c r="D9" s="14"/>
      <c r="E9" s="86"/>
      <c r="F9" s="330">
        <f t="shared" si="0"/>
        <v>0</v>
      </c>
      <c r="G9" s="924"/>
      <c r="H9" s="926"/>
      <c r="I9" s="892">
        <f>I8-D9</f>
        <v>0</v>
      </c>
    </row>
    <row r="10" spans="1:9" ht="15" x14ac:dyDescent="0.25">
      <c r="A10" s="82"/>
      <c r="B10" s="2"/>
      <c r="C10" s="15"/>
      <c r="D10" s="14"/>
      <c r="E10" s="86"/>
      <c r="F10" s="330">
        <f t="shared" si="0"/>
        <v>0</v>
      </c>
      <c r="G10" s="927"/>
      <c r="H10" s="927"/>
      <c r="I10" s="892">
        <f t="shared" ref="I10:I18" si="1">I9-D10</f>
        <v>0</v>
      </c>
    </row>
    <row r="11" spans="1:9" ht="15" x14ac:dyDescent="0.25">
      <c r="A11" s="60"/>
      <c r="B11" s="2"/>
      <c r="C11" s="15"/>
      <c r="D11" s="14"/>
      <c r="E11" s="86"/>
      <c r="F11" s="330">
        <f t="shared" si="0"/>
        <v>0</v>
      </c>
      <c r="G11" s="927"/>
      <c r="H11" s="926"/>
      <c r="I11" s="892">
        <f t="shared" si="1"/>
        <v>0</v>
      </c>
    </row>
    <row r="12" spans="1:9" ht="15" x14ac:dyDescent="0.25">
      <c r="A12" s="82"/>
      <c r="B12" s="2"/>
      <c r="C12" s="15"/>
      <c r="D12" s="14"/>
      <c r="E12" s="86"/>
      <c r="F12" s="330">
        <f t="shared" si="0"/>
        <v>0</v>
      </c>
      <c r="G12" s="384"/>
      <c r="H12" s="587"/>
      <c r="I12" s="48">
        <f t="shared" si="1"/>
        <v>0</v>
      </c>
    </row>
    <row r="13" spans="1:9" ht="15" x14ac:dyDescent="0.25">
      <c r="A13" s="82"/>
      <c r="B13" s="2"/>
      <c r="C13" s="15"/>
      <c r="D13" s="14"/>
      <c r="E13" s="86"/>
      <c r="F13" s="330">
        <f t="shared" si="0"/>
        <v>0</v>
      </c>
      <c r="G13" s="384"/>
      <c r="H13" s="587"/>
      <c r="I13" s="48">
        <f t="shared" si="1"/>
        <v>0</v>
      </c>
    </row>
    <row r="14" spans="1:9" ht="15" x14ac:dyDescent="0.25">
      <c r="B14" s="2"/>
      <c r="C14" s="15"/>
      <c r="D14" s="14"/>
      <c r="E14" s="86"/>
      <c r="F14" s="330">
        <f t="shared" si="0"/>
        <v>0</v>
      </c>
      <c r="G14" s="384"/>
      <c r="H14" s="587"/>
      <c r="I14" s="48">
        <f t="shared" si="1"/>
        <v>0</v>
      </c>
    </row>
    <row r="15" spans="1:9" ht="15" x14ac:dyDescent="0.25">
      <c r="B15" s="2"/>
      <c r="C15" s="15"/>
      <c r="D15" s="14"/>
      <c r="E15" s="86"/>
      <c r="F15" s="330">
        <f t="shared" si="0"/>
        <v>0</v>
      </c>
      <c r="G15" s="102"/>
      <c r="H15" s="17"/>
      <c r="I15" s="48">
        <f t="shared" si="1"/>
        <v>0</v>
      </c>
    </row>
    <row r="16" spans="1:9" ht="15" x14ac:dyDescent="0.25">
      <c r="B16" s="2"/>
      <c r="C16" s="15"/>
      <c r="D16" s="14"/>
      <c r="E16" s="13"/>
      <c r="F16" s="330">
        <f t="shared" si="0"/>
        <v>0</v>
      </c>
      <c r="G16" s="102"/>
      <c r="H16" s="17"/>
      <c r="I16" s="48">
        <f t="shared" si="1"/>
        <v>0</v>
      </c>
    </row>
    <row r="17" spans="1:9" ht="15" x14ac:dyDescent="0.25">
      <c r="B17" s="2"/>
      <c r="C17" s="15"/>
      <c r="D17" s="6"/>
      <c r="E17" s="13"/>
      <c r="F17" s="330">
        <f t="shared" si="0"/>
        <v>0</v>
      </c>
      <c r="G17" s="102"/>
      <c r="H17" s="17"/>
      <c r="I17" s="48">
        <f t="shared" si="1"/>
        <v>0</v>
      </c>
    </row>
    <row r="18" spans="1:9" ht="15" x14ac:dyDescent="0.25">
      <c r="B18" s="2"/>
      <c r="C18" s="15"/>
      <c r="D18" s="14"/>
      <c r="E18" s="13"/>
      <c r="F18" s="330">
        <f t="shared" si="0"/>
        <v>0</v>
      </c>
      <c r="G18" s="102"/>
      <c r="H18" s="17"/>
      <c r="I18" s="48">
        <f t="shared" si="1"/>
        <v>0</v>
      </c>
    </row>
    <row r="19" spans="1:9" ht="15" x14ac:dyDescent="0.25">
      <c r="B19" s="2"/>
      <c r="C19" s="15"/>
      <c r="D19" s="14"/>
      <c r="E19" s="13"/>
      <c r="F19" s="330">
        <f t="shared" si="0"/>
        <v>0</v>
      </c>
      <c r="G19" s="102"/>
      <c r="H19" s="17"/>
    </row>
    <row r="20" spans="1:9" ht="15" x14ac:dyDescent="0.25">
      <c r="B20" s="2"/>
      <c r="C20" s="15"/>
      <c r="D20" s="14"/>
      <c r="E20" s="13"/>
      <c r="F20" s="330">
        <f t="shared" si="0"/>
        <v>0</v>
      </c>
      <c r="G20" s="102"/>
      <c r="H20" s="17"/>
    </row>
    <row r="21" spans="1:9" ht="15" x14ac:dyDescent="0.25">
      <c r="B21" s="2"/>
      <c r="C21" s="15"/>
      <c r="D21" s="14"/>
      <c r="E21" s="13"/>
      <c r="F21" s="330">
        <f t="shared" si="0"/>
        <v>0</v>
      </c>
      <c r="G21" s="102"/>
      <c r="H21" s="17"/>
    </row>
    <row r="22" spans="1:9" ht="15" x14ac:dyDescent="0.25">
      <c r="B22" s="2"/>
      <c r="C22" s="15"/>
      <c r="D22" s="14"/>
      <c r="E22" s="13"/>
      <c r="F22" s="330">
        <f t="shared" si="0"/>
        <v>0</v>
      </c>
      <c r="G22" s="102"/>
      <c r="H22" s="17"/>
    </row>
    <row r="23" spans="1:9" ht="15" x14ac:dyDescent="0.25">
      <c r="B23" s="2"/>
      <c r="C23" s="15"/>
      <c r="D23" s="14"/>
      <c r="E23" s="13"/>
      <c r="F23" s="330">
        <f t="shared" si="0"/>
        <v>0</v>
      </c>
      <c r="G23" s="102"/>
      <c r="H23" s="17"/>
    </row>
    <row r="24" spans="1:9" ht="15" x14ac:dyDescent="0.25">
      <c r="B24" s="2"/>
      <c r="C24" s="15"/>
      <c r="D24" s="14"/>
      <c r="E24" s="13"/>
      <c r="F24" s="330">
        <f t="shared" si="0"/>
        <v>0</v>
      </c>
      <c r="G24" s="102"/>
      <c r="H24" s="17"/>
    </row>
    <row r="25" spans="1:9" ht="15" x14ac:dyDescent="0.25">
      <c r="B25" s="2"/>
      <c r="C25" s="15"/>
      <c r="D25" s="14"/>
      <c r="E25" s="13"/>
      <c r="F25" s="330">
        <f t="shared" si="0"/>
        <v>0</v>
      </c>
      <c r="G25" s="102"/>
      <c r="H25" s="17"/>
    </row>
    <row r="26" spans="1:9" x14ac:dyDescent="0.25">
      <c r="B26" s="117"/>
      <c r="C26" s="15"/>
      <c r="D26" s="14"/>
      <c r="E26" s="13"/>
      <c r="F26" s="330">
        <f t="shared" si="0"/>
        <v>0</v>
      </c>
      <c r="G26" s="102"/>
      <c r="H26" s="17"/>
    </row>
    <row r="27" spans="1:9" x14ac:dyDescent="0.25">
      <c r="B27" s="114"/>
      <c r="C27" s="15"/>
      <c r="D27" s="14"/>
      <c r="E27" s="13"/>
      <c r="F27" s="330">
        <f t="shared" si="0"/>
        <v>0</v>
      </c>
      <c r="G27" s="102"/>
      <c r="H27" s="17"/>
    </row>
    <row r="28" spans="1:9" x14ac:dyDescent="0.25">
      <c r="B28" s="2"/>
      <c r="C28" s="15"/>
      <c r="D28" s="14"/>
      <c r="E28" s="13"/>
      <c r="F28" s="330">
        <f t="shared" si="0"/>
        <v>0</v>
      </c>
      <c r="G28" s="102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4.4" thickBot="1" x14ac:dyDescent="0.3">
      <c r="B31" s="80"/>
      <c r="C31" s="94"/>
      <c r="D31" s="83"/>
      <c r="E31" s="129"/>
      <c r="F31" s="83"/>
      <c r="G31" s="24"/>
    </row>
    <row r="32" spans="1:9" ht="15" thickTop="1" thickBot="1" x14ac:dyDescent="0.3">
      <c r="A32" s="82"/>
      <c r="B32" s="82"/>
      <c r="C32" s="137">
        <f>SUM(C8:C31)</f>
        <v>2</v>
      </c>
      <c r="D32" s="113">
        <f>SUM(D8:D31)</f>
        <v>50.98</v>
      </c>
      <c r="E32" s="82"/>
      <c r="F32" s="113">
        <f>SUM(F8:F31)</f>
        <v>50.98</v>
      </c>
      <c r="G32" s="82"/>
      <c r="H32" s="82"/>
    </row>
    <row r="33" spans="1:8" x14ac:dyDescent="0.25">
      <c r="A33" s="82"/>
      <c r="B33" s="82"/>
      <c r="C33" s="82"/>
      <c r="D33" s="757" t="s">
        <v>21</v>
      </c>
      <c r="E33" s="758"/>
      <c r="F33" s="154">
        <f>G5-F32</f>
        <v>0</v>
      </c>
      <c r="G33" s="82"/>
      <c r="H33" s="82"/>
    </row>
    <row r="34" spans="1:8" ht="14.4" thickBot="1" x14ac:dyDescent="0.3">
      <c r="A34" s="82"/>
      <c r="B34" s="82"/>
      <c r="C34" s="82"/>
      <c r="D34" s="759" t="s">
        <v>4</v>
      </c>
      <c r="E34" s="760"/>
      <c r="F34" s="50">
        <f>F4+F5-C32</f>
        <v>0</v>
      </c>
      <c r="G34" s="82"/>
      <c r="H34" s="82"/>
    </row>
    <row r="35" spans="1:8" x14ac:dyDescent="0.25">
      <c r="A35" s="82"/>
      <c r="B35" s="82"/>
      <c r="C35" s="82"/>
      <c r="D35" s="82"/>
      <c r="E35" s="82"/>
      <c r="F35" s="82"/>
      <c r="G35" s="82"/>
      <c r="H35" s="82"/>
    </row>
    <row r="36" spans="1:8" x14ac:dyDescent="0.25">
      <c r="A36" s="82"/>
      <c r="B36" s="82"/>
      <c r="C36" s="82"/>
      <c r="D36" s="82"/>
      <c r="E36" s="82"/>
      <c r="F36" s="82"/>
      <c r="G36" s="82"/>
      <c r="H36" s="82"/>
    </row>
    <row r="37" spans="1:8" x14ac:dyDescent="0.25">
      <c r="A37" s="82"/>
      <c r="B37" s="82"/>
      <c r="C37" s="82"/>
      <c r="D37" s="82"/>
      <c r="E37" s="82"/>
      <c r="F37" s="82"/>
      <c r="G37" s="82"/>
      <c r="H37" s="82"/>
    </row>
    <row r="38" spans="1:8" x14ac:dyDescent="0.25">
      <c r="A38" s="82"/>
      <c r="B38" s="82"/>
      <c r="C38" s="82"/>
      <c r="D38" s="82"/>
      <c r="E38" s="82"/>
      <c r="F38" s="82"/>
      <c r="G38" s="82"/>
      <c r="H38" s="82"/>
    </row>
    <row r="39" spans="1:8" x14ac:dyDescent="0.25">
      <c r="A39" s="82"/>
      <c r="B39" s="82"/>
      <c r="C39" s="82"/>
      <c r="D39" s="82"/>
      <c r="E39" s="82"/>
      <c r="F39" s="82"/>
      <c r="G39" s="82"/>
      <c r="H39" s="82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topLeftCell="B13" workbookViewId="0">
      <selection activeCell="G26" sqref="G26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1" ht="45.75" x14ac:dyDescent="0.65">
      <c r="A1" s="1041" t="s">
        <v>176</v>
      </c>
      <c r="B1" s="1041"/>
      <c r="C1" s="1041"/>
      <c r="D1" s="1041"/>
      <c r="E1" s="1041"/>
      <c r="F1" s="1041"/>
      <c r="G1" s="1041"/>
      <c r="H1" s="10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1" ht="17.25" thickTop="1" thickBot="1" x14ac:dyDescent="0.3">
      <c r="A4" s="655" t="s">
        <v>92</v>
      </c>
      <c r="B4" s="158"/>
      <c r="C4" s="71">
        <v>59</v>
      </c>
      <c r="D4" s="291">
        <v>44026</v>
      </c>
      <c r="E4" s="222">
        <v>1029.19</v>
      </c>
      <c r="F4" s="157">
        <v>56</v>
      </c>
    </row>
    <row r="5" spans="1:11" ht="15" customHeight="1" thickBot="1" x14ac:dyDescent="0.35">
      <c r="A5" s="655" t="s">
        <v>92</v>
      </c>
      <c r="B5" s="1052" t="s">
        <v>95</v>
      </c>
      <c r="C5" s="293">
        <v>59</v>
      </c>
      <c r="D5" s="291">
        <v>44028</v>
      </c>
      <c r="E5" s="654">
        <v>1087.29</v>
      </c>
      <c r="F5" s="318">
        <v>60</v>
      </c>
      <c r="G5" s="362">
        <f>F44</f>
        <v>4153.3</v>
      </c>
      <c r="H5" s="63">
        <f>E4+E5+E6</f>
        <v>4148.8099999999995</v>
      </c>
    </row>
    <row r="6" spans="1:11" ht="16.8" thickTop="1" thickBot="1" x14ac:dyDescent="0.3">
      <c r="A6" s="656" t="s">
        <v>100</v>
      </c>
      <c r="B6" s="1053"/>
      <c r="C6" s="293">
        <v>59</v>
      </c>
      <c r="D6" s="291">
        <v>44037</v>
      </c>
      <c r="E6" s="566">
        <v>2032.33</v>
      </c>
      <c r="F6" s="318">
        <v>110</v>
      </c>
      <c r="I6" s="1078" t="s">
        <v>3</v>
      </c>
      <c r="J6" s="1072" t="s">
        <v>4</v>
      </c>
    </row>
    <row r="7" spans="1:11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</row>
    <row r="8" spans="1:11" ht="15.75" thickTop="1" x14ac:dyDescent="0.25">
      <c r="A8" s="87" t="s">
        <v>32</v>
      </c>
      <c r="B8" s="90"/>
      <c r="C8" s="15">
        <v>28</v>
      </c>
      <c r="D8" s="214">
        <v>508.79</v>
      </c>
      <c r="E8" s="91">
        <v>44026</v>
      </c>
      <c r="F8" s="74">
        <f t="shared" ref="F8:F43" si="0">D8</f>
        <v>508.79</v>
      </c>
      <c r="G8" s="315" t="s">
        <v>96</v>
      </c>
      <c r="H8" s="316">
        <v>62</v>
      </c>
      <c r="I8" s="309">
        <f>E5+E4-F8+E6</f>
        <v>3640.02</v>
      </c>
      <c r="J8" s="522">
        <f>F4+F5+F6-C8</f>
        <v>198</v>
      </c>
    </row>
    <row r="9" spans="1:11" ht="15" x14ac:dyDescent="0.25">
      <c r="A9" s="241"/>
      <c r="B9" s="90"/>
      <c r="C9" s="15">
        <v>28</v>
      </c>
      <c r="D9" s="214">
        <v>520.4</v>
      </c>
      <c r="E9" s="91">
        <v>44028</v>
      </c>
      <c r="F9" s="74">
        <f t="shared" si="0"/>
        <v>520.4</v>
      </c>
      <c r="G9" s="315" t="s">
        <v>97</v>
      </c>
      <c r="H9" s="316">
        <v>62</v>
      </c>
      <c r="I9" s="309">
        <f>I8-F9</f>
        <v>3119.62</v>
      </c>
      <c r="J9" s="373">
        <f>J8-C9</f>
        <v>170</v>
      </c>
      <c r="K9" s="286"/>
    </row>
    <row r="10" spans="1:11" ht="15" x14ac:dyDescent="0.25">
      <c r="A10" s="227"/>
      <c r="B10" s="90"/>
      <c r="C10" s="15">
        <v>1</v>
      </c>
      <c r="D10" s="214">
        <v>21.3</v>
      </c>
      <c r="E10" s="91">
        <v>44028</v>
      </c>
      <c r="F10" s="74">
        <f t="shared" si="0"/>
        <v>21.3</v>
      </c>
      <c r="G10" s="315" t="s">
        <v>98</v>
      </c>
      <c r="H10" s="316">
        <v>62</v>
      </c>
      <c r="I10" s="309">
        <f t="shared" ref="I10:I42" si="1">I9-F10</f>
        <v>3098.3199999999997</v>
      </c>
      <c r="J10" s="373">
        <f t="shared" ref="J10:J42" si="2">J9-C10</f>
        <v>169</v>
      </c>
      <c r="K10" s="286"/>
    </row>
    <row r="11" spans="1:11" ht="15" x14ac:dyDescent="0.25">
      <c r="A11" s="89" t="s">
        <v>33</v>
      </c>
      <c r="B11" s="90"/>
      <c r="C11" s="15">
        <v>4</v>
      </c>
      <c r="D11" s="214">
        <v>80</v>
      </c>
      <c r="E11" s="91">
        <v>44029</v>
      </c>
      <c r="F11" s="74">
        <f t="shared" si="0"/>
        <v>80</v>
      </c>
      <c r="G11" s="315" t="s">
        <v>99</v>
      </c>
      <c r="H11" s="316">
        <v>62</v>
      </c>
      <c r="I11" s="309">
        <f t="shared" si="1"/>
        <v>3018.3199999999997</v>
      </c>
      <c r="J11" s="373">
        <f t="shared" si="2"/>
        <v>165</v>
      </c>
      <c r="K11" s="286"/>
    </row>
    <row r="12" spans="1:11" ht="15" x14ac:dyDescent="0.25">
      <c r="A12" s="79"/>
      <c r="B12" s="90"/>
      <c r="C12" s="15">
        <v>55</v>
      </c>
      <c r="D12" s="214">
        <v>985.99</v>
      </c>
      <c r="E12" s="91">
        <v>44029</v>
      </c>
      <c r="F12" s="74">
        <f t="shared" si="0"/>
        <v>985.99</v>
      </c>
      <c r="G12" s="315" t="s">
        <v>99</v>
      </c>
      <c r="H12" s="316">
        <v>62</v>
      </c>
      <c r="I12" s="309">
        <f t="shared" si="1"/>
        <v>2032.3299999999997</v>
      </c>
      <c r="J12" s="373">
        <f t="shared" si="2"/>
        <v>110</v>
      </c>
      <c r="K12" s="286"/>
    </row>
    <row r="13" spans="1:11" ht="15" x14ac:dyDescent="0.25">
      <c r="A13" s="79"/>
      <c r="B13" s="90"/>
      <c r="C13" s="15">
        <v>12</v>
      </c>
      <c r="D13" s="662">
        <v>226.17</v>
      </c>
      <c r="E13" s="663">
        <v>44088</v>
      </c>
      <c r="F13" s="659">
        <f t="shared" si="0"/>
        <v>226.17</v>
      </c>
      <c r="G13" s="661" t="s">
        <v>112</v>
      </c>
      <c r="H13" s="383">
        <v>52</v>
      </c>
      <c r="I13" s="309">
        <f t="shared" si="1"/>
        <v>1806.1599999999996</v>
      </c>
      <c r="J13" s="373">
        <f t="shared" si="2"/>
        <v>98</v>
      </c>
      <c r="K13" s="286"/>
    </row>
    <row r="14" spans="1:11" ht="15" x14ac:dyDescent="0.25">
      <c r="B14" s="90"/>
      <c r="C14" s="15">
        <v>20</v>
      </c>
      <c r="D14" s="662">
        <v>383.17</v>
      </c>
      <c r="E14" s="663">
        <v>44093</v>
      </c>
      <c r="F14" s="659">
        <f t="shared" si="0"/>
        <v>383.17</v>
      </c>
      <c r="G14" s="660" t="s">
        <v>114</v>
      </c>
      <c r="H14" s="259">
        <v>52</v>
      </c>
      <c r="I14" s="85">
        <f t="shared" si="1"/>
        <v>1422.9899999999996</v>
      </c>
      <c r="J14" s="373">
        <f t="shared" si="2"/>
        <v>78</v>
      </c>
    </row>
    <row r="15" spans="1:11" ht="15" x14ac:dyDescent="0.25">
      <c r="B15" s="90"/>
      <c r="C15" s="15">
        <v>10</v>
      </c>
      <c r="D15" s="662">
        <v>180.57</v>
      </c>
      <c r="E15" s="663">
        <v>44097</v>
      </c>
      <c r="F15" s="659">
        <f t="shared" si="0"/>
        <v>180.57</v>
      </c>
      <c r="G15" s="660" t="s">
        <v>115</v>
      </c>
      <c r="H15" s="259">
        <v>52</v>
      </c>
      <c r="I15" s="85">
        <f t="shared" si="1"/>
        <v>1242.4199999999996</v>
      </c>
      <c r="J15" s="373">
        <f t="shared" si="2"/>
        <v>68</v>
      </c>
    </row>
    <row r="16" spans="1:11" ht="15" x14ac:dyDescent="0.25">
      <c r="A16" s="88"/>
      <c r="B16" s="90"/>
      <c r="C16" s="15">
        <v>5</v>
      </c>
      <c r="D16" s="662">
        <v>87.22</v>
      </c>
      <c r="E16" s="664">
        <v>44105</v>
      </c>
      <c r="F16" s="659">
        <f t="shared" si="0"/>
        <v>87.22</v>
      </c>
      <c r="G16" s="660" t="s">
        <v>116</v>
      </c>
      <c r="H16" s="259">
        <v>52</v>
      </c>
      <c r="I16" s="85">
        <f t="shared" si="1"/>
        <v>1155.1999999999996</v>
      </c>
      <c r="J16" s="373">
        <f t="shared" si="2"/>
        <v>63</v>
      </c>
    </row>
    <row r="17" spans="1:10" ht="15" x14ac:dyDescent="0.25">
      <c r="A17" s="90"/>
      <c r="B17" s="90"/>
      <c r="C17" s="15">
        <v>5</v>
      </c>
      <c r="D17" s="662">
        <v>86.27</v>
      </c>
      <c r="E17" s="664">
        <v>44106</v>
      </c>
      <c r="F17" s="659">
        <f t="shared" si="0"/>
        <v>86.27</v>
      </c>
      <c r="G17" s="665" t="s">
        <v>117</v>
      </c>
      <c r="H17" s="259">
        <v>52</v>
      </c>
      <c r="I17" s="85">
        <f>I16-F17+4.51</f>
        <v>1073.4399999999996</v>
      </c>
      <c r="J17" s="373">
        <f t="shared" si="2"/>
        <v>58</v>
      </c>
    </row>
    <row r="18" spans="1:10" ht="15" x14ac:dyDescent="0.25">
      <c r="A18" s="2"/>
      <c r="B18" s="90"/>
      <c r="C18" s="15">
        <v>5</v>
      </c>
      <c r="D18" s="698">
        <v>88.08</v>
      </c>
      <c r="E18" s="729">
        <v>44110</v>
      </c>
      <c r="F18" s="268">
        <f t="shared" si="0"/>
        <v>88.08</v>
      </c>
      <c r="G18" s="199" t="s">
        <v>125</v>
      </c>
      <c r="H18" s="127">
        <v>52</v>
      </c>
      <c r="I18" s="85">
        <f t="shared" si="1"/>
        <v>985.35999999999956</v>
      </c>
      <c r="J18" s="373">
        <f t="shared" si="2"/>
        <v>53</v>
      </c>
    </row>
    <row r="19" spans="1:10" ht="15" x14ac:dyDescent="0.25">
      <c r="A19" s="2"/>
      <c r="B19" s="90"/>
      <c r="C19" s="15">
        <v>6</v>
      </c>
      <c r="D19" s="698">
        <v>107.69</v>
      </c>
      <c r="E19" s="729">
        <v>44119</v>
      </c>
      <c r="F19" s="268">
        <f t="shared" si="0"/>
        <v>107.69</v>
      </c>
      <c r="G19" s="199" t="s">
        <v>128</v>
      </c>
      <c r="H19" s="127">
        <v>52</v>
      </c>
      <c r="I19" s="85">
        <f t="shared" si="1"/>
        <v>877.66999999999962</v>
      </c>
      <c r="J19" s="373">
        <f t="shared" si="2"/>
        <v>47</v>
      </c>
    </row>
    <row r="20" spans="1:10" ht="15" x14ac:dyDescent="0.25">
      <c r="A20" s="2"/>
      <c r="B20" s="90"/>
      <c r="C20" s="15">
        <v>20</v>
      </c>
      <c r="D20" s="698">
        <v>382.15</v>
      </c>
      <c r="E20" s="728">
        <v>44123</v>
      </c>
      <c r="F20" s="268">
        <f t="shared" si="0"/>
        <v>382.15</v>
      </c>
      <c r="G20" s="199" t="s">
        <v>133</v>
      </c>
      <c r="H20" s="127">
        <v>52</v>
      </c>
      <c r="I20" s="85">
        <f t="shared" si="1"/>
        <v>495.51999999999964</v>
      </c>
      <c r="J20" s="373">
        <f t="shared" si="2"/>
        <v>27</v>
      </c>
    </row>
    <row r="21" spans="1:10" ht="15" x14ac:dyDescent="0.25">
      <c r="A21" s="2"/>
      <c r="B21" s="90"/>
      <c r="C21" s="15">
        <v>10</v>
      </c>
      <c r="D21" s="698">
        <v>193.78</v>
      </c>
      <c r="E21" s="728">
        <v>44125</v>
      </c>
      <c r="F21" s="268">
        <f t="shared" si="0"/>
        <v>193.78</v>
      </c>
      <c r="G21" s="199" t="s">
        <v>134</v>
      </c>
      <c r="H21" s="127">
        <v>52</v>
      </c>
      <c r="I21" s="85">
        <f t="shared" si="1"/>
        <v>301.73999999999967</v>
      </c>
      <c r="J21" s="373">
        <f t="shared" si="2"/>
        <v>17</v>
      </c>
    </row>
    <row r="22" spans="1:10" ht="15" x14ac:dyDescent="0.25">
      <c r="A22" s="2"/>
      <c r="B22" s="90"/>
      <c r="C22" s="15">
        <v>4</v>
      </c>
      <c r="D22" s="698">
        <v>70.94</v>
      </c>
      <c r="E22" s="728">
        <v>44126</v>
      </c>
      <c r="F22" s="268">
        <f t="shared" si="0"/>
        <v>70.94</v>
      </c>
      <c r="G22" s="199" t="s">
        <v>137</v>
      </c>
      <c r="H22" s="127">
        <v>52</v>
      </c>
      <c r="I22" s="85">
        <f t="shared" si="1"/>
        <v>230.79999999999967</v>
      </c>
      <c r="J22" s="373">
        <f t="shared" si="2"/>
        <v>13</v>
      </c>
    </row>
    <row r="23" spans="1:10" ht="15" x14ac:dyDescent="0.25">
      <c r="A23" s="2"/>
      <c r="B23" s="90"/>
      <c r="C23" s="15">
        <v>2</v>
      </c>
      <c r="D23" s="698">
        <v>37.520000000000003</v>
      </c>
      <c r="E23" s="728">
        <v>44131</v>
      </c>
      <c r="F23" s="268">
        <f t="shared" si="0"/>
        <v>37.520000000000003</v>
      </c>
      <c r="G23" s="199" t="s">
        <v>150</v>
      </c>
      <c r="H23" s="127">
        <v>52</v>
      </c>
      <c r="I23" s="85">
        <f t="shared" si="1"/>
        <v>193.27999999999966</v>
      </c>
      <c r="J23" s="373">
        <f t="shared" si="2"/>
        <v>11</v>
      </c>
    </row>
    <row r="24" spans="1:10" ht="15" x14ac:dyDescent="0.25">
      <c r="A24" s="2"/>
      <c r="B24" s="90"/>
      <c r="C24" s="773">
        <v>11</v>
      </c>
      <c r="D24" s="616">
        <v>193.26</v>
      </c>
      <c r="E24" s="774">
        <v>44139</v>
      </c>
      <c r="F24" s="617">
        <f t="shared" ref="F24:F32" si="3">D24</f>
        <v>193.26</v>
      </c>
      <c r="G24" s="775" t="s">
        <v>321</v>
      </c>
      <c r="H24" s="776">
        <v>52</v>
      </c>
      <c r="I24" s="85">
        <f t="shared" ref="I24:I32" si="4">I23-F24</f>
        <v>1.9999999999669171E-2</v>
      </c>
      <c r="J24" s="373">
        <f t="shared" ref="J24:J32" si="5">J23-C24</f>
        <v>0</v>
      </c>
    </row>
    <row r="25" spans="1:10" ht="15" x14ac:dyDescent="0.25">
      <c r="A25" s="2"/>
      <c r="B25" s="90"/>
      <c r="C25" s="773"/>
      <c r="D25" s="616">
        <f t="shared" ref="D25:D32" si="6">C25*B25</f>
        <v>0</v>
      </c>
      <c r="E25" s="774"/>
      <c r="F25" s="617">
        <f t="shared" si="3"/>
        <v>0</v>
      </c>
      <c r="G25" s="864"/>
      <c r="H25" s="865"/>
      <c r="I25" s="866">
        <f t="shared" si="4"/>
        <v>1.9999999999669171E-2</v>
      </c>
      <c r="J25" s="867">
        <f t="shared" si="5"/>
        <v>0</v>
      </c>
    </row>
    <row r="26" spans="1:10" ht="15" x14ac:dyDescent="0.25">
      <c r="A26" s="2"/>
      <c r="B26" s="90"/>
      <c r="C26" s="773"/>
      <c r="D26" s="616">
        <f t="shared" si="6"/>
        <v>0</v>
      </c>
      <c r="E26" s="774"/>
      <c r="F26" s="617">
        <f t="shared" si="3"/>
        <v>0</v>
      </c>
      <c r="G26" s="864"/>
      <c r="H26" s="865"/>
      <c r="I26" s="866">
        <f t="shared" si="4"/>
        <v>1.9999999999669171E-2</v>
      </c>
      <c r="J26" s="867">
        <f t="shared" si="5"/>
        <v>0</v>
      </c>
    </row>
    <row r="27" spans="1:10" ht="15" x14ac:dyDescent="0.25">
      <c r="A27" s="215"/>
      <c r="B27" s="90"/>
      <c r="C27" s="773"/>
      <c r="D27" s="616">
        <f t="shared" si="6"/>
        <v>0</v>
      </c>
      <c r="E27" s="774"/>
      <c r="F27" s="617">
        <f t="shared" si="3"/>
        <v>0</v>
      </c>
      <c r="G27" s="864"/>
      <c r="H27" s="865"/>
      <c r="I27" s="866">
        <f t="shared" si="4"/>
        <v>1.9999999999669171E-2</v>
      </c>
      <c r="J27" s="867">
        <f t="shared" si="5"/>
        <v>0</v>
      </c>
    </row>
    <row r="28" spans="1:10" ht="15" x14ac:dyDescent="0.25">
      <c r="A28" s="215"/>
      <c r="B28" s="90"/>
      <c r="C28" s="773"/>
      <c r="D28" s="616">
        <f t="shared" si="6"/>
        <v>0</v>
      </c>
      <c r="E28" s="777"/>
      <c r="F28" s="617">
        <f t="shared" si="3"/>
        <v>0</v>
      </c>
      <c r="G28" s="864"/>
      <c r="H28" s="865"/>
      <c r="I28" s="866">
        <f t="shared" si="4"/>
        <v>1.9999999999669171E-2</v>
      </c>
      <c r="J28" s="867">
        <f t="shared" si="5"/>
        <v>0</v>
      </c>
    </row>
    <row r="29" spans="1:10" ht="15" x14ac:dyDescent="0.25">
      <c r="A29" s="215"/>
      <c r="B29" s="90"/>
      <c r="C29" s="778"/>
      <c r="D29" s="616">
        <f t="shared" si="6"/>
        <v>0</v>
      </c>
      <c r="E29" s="779"/>
      <c r="F29" s="764">
        <f t="shared" si="3"/>
        <v>0</v>
      </c>
      <c r="G29" s="618"/>
      <c r="H29" s="765"/>
      <c r="I29" s="309">
        <f t="shared" si="4"/>
        <v>1.9999999999669171E-2</v>
      </c>
      <c r="J29" s="373">
        <f t="shared" si="5"/>
        <v>0</v>
      </c>
    </row>
    <row r="30" spans="1:10" ht="15" x14ac:dyDescent="0.25">
      <c r="A30" s="215"/>
      <c r="B30" s="90"/>
      <c r="C30" s="773"/>
      <c r="D30" s="616">
        <f t="shared" si="6"/>
        <v>0</v>
      </c>
      <c r="E30" s="777"/>
      <c r="F30" s="617">
        <f t="shared" si="3"/>
        <v>0</v>
      </c>
      <c r="G30" s="775"/>
      <c r="H30" s="776"/>
      <c r="I30" s="85">
        <f t="shared" si="4"/>
        <v>1.9999999999669171E-2</v>
      </c>
      <c r="J30" s="373">
        <f t="shared" si="5"/>
        <v>0</v>
      </c>
    </row>
    <row r="31" spans="1:10" ht="15" x14ac:dyDescent="0.25">
      <c r="A31" s="215"/>
      <c r="B31" s="90"/>
      <c r="C31" s="773"/>
      <c r="D31" s="616">
        <f t="shared" si="6"/>
        <v>0</v>
      </c>
      <c r="E31" s="777"/>
      <c r="F31" s="617">
        <f t="shared" si="3"/>
        <v>0</v>
      </c>
      <c r="G31" s="775"/>
      <c r="H31" s="776"/>
      <c r="I31" s="85">
        <f t="shared" si="4"/>
        <v>1.9999999999669171E-2</v>
      </c>
      <c r="J31" s="373">
        <f t="shared" si="5"/>
        <v>0</v>
      </c>
    </row>
    <row r="32" spans="1:10" ht="15" x14ac:dyDescent="0.25">
      <c r="A32" s="2"/>
      <c r="B32" s="90"/>
      <c r="C32" s="773"/>
      <c r="D32" s="616">
        <f t="shared" si="6"/>
        <v>0</v>
      </c>
      <c r="E32" s="777"/>
      <c r="F32" s="617">
        <f t="shared" si="3"/>
        <v>0</v>
      </c>
      <c r="G32" s="775"/>
      <c r="H32" s="776"/>
      <c r="I32" s="85">
        <f t="shared" si="4"/>
        <v>1.9999999999669171E-2</v>
      </c>
      <c r="J32" s="373">
        <f t="shared" si="5"/>
        <v>0</v>
      </c>
    </row>
    <row r="33" spans="1:10" ht="15" x14ac:dyDescent="0.25">
      <c r="A33" s="2"/>
      <c r="B33" s="90"/>
      <c r="C33" s="773"/>
      <c r="D33" s="616">
        <f t="shared" ref="D33:D38" si="7">C33*B33</f>
        <v>0</v>
      </c>
      <c r="E33" s="777"/>
      <c r="F33" s="617">
        <f t="shared" si="0"/>
        <v>0</v>
      </c>
      <c r="G33" s="775"/>
      <c r="H33" s="776"/>
      <c r="I33" s="85">
        <f t="shared" si="1"/>
        <v>1.9999999999669171E-2</v>
      </c>
      <c r="J33" s="373">
        <f t="shared" si="2"/>
        <v>0</v>
      </c>
    </row>
    <row r="34" spans="1:10" ht="15" x14ac:dyDescent="0.25">
      <c r="A34" s="2"/>
      <c r="B34" s="90"/>
      <c r="C34" s="773"/>
      <c r="D34" s="616">
        <f t="shared" si="7"/>
        <v>0</v>
      </c>
      <c r="E34" s="777"/>
      <c r="F34" s="617">
        <f t="shared" si="0"/>
        <v>0</v>
      </c>
      <c r="G34" s="775"/>
      <c r="H34" s="776"/>
      <c r="I34" s="85">
        <f t="shared" si="1"/>
        <v>1.9999999999669171E-2</v>
      </c>
      <c r="J34" s="373">
        <f t="shared" si="2"/>
        <v>0</v>
      </c>
    </row>
    <row r="35" spans="1:10" ht="15" x14ac:dyDescent="0.25">
      <c r="A35" s="2"/>
      <c r="B35" s="90"/>
      <c r="C35" s="773"/>
      <c r="D35" s="616">
        <f t="shared" si="7"/>
        <v>0</v>
      </c>
      <c r="E35" s="780"/>
      <c r="F35" s="617">
        <f t="shared" si="0"/>
        <v>0</v>
      </c>
      <c r="G35" s="775"/>
      <c r="H35" s="776"/>
      <c r="I35" s="85">
        <f t="shared" si="1"/>
        <v>1.9999999999669171E-2</v>
      </c>
      <c r="J35" s="373">
        <f t="shared" si="2"/>
        <v>0</v>
      </c>
    </row>
    <row r="36" spans="1:10" ht="15" x14ac:dyDescent="0.25">
      <c r="A36" s="2"/>
      <c r="B36" s="90"/>
      <c r="C36" s="773"/>
      <c r="D36" s="616">
        <f t="shared" si="7"/>
        <v>0</v>
      </c>
      <c r="E36" s="780"/>
      <c r="F36" s="617">
        <f t="shared" si="0"/>
        <v>0</v>
      </c>
      <c r="G36" s="775"/>
      <c r="H36" s="776"/>
      <c r="I36" s="85">
        <f t="shared" si="1"/>
        <v>1.9999999999669171E-2</v>
      </c>
      <c r="J36" s="373">
        <f t="shared" si="2"/>
        <v>0</v>
      </c>
    </row>
    <row r="37" spans="1:10" ht="15" x14ac:dyDescent="0.25">
      <c r="A37" s="2"/>
      <c r="B37" s="90"/>
      <c r="C37" s="773"/>
      <c r="D37" s="616">
        <f t="shared" si="7"/>
        <v>0</v>
      </c>
      <c r="E37" s="780"/>
      <c r="F37" s="617">
        <f t="shared" si="0"/>
        <v>0</v>
      </c>
      <c r="G37" s="775"/>
      <c r="H37" s="776"/>
      <c r="I37" s="85">
        <f t="shared" si="1"/>
        <v>1.9999999999669171E-2</v>
      </c>
      <c r="J37" s="373">
        <f t="shared" si="2"/>
        <v>0</v>
      </c>
    </row>
    <row r="38" spans="1:10" ht="15" x14ac:dyDescent="0.25">
      <c r="A38" s="2"/>
      <c r="B38" s="90"/>
      <c r="C38" s="773"/>
      <c r="D38" s="616">
        <f t="shared" si="7"/>
        <v>0</v>
      </c>
      <c r="E38" s="780"/>
      <c r="F38" s="617">
        <f t="shared" si="0"/>
        <v>0</v>
      </c>
      <c r="G38" s="775"/>
      <c r="H38" s="776"/>
      <c r="I38" s="85">
        <f t="shared" si="1"/>
        <v>1.9999999999669171E-2</v>
      </c>
      <c r="J38" s="373">
        <f t="shared" si="2"/>
        <v>0</v>
      </c>
    </row>
    <row r="39" spans="1:10" ht="15" x14ac:dyDescent="0.25">
      <c r="A39" s="2"/>
      <c r="B39" s="90"/>
      <c r="C39" s="773"/>
      <c r="D39" s="616">
        <f t="shared" ref="D39:D42" si="8">C39*B39</f>
        <v>0</v>
      </c>
      <c r="E39" s="780"/>
      <c r="F39" s="617">
        <f t="shared" si="0"/>
        <v>0</v>
      </c>
      <c r="G39" s="775"/>
      <c r="H39" s="776"/>
      <c r="I39" s="85">
        <f t="shared" si="1"/>
        <v>1.9999999999669171E-2</v>
      </c>
      <c r="J39" s="373">
        <f t="shared" si="2"/>
        <v>0</v>
      </c>
    </row>
    <row r="40" spans="1:10" x14ac:dyDescent="0.25">
      <c r="A40" s="2"/>
      <c r="B40" s="90"/>
      <c r="C40" s="773"/>
      <c r="D40" s="616">
        <f t="shared" si="8"/>
        <v>0</v>
      </c>
      <c r="E40" s="780"/>
      <c r="F40" s="617">
        <f t="shared" si="0"/>
        <v>0</v>
      </c>
      <c r="G40" s="775"/>
      <c r="H40" s="776"/>
      <c r="I40" s="85">
        <f t="shared" si="1"/>
        <v>1.9999999999669171E-2</v>
      </c>
      <c r="J40" s="373">
        <f t="shared" si="2"/>
        <v>0</v>
      </c>
    </row>
    <row r="41" spans="1:10" x14ac:dyDescent="0.25">
      <c r="A41" s="2"/>
      <c r="B41" s="90"/>
      <c r="C41" s="773"/>
      <c r="D41" s="616">
        <f t="shared" si="8"/>
        <v>0</v>
      </c>
      <c r="E41" s="780"/>
      <c r="F41" s="617">
        <f t="shared" si="0"/>
        <v>0</v>
      </c>
      <c r="G41" s="775"/>
      <c r="H41" s="776"/>
      <c r="I41" s="85">
        <f t="shared" si="1"/>
        <v>1.9999999999669171E-2</v>
      </c>
      <c r="J41" s="373">
        <f t="shared" si="2"/>
        <v>0</v>
      </c>
    </row>
    <row r="42" spans="1:10" x14ac:dyDescent="0.25">
      <c r="A42" s="2"/>
      <c r="B42" s="90"/>
      <c r="C42" s="15"/>
      <c r="D42" s="214">
        <f t="shared" si="8"/>
        <v>0</v>
      </c>
      <c r="E42" s="91"/>
      <c r="F42" s="74">
        <f t="shared" si="0"/>
        <v>0</v>
      </c>
      <c r="G42" s="75"/>
      <c r="H42" s="76"/>
      <c r="I42" s="85">
        <f t="shared" si="1"/>
        <v>1.9999999999669171E-2</v>
      </c>
      <c r="J42" s="373">
        <f t="shared" si="2"/>
        <v>0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0" ht="15.6" thickTop="1" thickBot="1" x14ac:dyDescent="0.35">
      <c r="C44" s="97">
        <f>SUM(C8:C43)</f>
        <v>226</v>
      </c>
      <c r="D44" s="49">
        <f>SUM(D10:D43)</f>
        <v>3124.1100000000006</v>
      </c>
      <c r="E44" s="39"/>
      <c r="F44" s="5">
        <f>SUM(F8:F43)</f>
        <v>4153.3</v>
      </c>
    </row>
    <row r="45" spans="1:10" ht="15" thickBot="1" x14ac:dyDescent="0.35">
      <c r="A45" s="53"/>
      <c r="D45" s="121" t="s">
        <v>4</v>
      </c>
      <c r="E45" s="73">
        <f>F4+F5+F6</f>
        <v>226</v>
      </c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 t="e">
        <f>E5+E4+#REF!+-F44</f>
        <v>#REF!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9">G51-D51</f>
        <v>0</v>
      </c>
      <c r="I51" s="570">
        <v>19</v>
      </c>
    </row>
  </sheetData>
  <mergeCells count="5">
    <mergeCell ref="J6:J7"/>
    <mergeCell ref="C47:D47"/>
    <mergeCell ref="A1:G1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66CCFF"/>
  </sheetPr>
  <dimension ref="A1:P51"/>
  <sheetViews>
    <sheetView workbookViewId="0">
      <selection activeCell="A20" sqref="A20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  <col min="14" max="14" width="26" customWidth="1"/>
  </cols>
  <sheetData>
    <row r="1" spans="1:16" ht="45.75" x14ac:dyDescent="0.65">
      <c r="A1" s="1041" t="s">
        <v>90</v>
      </c>
      <c r="B1" s="1041"/>
      <c r="C1" s="1041"/>
      <c r="D1" s="1041"/>
      <c r="E1" s="1041"/>
      <c r="F1" s="1041"/>
      <c r="G1" s="1041"/>
      <c r="H1" s="106">
        <v>1</v>
      </c>
      <c r="J1" s="581"/>
      <c r="K1" s="581"/>
      <c r="L1" s="581"/>
      <c r="M1" s="581"/>
      <c r="N1" s="581"/>
      <c r="O1" s="581"/>
      <c r="P1" s="581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6" ht="17.25" thickTop="1" thickBot="1" x14ac:dyDescent="0.3">
      <c r="A4" s="82"/>
      <c r="B4" s="158"/>
      <c r="C4" s="17"/>
      <c r="D4" s="582"/>
      <c r="E4" s="584"/>
      <c r="F4" s="157"/>
    </row>
    <row r="5" spans="1:16" ht="15" customHeight="1" thickBot="1" x14ac:dyDescent="0.35">
      <c r="A5" s="1099" t="s">
        <v>75</v>
      </c>
      <c r="B5" s="1101" t="s">
        <v>73</v>
      </c>
      <c r="C5" s="293"/>
      <c r="D5" s="294">
        <v>43904</v>
      </c>
      <c r="E5" s="566">
        <v>250</v>
      </c>
      <c r="F5" s="318">
        <v>10</v>
      </c>
      <c r="G5" s="362">
        <f>F44</f>
        <v>175</v>
      </c>
      <c r="H5" s="63">
        <f>E4+E5+E6-G5</f>
        <v>75</v>
      </c>
    </row>
    <row r="6" spans="1:16" ht="16.8" thickTop="1" thickBot="1" x14ac:dyDescent="0.35">
      <c r="A6" s="1100"/>
      <c r="B6" s="1102"/>
      <c r="C6" s="208"/>
      <c r="E6" s="158"/>
      <c r="F6" s="203"/>
      <c r="I6" s="1078" t="s">
        <v>3</v>
      </c>
      <c r="J6" s="1072" t="s">
        <v>4</v>
      </c>
      <c r="M6" s="382"/>
      <c r="N6" s="382"/>
      <c r="O6" s="382"/>
    </row>
    <row r="7" spans="1:16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  <c r="M7" s="382"/>
      <c r="N7" s="624"/>
      <c r="O7" s="382"/>
    </row>
    <row r="8" spans="1:16" ht="15.75" thickTop="1" x14ac:dyDescent="0.25">
      <c r="A8" s="87" t="s">
        <v>32</v>
      </c>
      <c r="B8" s="90">
        <v>25</v>
      </c>
      <c r="C8" s="15">
        <v>5</v>
      </c>
      <c r="D8" s="214">
        <f>C8*B8</f>
        <v>125</v>
      </c>
      <c r="E8" s="91">
        <v>43904</v>
      </c>
      <c r="F8" s="74">
        <f t="shared" ref="F8:F43" si="0">D8</f>
        <v>125</v>
      </c>
      <c r="G8" s="315" t="s">
        <v>79</v>
      </c>
      <c r="H8" s="316">
        <v>698</v>
      </c>
      <c r="I8" s="309">
        <f>E5+E4-F8</f>
        <v>125</v>
      </c>
      <c r="J8" s="522">
        <f>F4+F5+F6-C8</f>
        <v>5</v>
      </c>
      <c r="M8" s="382"/>
      <c r="N8" s="624"/>
      <c r="O8" s="382"/>
    </row>
    <row r="9" spans="1:16" ht="15" x14ac:dyDescent="0.25">
      <c r="A9" s="241"/>
      <c r="B9" s="90">
        <v>25</v>
      </c>
      <c r="C9" s="15">
        <v>2</v>
      </c>
      <c r="D9" s="214">
        <f t="shared" ref="D9:D16" si="1">C9*B9</f>
        <v>50</v>
      </c>
      <c r="E9" s="91">
        <v>43918</v>
      </c>
      <c r="F9" s="74">
        <f t="shared" si="0"/>
        <v>50</v>
      </c>
      <c r="G9" s="315" t="s">
        <v>80</v>
      </c>
      <c r="H9" s="316">
        <v>698</v>
      </c>
      <c r="I9" s="309">
        <f>I8-F9</f>
        <v>75</v>
      </c>
      <c r="J9" s="373">
        <f>J8-C9</f>
        <v>3</v>
      </c>
      <c r="M9" s="382"/>
      <c r="N9" s="624"/>
      <c r="O9" s="382"/>
    </row>
    <row r="10" spans="1:16" ht="15" x14ac:dyDescent="0.25">
      <c r="A10" s="227"/>
      <c r="B10" s="90">
        <v>25</v>
      </c>
      <c r="C10" s="15"/>
      <c r="D10" s="214">
        <f t="shared" si="1"/>
        <v>0</v>
      </c>
      <c r="E10" s="91"/>
      <c r="F10" s="74">
        <f t="shared" si="0"/>
        <v>0</v>
      </c>
      <c r="G10" s="315"/>
      <c r="H10" s="316"/>
      <c r="I10" s="309">
        <f t="shared" ref="I10:I42" si="2">I9-F10</f>
        <v>75</v>
      </c>
      <c r="J10" s="373">
        <f t="shared" ref="J10:J42" si="3">J9-C10</f>
        <v>3</v>
      </c>
      <c r="M10" s="382"/>
      <c r="N10" s="624"/>
      <c r="O10" s="382"/>
    </row>
    <row r="11" spans="1:16" ht="15" x14ac:dyDescent="0.25">
      <c r="A11" s="89" t="s">
        <v>33</v>
      </c>
      <c r="B11" s="90">
        <v>25</v>
      </c>
      <c r="C11" s="15"/>
      <c r="D11" s="214">
        <f t="shared" si="1"/>
        <v>0</v>
      </c>
      <c r="E11" s="91"/>
      <c r="F11" s="74">
        <f t="shared" si="0"/>
        <v>0</v>
      </c>
      <c r="G11" s="315"/>
      <c r="H11" s="316"/>
      <c r="I11" s="309">
        <f t="shared" si="2"/>
        <v>75</v>
      </c>
      <c r="J11" s="373">
        <f t="shared" si="3"/>
        <v>3</v>
      </c>
      <c r="M11" s="382"/>
      <c r="N11" s="624"/>
      <c r="O11" s="382"/>
    </row>
    <row r="12" spans="1:16" ht="15" x14ac:dyDescent="0.25">
      <c r="A12" s="79"/>
      <c r="B12" s="90">
        <v>25</v>
      </c>
      <c r="C12" s="15"/>
      <c r="D12" s="214">
        <f t="shared" si="1"/>
        <v>0</v>
      </c>
      <c r="E12" s="91"/>
      <c r="F12" s="74">
        <f t="shared" si="0"/>
        <v>0</v>
      </c>
      <c r="G12" s="315"/>
      <c r="H12" s="316"/>
      <c r="I12" s="309">
        <f t="shared" si="2"/>
        <v>75</v>
      </c>
      <c r="J12" s="373">
        <f t="shared" si="3"/>
        <v>3</v>
      </c>
      <c r="M12" s="382"/>
      <c r="N12" s="624"/>
      <c r="O12" s="382"/>
    </row>
    <row r="13" spans="1:16" ht="15" x14ac:dyDescent="0.25">
      <c r="A13" s="79"/>
      <c r="B13" s="90">
        <v>25</v>
      </c>
      <c r="C13" s="15"/>
      <c r="D13" s="214">
        <f t="shared" si="1"/>
        <v>0</v>
      </c>
      <c r="E13" s="86"/>
      <c r="F13" s="74">
        <f t="shared" si="0"/>
        <v>0</v>
      </c>
      <c r="G13" s="315"/>
      <c r="H13" s="316"/>
      <c r="I13" s="309">
        <f t="shared" si="2"/>
        <v>75</v>
      </c>
      <c r="J13" s="373">
        <f t="shared" si="3"/>
        <v>3</v>
      </c>
      <c r="M13" s="382"/>
      <c r="N13" s="624"/>
      <c r="O13" s="382"/>
    </row>
    <row r="14" spans="1:16" ht="15" x14ac:dyDescent="0.25">
      <c r="B14" s="90">
        <v>25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75</v>
      </c>
      <c r="J14" s="281">
        <f t="shared" si="3"/>
        <v>3</v>
      </c>
      <c r="M14" s="382"/>
      <c r="N14" s="624"/>
      <c r="O14" s="382"/>
    </row>
    <row r="15" spans="1:16" ht="15" x14ac:dyDescent="0.25">
      <c r="B15" s="90">
        <v>25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75</v>
      </c>
      <c r="J15" s="281">
        <f t="shared" si="3"/>
        <v>3</v>
      </c>
      <c r="M15" s="382"/>
      <c r="N15" s="624"/>
      <c r="O15" s="382"/>
    </row>
    <row r="16" spans="1:16" ht="15" x14ac:dyDescent="0.25">
      <c r="A16" s="88"/>
      <c r="B16" s="90">
        <v>25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75</v>
      </c>
      <c r="J16" s="281">
        <f t="shared" si="3"/>
        <v>3</v>
      </c>
      <c r="M16" s="382"/>
      <c r="N16" s="624"/>
      <c r="O16" s="382"/>
    </row>
    <row r="17" spans="1:15" ht="15" x14ac:dyDescent="0.25">
      <c r="A17" s="90"/>
      <c r="B17" s="90">
        <v>25</v>
      </c>
      <c r="C17" s="15"/>
      <c r="D17" s="214"/>
      <c r="E17" s="100"/>
      <c r="F17" s="74">
        <f t="shared" si="0"/>
        <v>0</v>
      </c>
      <c r="G17" s="239"/>
      <c r="H17" s="76"/>
      <c r="I17" s="85">
        <f t="shared" si="2"/>
        <v>75</v>
      </c>
      <c r="J17" s="281">
        <f t="shared" si="3"/>
        <v>3</v>
      </c>
      <c r="M17" s="382"/>
      <c r="N17" s="624"/>
      <c r="O17" s="382"/>
    </row>
    <row r="18" spans="1:15" ht="15" x14ac:dyDescent="0.25">
      <c r="A18" s="2"/>
      <c r="B18" s="90">
        <v>25</v>
      </c>
      <c r="C18" s="15"/>
      <c r="D18" s="214"/>
      <c r="E18" s="100"/>
      <c r="F18" s="74">
        <f t="shared" si="0"/>
        <v>0</v>
      </c>
      <c r="G18" s="75"/>
      <c r="H18" s="76"/>
      <c r="I18" s="85">
        <f t="shared" si="2"/>
        <v>75</v>
      </c>
      <c r="J18" s="281">
        <f t="shared" si="3"/>
        <v>3</v>
      </c>
      <c r="M18" s="382"/>
      <c r="N18" s="624"/>
      <c r="O18" s="382"/>
    </row>
    <row r="19" spans="1:15" ht="15" x14ac:dyDescent="0.25">
      <c r="A19" s="2"/>
      <c r="B19" s="90">
        <v>25</v>
      </c>
      <c r="C19" s="15"/>
      <c r="D19" s="214"/>
      <c r="E19" s="100"/>
      <c r="F19" s="74">
        <f t="shared" si="0"/>
        <v>0</v>
      </c>
      <c r="G19" s="75"/>
      <c r="H19" s="76"/>
      <c r="I19" s="85">
        <f t="shared" si="2"/>
        <v>75</v>
      </c>
      <c r="J19" s="281">
        <f t="shared" si="3"/>
        <v>3</v>
      </c>
      <c r="M19" s="382"/>
      <c r="N19" s="624"/>
      <c r="O19" s="382"/>
    </row>
    <row r="20" spans="1:15" ht="15" x14ac:dyDescent="0.25">
      <c r="A20" s="2"/>
      <c r="B20" s="90"/>
      <c r="C20" s="15"/>
      <c r="D20" s="214"/>
      <c r="E20" s="86"/>
      <c r="F20" s="74">
        <f t="shared" si="0"/>
        <v>0</v>
      </c>
      <c r="G20" s="75"/>
      <c r="H20" s="76"/>
      <c r="I20" s="85">
        <f t="shared" si="2"/>
        <v>75</v>
      </c>
      <c r="J20" s="281">
        <f t="shared" si="3"/>
        <v>3</v>
      </c>
      <c r="M20" s="382"/>
      <c r="N20" s="624"/>
      <c r="O20" s="382"/>
    </row>
    <row r="21" spans="1:15" ht="15" x14ac:dyDescent="0.25">
      <c r="A21" s="2"/>
      <c r="B21" s="90"/>
      <c r="C21" s="15"/>
      <c r="D21" s="214"/>
      <c r="E21" s="86"/>
      <c r="F21" s="74">
        <f t="shared" si="0"/>
        <v>0</v>
      </c>
      <c r="G21" s="75"/>
      <c r="H21" s="76"/>
      <c r="I21" s="85">
        <f t="shared" si="2"/>
        <v>75</v>
      </c>
      <c r="J21" s="281">
        <f t="shared" si="3"/>
        <v>3</v>
      </c>
      <c r="M21" s="382"/>
      <c r="N21" s="624"/>
      <c r="O21" s="382"/>
    </row>
    <row r="22" spans="1:15" ht="15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75</v>
      </c>
      <c r="J22" s="281">
        <f t="shared" si="3"/>
        <v>3</v>
      </c>
      <c r="M22" s="382"/>
      <c r="N22" s="624"/>
      <c r="O22" s="382"/>
    </row>
    <row r="23" spans="1:15" ht="15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75</v>
      </c>
      <c r="J23" s="281">
        <f t="shared" si="3"/>
        <v>3</v>
      </c>
      <c r="M23" s="382"/>
      <c r="N23" s="624"/>
      <c r="O23" s="382"/>
    </row>
    <row r="24" spans="1:15" ht="15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75</v>
      </c>
      <c r="J24" s="281">
        <f t="shared" si="3"/>
        <v>3</v>
      </c>
      <c r="M24" s="382"/>
      <c r="N24" s="624"/>
      <c r="O24" s="382"/>
    </row>
    <row r="25" spans="1:15" ht="20.399999999999999" x14ac:dyDescent="0.35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75</v>
      </c>
      <c r="J25" s="281">
        <f t="shared" si="3"/>
        <v>3</v>
      </c>
      <c r="M25" s="382"/>
      <c r="N25" s="625"/>
      <c r="O25" s="382"/>
    </row>
    <row r="26" spans="1:15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75</v>
      </c>
      <c r="J26" s="281">
        <f t="shared" si="3"/>
        <v>3</v>
      </c>
      <c r="M26" s="382"/>
      <c r="N26" s="624"/>
      <c r="O26" s="382"/>
    </row>
    <row r="27" spans="1:15" ht="15.6" x14ac:dyDescent="0.3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75</v>
      </c>
      <c r="J27" s="281">
        <f t="shared" si="3"/>
        <v>3</v>
      </c>
      <c r="M27" s="382"/>
      <c r="N27" s="626"/>
      <c r="O27" s="382"/>
    </row>
    <row r="28" spans="1:15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75</v>
      </c>
      <c r="J28" s="281">
        <f t="shared" si="3"/>
        <v>3</v>
      </c>
      <c r="M28" s="382"/>
      <c r="N28" s="624"/>
      <c r="O28" s="382"/>
    </row>
    <row r="29" spans="1:15" x14ac:dyDescent="0.25">
      <c r="A29" s="215"/>
      <c r="B29" s="90"/>
      <c r="C29" s="313"/>
      <c r="D29" s="358"/>
      <c r="E29" s="359"/>
      <c r="F29" s="314">
        <f t="shared" si="0"/>
        <v>0</v>
      </c>
      <c r="G29" s="315"/>
      <c r="H29" s="316"/>
      <c r="I29" s="309">
        <f t="shared" si="2"/>
        <v>75</v>
      </c>
      <c r="J29" s="373">
        <f t="shared" si="3"/>
        <v>3</v>
      </c>
      <c r="M29" s="382"/>
      <c r="N29" s="624"/>
      <c r="O29" s="382"/>
    </row>
    <row r="30" spans="1:15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75</v>
      </c>
      <c r="J30" s="281">
        <f t="shared" si="3"/>
        <v>3</v>
      </c>
      <c r="N30" s="17"/>
    </row>
    <row r="31" spans="1:15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75</v>
      </c>
      <c r="J31" s="281">
        <f t="shared" si="3"/>
        <v>3</v>
      </c>
      <c r="N31" s="17"/>
    </row>
    <row r="32" spans="1:15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75</v>
      </c>
      <c r="J32" s="281">
        <f t="shared" si="3"/>
        <v>3</v>
      </c>
      <c r="N32" s="17"/>
    </row>
    <row r="33" spans="1:14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75</v>
      </c>
      <c r="J33" s="281">
        <f t="shared" si="3"/>
        <v>3</v>
      </c>
      <c r="N33" s="17"/>
    </row>
    <row r="34" spans="1:14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75</v>
      </c>
      <c r="J34" s="281">
        <f t="shared" si="3"/>
        <v>3</v>
      </c>
      <c r="N34" s="17"/>
    </row>
    <row r="35" spans="1:14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75</v>
      </c>
      <c r="J35" s="281">
        <f t="shared" si="3"/>
        <v>3</v>
      </c>
    </row>
    <row r="36" spans="1:14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75</v>
      </c>
      <c r="J36" s="281">
        <f t="shared" si="3"/>
        <v>3</v>
      </c>
    </row>
    <row r="37" spans="1:14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75</v>
      </c>
      <c r="J37" s="281">
        <f t="shared" si="3"/>
        <v>3</v>
      </c>
    </row>
    <row r="38" spans="1:14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75</v>
      </c>
      <c r="J38" s="281">
        <f t="shared" si="3"/>
        <v>3</v>
      </c>
    </row>
    <row r="39" spans="1:14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75</v>
      </c>
      <c r="J39" s="281">
        <f t="shared" si="3"/>
        <v>3</v>
      </c>
    </row>
    <row r="40" spans="1:14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75</v>
      </c>
      <c r="J40" s="281">
        <f t="shared" si="3"/>
        <v>3</v>
      </c>
    </row>
    <row r="41" spans="1:14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75</v>
      </c>
      <c r="J41" s="281">
        <f t="shared" si="3"/>
        <v>3</v>
      </c>
    </row>
    <row r="42" spans="1:14" ht="14.4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75</v>
      </c>
      <c r="J42" s="282">
        <f t="shared" si="3"/>
        <v>3</v>
      </c>
    </row>
    <row r="43" spans="1:14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4" ht="15.6" thickTop="1" thickBot="1" x14ac:dyDescent="0.35">
      <c r="C44" s="97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" thickBot="1" x14ac:dyDescent="0.35">
      <c r="A45" s="53"/>
      <c r="D45" s="121" t="s">
        <v>4</v>
      </c>
      <c r="E45" s="73">
        <f>F4+F5+F6-+C44</f>
        <v>3</v>
      </c>
    </row>
    <row r="46" spans="1:14" ht="14.4" thickBot="1" x14ac:dyDescent="0.3">
      <c r="A46" s="129"/>
    </row>
    <row r="47" spans="1:14" ht="15" thickTop="1" thickBot="1" x14ac:dyDescent="0.3">
      <c r="A47" s="48"/>
      <c r="C47" s="1054" t="s">
        <v>11</v>
      </c>
      <c r="D47" s="1055"/>
      <c r="E47" s="159">
        <f>E5+E4+E6+-F44</f>
        <v>75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5">G51-D51</f>
        <v>0</v>
      </c>
      <c r="I51" s="57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7" ht="45.75" x14ac:dyDescent="0.65">
      <c r="A1" s="1041" t="s">
        <v>90</v>
      </c>
      <c r="B1" s="1041"/>
      <c r="C1" s="1041"/>
      <c r="D1" s="1041"/>
      <c r="E1" s="1041"/>
      <c r="F1" s="1041"/>
      <c r="G1" s="1041"/>
      <c r="H1" s="106">
        <v>1</v>
      </c>
      <c r="J1" s="581"/>
      <c r="K1" s="581"/>
      <c r="L1" s="581"/>
      <c r="M1" s="581"/>
      <c r="N1" s="581"/>
      <c r="O1" s="581"/>
      <c r="P1" s="581"/>
      <c r="Q1" s="58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582"/>
      <c r="E4" s="584"/>
      <c r="F4" s="157"/>
    </row>
    <row r="5" spans="1:17" ht="25.5" customHeight="1" thickBot="1" x14ac:dyDescent="0.35">
      <c r="A5" s="1099"/>
      <c r="B5" s="1103" t="s">
        <v>74</v>
      </c>
      <c r="C5" s="293"/>
      <c r="D5" s="294">
        <v>43904</v>
      </c>
      <c r="E5" s="566">
        <v>200</v>
      </c>
      <c r="F5" s="318">
        <v>10</v>
      </c>
      <c r="G5" s="362">
        <f>F44</f>
        <v>140</v>
      </c>
      <c r="H5" s="63">
        <f>E4+E5+E6-G5</f>
        <v>60</v>
      </c>
    </row>
    <row r="6" spans="1:17" ht="25.5" customHeight="1" thickTop="1" thickBot="1" x14ac:dyDescent="0.35">
      <c r="A6" s="1100"/>
      <c r="B6" s="1104"/>
      <c r="C6" s="208"/>
      <c r="E6" s="158"/>
      <c r="F6" s="203"/>
      <c r="I6" s="1078" t="s">
        <v>3</v>
      </c>
      <c r="J6" s="1072" t="s">
        <v>4</v>
      </c>
    </row>
    <row r="7" spans="1:17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</row>
    <row r="8" spans="1:17" ht="15.75" thickTop="1" x14ac:dyDescent="0.25">
      <c r="A8" s="87" t="s">
        <v>32</v>
      </c>
      <c r="B8" s="90">
        <v>20</v>
      </c>
      <c r="C8" s="15">
        <v>5</v>
      </c>
      <c r="D8" s="214">
        <f>C8*B8</f>
        <v>100</v>
      </c>
      <c r="E8" s="91">
        <v>43904</v>
      </c>
      <c r="F8" s="74">
        <f t="shared" ref="F8:F43" si="0">D8</f>
        <v>100</v>
      </c>
      <c r="G8" s="315" t="s">
        <v>79</v>
      </c>
      <c r="H8" s="316">
        <v>636</v>
      </c>
      <c r="I8" s="309">
        <f>E5+E4-F8</f>
        <v>100</v>
      </c>
      <c r="J8" s="522">
        <f>F4+F5+F6-C8</f>
        <v>5</v>
      </c>
    </row>
    <row r="9" spans="1:17" ht="15" x14ac:dyDescent="0.25">
      <c r="A9" s="241"/>
      <c r="B9" s="90">
        <v>20</v>
      </c>
      <c r="C9" s="15">
        <v>2</v>
      </c>
      <c r="D9" s="214">
        <f t="shared" ref="D9:D21" si="1">C9*B9</f>
        <v>40</v>
      </c>
      <c r="E9" s="91">
        <v>43918</v>
      </c>
      <c r="F9" s="74">
        <f t="shared" si="0"/>
        <v>40</v>
      </c>
      <c r="G9" s="315" t="s">
        <v>80</v>
      </c>
      <c r="H9" s="316">
        <v>638</v>
      </c>
      <c r="I9" s="309">
        <f>I8-F9</f>
        <v>60</v>
      </c>
      <c r="J9" s="373">
        <f>J8-C9</f>
        <v>3</v>
      </c>
    </row>
    <row r="10" spans="1:17" ht="15" x14ac:dyDescent="0.25">
      <c r="A10" s="227"/>
      <c r="B10" s="90">
        <v>20</v>
      </c>
      <c r="C10" s="15"/>
      <c r="D10" s="214">
        <f t="shared" si="1"/>
        <v>0</v>
      </c>
      <c r="E10" s="91"/>
      <c r="F10" s="74">
        <f t="shared" si="0"/>
        <v>0</v>
      </c>
      <c r="G10" s="315"/>
      <c r="H10" s="316"/>
      <c r="I10" s="309">
        <f t="shared" ref="I10:I42" si="2">I9-F10</f>
        <v>60</v>
      </c>
      <c r="J10" s="373">
        <f t="shared" ref="J10:J42" si="3">J9-C10</f>
        <v>3</v>
      </c>
    </row>
    <row r="11" spans="1:17" ht="15" x14ac:dyDescent="0.25">
      <c r="A11" s="89" t="s">
        <v>33</v>
      </c>
      <c r="B11" s="90">
        <v>20</v>
      </c>
      <c r="C11" s="15"/>
      <c r="D11" s="214">
        <f t="shared" si="1"/>
        <v>0</v>
      </c>
      <c r="E11" s="91"/>
      <c r="F11" s="74">
        <f t="shared" si="0"/>
        <v>0</v>
      </c>
      <c r="G11" s="315"/>
      <c r="H11" s="316"/>
      <c r="I11" s="309">
        <f t="shared" si="2"/>
        <v>60</v>
      </c>
      <c r="J11" s="373">
        <f t="shared" si="3"/>
        <v>3</v>
      </c>
    </row>
    <row r="12" spans="1:17" ht="15" x14ac:dyDescent="0.25">
      <c r="A12" s="79"/>
      <c r="B12" s="90">
        <v>20</v>
      </c>
      <c r="C12" s="15"/>
      <c r="D12" s="214">
        <f t="shared" si="1"/>
        <v>0</v>
      </c>
      <c r="E12" s="91"/>
      <c r="F12" s="74">
        <f t="shared" si="0"/>
        <v>0</v>
      </c>
      <c r="G12" s="315"/>
      <c r="H12" s="316"/>
      <c r="I12" s="309">
        <f t="shared" si="2"/>
        <v>60</v>
      </c>
      <c r="J12" s="373">
        <f t="shared" si="3"/>
        <v>3</v>
      </c>
    </row>
    <row r="13" spans="1:17" ht="15" x14ac:dyDescent="0.25">
      <c r="A13" s="79"/>
      <c r="B13" s="90">
        <v>20</v>
      </c>
      <c r="C13" s="15"/>
      <c r="D13" s="214">
        <f t="shared" si="1"/>
        <v>0</v>
      </c>
      <c r="E13" s="86"/>
      <c r="F13" s="74">
        <f t="shared" si="0"/>
        <v>0</v>
      </c>
      <c r="G13" s="315"/>
      <c r="H13" s="316"/>
      <c r="I13" s="309">
        <f t="shared" si="2"/>
        <v>60</v>
      </c>
      <c r="J13" s="373">
        <f t="shared" si="3"/>
        <v>3</v>
      </c>
    </row>
    <row r="14" spans="1:17" ht="15" x14ac:dyDescent="0.25">
      <c r="B14" s="90">
        <v>20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60</v>
      </c>
      <c r="J14" s="281">
        <f t="shared" si="3"/>
        <v>3</v>
      </c>
    </row>
    <row r="15" spans="1:17" ht="15" x14ac:dyDescent="0.25">
      <c r="B15" s="90">
        <v>20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60</v>
      </c>
      <c r="J15" s="281">
        <f t="shared" si="3"/>
        <v>3</v>
      </c>
    </row>
    <row r="16" spans="1:17" ht="15" x14ac:dyDescent="0.25">
      <c r="A16" s="88"/>
      <c r="B16" s="90">
        <v>20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60</v>
      </c>
      <c r="J16" s="281">
        <f t="shared" si="3"/>
        <v>3</v>
      </c>
    </row>
    <row r="17" spans="1:10" ht="15" x14ac:dyDescent="0.25">
      <c r="A17" s="90"/>
      <c r="B17" s="90">
        <v>20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60</v>
      </c>
      <c r="J17" s="281">
        <f t="shared" si="3"/>
        <v>3</v>
      </c>
    </row>
    <row r="18" spans="1:10" ht="15" x14ac:dyDescent="0.25">
      <c r="A18" s="2"/>
      <c r="B18" s="90"/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60</v>
      </c>
      <c r="J18" s="281">
        <f t="shared" si="3"/>
        <v>3</v>
      </c>
    </row>
    <row r="19" spans="1:10" ht="15" x14ac:dyDescent="0.25">
      <c r="A19" s="2"/>
      <c r="B19" s="90"/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60</v>
      </c>
      <c r="J19" s="281">
        <f t="shared" si="3"/>
        <v>3</v>
      </c>
    </row>
    <row r="20" spans="1:10" ht="15" x14ac:dyDescent="0.25">
      <c r="A20" s="2"/>
      <c r="B20" s="90"/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60</v>
      </c>
      <c r="J20" s="281">
        <f t="shared" si="3"/>
        <v>3</v>
      </c>
    </row>
    <row r="21" spans="1:10" ht="15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60</v>
      </c>
      <c r="J21" s="281">
        <f t="shared" si="3"/>
        <v>3</v>
      </c>
    </row>
    <row r="22" spans="1:10" ht="15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60</v>
      </c>
      <c r="J22" s="281">
        <f t="shared" si="3"/>
        <v>3</v>
      </c>
    </row>
    <row r="23" spans="1:10" ht="15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60</v>
      </c>
      <c r="J23" s="281">
        <f t="shared" si="3"/>
        <v>3</v>
      </c>
    </row>
    <row r="24" spans="1:10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60</v>
      </c>
      <c r="J24" s="281">
        <f t="shared" si="3"/>
        <v>3</v>
      </c>
    </row>
    <row r="25" spans="1:10" x14ac:dyDescent="0.25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60</v>
      </c>
      <c r="J25" s="281">
        <f t="shared" si="3"/>
        <v>3</v>
      </c>
    </row>
    <row r="26" spans="1:10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60</v>
      </c>
      <c r="J26" s="281">
        <f t="shared" si="3"/>
        <v>3</v>
      </c>
    </row>
    <row r="27" spans="1:10" x14ac:dyDescent="0.25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60</v>
      </c>
      <c r="J27" s="281">
        <f t="shared" si="3"/>
        <v>3</v>
      </c>
    </row>
    <row r="28" spans="1:10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60</v>
      </c>
      <c r="J28" s="281">
        <f t="shared" si="3"/>
        <v>3</v>
      </c>
    </row>
    <row r="29" spans="1:10" x14ac:dyDescent="0.25">
      <c r="A29" s="215"/>
      <c r="B29" s="90"/>
      <c r="C29" s="313"/>
      <c r="D29" s="358"/>
      <c r="E29" s="359"/>
      <c r="F29" s="314">
        <f t="shared" si="0"/>
        <v>0</v>
      </c>
      <c r="G29" s="315"/>
      <c r="H29" s="316"/>
      <c r="I29" s="309">
        <f t="shared" si="2"/>
        <v>60</v>
      </c>
      <c r="J29" s="373">
        <f t="shared" si="3"/>
        <v>3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60</v>
      </c>
      <c r="J30" s="281">
        <f t="shared" si="3"/>
        <v>3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60</v>
      </c>
      <c r="J31" s="281">
        <f t="shared" si="3"/>
        <v>3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60</v>
      </c>
      <c r="J32" s="281">
        <f t="shared" si="3"/>
        <v>3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60</v>
      </c>
      <c r="J33" s="281">
        <f t="shared" si="3"/>
        <v>3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60</v>
      </c>
      <c r="J34" s="281">
        <f t="shared" si="3"/>
        <v>3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60</v>
      </c>
      <c r="J35" s="281">
        <f t="shared" si="3"/>
        <v>3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60</v>
      </c>
      <c r="J36" s="281">
        <f t="shared" si="3"/>
        <v>3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60</v>
      </c>
      <c r="J37" s="281">
        <f t="shared" si="3"/>
        <v>3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60</v>
      </c>
      <c r="J38" s="281">
        <f t="shared" si="3"/>
        <v>3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60</v>
      </c>
      <c r="J39" s="281">
        <f t="shared" si="3"/>
        <v>3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60</v>
      </c>
      <c r="J40" s="281">
        <f t="shared" si="3"/>
        <v>3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60</v>
      </c>
      <c r="J41" s="281">
        <f t="shared" si="3"/>
        <v>3</v>
      </c>
    </row>
    <row r="42" spans="1:10" ht="14.4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60</v>
      </c>
      <c r="J42" s="282">
        <f t="shared" si="3"/>
        <v>3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0" ht="15.6" thickTop="1" thickBot="1" x14ac:dyDescent="0.35">
      <c r="C44" s="97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" thickBot="1" x14ac:dyDescent="0.35">
      <c r="A45" s="53"/>
      <c r="D45" s="121" t="s">
        <v>4</v>
      </c>
      <c r="E45" s="73">
        <f>F4+F5+F6-+C44</f>
        <v>3</v>
      </c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60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5">G51-D51</f>
        <v>0</v>
      </c>
      <c r="I51" s="57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7" ht="45.75" x14ac:dyDescent="0.65">
      <c r="A1" s="1041" t="s">
        <v>90</v>
      </c>
      <c r="B1" s="1041"/>
      <c r="C1" s="1041"/>
      <c r="D1" s="1041"/>
      <c r="E1" s="1041"/>
      <c r="F1" s="1041"/>
      <c r="G1" s="1041"/>
      <c r="H1" s="106">
        <v>1</v>
      </c>
      <c r="J1" s="581"/>
      <c r="K1" s="581"/>
      <c r="L1" s="581"/>
      <c r="M1" s="581"/>
      <c r="N1" s="581"/>
      <c r="O1" s="581"/>
      <c r="P1" s="581"/>
      <c r="Q1" s="58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582"/>
      <c r="E4" s="584"/>
      <c r="F4" s="157"/>
    </row>
    <row r="5" spans="1:17" ht="25.5" customHeight="1" thickBot="1" x14ac:dyDescent="0.35">
      <c r="A5" s="1099"/>
      <c r="B5" s="1103" t="s">
        <v>76</v>
      </c>
      <c r="C5" s="293"/>
      <c r="D5" s="294">
        <v>43904</v>
      </c>
      <c r="E5" s="566">
        <v>440</v>
      </c>
      <c r="F5" s="318">
        <v>20</v>
      </c>
      <c r="G5" s="362">
        <f>F44</f>
        <v>176</v>
      </c>
      <c r="H5" s="63">
        <f>E4+E5+E6-G5</f>
        <v>264</v>
      </c>
    </row>
    <row r="6" spans="1:17" ht="25.5" customHeight="1" thickTop="1" thickBot="1" x14ac:dyDescent="0.35">
      <c r="A6" s="1100"/>
      <c r="B6" s="1104"/>
      <c r="C6" s="208"/>
      <c r="E6" s="158"/>
      <c r="F6" s="203"/>
      <c r="I6" s="1078" t="s">
        <v>3</v>
      </c>
      <c r="J6" s="1072" t="s">
        <v>4</v>
      </c>
    </row>
    <row r="7" spans="1:17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</row>
    <row r="8" spans="1:17" ht="15.75" thickTop="1" x14ac:dyDescent="0.25">
      <c r="A8" s="87" t="s">
        <v>32</v>
      </c>
      <c r="B8" s="90">
        <v>22</v>
      </c>
      <c r="C8" s="15">
        <v>5</v>
      </c>
      <c r="D8" s="214">
        <f>C8*B8</f>
        <v>110</v>
      </c>
      <c r="E8" s="91">
        <v>43904</v>
      </c>
      <c r="F8" s="74">
        <f t="shared" ref="F8:F43" si="0">D8</f>
        <v>110</v>
      </c>
      <c r="G8" s="315" t="s">
        <v>79</v>
      </c>
      <c r="H8" s="316">
        <v>373</v>
      </c>
      <c r="I8" s="309">
        <f>E5+E4-F8</f>
        <v>330</v>
      </c>
      <c r="J8" s="522">
        <f>F4+F5+F6-C8</f>
        <v>15</v>
      </c>
    </row>
    <row r="9" spans="1:17" ht="15" x14ac:dyDescent="0.25">
      <c r="A9" s="241"/>
      <c r="B9" s="90">
        <v>22</v>
      </c>
      <c r="C9" s="15">
        <v>2</v>
      </c>
      <c r="D9" s="214">
        <f t="shared" ref="D9:D21" si="1">C9*B9</f>
        <v>44</v>
      </c>
      <c r="E9" s="91">
        <v>43918</v>
      </c>
      <c r="F9" s="74">
        <f t="shared" si="0"/>
        <v>44</v>
      </c>
      <c r="G9" s="315" t="s">
        <v>80</v>
      </c>
      <c r="H9" s="316">
        <v>373</v>
      </c>
      <c r="I9" s="309">
        <f>I8-F9</f>
        <v>286</v>
      </c>
      <c r="J9" s="373">
        <f>J8-C9</f>
        <v>13</v>
      </c>
    </row>
    <row r="10" spans="1:17" ht="15" x14ac:dyDescent="0.25">
      <c r="A10" s="227"/>
      <c r="B10" s="90">
        <v>22</v>
      </c>
      <c r="C10" s="15">
        <v>1</v>
      </c>
      <c r="D10" s="214">
        <f t="shared" si="1"/>
        <v>22</v>
      </c>
      <c r="E10" s="91">
        <v>43918</v>
      </c>
      <c r="F10" s="74">
        <f t="shared" si="0"/>
        <v>22</v>
      </c>
      <c r="G10" s="315" t="s">
        <v>81</v>
      </c>
      <c r="H10" s="316">
        <v>373</v>
      </c>
      <c r="I10" s="309">
        <f t="shared" ref="I10:I42" si="2">I9-F10</f>
        <v>264</v>
      </c>
      <c r="J10" s="373">
        <f t="shared" ref="J10:J42" si="3">J9-C10</f>
        <v>12</v>
      </c>
    </row>
    <row r="11" spans="1:17" ht="15" x14ac:dyDescent="0.25">
      <c r="A11" s="89" t="s">
        <v>33</v>
      </c>
      <c r="B11" s="90">
        <v>22</v>
      </c>
      <c r="C11" s="15"/>
      <c r="D11" s="214">
        <f t="shared" si="1"/>
        <v>0</v>
      </c>
      <c r="E11" s="91"/>
      <c r="F11" s="74">
        <f t="shared" si="0"/>
        <v>0</v>
      </c>
      <c r="G11" s="315"/>
      <c r="H11" s="316"/>
      <c r="I11" s="309">
        <f t="shared" si="2"/>
        <v>264</v>
      </c>
      <c r="J11" s="373">
        <f t="shared" si="3"/>
        <v>12</v>
      </c>
    </row>
    <row r="12" spans="1:17" ht="15" x14ac:dyDescent="0.25">
      <c r="A12" s="79"/>
      <c r="B12" s="90">
        <v>22</v>
      </c>
      <c r="C12" s="15"/>
      <c r="D12" s="214">
        <f t="shared" si="1"/>
        <v>0</v>
      </c>
      <c r="E12" s="91"/>
      <c r="F12" s="74">
        <f t="shared" si="0"/>
        <v>0</v>
      </c>
      <c r="G12" s="315"/>
      <c r="H12" s="316"/>
      <c r="I12" s="309">
        <f t="shared" si="2"/>
        <v>264</v>
      </c>
      <c r="J12" s="373">
        <f t="shared" si="3"/>
        <v>12</v>
      </c>
    </row>
    <row r="13" spans="1:17" ht="15" x14ac:dyDescent="0.25">
      <c r="A13" s="79"/>
      <c r="B13" s="90">
        <v>22</v>
      </c>
      <c r="C13" s="15"/>
      <c r="D13" s="214">
        <f t="shared" si="1"/>
        <v>0</v>
      </c>
      <c r="E13" s="86"/>
      <c r="F13" s="74">
        <f t="shared" si="0"/>
        <v>0</v>
      </c>
      <c r="G13" s="315"/>
      <c r="H13" s="316"/>
      <c r="I13" s="309">
        <f t="shared" si="2"/>
        <v>264</v>
      </c>
      <c r="J13" s="373">
        <f t="shared" si="3"/>
        <v>12</v>
      </c>
    </row>
    <row r="14" spans="1:17" ht="15" x14ac:dyDescent="0.25">
      <c r="B14" s="90">
        <v>22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264</v>
      </c>
      <c r="J14" s="281">
        <f t="shared" si="3"/>
        <v>12</v>
      </c>
    </row>
    <row r="15" spans="1:17" ht="15" x14ac:dyDescent="0.25">
      <c r="B15" s="90">
        <v>22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264</v>
      </c>
      <c r="J15" s="281">
        <f t="shared" si="3"/>
        <v>12</v>
      </c>
    </row>
    <row r="16" spans="1:17" ht="15" x14ac:dyDescent="0.25">
      <c r="A16" s="88"/>
      <c r="B16" s="90">
        <v>22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264</v>
      </c>
      <c r="J16" s="281">
        <f t="shared" si="3"/>
        <v>12</v>
      </c>
    </row>
    <row r="17" spans="1:10" ht="15" x14ac:dyDescent="0.25">
      <c r="A17" s="90"/>
      <c r="B17" s="90">
        <v>22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264</v>
      </c>
      <c r="J17" s="281">
        <f t="shared" si="3"/>
        <v>12</v>
      </c>
    </row>
    <row r="18" spans="1:10" ht="15" x14ac:dyDescent="0.25">
      <c r="A18" s="2"/>
      <c r="B18" s="90"/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264</v>
      </c>
      <c r="J18" s="281">
        <f t="shared" si="3"/>
        <v>12</v>
      </c>
    </row>
    <row r="19" spans="1:10" ht="15" x14ac:dyDescent="0.25">
      <c r="A19" s="2"/>
      <c r="B19" s="582"/>
      <c r="C19" s="583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264</v>
      </c>
      <c r="J19" s="281">
        <f t="shared" si="3"/>
        <v>12</v>
      </c>
    </row>
    <row r="20" spans="1:10" ht="15" x14ac:dyDescent="0.25">
      <c r="A20" s="2"/>
      <c r="B20" s="90"/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264</v>
      </c>
      <c r="J20" s="281">
        <f t="shared" si="3"/>
        <v>12</v>
      </c>
    </row>
    <row r="21" spans="1:10" ht="15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264</v>
      </c>
      <c r="J21" s="281">
        <f t="shared" si="3"/>
        <v>12</v>
      </c>
    </row>
    <row r="22" spans="1:10" ht="15" x14ac:dyDescent="0.25">
      <c r="A22" s="2"/>
      <c r="B22" s="90"/>
      <c r="C22" s="15"/>
      <c r="D22" s="214"/>
      <c r="E22" s="86"/>
      <c r="F22" s="74">
        <f t="shared" si="0"/>
        <v>0</v>
      </c>
      <c r="G22" s="75"/>
      <c r="H22" s="76"/>
      <c r="I22" s="85">
        <f t="shared" si="2"/>
        <v>264</v>
      </c>
      <c r="J22" s="281">
        <f t="shared" si="3"/>
        <v>12</v>
      </c>
    </row>
    <row r="23" spans="1:10" ht="15" x14ac:dyDescent="0.25">
      <c r="A23" s="2"/>
      <c r="B23" s="90"/>
      <c r="C23" s="15"/>
      <c r="D23" s="214"/>
      <c r="E23" s="86"/>
      <c r="F23" s="74">
        <f t="shared" si="0"/>
        <v>0</v>
      </c>
      <c r="G23" s="75"/>
      <c r="H23" s="76"/>
      <c r="I23" s="85">
        <f t="shared" si="2"/>
        <v>264</v>
      </c>
      <c r="J23" s="281">
        <f t="shared" si="3"/>
        <v>12</v>
      </c>
    </row>
    <row r="24" spans="1:10" x14ac:dyDescent="0.25">
      <c r="A24" s="2"/>
      <c r="B24" s="90"/>
      <c r="C24" s="15"/>
      <c r="D24" s="214"/>
      <c r="E24" s="100"/>
      <c r="F24" s="74">
        <f t="shared" si="0"/>
        <v>0</v>
      </c>
      <c r="G24" s="75"/>
      <c r="H24" s="76"/>
      <c r="I24" s="85">
        <f t="shared" si="2"/>
        <v>264</v>
      </c>
      <c r="J24" s="281">
        <f t="shared" si="3"/>
        <v>12</v>
      </c>
    </row>
    <row r="25" spans="1:10" x14ac:dyDescent="0.25">
      <c r="A25" s="2"/>
      <c r="B25" s="90"/>
      <c r="C25" s="15"/>
      <c r="D25" s="214"/>
      <c r="E25" s="100"/>
      <c r="F25" s="74">
        <f t="shared" si="0"/>
        <v>0</v>
      </c>
      <c r="G25" s="75"/>
      <c r="H25" s="76"/>
      <c r="I25" s="85">
        <f t="shared" si="2"/>
        <v>264</v>
      </c>
      <c r="J25" s="281">
        <f t="shared" si="3"/>
        <v>12</v>
      </c>
    </row>
    <row r="26" spans="1:10" x14ac:dyDescent="0.25">
      <c r="A26" s="2"/>
      <c r="B26" s="90"/>
      <c r="C26" s="15"/>
      <c r="D26" s="214"/>
      <c r="E26" s="100"/>
      <c r="F26" s="74">
        <f t="shared" si="0"/>
        <v>0</v>
      </c>
      <c r="G26" s="75"/>
      <c r="H26" s="76"/>
      <c r="I26" s="85">
        <f t="shared" si="2"/>
        <v>264</v>
      </c>
      <c r="J26" s="281">
        <f t="shared" si="3"/>
        <v>12</v>
      </c>
    </row>
    <row r="27" spans="1:10" x14ac:dyDescent="0.25">
      <c r="A27" s="215"/>
      <c r="B27" s="90"/>
      <c r="C27" s="15"/>
      <c r="D27" s="214"/>
      <c r="E27" s="100"/>
      <c r="F27" s="74">
        <f t="shared" si="0"/>
        <v>0</v>
      </c>
      <c r="G27" s="75"/>
      <c r="H27" s="76"/>
      <c r="I27" s="85">
        <f t="shared" si="2"/>
        <v>264</v>
      </c>
      <c r="J27" s="281">
        <f t="shared" si="3"/>
        <v>12</v>
      </c>
    </row>
    <row r="28" spans="1:10" x14ac:dyDescent="0.25">
      <c r="A28" s="215"/>
      <c r="B28" s="90"/>
      <c r="C28" s="15"/>
      <c r="D28" s="214"/>
      <c r="E28" s="86"/>
      <c r="F28" s="74">
        <f t="shared" si="0"/>
        <v>0</v>
      </c>
      <c r="G28" s="75"/>
      <c r="H28" s="76"/>
      <c r="I28" s="85">
        <f t="shared" si="2"/>
        <v>264</v>
      </c>
      <c r="J28" s="281">
        <f t="shared" si="3"/>
        <v>12</v>
      </c>
    </row>
    <row r="29" spans="1:10" x14ac:dyDescent="0.25">
      <c r="A29" s="215"/>
      <c r="B29" s="90"/>
      <c r="C29" s="313"/>
      <c r="D29" s="358"/>
      <c r="E29" s="359"/>
      <c r="F29" s="314">
        <f t="shared" si="0"/>
        <v>0</v>
      </c>
      <c r="G29" s="315"/>
      <c r="H29" s="316"/>
      <c r="I29" s="309">
        <f t="shared" si="2"/>
        <v>264</v>
      </c>
      <c r="J29" s="373">
        <f t="shared" si="3"/>
        <v>12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264</v>
      </c>
      <c r="J30" s="281">
        <f t="shared" si="3"/>
        <v>12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264</v>
      </c>
      <c r="J31" s="281">
        <f t="shared" si="3"/>
        <v>12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264</v>
      </c>
      <c r="J32" s="281">
        <f t="shared" si="3"/>
        <v>12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264</v>
      </c>
      <c r="J33" s="281">
        <f t="shared" si="3"/>
        <v>12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264</v>
      </c>
      <c r="J34" s="281">
        <f t="shared" si="3"/>
        <v>12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264</v>
      </c>
      <c r="J35" s="281">
        <f t="shared" si="3"/>
        <v>12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264</v>
      </c>
      <c r="J36" s="281">
        <f t="shared" si="3"/>
        <v>12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264</v>
      </c>
      <c r="J37" s="281">
        <f t="shared" si="3"/>
        <v>12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264</v>
      </c>
      <c r="J38" s="281">
        <f t="shared" si="3"/>
        <v>12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264</v>
      </c>
      <c r="J39" s="281">
        <f t="shared" si="3"/>
        <v>12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264</v>
      </c>
      <c r="J40" s="281">
        <f t="shared" si="3"/>
        <v>12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264</v>
      </c>
      <c r="J41" s="281">
        <f t="shared" si="3"/>
        <v>12</v>
      </c>
    </row>
    <row r="42" spans="1:10" ht="14.4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264</v>
      </c>
      <c r="J42" s="282">
        <f t="shared" si="3"/>
        <v>12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0" ht="15.6" thickTop="1" thickBot="1" x14ac:dyDescent="0.35">
      <c r="C44" s="97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" thickBot="1" x14ac:dyDescent="0.35">
      <c r="A45" s="53"/>
      <c r="D45" s="121" t="s">
        <v>4</v>
      </c>
      <c r="E45" s="73">
        <f>F4+F5+F6-+C44</f>
        <v>12</v>
      </c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264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5">G51-D51</f>
        <v>0</v>
      </c>
      <c r="I51" s="57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7" ht="45.75" x14ac:dyDescent="0.65">
      <c r="A1" s="1041" t="s">
        <v>91</v>
      </c>
      <c r="B1" s="1041"/>
      <c r="C1" s="1041"/>
      <c r="D1" s="1041"/>
      <c r="E1" s="1041"/>
      <c r="F1" s="1041"/>
      <c r="G1" s="1041"/>
      <c r="H1" s="106">
        <v>1</v>
      </c>
      <c r="J1" s="581"/>
      <c r="K1" s="581"/>
      <c r="L1" s="581"/>
      <c r="M1" s="581"/>
      <c r="N1" s="581"/>
      <c r="O1" s="581"/>
      <c r="P1" s="581"/>
      <c r="Q1" s="58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</row>
    <row r="4" spans="1:17" ht="17.25" thickTop="1" thickBot="1" x14ac:dyDescent="0.3">
      <c r="A4" s="82"/>
      <c r="B4" s="158"/>
      <c r="C4" s="17"/>
      <c r="D4" s="320"/>
      <c r="E4" s="222"/>
      <c r="F4" s="157"/>
    </row>
    <row r="5" spans="1:17" ht="21.75" customHeight="1" thickBot="1" x14ac:dyDescent="0.35">
      <c r="A5" s="1099"/>
      <c r="B5" s="1103" t="s">
        <v>77</v>
      </c>
      <c r="C5" s="293"/>
      <c r="D5" s="294">
        <v>43904</v>
      </c>
      <c r="E5" s="566">
        <v>360</v>
      </c>
      <c r="F5" s="318">
        <v>20</v>
      </c>
      <c r="G5" s="362">
        <f>F44</f>
        <v>126</v>
      </c>
      <c r="H5" s="63">
        <f>E4+E5+E6-G5</f>
        <v>234</v>
      </c>
    </row>
    <row r="6" spans="1:17" ht="21.75" customHeight="1" thickTop="1" thickBot="1" x14ac:dyDescent="0.35">
      <c r="A6" s="1100"/>
      <c r="B6" s="1104"/>
      <c r="C6" s="208"/>
      <c r="E6" s="158"/>
      <c r="F6" s="203"/>
      <c r="I6" s="1078" t="s">
        <v>3</v>
      </c>
      <c r="J6" s="1072" t="s">
        <v>4</v>
      </c>
    </row>
    <row r="7" spans="1:17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</row>
    <row r="8" spans="1:17" ht="15.75" thickTop="1" x14ac:dyDescent="0.25">
      <c r="A8" s="87" t="s">
        <v>32</v>
      </c>
      <c r="B8" s="90">
        <v>18</v>
      </c>
      <c r="C8" s="15">
        <v>5</v>
      </c>
      <c r="D8" s="214">
        <f>C8*B8</f>
        <v>90</v>
      </c>
      <c r="E8" s="91">
        <v>43904</v>
      </c>
      <c r="F8" s="74">
        <f t="shared" ref="F8:F43" si="0">D8</f>
        <v>90</v>
      </c>
      <c r="G8" s="315" t="s">
        <v>79</v>
      </c>
      <c r="H8" s="316">
        <v>400.5</v>
      </c>
      <c r="I8" s="309">
        <f>E5+E4-F8</f>
        <v>270</v>
      </c>
      <c r="J8" s="522">
        <f>F4+F5+F6-C8</f>
        <v>15</v>
      </c>
    </row>
    <row r="9" spans="1:17" ht="15" x14ac:dyDescent="0.25">
      <c r="A9" s="241"/>
      <c r="B9" s="90">
        <v>18</v>
      </c>
      <c r="C9" s="15">
        <v>2</v>
      </c>
      <c r="D9" s="214">
        <f t="shared" ref="D9:D28" si="1">C9*B9</f>
        <v>36</v>
      </c>
      <c r="E9" s="91">
        <v>43918</v>
      </c>
      <c r="F9" s="74">
        <f t="shared" si="0"/>
        <v>36</v>
      </c>
      <c r="G9" s="315" t="s">
        <v>80</v>
      </c>
      <c r="H9" s="316">
        <v>400.5</v>
      </c>
      <c r="I9" s="309">
        <f>I8-F9</f>
        <v>234</v>
      </c>
      <c r="J9" s="373">
        <f>J8-C9</f>
        <v>13</v>
      </c>
    </row>
    <row r="10" spans="1:17" ht="15" x14ac:dyDescent="0.25">
      <c r="A10" s="227"/>
      <c r="B10" s="90">
        <v>18</v>
      </c>
      <c r="C10" s="15"/>
      <c r="D10" s="214">
        <f t="shared" si="1"/>
        <v>0</v>
      </c>
      <c r="E10" s="91"/>
      <c r="F10" s="74">
        <f t="shared" si="0"/>
        <v>0</v>
      </c>
      <c r="G10" s="315"/>
      <c r="H10" s="316"/>
      <c r="I10" s="309">
        <f t="shared" ref="I10:I42" si="2">I9-F10</f>
        <v>234</v>
      </c>
      <c r="J10" s="373">
        <f t="shared" ref="J10:J42" si="3">J9-C10</f>
        <v>13</v>
      </c>
    </row>
    <row r="11" spans="1:17" ht="15" x14ac:dyDescent="0.25">
      <c r="A11" s="89" t="s">
        <v>33</v>
      </c>
      <c r="B11" s="90">
        <v>18</v>
      </c>
      <c r="C11" s="15"/>
      <c r="D11" s="214">
        <f t="shared" si="1"/>
        <v>0</v>
      </c>
      <c r="E11" s="91"/>
      <c r="F11" s="74">
        <f t="shared" si="0"/>
        <v>0</v>
      </c>
      <c r="G11" s="315"/>
      <c r="H11" s="316"/>
      <c r="I11" s="309">
        <f t="shared" si="2"/>
        <v>234</v>
      </c>
      <c r="J11" s="373">
        <f t="shared" si="3"/>
        <v>13</v>
      </c>
    </row>
    <row r="12" spans="1:17" ht="15" x14ac:dyDescent="0.25">
      <c r="A12" s="79"/>
      <c r="B12" s="90">
        <v>18</v>
      </c>
      <c r="C12" s="15"/>
      <c r="D12" s="214">
        <f t="shared" si="1"/>
        <v>0</v>
      </c>
      <c r="E12" s="91"/>
      <c r="F12" s="74">
        <f t="shared" si="0"/>
        <v>0</v>
      </c>
      <c r="G12" s="315"/>
      <c r="H12" s="316"/>
      <c r="I12" s="309">
        <f t="shared" si="2"/>
        <v>234</v>
      </c>
      <c r="J12" s="373">
        <f t="shared" si="3"/>
        <v>13</v>
      </c>
    </row>
    <row r="13" spans="1:17" ht="15" x14ac:dyDescent="0.25">
      <c r="A13" s="79"/>
      <c r="B13" s="90">
        <v>18</v>
      </c>
      <c r="C13" s="583"/>
      <c r="D13" s="214">
        <f t="shared" si="1"/>
        <v>0</v>
      </c>
      <c r="E13" s="86"/>
      <c r="F13" s="74">
        <f t="shared" si="0"/>
        <v>0</v>
      </c>
      <c r="G13" s="315"/>
      <c r="H13" s="316"/>
      <c r="I13" s="309">
        <f t="shared" si="2"/>
        <v>234</v>
      </c>
      <c r="J13" s="373">
        <f t="shared" si="3"/>
        <v>13</v>
      </c>
    </row>
    <row r="14" spans="1:17" ht="15" x14ac:dyDescent="0.25">
      <c r="B14" s="90">
        <v>18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234</v>
      </c>
      <c r="J14" s="281">
        <f t="shared" si="3"/>
        <v>13</v>
      </c>
    </row>
    <row r="15" spans="1:17" ht="15" x14ac:dyDescent="0.25">
      <c r="B15" s="90">
        <v>18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234</v>
      </c>
      <c r="J15" s="281">
        <f t="shared" si="3"/>
        <v>13</v>
      </c>
    </row>
    <row r="16" spans="1:17" ht="15" x14ac:dyDescent="0.25">
      <c r="A16" s="88"/>
      <c r="B16" s="90">
        <v>18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234</v>
      </c>
      <c r="J16" s="281">
        <f t="shared" si="3"/>
        <v>13</v>
      </c>
    </row>
    <row r="17" spans="1:10" ht="15" x14ac:dyDescent="0.25">
      <c r="A17" s="90"/>
      <c r="B17" s="90">
        <v>18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234</v>
      </c>
      <c r="J17" s="281">
        <f t="shared" si="3"/>
        <v>13</v>
      </c>
    </row>
    <row r="18" spans="1:10" ht="15" x14ac:dyDescent="0.25">
      <c r="A18" s="2"/>
      <c r="B18" s="90">
        <v>18</v>
      </c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234</v>
      </c>
      <c r="J18" s="281">
        <f t="shared" si="3"/>
        <v>13</v>
      </c>
    </row>
    <row r="19" spans="1:10" ht="15" x14ac:dyDescent="0.25">
      <c r="A19" s="2"/>
      <c r="B19" s="90">
        <v>18</v>
      </c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234</v>
      </c>
      <c r="J19" s="281">
        <f t="shared" si="3"/>
        <v>13</v>
      </c>
    </row>
    <row r="20" spans="1:10" ht="15" x14ac:dyDescent="0.25">
      <c r="A20" s="2"/>
      <c r="B20" s="90">
        <v>18</v>
      </c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234</v>
      </c>
      <c r="J20" s="281">
        <f t="shared" si="3"/>
        <v>13</v>
      </c>
    </row>
    <row r="21" spans="1:10" ht="15" x14ac:dyDescent="0.25">
      <c r="A21" s="2"/>
      <c r="B21" s="90"/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234</v>
      </c>
      <c r="J21" s="281">
        <f t="shared" si="3"/>
        <v>13</v>
      </c>
    </row>
    <row r="22" spans="1:10" ht="15" x14ac:dyDescent="0.25">
      <c r="A22" s="2"/>
      <c r="B22" s="90"/>
      <c r="C22" s="15"/>
      <c r="D22" s="214">
        <f t="shared" si="1"/>
        <v>0</v>
      </c>
      <c r="E22" s="86"/>
      <c r="F22" s="74">
        <f t="shared" si="0"/>
        <v>0</v>
      </c>
      <c r="G22" s="75"/>
      <c r="H22" s="76"/>
      <c r="I22" s="85">
        <f t="shared" si="2"/>
        <v>234</v>
      </c>
      <c r="J22" s="281">
        <f t="shared" si="3"/>
        <v>13</v>
      </c>
    </row>
    <row r="23" spans="1:10" ht="15" x14ac:dyDescent="0.25">
      <c r="A23" s="2"/>
      <c r="B23" s="90"/>
      <c r="C23" s="15"/>
      <c r="D23" s="214">
        <f t="shared" si="1"/>
        <v>0</v>
      </c>
      <c r="E23" s="86"/>
      <c r="F23" s="74">
        <f t="shared" si="0"/>
        <v>0</v>
      </c>
      <c r="G23" s="75"/>
      <c r="H23" s="76"/>
      <c r="I23" s="85">
        <f t="shared" si="2"/>
        <v>234</v>
      </c>
      <c r="J23" s="281">
        <f t="shared" si="3"/>
        <v>13</v>
      </c>
    </row>
    <row r="24" spans="1:10" x14ac:dyDescent="0.25">
      <c r="A24" s="2"/>
      <c r="B24" s="90"/>
      <c r="C24" s="15"/>
      <c r="D24" s="214">
        <f t="shared" si="1"/>
        <v>0</v>
      </c>
      <c r="E24" s="100"/>
      <c r="F24" s="74">
        <f t="shared" si="0"/>
        <v>0</v>
      </c>
      <c r="G24" s="75"/>
      <c r="H24" s="76"/>
      <c r="I24" s="85">
        <f t="shared" si="2"/>
        <v>234</v>
      </c>
      <c r="J24" s="281">
        <f t="shared" si="3"/>
        <v>13</v>
      </c>
    </row>
    <row r="25" spans="1:10" x14ac:dyDescent="0.25">
      <c r="A25" s="2"/>
      <c r="B25" s="90"/>
      <c r="C25" s="15"/>
      <c r="D25" s="214">
        <f t="shared" si="1"/>
        <v>0</v>
      </c>
      <c r="E25" s="100"/>
      <c r="F25" s="74">
        <f t="shared" si="0"/>
        <v>0</v>
      </c>
      <c r="G25" s="75"/>
      <c r="H25" s="76"/>
      <c r="I25" s="85">
        <f t="shared" si="2"/>
        <v>234</v>
      </c>
      <c r="J25" s="281">
        <f t="shared" si="3"/>
        <v>13</v>
      </c>
    </row>
    <row r="26" spans="1:10" x14ac:dyDescent="0.25">
      <c r="A26" s="2"/>
      <c r="B26" s="90"/>
      <c r="C26" s="15"/>
      <c r="D26" s="214">
        <f t="shared" si="1"/>
        <v>0</v>
      </c>
      <c r="E26" s="100"/>
      <c r="F26" s="74">
        <f t="shared" si="0"/>
        <v>0</v>
      </c>
      <c r="G26" s="75"/>
      <c r="H26" s="76"/>
      <c r="I26" s="85">
        <f t="shared" si="2"/>
        <v>234</v>
      </c>
      <c r="J26" s="281">
        <f t="shared" si="3"/>
        <v>13</v>
      </c>
    </row>
    <row r="27" spans="1:10" x14ac:dyDescent="0.25">
      <c r="A27" s="215"/>
      <c r="B27" s="90"/>
      <c r="C27" s="15"/>
      <c r="D27" s="214">
        <f t="shared" si="1"/>
        <v>0</v>
      </c>
      <c r="E27" s="100"/>
      <c r="F27" s="74">
        <f t="shared" si="0"/>
        <v>0</v>
      </c>
      <c r="G27" s="75"/>
      <c r="H27" s="76"/>
      <c r="I27" s="85">
        <f t="shared" si="2"/>
        <v>234</v>
      </c>
      <c r="J27" s="281">
        <f t="shared" si="3"/>
        <v>13</v>
      </c>
    </row>
    <row r="28" spans="1:10" x14ac:dyDescent="0.25">
      <c r="A28" s="215"/>
      <c r="B28" s="90"/>
      <c r="C28" s="15"/>
      <c r="D28" s="214">
        <f t="shared" si="1"/>
        <v>0</v>
      </c>
      <c r="E28" s="86"/>
      <c r="F28" s="74">
        <f t="shared" si="0"/>
        <v>0</v>
      </c>
      <c r="G28" s="75"/>
      <c r="H28" s="76"/>
      <c r="I28" s="85">
        <f t="shared" si="2"/>
        <v>234</v>
      </c>
      <c r="J28" s="281">
        <f t="shared" si="3"/>
        <v>13</v>
      </c>
    </row>
    <row r="29" spans="1:10" x14ac:dyDescent="0.25">
      <c r="A29" s="215"/>
      <c r="B29" s="90"/>
      <c r="C29" s="313"/>
      <c r="D29" s="358"/>
      <c r="E29" s="359"/>
      <c r="F29" s="314">
        <f t="shared" si="0"/>
        <v>0</v>
      </c>
      <c r="G29" s="315"/>
      <c r="H29" s="316"/>
      <c r="I29" s="309">
        <f t="shared" si="2"/>
        <v>234</v>
      </c>
      <c r="J29" s="373">
        <f t="shared" si="3"/>
        <v>13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234</v>
      </c>
      <c r="J30" s="281">
        <f t="shared" si="3"/>
        <v>13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234</v>
      </c>
      <c r="J31" s="281">
        <f t="shared" si="3"/>
        <v>13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234</v>
      </c>
      <c r="J32" s="281">
        <f t="shared" si="3"/>
        <v>13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234</v>
      </c>
      <c r="J33" s="281">
        <f t="shared" si="3"/>
        <v>13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234</v>
      </c>
      <c r="J34" s="281">
        <f t="shared" si="3"/>
        <v>13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234</v>
      </c>
      <c r="J35" s="281">
        <f t="shared" si="3"/>
        <v>13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234</v>
      </c>
      <c r="J36" s="281">
        <f t="shared" si="3"/>
        <v>13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234</v>
      </c>
      <c r="J37" s="281">
        <f t="shared" si="3"/>
        <v>13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234</v>
      </c>
      <c r="J38" s="281">
        <f t="shared" si="3"/>
        <v>13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234</v>
      </c>
      <c r="J39" s="281">
        <f t="shared" si="3"/>
        <v>13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234</v>
      </c>
      <c r="J40" s="281">
        <f t="shared" si="3"/>
        <v>13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234</v>
      </c>
      <c r="J41" s="281">
        <f t="shared" si="3"/>
        <v>13</v>
      </c>
    </row>
    <row r="42" spans="1:10" ht="14.4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234</v>
      </c>
      <c r="J42" s="282">
        <f t="shared" si="3"/>
        <v>13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0" ht="15.6" thickTop="1" thickBot="1" x14ac:dyDescent="0.35">
      <c r="C44" s="97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" thickBot="1" x14ac:dyDescent="0.35">
      <c r="A45" s="53"/>
      <c r="D45" s="121" t="s">
        <v>4</v>
      </c>
      <c r="E45" s="73">
        <f>F4+F5+F6-+C44</f>
        <v>13</v>
      </c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234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5">G51-D51</f>
        <v>0</v>
      </c>
      <c r="I51" s="57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3.8" x14ac:dyDescent="0.25"/>
  <cols>
    <col min="1" max="1" width="28" customWidth="1"/>
    <col min="2" max="2" width="17.33203125" bestFit="1" customWidth="1"/>
    <col min="3" max="3" width="12.33203125" customWidth="1"/>
    <col min="4" max="4" width="11.44140625" style="48"/>
    <col min="5" max="5" width="13" bestFit="1" customWidth="1"/>
    <col min="6" max="6" width="11.44140625" style="5"/>
    <col min="7" max="7" width="12.44140625" bestFit="1" customWidth="1"/>
    <col min="9" max="9" width="11.44140625" style="5"/>
  </cols>
  <sheetData>
    <row r="1" spans="1:17" ht="45.75" x14ac:dyDescent="0.65">
      <c r="A1" s="1041" t="s">
        <v>90</v>
      </c>
      <c r="B1" s="1041"/>
      <c r="C1" s="1041"/>
      <c r="D1" s="1041"/>
      <c r="E1" s="1041"/>
      <c r="F1" s="1041"/>
      <c r="G1" s="1041"/>
      <c r="H1" s="106">
        <v>1</v>
      </c>
      <c r="J1" s="581"/>
      <c r="K1" s="581"/>
      <c r="L1" s="581"/>
      <c r="M1" s="581"/>
      <c r="N1" s="581"/>
      <c r="O1" s="581"/>
      <c r="P1" s="581"/>
      <c r="Q1" s="581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19" t="s">
        <v>2</v>
      </c>
      <c r="E3" s="9" t="s">
        <v>3</v>
      </c>
      <c r="F3" s="122" t="s">
        <v>4</v>
      </c>
      <c r="G3" s="47" t="s">
        <v>12</v>
      </c>
      <c r="H3" s="36" t="s">
        <v>11</v>
      </c>
      <c r="J3" s="582"/>
      <c r="K3" s="583"/>
    </row>
    <row r="4" spans="1:17" ht="17.25" thickTop="1" thickBot="1" x14ac:dyDescent="0.3">
      <c r="A4" s="82"/>
      <c r="B4" s="158"/>
      <c r="C4" s="17"/>
      <c r="D4" s="320"/>
      <c r="E4" s="222"/>
      <c r="F4" s="157"/>
    </row>
    <row r="5" spans="1:17" ht="21.75" customHeight="1" thickBot="1" x14ac:dyDescent="0.35">
      <c r="A5" s="1099"/>
      <c r="B5" s="1103" t="s">
        <v>78</v>
      </c>
      <c r="C5" s="293"/>
      <c r="D5" s="294">
        <v>43904</v>
      </c>
      <c r="E5" s="566">
        <v>480</v>
      </c>
      <c r="F5" s="318">
        <v>20</v>
      </c>
      <c r="G5" s="362">
        <f>F44</f>
        <v>192</v>
      </c>
      <c r="H5" s="63">
        <f>E4+E5+E6-G5</f>
        <v>288</v>
      </c>
    </row>
    <row r="6" spans="1:17" ht="21.75" customHeight="1" thickTop="1" thickBot="1" x14ac:dyDescent="0.35">
      <c r="A6" s="1100"/>
      <c r="B6" s="1104"/>
      <c r="C6" s="208"/>
      <c r="E6" s="158"/>
      <c r="F6" s="203"/>
      <c r="I6" s="1078" t="s">
        <v>3</v>
      </c>
      <c r="J6" s="1072" t="s">
        <v>4</v>
      </c>
    </row>
    <row r="7" spans="1:17" ht="15" thickTop="1" thickBot="1" x14ac:dyDescent="0.3">
      <c r="A7" s="1"/>
      <c r="B7" s="24" t="s">
        <v>7</v>
      </c>
      <c r="C7" s="20" t="s">
        <v>8</v>
      </c>
      <c r="D7" s="120" t="s">
        <v>3</v>
      </c>
      <c r="E7" s="21" t="s">
        <v>2</v>
      </c>
      <c r="F7" s="123" t="s">
        <v>9</v>
      </c>
      <c r="G7" s="22" t="s">
        <v>15</v>
      </c>
      <c r="H7" s="29"/>
      <c r="I7" s="1079"/>
      <c r="J7" s="1095"/>
    </row>
    <row r="8" spans="1:17" ht="15.75" thickTop="1" x14ac:dyDescent="0.25">
      <c r="A8" s="87" t="s">
        <v>32</v>
      </c>
      <c r="B8" s="90">
        <v>24</v>
      </c>
      <c r="C8" s="15">
        <v>5</v>
      </c>
      <c r="D8" s="214">
        <f>C8*B8</f>
        <v>120</v>
      </c>
      <c r="E8" s="91">
        <v>43904</v>
      </c>
      <c r="F8" s="74">
        <f t="shared" ref="F8:F43" si="0">D8</f>
        <v>120</v>
      </c>
      <c r="G8" s="315" t="s">
        <v>79</v>
      </c>
      <c r="H8" s="316">
        <v>330</v>
      </c>
      <c r="I8" s="309">
        <f>E5+E4-F8</f>
        <v>360</v>
      </c>
      <c r="J8" s="522">
        <f>F4+F5+F6-C8</f>
        <v>15</v>
      </c>
    </row>
    <row r="9" spans="1:17" ht="15" x14ac:dyDescent="0.25">
      <c r="A9" s="241"/>
      <c r="B9" s="90">
        <v>24</v>
      </c>
      <c r="C9" s="15">
        <v>2</v>
      </c>
      <c r="D9" s="214">
        <f t="shared" ref="D9:D28" si="1">C9*B9</f>
        <v>48</v>
      </c>
      <c r="E9" s="91">
        <v>43918</v>
      </c>
      <c r="F9" s="74">
        <f t="shared" si="0"/>
        <v>48</v>
      </c>
      <c r="G9" s="315" t="s">
        <v>80</v>
      </c>
      <c r="H9" s="316">
        <v>330</v>
      </c>
      <c r="I9" s="309">
        <f>I8-F9</f>
        <v>312</v>
      </c>
      <c r="J9" s="373">
        <f>J8-C9</f>
        <v>13</v>
      </c>
    </row>
    <row r="10" spans="1:17" ht="18.75" x14ac:dyDescent="0.3">
      <c r="A10" s="585" t="s">
        <v>83</v>
      </c>
      <c r="B10" s="90">
        <v>24</v>
      </c>
      <c r="C10" s="15">
        <v>1</v>
      </c>
      <c r="D10" s="214">
        <f t="shared" si="1"/>
        <v>24</v>
      </c>
      <c r="E10" s="91">
        <v>43914</v>
      </c>
      <c r="F10" s="74">
        <f t="shared" si="0"/>
        <v>24</v>
      </c>
      <c r="G10" s="315" t="s">
        <v>82</v>
      </c>
      <c r="H10" s="316">
        <v>330</v>
      </c>
      <c r="I10" s="309">
        <f t="shared" ref="I10:I42" si="2">I9-F10</f>
        <v>288</v>
      </c>
      <c r="J10" s="373">
        <f t="shared" ref="J10:J42" si="3">J9-C10</f>
        <v>12</v>
      </c>
    </row>
    <row r="11" spans="1:17" ht="15" x14ac:dyDescent="0.25">
      <c r="A11" s="89" t="s">
        <v>33</v>
      </c>
      <c r="B11" s="90">
        <v>24</v>
      </c>
      <c r="C11" s="15"/>
      <c r="D11" s="214">
        <f t="shared" si="1"/>
        <v>0</v>
      </c>
      <c r="E11" s="91"/>
      <c r="F11" s="74">
        <f t="shared" si="0"/>
        <v>0</v>
      </c>
      <c r="G11" s="315"/>
      <c r="H11" s="316"/>
      <c r="I11" s="309">
        <f t="shared" si="2"/>
        <v>288</v>
      </c>
      <c r="J11" s="373">
        <f t="shared" si="3"/>
        <v>12</v>
      </c>
    </row>
    <row r="12" spans="1:17" ht="15" x14ac:dyDescent="0.25">
      <c r="A12" s="79"/>
      <c r="B12" s="90">
        <v>24</v>
      </c>
      <c r="C12" s="15"/>
      <c r="D12" s="214">
        <f t="shared" si="1"/>
        <v>0</v>
      </c>
      <c r="E12" s="91"/>
      <c r="F12" s="74">
        <f t="shared" si="0"/>
        <v>0</v>
      </c>
      <c r="G12" s="315"/>
      <c r="H12" s="316"/>
      <c r="I12" s="309">
        <f t="shared" si="2"/>
        <v>288</v>
      </c>
      <c r="J12" s="373">
        <f t="shared" si="3"/>
        <v>12</v>
      </c>
    </row>
    <row r="13" spans="1:17" ht="15" x14ac:dyDescent="0.25">
      <c r="A13" s="79"/>
      <c r="B13" s="90">
        <v>24</v>
      </c>
      <c r="C13" s="583"/>
      <c r="D13" s="214">
        <f t="shared" si="1"/>
        <v>0</v>
      </c>
      <c r="E13" s="86"/>
      <c r="F13" s="74">
        <f t="shared" si="0"/>
        <v>0</v>
      </c>
      <c r="G13" s="315"/>
      <c r="H13" s="316"/>
      <c r="I13" s="309">
        <f t="shared" si="2"/>
        <v>288</v>
      </c>
      <c r="J13" s="373">
        <f t="shared" si="3"/>
        <v>12</v>
      </c>
    </row>
    <row r="14" spans="1:17" ht="15" x14ac:dyDescent="0.25">
      <c r="B14" s="90">
        <v>24</v>
      </c>
      <c r="C14" s="15"/>
      <c r="D14" s="214">
        <f t="shared" si="1"/>
        <v>0</v>
      </c>
      <c r="E14" s="86"/>
      <c r="F14" s="74">
        <f t="shared" si="0"/>
        <v>0</v>
      </c>
      <c r="G14" s="75"/>
      <c r="H14" s="76"/>
      <c r="I14" s="85">
        <f t="shared" si="2"/>
        <v>288</v>
      </c>
      <c r="J14" s="281">
        <f t="shared" si="3"/>
        <v>12</v>
      </c>
    </row>
    <row r="15" spans="1:17" ht="15" x14ac:dyDescent="0.25">
      <c r="B15" s="90">
        <v>24</v>
      </c>
      <c r="C15" s="15"/>
      <c r="D15" s="214">
        <f t="shared" si="1"/>
        <v>0</v>
      </c>
      <c r="E15" s="86"/>
      <c r="F15" s="74">
        <f t="shared" si="0"/>
        <v>0</v>
      </c>
      <c r="G15" s="75"/>
      <c r="H15" s="76"/>
      <c r="I15" s="85">
        <f t="shared" si="2"/>
        <v>288</v>
      </c>
      <c r="J15" s="281">
        <f t="shared" si="3"/>
        <v>12</v>
      </c>
    </row>
    <row r="16" spans="1:17" ht="15" x14ac:dyDescent="0.25">
      <c r="A16" s="88"/>
      <c r="B16" s="90">
        <v>24</v>
      </c>
      <c r="C16" s="15"/>
      <c r="D16" s="214">
        <f t="shared" si="1"/>
        <v>0</v>
      </c>
      <c r="E16" s="100"/>
      <c r="F16" s="74">
        <f t="shared" si="0"/>
        <v>0</v>
      </c>
      <c r="G16" s="75"/>
      <c r="H16" s="76"/>
      <c r="I16" s="85">
        <f t="shared" si="2"/>
        <v>288</v>
      </c>
      <c r="J16" s="281">
        <f t="shared" si="3"/>
        <v>12</v>
      </c>
    </row>
    <row r="17" spans="1:10" ht="15" x14ac:dyDescent="0.25">
      <c r="A17" s="90"/>
      <c r="B17" s="90">
        <v>24</v>
      </c>
      <c r="C17" s="15"/>
      <c r="D17" s="214">
        <f t="shared" si="1"/>
        <v>0</v>
      </c>
      <c r="E17" s="100"/>
      <c r="F17" s="74">
        <f t="shared" si="0"/>
        <v>0</v>
      </c>
      <c r="G17" s="239"/>
      <c r="H17" s="76"/>
      <c r="I17" s="85">
        <f t="shared" si="2"/>
        <v>288</v>
      </c>
      <c r="J17" s="281">
        <f t="shared" si="3"/>
        <v>12</v>
      </c>
    </row>
    <row r="18" spans="1:10" ht="15" x14ac:dyDescent="0.25">
      <c r="A18" s="2"/>
      <c r="B18" s="90">
        <v>24</v>
      </c>
      <c r="C18" s="15"/>
      <c r="D18" s="214">
        <f t="shared" si="1"/>
        <v>0</v>
      </c>
      <c r="E18" s="100"/>
      <c r="F18" s="74">
        <f t="shared" si="0"/>
        <v>0</v>
      </c>
      <c r="G18" s="75"/>
      <c r="H18" s="76"/>
      <c r="I18" s="85">
        <f t="shared" si="2"/>
        <v>288</v>
      </c>
      <c r="J18" s="281">
        <f t="shared" si="3"/>
        <v>12</v>
      </c>
    </row>
    <row r="19" spans="1:10" ht="15" x14ac:dyDescent="0.25">
      <c r="A19" s="2"/>
      <c r="B19" s="90">
        <v>24</v>
      </c>
      <c r="C19" s="15"/>
      <c r="D19" s="214">
        <f t="shared" si="1"/>
        <v>0</v>
      </c>
      <c r="E19" s="100"/>
      <c r="F19" s="74">
        <f t="shared" si="0"/>
        <v>0</v>
      </c>
      <c r="G19" s="75"/>
      <c r="H19" s="76"/>
      <c r="I19" s="85">
        <f t="shared" si="2"/>
        <v>288</v>
      </c>
      <c r="J19" s="281">
        <f t="shared" si="3"/>
        <v>12</v>
      </c>
    </row>
    <row r="20" spans="1:10" ht="15" x14ac:dyDescent="0.25">
      <c r="A20" s="2"/>
      <c r="B20" s="90">
        <v>24</v>
      </c>
      <c r="C20" s="15"/>
      <c r="D20" s="214">
        <f t="shared" si="1"/>
        <v>0</v>
      </c>
      <c r="E20" s="86"/>
      <c r="F20" s="74">
        <f t="shared" si="0"/>
        <v>0</v>
      </c>
      <c r="G20" s="75"/>
      <c r="H20" s="76"/>
      <c r="I20" s="85">
        <f t="shared" si="2"/>
        <v>288</v>
      </c>
      <c r="J20" s="281">
        <f t="shared" si="3"/>
        <v>12</v>
      </c>
    </row>
    <row r="21" spans="1:10" ht="15" x14ac:dyDescent="0.25">
      <c r="A21" s="2"/>
      <c r="B21" s="90">
        <v>24</v>
      </c>
      <c r="C21" s="15"/>
      <c r="D21" s="214">
        <f t="shared" si="1"/>
        <v>0</v>
      </c>
      <c r="E21" s="86"/>
      <c r="F21" s="74">
        <f t="shared" si="0"/>
        <v>0</v>
      </c>
      <c r="G21" s="75"/>
      <c r="H21" s="76"/>
      <c r="I21" s="85">
        <f t="shared" si="2"/>
        <v>288</v>
      </c>
      <c r="J21" s="281">
        <f t="shared" si="3"/>
        <v>12</v>
      </c>
    </row>
    <row r="22" spans="1:10" ht="15" x14ac:dyDescent="0.25">
      <c r="A22" s="2"/>
      <c r="B22" s="90"/>
      <c r="C22" s="15"/>
      <c r="D22" s="214">
        <f t="shared" si="1"/>
        <v>0</v>
      </c>
      <c r="E22" s="86"/>
      <c r="F22" s="74">
        <f t="shared" si="0"/>
        <v>0</v>
      </c>
      <c r="G22" s="75"/>
      <c r="H22" s="76"/>
      <c r="I22" s="85">
        <f t="shared" si="2"/>
        <v>288</v>
      </c>
      <c r="J22" s="281">
        <f t="shared" si="3"/>
        <v>12</v>
      </c>
    </row>
    <row r="23" spans="1:10" ht="15" x14ac:dyDescent="0.25">
      <c r="A23" s="2"/>
      <c r="B23" s="90"/>
      <c r="C23" s="15"/>
      <c r="D23" s="214">
        <f t="shared" si="1"/>
        <v>0</v>
      </c>
      <c r="E23" s="86"/>
      <c r="F23" s="74">
        <f t="shared" si="0"/>
        <v>0</v>
      </c>
      <c r="G23" s="75"/>
      <c r="H23" s="76"/>
      <c r="I23" s="85">
        <f t="shared" si="2"/>
        <v>288</v>
      </c>
      <c r="J23" s="281">
        <f t="shared" si="3"/>
        <v>12</v>
      </c>
    </row>
    <row r="24" spans="1:10" x14ac:dyDescent="0.25">
      <c r="A24" s="2"/>
      <c r="B24" s="90"/>
      <c r="C24" s="15"/>
      <c r="D24" s="214">
        <f t="shared" si="1"/>
        <v>0</v>
      </c>
      <c r="E24" s="100"/>
      <c r="F24" s="74">
        <f t="shared" si="0"/>
        <v>0</v>
      </c>
      <c r="G24" s="75"/>
      <c r="H24" s="76"/>
      <c r="I24" s="85">
        <f t="shared" si="2"/>
        <v>288</v>
      </c>
      <c r="J24" s="281">
        <f t="shared" si="3"/>
        <v>12</v>
      </c>
    </row>
    <row r="25" spans="1:10" x14ac:dyDescent="0.25">
      <c r="A25" s="2"/>
      <c r="B25" s="90"/>
      <c r="C25" s="15"/>
      <c r="D25" s="214">
        <f t="shared" si="1"/>
        <v>0</v>
      </c>
      <c r="E25" s="100"/>
      <c r="F25" s="74">
        <f t="shared" si="0"/>
        <v>0</v>
      </c>
      <c r="G25" s="75"/>
      <c r="H25" s="76"/>
      <c r="I25" s="85">
        <f t="shared" si="2"/>
        <v>288</v>
      </c>
      <c r="J25" s="281">
        <f t="shared" si="3"/>
        <v>12</v>
      </c>
    </row>
    <row r="26" spans="1:10" x14ac:dyDescent="0.25">
      <c r="A26" s="2"/>
      <c r="B26" s="90"/>
      <c r="C26" s="15"/>
      <c r="D26" s="214">
        <f t="shared" si="1"/>
        <v>0</v>
      </c>
      <c r="E26" s="100"/>
      <c r="F26" s="74">
        <f t="shared" si="0"/>
        <v>0</v>
      </c>
      <c r="G26" s="75"/>
      <c r="H26" s="76"/>
      <c r="I26" s="85">
        <f t="shared" si="2"/>
        <v>288</v>
      </c>
      <c r="J26" s="281">
        <f t="shared" si="3"/>
        <v>12</v>
      </c>
    </row>
    <row r="27" spans="1:10" x14ac:dyDescent="0.25">
      <c r="A27" s="215"/>
      <c r="B27" s="90"/>
      <c r="C27" s="15"/>
      <c r="D27" s="214">
        <f t="shared" si="1"/>
        <v>0</v>
      </c>
      <c r="E27" s="100"/>
      <c r="F27" s="74">
        <f t="shared" si="0"/>
        <v>0</v>
      </c>
      <c r="G27" s="75"/>
      <c r="H27" s="76"/>
      <c r="I27" s="85">
        <f t="shared" si="2"/>
        <v>288</v>
      </c>
      <c r="J27" s="281">
        <f t="shared" si="3"/>
        <v>12</v>
      </c>
    </row>
    <row r="28" spans="1:10" x14ac:dyDescent="0.25">
      <c r="A28" s="215"/>
      <c r="B28" s="90"/>
      <c r="C28" s="15"/>
      <c r="D28" s="214">
        <f t="shared" si="1"/>
        <v>0</v>
      </c>
      <c r="E28" s="86"/>
      <c r="F28" s="74">
        <f t="shared" si="0"/>
        <v>0</v>
      </c>
      <c r="G28" s="75"/>
      <c r="H28" s="76"/>
      <c r="I28" s="85">
        <f t="shared" si="2"/>
        <v>288</v>
      </c>
      <c r="J28" s="281">
        <f t="shared" si="3"/>
        <v>12</v>
      </c>
    </row>
    <row r="29" spans="1:10" x14ac:dyDescent="0.25">
      <c r="A29" s="215"/>
      <c r="B29" s="90"/>
      <c r="C29" s="313"/>
      <c r="D29" s="358"/>
      <c r="E29" s="359"/>
      <c r="F29" s="314">
        <f t="shared" si="0"/>
        <v>0</v>
      </c>
      <c r="G29" s="315"/>
      <c r="H29" s="316"/>
      <c r="I29" s="309">
        <f t="shared" si="2"/>
        <v>288</v>
      </c>
      <c r="J29" s="373">
        <f t="shared" si="3"/>
        <v>12</v>
      </c>
    </row>
    <row r="30" spans="1:10" x14ac:dyDescent="0.25">
      <c r="A30" s="215"/>
      <c r="B30" s="90"/>
      <c r="C30" s="15"/>
      <c r="D30" s="214"/>
      <c r="E30" s="86"/>
      <c r="F30" s="74">
        <f t="shared" si="0"/>
        <v>0</v>
      </c>
      <c r="G30" s="75"/>
      <c r="H30" s="76"/>
      <c r="I30" s="85">
        <f t="shared" si="2"/>
        <v>288</v>
      </c>
      <c r="J30" s="281">
        <f t="shared" si="3"/>
        <v>12</v>
      </c>
    </row>
    <row r="31" spans="1:10" x14ac:dyDescent="0.25">
      <c r="A31" s="215"/>
      <c r="B31" s="90"/>
      <c r="C31" s="15"/>
      <c r="D31" s="214"/>
      <c r="E31" s="86"/>
      <c r="F31" s="74">
        <f t="shared" si="0"/>
        <v>0</v>
      </c>
      <c r="G31" s="75"/>
      <c r="H31" s="76"/>
      <c r="I31" s="85">
        <f t="shared" si="2"/>
        <v>288</v>
      </c>
      <c r="J31" s="281">
        <f t="shared" si="3"/>
        <v>12</v>
      </c>
    </row>
    <row r="32" spans="1:10" x14ac:dyDescent="0.25">
      <c r="A32" s="2"/>
      <c r="B32" s="90"/>
      <c r="C32" s="15"/>
      <c r="D32" s="214"/>
      <c r="E32" s="86"/>
      <c r="F32" s="74">
        <f t="shared" si="0"/>
        <v>0</v>
      </c>
      <c r="G32" s="75"/>
      <c r="H32" s="76"/>
      <c r="I32" s="85">
        <f t="shared" si="2"/>
        <v>288</v>
      </c>
      <c r="J32" s="281">
        <f t="shared" si="3"/>
        <v>12</v>
      </c>
    </row>
    <row r="33" spans="1:10" x14ac:dyDescent="0.25">
      <c r="A33" s="2"/>
      <c r="B33" s="90"/>
      <c r="C33" s="15"/>
      <c r="D33" s="214"/>
      <c r="E33" s="86"/>
      <c r="F33" s="74">
        <f t="shared" si="0"/>
        <v>0</v>
      </c>
      <c r="G33" s="75"/>
      <c r="H33" s="76"/>
      <c r="I33" s="85">
        <f t="shared" si="2"/>
        <v>288</v>
      </c>
      <c r="J33" s="281">
        <f t="shared" si="3"/>
        <v>12</v>
      </c>
    </row>
    <row r="34" spans="1:10" x14ac:dyDescent="0.25">
      <c r="A34" s="2"/>
      <c r="B34" s="90"/>
      <c r="C34" s="15"/>
      <c r="D34" s="214"/>
      <c r="E34" s="86"/>
      <c r="F34" s="74">
        <f t="shared" si="0"/>
        <v>0</v>
      </c>
      <c r="G34" s="75"/>
      <c r="H34" s="76"/>
      <c r="I34" s="85">
        <f t="shared" si="2"/>
        <v>288</v>
      </c>
      <c r="J34" s="281">
        <f t="shared" si="3"/>
        <v>12</v>
      </c>
    </row>
    <row r="35" spans="1:10" x14ac:dyDescent="0.25">
      <c r="A35" s="2"/>
      <c r="B35" s="90"/>
      <c r="C35" s="15"/>
      <c r="D35" s="214"/>
      <c r="E35" s="91"/>
      <c r="F35" s="74">
        <f t="shared" si="0"/>
        <v>0</v>
      </c>
      <c r="G35" s="75"/>
      <c r="H35" s="76"/>
      <c r="I35" s="85">
        <f t="shared" si="2"/>
        <v>288</v>
      </c>
      <c r="J35" s="281">
        <f t="shared" si="3"/>
        <v>12</v>
      </c>
    </row>
    <row r="36" spans="1:10" x14ac:dyDescent="0.25">
      <c r="A36" s="2"/>
      <c r="B36" s="90"/>
      <c r="C36" s="15"/>
      <c r="D36" s="214"/>
      <c r="E36" s="91"/>
      <c r="F36" s="74">
        <f t="shared" si="0"/>
        <v>0</v>
      </c>
      <c r="G36" s="75"/>
      <c r="H36" s="76"/>
      <c r="I36" s="85">
        <f t="shared" si="2"/>
        <v>288</v>
      </c>
      <c r="J36" s="281">
        <f t="shared" si="3"/>
        <v>12</v>
      </c>
    </row>
    <row r="37" spans="1:10" x14ac:dyDescent="0.25">
      <c r="A37" s="2"/>
      <c r="B37" s="90"/>
      <c r="C37" s="15"/>
      <c r="D37" s="214"/>
      <c r="E37" s="91"/>
      <c r="F37" s="74">
        <f t="shared" si="0"/>
        <v>0</v>
      </c>
      <c r="G37" s="75"/>
      <c r="H37" s="76"/>
      <c r="I37" s="85">
        <f t="shared" si="2"/>
        <v>288</v>
      </c>
      <c r="J37" s="281">
        <f t="shared" si="3"/>
        <v>12</v>
      </c>
    </row>
    <row r="38" spans="1:10" x14ac:dyDescent="0.25">
      <c r="A38" s="2"/>
      <c r="B38" s="90"/>
      <c r="C38" s="15"/>
      <c r="D38" s="214"/>
      <c r="E38" s="91"/>
      <c r="F38" s="74">
        <f t="shared" si="0"/>
        <v>0</v>
      </c>
      <c r="G38" s="75"/>
      <c r="H38" s="76"/>
      <c r="I38" s="85">
        <f t="shared" si="2"/>
        <v>288</v>
      </c>
      <c r="J38" s="281">
        <f t="shared" si="3"/>
        <v>12</v>
      </c>
    </row>
    <row r="39" spans="1:10" x14ac:dyDescent="0.25">
      <c r="A39" s="2"/>
      <c r="B39" s="90"/>
      <c r="C39" s="15"/>
      <c r="D39" s="214">
        <f t="shared" ref="D39:D42" si="4">C39*B39</f>
        <v>0</v>
      </c>
      <c r="E39" s="91"/>
      <c r="F39" s="74">
        <f t="shared" si="0"/>
        <v>0</v>
      </c>
      <c r="G39" s="75"/>
      <c r="H39" s="76"/>
      <c r="I39" s="85">
        <f t="shared" si="2"/>
        <v>288</v>
      </c>
      <c r="J39" s="281">
        <f t="shared" si="3"/>
        <v>12</v>
      </c>
    </row>
    <row r="40" spans="1:10" x14ac:dyDescent="0.25">
      <c r="A40" s="2"/>
      <c r="B40" s="90"/>
      <c r="C40" s="15"/>
      <c r="D40" s="214">
        <f t="shared" si="4"/>
        <v>0</v>
      </c>
      <c r="E40" s="91"/>
      <c r="F40" s="74">
        <f t="shared" si="0"/>
        <v>0</v>
      </c>
      <c r="G40" s="75"/>
      <c r="H40" s="76"/>
      <c r="I40" s="85">
        <f t="shared" si="2"/>
        <v>288</v>
      </c>
      <c r="J40" s="281">
        <f t="shared" si="3"/>
        <v>12</v>
      </c>
    </row>
    <row r="41" spans="1:10" x14ac:dyDescent="0.25">
      <c r="A41" s="2"/>
      <c r="B41" s="90"/>
      <c r="C41" s="15"/>
      <c r="D41" s="214">
        <f t="shared" si="4"/>
        <v>0</v>
      </c>
      <c r="E41" s="91"/>
      <c r="F41" s="74">
        <f t="shared" si="0"/>
        <v>0</v>
      </c>
      <c r="G41" s="75"/>
      <c r="H41" s="76"/>
      <c r="I41" s="85">
        <f t="shared" si="2"/>
        <v>288</v>
      </c>
      <c r="J41" s="281">
        <f t="shared" si="3"/>
        <v>12</v>
      </c>
    </row>
    <row r="42" spans="1:10" ht="14.4" thickBot="1" x14ac:dyDescent="0.3">
      <c r="A42" s="2"/>
      <c r="B42" s="90"/>
      <c r="C42" s="15"/>
      <c r="D42" s="214">
        <f t="shared" si="4"/>
        <v>0</v>
      </c>
      <c r="E42" s="91"/>
      <c r="F42" s="74">
        <f t="shared" si="0"/>
        <v>0</v>
      </c>
      <c r="G42" s="75"/>
      <c r="H42" s="76"/>
      <c r="I42" s="85">
        <f t="shared" si="2"/>
        <v>288</v>
      </c>
      <c r="J42" s="282">
        <f t="shared" si="3"/>
        <v>12</v>
      </c>
    </row>
    <row r="43" spans="1:10" ht="14.4" thickBot="1" x14ac:dyDescent="0.3">
      <c r="A43" s="4"/>
      <c r="B43" s="90"/>
      <c r="C43" s="38"/>
      <c r="D43" s="249">
        <f>C43*B33</f>
        <v>0</v>
      </c>
      <c r="E43" s="250"/>
      <c r="F43" s="251">
        <f t="shared" si="0"/>
        <v>0</v>
      </c>
      <c r="G43" s="252"/>
      <c r="H43" s="238"/>
    </row>
    <row r="44" spans="1:10" ht="15.6" thickTop="1" thickBot="1" x14ac:dyDescent="0.35">
      <c r="C44" s="97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" thickBot="1" x14ac:dyDescent="0.35">
      <c r="A45" s="53"/>
      <c r="D45" s="121" t="s">
        <v>4</v>
      </c>
      <c r="E45" s="73">
        <f>F4+F5+F6-+C44</f>
        <v>12</v>
      </c>
    </row>
    <row r="46" spans="1:10" ht="14.4" thickBot="1" x14ac:dyDescent="0.3">
      <c r="A46" s="129"/>
    </row>
    <row r="47" spans="1:10" ht="15" thickTop="1" thickBot="1" x14ac:dyDescent="0.3">
      <c r="A47" s="48"/>
      <c r="C47" s="1054" t="s">
        <v>11</v>
      </c>
      <c r="D47" s="1055"/>
      <c r="E47" s="159">
        <f>E5+E4+E6+-F44</f>
        <v>288</v>
      </c>
    </row>
    <row r="51" spans="2:9" ht="16.8" x14ac:dyDescent="0.3">
      <c r="B51" s="564"/>
      <c r="C51" s="565"/>
      <c r="D51" s="566">
        <v>2034.8</v>
      </c>
      <c r="E51" s="567">
        <v>43899</v>
      </c>
      <c r="F51" s="568">
        <v>26330</v>
      </c>
      <c r="G51" s="566">
        <v>2034.8</v>
      </c>
      <c r="H51" s="569">
        <f t="shared" ref="H51" si="5">G51-D51</f>
        <v>0</v>
      </c>
      <c r="I51" s="570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8" sqref="D18"/>
    </sheetView>
  </sheetViews>
  <sheetFormatPr baseColWidth="10" defaultRowHeight="13.8" x14ac:dyDescent="0.25"/>
  <cols>
    <col min="1" max="1" width="11.44140625" customWidth="1"/>
    <col min="8" max="8" width="11.441406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C83"/>
  <sheetViews>
    <sheetView topLeftCell="L1" zoomScaleNormal="100" workbookViewId="0">
      <pane ySplit="8" topLeftCell="A24" activePane="bottomLeft" state="frozen"/>
      <selection activeCell="V1" sqref="V1"/>
      <selection pane="bottomLeft" activeCell="U31" sqref="U31"/>
    </sheetView>
  </sheetViews>
  <sheetFormatPr baseColWidth="10" defaultRowHeight="13.8" x14ac:dyDescent="0.25"/>
  <cols>
    <col min="1" max="1" width="26.6640625" customWidth="1"/>
    <col min="2" max="2" width="16.109375" customWidth="1"/>
    <col min="3" max="3" width="14.6640625" customWidth="1"/>
    <col min="5" max="5" width="13" bestFit="1" customWidth="1"/>
    <col min="9" max="9" width="11.44140625" style="66"/>
    <col min="11" max="11" width="26.6640625" customWidth="1"/>
    <col min="12" max="12" width="16.109375" customWidth="1"/>
    <col min="13" max="13" width="14.6640625" customWidth="1"/>
    <col min="15" max="15" width="13" bestFit="1" customWidth="1"/>
    <col min="19" max="19" width="11.44140625" style="66"/>
    <col min="21" max="21" width="26.6640625" customWidth="1"/>
    <col min="22" max="22" width="16.109375" customWidth="1"/>
    <col min="23" max="23" width="14.6640625" customWidth="1"/>
    <col min="25" max="25" width="13" bestFit="1" customWidth="1"/>
    <col min="29" max="29" width="11.44140625" style="66"/>
  </cols>
  <sheetData>
    <row r="1" spans="1:29" ht="40.5" x14ac:dyDescent="0.55000000000000004">
      <c r="A1" s="1041" t="s">
        <v>169</v>
      </c>
      <c r="B1" s="1041"/>
      <c r="C1" s="1041"/>
      <c r="D1" s="1041"/>
      <c r="E1" s="1041"/>
      <c r="F1" s="1041"/>
      <c r="G1" s="1041"/>
      <c r="H1" s="11">
        <v>1</v>
      </c>
      <c r="K1" s="1034" t="s">
        <v>162</v>
      </c>
      <c r="L1" s="1034"/>
      <c r="M1" s="1034"/>
      <c r="N1" s="1034"/>
      <c r="O1" s="1034"/>
      <c r="P1" s="1034"/>
      <c r="Q1" s="1034"/>
      <c r="R1" s="11">
        <v>2</v>
      </c>
      <c r="U1" s="1034" t="s">
        <v>162</v>
      </c>
      <c r="V1" s="1034"/>
      <c r="W1" s="1034"/>
      <c r="X1" s="1034"/>
      <c r="Y1" s="1034"/>
      <c r="Z1" s="1034"/>
      <c r="AA1" s="1034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8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U3" s="68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6" t="s">
        <v>11</v>
      </c>
    </row>
    <row r="4" spans="1:29" ht="15.75" customHeight="1" thickTop="1" x14ac:dyDescent="0.25">
      <c r="A4" s="12"/>
      <c r="B4" s="12"/>
      <c r="C4" s="12"/>
      <c r="D4" s="12"/>
      <c r="E4" s="12"/>
      <c r="F4" s="12"/>
      <c r="G4" s="175"/>
      <c r="H4" s="175"/>
      <c r="K4" s="12"/>
      <c r="L4" s="12"/>
      <c r="M4" s="12"/>
      <c r="N4" s="12"/>
      <c r="O4" s="904"/>
      <c r="P4" s="12"/>
      <c r="Q4" s="175"/>
      <c r="R4" s="175"/>
      <c r="U4" s="12"/>
      <c r="V4" s="12"/>
      <c r="W4" s="12"/>
      <c r="X4" s="12"/>
      <c r="Y4" s="12"/>
      <c r="Z4" s="12"/>
      <c r="AA4" s="175"/>
      <c r="AB4" s="175"/>
    </row>
    <row r="5" spans="1:29" ht="15" customHeight="1" x14ac:dyDescent="0.25">
      <c r="A5" s="1032" t="s">
        <v>71</v>
      </c>
      <c r="B5" s="1040" t="s">
        <v>111</v>
      </c>
      <c r="C5" s="321">
        <v>103.8</v>
      </c>
      <c r="D5" s="294">
        <v>44123</v>
      </c>
      <c r="E5" s="309">
        <v>7495.84</v>
      </c>
      <c r="F5" s="300">
        <v>244</v>
      </c>
      <c r="G5" s="310"/>
      <c r="K5" s="1032" t="s">
        <v>71</v>
      </c>
      <c r="L5" s="1040" t="s">
        <v>111</v>
      </c>
      <c r="M5" s="388">
        <v>101</v>
      </c>
      <c r="N5" s="294">
        <v>44145</v>
      </c>
      <c r="O5" s="326">
        <v>12105.43</v>
      </c>
      <c r="P5" s="289">
        <v>400</v>
      </c>
      <c r="Q5" s="310"/>
      <c r="U5" s="1039" t="s">
        <v>301</v>
      </c>
      <c r="V5" s="1040" t="s">
        <v>111</v>
      </c>
      <c r="W5" s="388">
        <v>101.5</v>
      </c>
      <c r="X5" s="294">
        <v>44165</v>
      </c>
      <c r="Y5" s="326">
        <v>3175.02</v>
      </c>
      <c r="Z5" s="289">
        <v>100</v>
      </c>
      <c r="AA5" s="310"/>
    </row>
    <row r="6" spans="1:29" x14ac:dyDescent="0.25">
      <c r="A6" s="1032"/>
      <c r="B6" s="1040"/>
      <c r="C6" s="322"/>
      <c r="D6" s="294"/>
      <c r="E6" s="320">
        <v>688.43</v>
      </c>
      <c r="F6" s="289">
        <v>21</v>
      </c>
      <c r="G6" s="312">
        <f>F78</f>
        <v>8191.130000000001</v>
      </c>
      <c r="H6" s="7">
        <f>E6-G6+E7+E5-G5</f>
        <v>-6.8600000000005821</v>
      </c>
      <c r="K6" s="1032"/>
      <c r="L6" s="1040"/>
      <c r="M6" s="847">
        <v>110</v>
      </c>
      <c r="N6" s="294">
        <v>44158</v>
      </c>
      <c r="O6" s="320">
        <v>1773.87</v>
      </c>
      <c r="P6" s="289">
        <v>59</v>
      </c>
      <c r="Q6" s="312">
        <f>P78</f>
        <v>14549.2</v>
      </c>
      <c r="R6" s="7">
        <f>O6-Q6+O7+O5-Q5+O4</f>
        <v>1013.2699999999986</v>
      </c>
      <c r="U6" s="1039"/>
      <c r="V6" s="1040"/>
      <c r="W6" s="847"/>
      <c r="X6" s="294"/>
      <c r="Y6" s="320"/>
      <c r="Z6" s="289"/>
      <c r="AA6" s="312">
        <f>Z78</f>
        <v>0</v>
      </c>
      <c r="AB6" s="7">
        <f>Y6-AA6+Y7+Y5-AA5</f>
        <v>3175.02</v>
      </c>
    </row>
    <row r="7" spans="1:29" ht="14.4" thickBot="1" x14ac:dyDescent="0.3">
      <c r="A7" s="1032"/>
      <c r="B7" s="323"/>
      <c r="C7" s="324"/>
      <c r="D7" s="325"/>
      <c r="E7" s="309"/>
      <c r="F7" s="300"/>
      <c r="G7" s="286"/>
      <c r="K7" s="1032"/>
      <c r="L7" s="323"/>
      <c r="M7" s="336">
        <v>110</v>
      </c>
      <c r="N7" s="325">
        <v>44158</v>
      </c>
      <c r="O7" s="320">
        <v>1683.17</v>
      </c>
      <c r="P7" s="289">
        <v>58</v>
      </c>
      <c r="Q7" s="286"/>
      <c r="U7" s="1039"/>
      <c r="V7" s="323"/>
      <c r="W7" s="336"/>
      <c r="X7" s="325"/>
      <c r="Y7" s="320"/>
      <c r="Z7" s="289"/>
      <c r="AA7" s="286"/>
    </row>
    <row r="8" spans="1:2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9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9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7" t="s">
        <v>32</v>
      </c>
      <c r="B9" s="90">
        <f>F6-C9+F5</f>
        <v>237</v>
      </c>
      <c r="C9" s="15">
        <v>28</v>
      </c>
      <c r="D9" s="314">
        <v>915.03</v>
      </c>
      <c r="E9" s="352">
        <v>44128</v>
      </c>
      <c r="F9" s="314">
        <f t="shared" ref="F9" si="0">D9</f>
        <v>915.03</v>
      </c>
      <c r="G9" s="315" t="s">
        <v>145</v>
      </c>
      <c r="H9" s="316">
        <v>110</v>
      </c>
      <c r="I9" s="326">
        <f>E6-F9+E5</f>
        <v>7269.24</v>
      </c>
      <c r="K9" s="87" t="s">
        <v>32</v>
      </c>
      <c r="L9" s="90">
        <f>P6-M9+P5+P7</f>
        <v>457</v>
      </c>
      <c r="M9" s="15">
        <v>60</v>
      </c>
      <c r="N9" s="314">
        <f>945.41+911.3</f>
        <v>1856.71</v>
      </c>
      <c r="O9" s="352">
        <v>44145</v>
      </c>
      <c r="P9" s="314">
        <f t="shared" ref="P9:P72" si="1">N9</f>
        <v>1856.71</v>
      </c>
      <c r="Q9" s="315" t="s">
        <v>359</v>
      </c>
      <c r="R9" s="316">
        <v>120</v>
      </c>
      <c r="S9" s="326">
        <f>O6-P9+O5+O7</f>
        <v>13705.76</v>
      </c>
      <c r="U9" s="87" t="s">
        <v>32</v>
      </c>
      <c r="V9" s="90">
        <f>Z6-W9+Z5</f>
        <v>100</v>
      </c>
      <c r="W9" s="15"/>
      <c r="X9" s="314"/>
      <c r="Y9" s="352"/>
      <c r="Z9" s="314">
        <f t="shared" ref="Z9" si="2">X9</f>
        <v>0</v>
      </c>
      <c r="AA9" s="315"/>
      <c r="AB9" s="316"/>
      <c r="AC9" s="326">
        <f>Y6-Z9+Y5</f>
        <v>3175.02</v>
      </c>
    </row>
    <row r="10" spans="1:29" ht="15" x14ac:dyDescent="0.25">
      <c r="A10" s="241"/>
      <c r="B10" s="90">
        <f>B9-C10</f>
        <v>230</v>
      </c>
      <c r="C10" s="15">
        <v>7</v>
      </c>
      <c r="D10" s="314">
        <v>201.03</v>
      </c>
      <c r="E10" s="352">
        <v>44130</v>
      </c>
      <c r="F10" s="314">
        <f t="shared" ref="F10:F72" si="3">D10</f>
        <v>201.03</v>
      </c>
      <c r="G10" s="315" t="s">
        <v>148</v>
      </c>
      <c r="H10" s="316">
        <v>110</v>
      </c>
      <c r="I10" s="326">
        <f>I9-F10</f>
        <v>7068.21</v>
      </c>
      <c r="K10" s="241"/>
      <c r="L10" s="90">
        <f>L9-M10</f>
        <v>437</v>
      </c>
      <c r="M10" s="15">
        <v>20</v>
      </c>
      <c r="N10" s="314">
        <v>573.79999999999995</v>
      </c>
      <c r="O10" s="352">
        <v>44147</v>
      </c>
      <c r="P10" s="314">
        <f t="shared" si="1"/>
        <v>573.79999999999995</v>
      </c>
      <c r="Q10" s="315" t="s">
        <v>368</v>
      </c>
      <c r="R10" s="316">
        <v>120</v>
      </c>
      <c r="S10" s="326">
        <f>S9-P10</f>
        <v>13131.960000000001</v>
      </c>
      <c r="U10" s="241"/>
      <c r="V10" s="90">
        <f>V9-W10</f>
        <v>100</v>
      </c>
      <c r="W10" s="15"/>
      <c r="X10" s="314"/>
      <c r="Y10" s="352"/>
      <c r="Z10" s="314">
        <f t="shared" ref="Z10:Z72" si="4">X10</f>
        <v>0</v>
      </c>
      <c r="AA10" s="315"/>
      <c r="AB10" s="316"/>
      <c r="AC10" s="326">
        <f>AC9-Z10</f>
        <v>3175.02</v>
      </c>
    </row>
    <row r="11" spans="1:29" ht="15" x14ac:dyDescent="0.25">
      <c r="A11" s="227"/>
      <c r="B11" s="90">
        <f t="shared" ref="B11:B54" si="5">B10-C11</f>
        <v>202</v>
      </c>
      <c r="C11" s="15">
        <v>28</v>
      </c>
      <c r="D11" s="314">
        <v>870.71</v>
      </c>
      <c r="E11" s="352">
        <v>44130</v>
      </c>
      <c r="F11" s="314">
        <f t="shared" si="3"/>
        <v>870.71</v>
      </c>
      <c r="G11" s="315" t="s">
        <v>149</v>
      </c>
      <c r="H11" s="316">
        <v>110</v>
      </c>
      <c r="I11" s="326">
        <f t="shared" ref="I11:I74" si="6">I10-F11</f>
        <v>6197.5</v>
      </c>
      <c r="K11" s="227"/>
      <c r="L11" s="90">
        <f t="shared" ref="L11:L54" si="7">L10-M11</f>
        <v>417</v>
      </c>
      <c r="M11" s="15">
        <v>20</v>
      </c>
      <c r="N11" s="314">
        <v>576.41999999999996</v>
      </c>
      <c r="O11" s="352">
        <v>44147</v>
      </c>
      <c r="P11" s="314">
        <f t="shared" si="1"/>
        <v>576.41999999999996</v>
      </c>
      <c r="Q11" s="315" t="s">
        <v>369</v>
      </c>
      <c r="R11" s="316">
        <v>120</v>
      </c>
      <c r="S11" s="326">
        <f t="shared" ref="S11:S74" si="8">S10-P11</f>
        <v>12555.54</v>
      </c>
      <c r="U11" s="227"/>
      <c r="V11" s="90">
        <f t="shared" ref="V11:V54" si="9">V10-W11</f>
        <v>100</v>
      </c>
      <c r="W11" s="15"/>
      <c r="X11" s="314"/>
      <c r="Y11" s="352"/>
      <c r="Z11" s="314">
        <f t="shared" si="4"/>
        <v>0</v>
      </c>
      <c r="AA11" s="315"/>
      <c r="AB11" s="316"/>
      <c r="AC11" s="326">
        <f t="shared" ref="AC11:AC74" si="10">AC10-Z11</f>
        <v>3175.02</v>
      </c>
    </row>
    <row r="12" spans="1:29" ht="15" x14ac:dyDescent="0.25">
      <c r="A12" s="227"/>
      <c r="B12" s="90">
        <f t="shared" si="5"/>
        <v>170</v>
      </c>
      <c r="C12" s="15">
        <v>32</v>
      </c>
      <c r="D12" s="314">
        <v>924.92</v>
      </c>
      <c r="E12" s="352">
        <v>44133</v>
      </c>
      <c r="F12" s="314">
        <f t="shared" si="3"/>
        <v>924.92</v>
      </c>
      <c r="G12" s="315" t="s">
        <v>151</v>
      </c>
      <c r="H12" s="316">
        <v>110</v>
      </c>
      <c r="I12" s="326">
        <f t="shared" si="6"/>
        <v>5272.58</v>
      </c>
      <c r="K12" s="227"/>
      <c r="L12" s="90">
        <f t="shared" si="7"/>
        <v>387</v>
      </c>
      <c r="M12" s="15">
        <v>30</v>
      </c>
      <c r="N12" s="314">
        <v>810.56</v>
      </c>
      <c r="O12" s="352">
        <v>44149</v>
      </c>
      <c r="P12" s="314">
        <f t="shared" si="1"/>
        <v>810.56</v>
      </c>
      <c r="Q12" s="315" t="s">
        <v>379</v>
      </c>
      <c r="R12" s="316">
        <v>120</v>
      </c>
      <c r="S12" s="326">
        <f t="shared" si="8"/>
        <v>11744.980000000001</v>
      </c>
      <c r="U12" s="227"/>
      <c r="V12" s="90">
        <f t="shared" si="9"/>
        <v>100</v>
      </c>
      <c r="W12" s="15"/>
      <c r="X12" s="314"/>
      <c r="Y12" s="352"/>
      <c r="Z12" s="314">
        <f t="shared" si="4"/>
        <v>0</v>
      </c>
      <c r="AA12" s="315"/>
      <c r="AB12" s="316"/>
      <c r="AC12" s="326">
        <f t="shared" si="10"/>
        <v>3175.02</v>
      </c>
    </row>
    <row r="13" spans="1:29" ht="15" x14ac:dyDescent="0.25">
      <c r="A13" s="89" t="s">
        <v>33</v>
      </c>
      <c r="B13" s="90">
        <f t="shared" si="5"/>
        <v>155</v>
      </c>
      <c r="C13" s="15">
        <v>15</v>
      </c>
      <c r="D13" s="314">
        <v>490.24</v>
      </c>
      <c r="E13" s="352">
        <v>44133</v>
      </c>
      <c r="F13" s="314">
        <f t="shared" si="3"/>
        <v>490.24</v>
      </c>
      <c r="G13" s="315" t="s">
        <v>152</v>
      </c>
      <c r="H13" s="316">
        <v>110</v>
      </c>
      <c r="I13" s="326">
        <f t="shared" si="6"/>
        <v>4782.34</v>
      </c>
      <c r="K13" s="89" t="s">
        <v>33</v>
      </c>
      <c r="L13" s="90">
        <f t="shared" si="7"/>
        <v>357</v>
      </c>
      <c r="M13" s="15">
        <v>30</v>
      </c>
      <c r="N13" s="314">
        <v>957.5</v>
      </c>
      <c r="O13" s="352">
        <v>44151</v>
      </c>
      <c r="P13" s="314">
        <f t="shared" si="1"/>
        <v>957.5</v>
      </c>
      <c r="Q13" s="315" t="s">
        <v>388</v>
      </c>
      <c r="R13" s="316">
        <v>120</v>
      </c>
      <c r="S13" s="326">
        <f t="shared" si="8"/>
        <v>10787.480000000001</v>
      </c>
      <c r="U13" s="89" t="s">
        <v>33</v>
      </c>
      <c r="V13" s="90">
        <f t="shared" si="9"/>
        <v>100</v>
      </c>
      <c r="W13" s="15"/>
      <c r="X13" s="314"/>
      <c r="Y13" s="352"/>
      <c r="Z13" s="314">
        <f t="shared" si="4"/>
        <v>0</v>
      </c>
      <c r="AA13" s="315"/>
      <c r="AB13" s="316"/>
      <c r="AC13" s="326">
        <f t="shared" si="10"/>
        <v>3175.02</v>
      </c>
    </row>
    <row r="14" spans="1:29" ht="15" x14ac:dyDescent="0.25">
      <c r="A14" s="79"/>
      <c r="B14" s="90">
        <f t="shared" si="5"/>
        <v>145</v>
      </c>
      <c r="C14" s="15">
        <v>10</v>
      </c>
      <c r="D14" s="314">
        <v>330.53</v>
      </c>
      <c r="E14" s="352">
        <v>44135</v>
      </c>
      <c r="F14" s="314">
        <f t="shared" si="3"/>
        <v>330.53</v>
      </c>
      <c r="G14" s="315" t="s">
        <v>157</v>
      </c>
      <c r="H14" s="316">
        <v>110</v>
      </c>
      <c r="I14" s="326">
        <f t="shared" si="6"/>
        <v>4451.8100000000004</v>
      </c>
      <c r="K14" s="79"/>
      <c r="L14" s="90">
        <f t="shared" si="7"/>
        <v>337</v>
      </c>
      <c r="M14" s="15">
        <v>20</v>
      </c>
      <c r="N14" s="314">
        <v>590.71</v>
      </c>
      <c r="O14" s="352">
        <v>44151</v>
      </c>
      <c r="P14" s="314">
        <f t="shared" si="1"/>
        <v>590.71</v>
      </c>
      <c r="Q14" s="315" t="s">
        <v>389</v>
      </c>
      <c r="R14" s="316">
        <v>120</v>
      </c>
      <c r="S14" s="326">
        <f t="shared" si="8"/>
        <v>10196.77</v>
      </c>
      <c r="U14" s="79"/>
      <c r="V14" s="90">
        <f t="shared" si="9"/>
        <v>100</v>
      </c>
      <c r="W14" s="15"/>
      <c r="X14" s="314"/>
      <c r="Y14" s="352"/>
      <c r="Z14" s="314">
        <f t="shared" si="4"/>
        <v>0</v>
      </c>
      <c r="AA14" s="315"/>
      <c r="AB14" s="316"/>
      <c r="AC14" s="326">
        <f t="shared" si="10"/>
        <v>3175.02</v>
      </c>
    </row>
    <row r="15" spans="1:29" ht="15" x14ac:dyDescent="0.25">
      <c r="A15" s="79"/>
      <c r="B15" s="90">
        <f t="shared" si="5"/>
        <v>117</v>
      </c>
      <c r="C15" s="15">
        <v>28</v>
      </c>
      <c r="D15" s="314">
        <v>912.06</v>
      </c>
      <c r="E15" s="352">
        <v>44135</v>
      </c>
      <c r="F15" s="314">
        <f t="shared" si="3"/>
        <v>912.06</v>
      </c>
      <c r="G15" s="315" t="s">
        <v>158</v>
      </c>
      <c r="H15" s="316">
        <v>110</v>
      </c>
      <c r="I15" s="326">
        <f t="shared" si="6"/>
        <v>3539.7500000000005</v>
      </c>
      <c r="K15" s="79"/>
      <c r="L15" s="90">
        <f t="shared" si="7"/>
        <v>307</v>
      </c>
      <c r="M15" s="15">
        <v>30</v>
      </c>
      <c r="N15" s="314">
        <v>906.52</v>
      </c>
      <c r="O15" s="352">
        <v>44152</v>
      </c>
      <c r="P15" s="314">
        <f t="shared" si="1"/>
        <v>906.52</v>
      </c>
      <c r="Q15" s="315" t="s">
        <v>393</v>
      </c>
      <c r="R15" s="316">
        <v>120</v>
      </c>
      <c r="S15" s="326">
        <f t="shared" si="8"/>
        <v>9290.25</v>
      </c>
      <c r="U15" s="79"/>
      <c r="V15" s="90">
        <f t="shared" si="9"/>
        <v>100</v>
      </c>
      <c r="W15" s="15"/>
      <c r="X15" s="314"/>
      <c r="Y15" s="352"/>
      <c r="Z15" s="314">
        <f t="shared" si="4"/>
        <v>0</v>
      </c>
      <c r="AA15" s="315"/>
      <c r="AB15" s="316"/>
      <c r="AC15" s="326">
        <f t="shared" si="10"/>
        <v>3175.02</v>
      </c>
    </row>
    <row r="16" spans="1:29" ht="15" x14ac:dyDescent="0.25">
      <c r="B16" s="90">
        <f t="shared" si="5"/>
        <v>107</v>
      </c>
      <c r="C16" s="15">
        <v>10</v>
      </c>
      <c r="D16" s="314">
        <v>325.10000000000002</v>
      </c>
      <c r="E16" s="352">
        <v>44137</v>
      </c>
      <c r="F16" s="314">
        <f t="shared" si="3"/>
        <v>325.10000000000002</v>
      </c>
      <c r="G16" s="315" t="s">
        <v>160</v>
      </c>
      <c r="H16" s="316">
        <v>110</v>
      </c>
      <c r="I16" s="326">
        <f t="shared" si="6"/>
        <v>3214.6500000000005</v>
      </c>
      <c r="L16" s="90">
        <f t="shared" si="7"/>
        <v>292</v>
      </c>
      <c r="M16" s="15">
        <v>15</v>
      </c>
      <c r="N16" s="314">
        <v>426.07</v>
      </c>
      <c r="O16" s="352">
        <v>44153</v>
      </c>
      <c r="P16" s="314">
        <f t="shared" si="1"/>
        <v>426.07</v>
      </c>
      <c r="Q16" s="315" t="s">
        <v>394</v>
      </c>
      <c r="R16" s="316">
        <v>120</v>
      </c>
      <c r="S16" s="326">
        <f t="shared" si="8"/>
        <v>8864.18</v>
      </c>
      <c r="V16" s="90">
        <f t="shared" si="9"/>
        <v>100</v>
      </c>
      <c r="W16" s="15"/>
      <c r="X16" s="314"/>
      <c r="Y16" s="352"/>
      <c r="Z16" s="314">
        <f t="shared" si="4"/>
        <v>0</v>
      </c>
      <c r="AA16" s="315"/>
      <c r="AB16" s="316"/>
      <c r="AC16" s="326">
        <f t="shared" si="10"/>
        <v>3175.02</v>
      </c>
    </row>
    <row r="17" spans="1:29" ht="15" x14ac:dyDescent="0.25">
      <c r="B17" s="90">
        <f t="shared" si="5"/>
        <v>78</v>
      </c>
      <c r="C17" s="15">
        <v>29</v>
      </c>
      <c r="D17" s="860">
        <v>898.23</v>
      </c>
      <c r="E17" s="861">
        <v>44139</v>
      </c>
      <c r="F17" s="860">
        <f t="shared" si="3"/>
        <v>898.23</v>
      </c>
      <c r="G17" s="862" t="s">
        <v>321</v>
      </c>
      <c r="H17" s="863">
        <v>110</v>
      </c>
      <c r="I17" s="326">
        <f t="shared" si="6"/>
        <v>2316.4200000000005</v>
      </c>
      <c r="L17" s="90">
        <f t="shared" si="7"/>
        <v>262</v>
      </c>
      <c r="M17" s="15">
        <v>30</v>
      </c>
      <c r="N17" s="314">
        <v>949.9</v>
      </c>
      <c r="O17" s="352">
        <v>44154</v>
      </c>
      <c r="P17" s="314">
        <f t="shared" si="1"/>
        <v>949.9</v>
      </c>
      <c r="Q17" s="315" t="s">
        <v>403</v>
      </c>
      <c r="R17" s="316">
        <v>120</v>
      </c>
      <c r="S17" s="326">
        <f t="shared" si="8"/>
        <v>7914.2800000000007</v>
      </c>
      <c r="V17" s="90">
        <f t="shared" si="9"/>
        <v>100</v>
      </c>
      <c r="W17" s="15"/>
      <c r="X17" s="314"/>
      <c r="Y17" s="352"/>
      <c r="Z17" s="314">
        <f t="shared" si="4"/>
        <v>0</v>
      </c>
      <c r="AA17" s="315"/>
      <c r="AB17" s="316"/>
      <c r="AC17" s="326">
        <f t="shared" si="10"/>
        <v>3175.02</v>
      </c>
    </row>
    <row r="18" spans="1:29" ht="15.75" x14ac:dyDescent="0.25">
      <c r="A18" s="132"/>
      <c r="B18" s="90">
        <f t="shared" si="5"/>
        <v>0</v>
      </c>
      <c r="C18" s="15">
        <v>78</v>
      </c>
      <c r="D18" s="860">
        <v>2323.2800000000002</v>
      </c>
      <c r="E18" s="861">
        <v>44140</v>
      </c>
      <c r="F18" s="860">
        <f t="shared" si="3"/>
        <v>2323.2800000000002</v>
      </c>
      <c r="G18" s="862" t="s">
        <v>335</v>
      </c>
      <c r="H18" s="863">
        <v>110</v>
      </c>
      <c r="I18" s="899">
        <f t="shared" si="6"/>
        <v>-6.8599999999996726</v>
      </c>
      <c r="K18" s="132"/>
      <c r="L18" s="90">
        <f t="shared" si="7"/>
        <v>232</v>
      </c>
      <c r="M18" s="15">
        <v>30</v>
      </c>
      <c r="N18" s="314">
        <v>868.89</v>
      </c>
      <c r="O18" s="352">
        <v>44156</v>
      </c>
      <c r="P18" s="314">
        <f t="shared" si="1"/>
        <v>868.89</v>
      </c>
      <c r="Q18" s="315" t="s">
        <v>410</v>
      </c>
      <c r="R18" s="316">
        <v>120</v>
      </c>
      <c r="S18" s="326">
        <f t="shared" si="8"/>
        <v>7045.39</v>
      </c>
      <c r="U18" s="132"/>
      <c r="V18" s="90">
        <f>V17-W18</f>
        <v>100</v>
      </c>
      <c r="W18" s="15"/>
      <c r="X18" s="314"/>
      <c r="Y18" s="352"/>
      <c r="Z18" s="314">
        <f t="shared" si="4"/>
        <v>0</v>
      </c>
      <c r="AA18" s="315"/>
      <c r="AB18" s="316"/>
      <c r="AC18" s="326">
        <f t="shared" si="10"/>
        <v>3175.02</v>
      </c>
    </row>
    <row r="19" spans="1:29" ht="15.75" x14ac:dyDescent="0.25">
      <c r="A19" s="132"/>
      <c r="B19" s="90">
        <f t="shared" si="5"/>
        <v>0</v>
      </c>
      <c r="C19" s="15"/>
      <c r="D19" s="860"/>
      <c r="E19" s="861"/>
      <c r="F19" s="900">
        <f t="shared" si="3"/>
        <v>0</v>
      </c>
      <c r="G19" s="901"/>
      <c r="H19" s="902"/>
      <c r="I19" s="903">
        <f t="shared" si="6"/>
        <v>-6.8599999999996726</v>
      </c>
      <c r="K19" s="132"/>
      <c r="L19" s="90">
        <f t="shared" si="7"/>
        <v>226</v>
      </c>
      <c r="M19" s="15">
        <v>6</v>
      </c>
      <c r="N19" s="314">
        <v>188.78</v>
      </c>
      <c r="O19" s="352">
        <v>44159</v>
      </c>
      <c r="P19" s="314">
        <f t="shared" si="1"/>
        <v>188.78</v>
      </c>
      <c r="Q19" s="315" t="s">
        <v>422</v>
      </c>
      <c r="R19" s="316">
        <v>120</v>
      </c>
      <c r="S19" s="326">
        <f t="shared" si="8"/>
        <v>6856.6100000000006</v>
      </c>
      <c r="U19" s="132"/>
      <c r="V19" s="90">
        <f t="shared" si="9"/>
        <v>100</v>
      </c>
      <c r="W19" s="15"/>
      <c r="X19" s="314"/>
      <c r="Y19" s="352"/>
      <c r="Z19" s="314">
        <f t="shared" si="4"/>
        <v>0</v>
      </c>
      <c r="AA19" s="315"/>
      <c r="AB19" s="316"/>
      <c r="AC19" s="326">
        <f t="shared" si="10"/>
        <v>3175.02</v>
      </c>
    </row>
    <row r="20" spans="1:29" ht="15.75" x14ac:dyDescent="0.25">
      <c r="A20" s="132"/>
      <c r="B20" s="90">
        <f t="shared" si="5"/>
        <v>0</v>
      </c>
      <c r="C20" s="15"/>
      <c r="D20" s="860"/>
      <c r="E20" s="861"/>
      <c r="F20" s="900">
        <f t="shared" si="3"/>
        <v>0</v>
      </c>
      <c r="G20" s="901"/>
      <c r="H20" s="902"/>
      <c r="I20" s="903">
        <f t="shared" si="6"/>
        <v>-6.8599999999996726</v>
      </c>
      <c r="K20" s="132"/>
      <c r="L20" s="90">
        <f t="shared" si="7"/>
        <v>206</v>
      </c>
      <c r="M20" s="15">
        <v>20</v>
      </c>
      <c r="N20" s="314">
        <v>580</v>
      </c>
      <c r="O20" s="352">
        <v>44159</v>
      </c>
      <c r="P20" s="314">
        <f t="shared" si="1"/>
        <v>580</v>
      </c>
      <c r="Q20" s="315" t="s">
        <v>423</v>
      </c>
      <c r="R20" s="316">
        <v>120</v>
      </c>
      <c r="S20" s="326">
        <f t="shared" si="8"/>
        <v>6276.6100000000006</v>
      </c>
      <c r="U20" s="132"/>
      <c r="V20" s="90">
        <f t="shared" si="9"/>
        <v>100</v>
      </c>
      <c r="W20" s="15"/>
      <c r="X20" s="314"/>
      <c r="Y20" s="352"/>
      <c r="Z20" s="314">
        <f t="shared" si="4"/>
        <v>0</v>
      </c>
      <c r="AA20" s="315"/>
      <c r="AB20" s="316"/>
      <c r="AC20" s="326">
        <f t="shared" si="10"/>
        <v>3175.02</v>
      </c>
    </row>
    <row r="21" spans="1:29" ht="15.75" x14ac:dyDescent="0.25">
      <c r="A21" s="132"/>
      <c r="B21" s="90">
        <f t="shared" si="5"/>
        <v>0</v>
      </c>
      <c r="C21" s="15"/>
      <c r="D21" s="860"/>
      <c r="E21" s="861"/>
      <c r="F21" s="900">
        <f t="shared" si="3"/>
        <v>0</v>
      </c>
      <c r="G21" s="901"/>
      <c r="H21" s="902"/>
      <c r="I21" s="903">
        <f t="shared" si="6"/>
        <v>-6.8599999999996726</v>
      </c>
      <c r="K21" s="132"/>
      <c r="L21" s="90">
        <f t="shared" si="7"/>
        <v>176</v>
      </c>
      <c r="M21" s="15">
        <v>30</v>
      </c>
      <c r="N21" s="314">
        <v>886.44</v>
      </c>
      <c r="O21" s="352">
        <v>44160</v>
      </c>
      <c r="P21" s="314">
        <f t="shared" si="1"/>
        <v>886.44</v>
      </c>
      <c r="Q21" s="315" t="s">
        <v>424</v>
      </c>
      <c r="R21" s="316">
        <v>120</v>
      </c>
      <c r="S21" s="326">
        <f t="shared" si="8"/>
        <v>5390.17</v>
      </c>
      <c r="U21" s="132"/>
      <c r="V21" s="90">
        <f t="shared" si="9"/>
        <v>100</v>
      </c>
      <c r="W21" s="15"/>
      <c r="X21" s="314"/>
      <c r="Y21" s="352"/>
      <c r="Z21" s="314">
        <f t="shared" si="4"/>
        <v>0</v>
      </c>
      <c r="AA21" s="315"/>
      <c r="AB21" s="316"/>
      <c r="AC21" s="326">
        <f t="shared" si="10"/>
        <v>3175.02</v>
      </c>
    </row>
    <row r="22" spans="1:29" ht="15.75" x14ac:dyDescent="0.25">
      <c r="A22" s="132"/>
      <c r="B22" s="332">
        <f t="shared" si="5"/>
        <v>0</v>
      </c>
      <c r="C22" s="15"/>
      <c r="D22" s="860"/>
      <c r="E22" s="861"/>
      <c r="F22" s="860">
        <f t="shared" si="3"/>
        <v>0</v>
      </c>
      <c r="G22" s="862"/>
      <c r="H22" s="863"/>
      <c r="I22" s="899">
        <f t="shared" si="6"/>
        <v>-6.8599999999996726</v>
      </c>
      <c r="K22" s="132"/>
      <c r="L22" s="332">
        <f t="shared" si="7"/>
        <v>146</v>
      </c>
      <c r="M22" s="15">
        <v>30</v>
      </c>
      <c r="N22" s="314">
        <v>914.43</v>
      </c>
      <c r="O22" s="352">
        <v>44162</v>
      </c>
      <c r="P22" s="314">
        <f t="shared" si="1"/>
        <v>914.43</v>
      </c>
      <c r="Q22" s="315" t="s">
        <v>440</v>
      </c>
      <c r="R22" s="316">
        <v>125</v>
      </c>
      <c r="S22" s="326">
        <f t="shared" si="8"/>
        <v>4475.74</v>
      </c>
      <c r="U22" s="132"/>
      <c r="V22" s="332">
        <f t="shared" si="9"/>
        <v>100</v>
      </c>
      <c r="W22" s="15"/>
      <c r="X22" s="314"/>
      <c r="Y22" s="352"/>
      <c r="Z22" s="314">
        <f t="shared" si="4"/>
        <v>0</v>
      </c>
      <c r="AA22" s="315"/>
      <c r="AB22" s="316"/>
      <c r="AC22" s="326">
        <f t="shared" si="10"/>
        <v>3175.02</v>
      </c>
    </row>
    <row r="23" spans="1:29" ht="15" x14ac:dyDescent="0.25">
      <c r="A23" s="133"/>
      <c r="B23" s="332">
        <f t="shared" si="5"/>
        <v>0</v>
      </c>
      <c r="C23" s="15"/>
      <c r="D23" s="860"/>
      <c r="E23" s="861"/>
      <c r="F23" s="860">
        <f t="shared" si="3"/>
        <v>0</v>
      </c>
      <c r="G23" s="862"/>
      <c r="H23" s="863"/>
      <c r="I23" s="326">
        <f t="shared" si="6"/>
        <v>-6.8599999999996726</v>
      </c>
      <c r="K23" s="133"/>
      <c r="L23" s="332">
        <f t="shared" si="7"/>
        <v>140</v>
      </c>
      <c r="M23" s="15">
        <v>6</v>
      </c>
      <c r="N23" s="314">
        <v>173.67</v>
      </c>
      <c r="O23" s="352">
        <v>44163</v>
      </c>
      <c r="P23" s="314">
        <f t="shared" si="1"/>
        <v>173.67</v>
      </c>
      <c r="Q23" s="315" t="s">
        <v>433</v>
      </c>
      <c r="R23" s="316">
        <v>125</v>
      </c>
      <c r="S23" s="326">
        <f t="shared" si="8"/>
        <v>4302.07</v>
      </c>
      <c r="U23" s="133"/>
      <c r="V23" s="332">
        <f t="shared" si="9"/>
        <v>100</v>
      </c>
      <c r="W23" s="15"/>
      <c r="X23" s="314"/>
      <c r="Y23" s="352"/>
      <c r="Z23" s="314">
        <f t="shared" si="4"/>
        <v>0</v>
      </c>
      <c r="AA23" s="315"/>
      <c r="AB23" s="316"/>
      <c r="AC23" s="326">
        <f t="shared" si="10"/>
        <v>3175.02</v>
      </c>
    </row>
    <row r="24" spans="1:29" ht="15" x14ac:dyDescent="0.25">
      <c r="A24" s="132"/>
      <c r="B24" s="332">
        <f t="shared" si="5"/>
        <v>0</v>
      </c>
      <c r="C24" s="15"/>
      <c r="D24" s="860"/>
      <c r="E24" s="861"/>
      <c r="F24" s="860">
        <f t="shared" si="3"/>
        <v>0</v>
      </c>
      <c r="G24" s="862"/>
      <c r="H24" s="863"/>
      <c r="I24" s="326">
        <f t="shared" si="6"/>
        <v>-6.8599999999996726</v>
      </c>
      <c r="K24" s="132"/>
      <c r="L24" s="332">
        <f t="shared" si="7"/>
        <v>110</v>
      </c>
      <c r="M24" s="15">
        <v>30</v>
      </c>
      <c r="N24" s="314">
        <v>916.6</v>
      </c>
      <c r="O24" s="352">
        <v>44163</v>
      </c>
      <c r="P24" s="314">
        <f t="shared" si="1"/>
        <v>916.6</v>
      </c>
      <c r="Q24" s="315" t="s">
        <v>443</v>
      </c>
      <c r="R24" s="316">
        <v>125</v>
      </c>
      <c r="S24" s="326">
        <f t="shared" si="8"/>
        <v>3385.47</v>
      </c>
      <c r="U24" s="132"/>
      <c r="V24" s="332">
        <f t="shared" si="9"/>
        <v>100</v>
      </c>
      <c r="W24" s="15"/>
      <c r="X24" s="314"/>
      <c r="Y24" s="352"/>
      <c r="Z24" s="314">
        <f t="shared" si="4"/>
        <v>0</v>
      </c>
      <c r="AA24" s="315"/>
      <c r="AB24" s="316"/>
      <c r="AC24" s="326">
        <f t="shared" si="10"/>
        <v>3175.02</v>
      </c>
    </row>
    <row r="25" spans="1:29" ht="15" x14ac:dyDescent="0.25">
      <c r="A25" s="132"/>
      <c r="B25" s="332">
        <f t="shared" si="5"/>
        <v>0</v>
      </c>
      <c r="C25" s="15"/>
      <c r="D25" s="860"/>
      <c r="E25" s="861"/>
      <c r="F25" s="860">
        <f t="shared" si="3"/>
        <v>0</v>
      </c>
      <c r="G25" s="862"/>
      <c r="H25" s="863"/>
      <c r="I25" s="326">
        <f t="shared" si="6"/>
        <v>-6.8599999999996726</v>
      </c>
      <c r="K25" s="132"/>
      <c r="L25" s="332">
        <f t="shared" si="7"/>
        <v>100</v>
      </c>
      <c r="M25" s="15">
        <v>10</v>
      </c>
      <c r="N25" s="314">
        <v>303.52999999999997</v>
      </c>
      <c r="O25" s="352">
        <v>44166</v>
      </c>
      <c r="P25" s="314">
        <f t="shared" si="1"/>
        <v>303.52999999999997</v>
      </c>
      <c r="Q25" s="315" t="s">
        <v>455</v>
      </c>
      <c r="R25" s="316">
        <v>125</v>
      </c>
      <c r="S25" s="326">
        <f t="shared" si="8"/>
        <v>3081.9399999999996</v>
      </c>
      <c r="U25" s="132"/>
      <c r="V25" s="332">
        <f t="shared" si="9"/>
        <v>100</v>
      </c>
      <c r="W25" s="15"/>
      <c r="X25" s="314"/>
      <c r="Y25" s="352"/>
      <c r="Z25" s="314">
        <f t="shared" si="4"/>
        <v>0</v>
      </c>
      <c r="AA25" s="315"/>
      <c r="AB25" s="316"/>
      <c r="AC25" s="326">
        <f t="shared" si="10"/>
        <v>3175.02</v>
      </c>
    </row>
    <row r="26" spans="1:29" ht="15" x14ac:dyDescent="0.25">
      <c r="A26" s="132"/>
      <c r="B26" s="227">
        <f t="shared" si="5"/>
        <v>0</v>
      </c>
      <c r="C26" s="15"/>
      <c r="D26" s="860"/>
      <c r="E26" s="861"/>
      <c r="F26" s="860">
        <f t="shared" si="3"/>
        <v>0</v>
      </c>
      <c r="G26" s="862"/>
      <c r="H26" s="863"/>
      <c r="I26" s="326">
        <f t="shared" si="6"/>
        <v>-6.8599999999996726</v>
      </c>
      <c r="K26" s="132"/>
      <c r="L26" s="227">
        <f t="shared" si="7"/>
        <v>70</v>
      </c>
      <c r="M26" s="15">
        <v>30</v>
      </c>
      <c r="N26" s="314">
        <v>920.17</v>
      </c>
      <c r="O26" s="352">
        <v>44168</v>
      </c>
      <c r="P26" s="314">
        <f t="shared" si="1"/>
        <v>920.17</v>
      </c>
      <c r="Q26" s="315" t="s">
        <v>480</v>
      </c>
      <c r="R26" s="316">
        <v>125</v>
      </c>
      <c r="S26" s="326">
        <f t="shared" si="8"/>
        <v>2161.7699999999995</v>
      </c>
      <c r="U26" s="132"/>
      <c r="V26" s="227">
        <f t="shared" si="9"/>
        <v>100</v>
      </c>
      <c r="W26" s="15"/>
      <c r="X26" s="314"/>
      <c r="Y26" s="352"/>
      <c r="Z26" s="314">
        <f t="shared" si="4"/>
        <v>0</v>
      </c>
      <c r="AA26" s="315"/>
      <c r="AB26" s="316"/>
      <c r="AC26" s="326">
        <f t="shared" si="10"/>
        <v>3175.02</v>
      </c>
    </row>
    <row r="27" spans="1:29" ht="15" x14ac:dyDescent="0.25">
      <c r="A27" s="132"/>
      <c r="B27" s="332">
        <f t="shared" si="5"/>
        <v>0</v>
      </c>
      <c r="C27" s="15"/>
      <c r="D27" s="860"/>
      <c r="E27" s="861"/>
      <c r="F27" s="860">
        <f t="shared" si="3"/>
        <v>0</v>
      </c>
      <c r="G27" s="862"/>
      <c r="H27" s="863"/>
      <c r="I27" s="326">
        <f t="shared" si="6"/>
        <v>-6.8599999999996726</v>
      </c>
      <c r="K27" s="132"/>
      <c r="L27" s="332">
        <f t="shared" si="7"/>
        <v>40</v>
      </c>
      <c r="M27" s="15">
        <v>30</v>
      </c>
      <c r="N27" s="314">
        <v>848.9</v>
      </c>
      <c r="O27" s="352">
        <v>44170</v>
      </c>
      <c r="P27" s="314">
        <f t="shared" si="1"/>
        <v>848.9</v>
      </c>
      <c r="Q27" s="315" t="s">
        <v>498</v>
      </c>
      <c r="R27" s="316">
        <v>125</v>
      </c>
      <c r="S27" s="326">
        <f t="shared" si="8"/>
        <v>1312.8699999999994</v>
      </c>
      <c r="U27" s="132"/>
      <c r="V27" s="332">
        <f t="shared" si="9"/>
        <v>100</v>
      </c>
      <c r="W27" s="15"/>
      <c r="X27" s="314"/>
      <c r="Y27" s="352"/>
      <c r="Z27" s="314">
        <f t="shared" si="4"/>
        <v>0</v>
      </c>
      <c r="AA27" s="315"/>
      <c r="AB27" s="316"/>
      <c r="AC27" s="326">
        <f t="shared" si="10"/>
        <v>3175.02</v>
      </c>
    </row>
    <row r="28" spans="1:29" ht="15" x14ac:dyDescent="0.25">
      <c r="A28" s="132"/>
      <c r="B28" s="227">
        <f t="shared" si="5"/>
        <v>0</v>
      </c>
      <c r="C28" s="15"/>
      <c r="D28" s="860"/>
      <c r="E28" s="861"/>
      <c r="F28" s="860">
        <f t="shared" si="3"/>
        <v>0</v>
      </c>
      <c r="G28" s="862"/>
      <c r="H28" s="863"/>
      <c r="I28" s="326">
        <f t="shared" si="6"/>
        <v>-6.8599999999996726</v>
      </c>
      <c r="K28" s="132"/>
      <c r="L28" s="227">
        <f t="shared" si="7"/>
        <v>30</v>
      </c>
      <c r="M28" s="15">
        <v>10</v>
      </c>
      <c r="N28" s="314">
        <v>299.60000000000002</v>
      </c>
      <c r="O28" s="352">
        <v>44173</v>
      </c>
      <c r="P28" s="314">
        <f t="shared" si="1"/>
        <v>299.60000000000002</v>
      </c>
      <c r="Q28" s="315" t="s">
        <v>499</v>
      </c>
      <c r="R28" s="316">
        <v>125</v>
      </c>
      <c r="S28" s="326">
        <f t="shared" si="8"/>
        <v>1013.2699999999994</v>
      </c>
      <c r="U28" s="132"/>
      <c r="V28" s="227">
        <f t="shared" si="9"/>
        <v>100</v>
      </c>
      <c r="W28" s="15"/>
      <c r="X28" s="314"/>
      <c r="Y28" s="352"/>
      <c r="Z28" s="314">
        <f t="shared" si="4"/>
        <v>0</v>
      </c>
      <c r="AA28" s="315"/>
      <c r="AB28" s="316"/>
      <c r="AC28" s="326">
        <f t="shared" si="10"/>
        <v>3175.02</v>
      </c>
    </row>
    <row r="29" spans="1:29" ht="15" x14ac:dyDescent="0.25">
      <c r="A29" s="132"/>
      <c r="B29" s="332">
        <f t="shared" si="5"/>
        <v>0</v>
      </c>
      <c r="C29" s="15"/>
      <c r="D29" s="860"/>
      <c r="E29" s="861"/>
      <c r="F29" s="860">
        <f t="shared" si="3"/>
        <v>0</v>
      </c>
      <c r="G29" s="862"/>
      <c r="H29" s="863"/>
      <c r="I29" s="326">
        <f t="shared" si="6"/>
        <v>-6.8599999999996726</v>
      </c>
      <c r="K29" s="132"/>
      <c r="L29" s="332">
        <f t="shared" si="7"/>
        <v>30</v>
      </c>
      <c r="M29" s="15"/>
      <c r="N29" s="314"/>
      <c r="O29" s="352"/>
      <c r="P29" s="314">
        <f t="shared" si="1"/>
        <v>0</v>
      </c>
      <c r="Q29" s="315"/>
      <c r="R29" s="316"/>
      <c r="S29" s="326">
        <f t="shared" si="8"/>
        <v>1013.2699999999994</v>
      </c>
      <c r="U29" s="132"/>
      <c r="V29" s="332">
        <f t="shared" si="9"/>
        <v>100</v>
      </c>
      <c r="W29" s="15"/>
      <c r="X29" s="314"/>
      <c r="Y29" s="352"/>
      <c r="Z29" s="314">
        <f t="shared" si="4"/>
        <v>0</v>
      </c>
      <c r="AA29" s="315"/>
      <c r="AB29" s="316"/>
      <c r="AC29" s="326">
        <f t="shared" si="10"/>
        <v>3175.02</v>
      </c>
    </row>
    <row r="30" spans="1:29" ht="15" x14ac:dyDescent="0.25">
      <c r="A30" s="132"/>
      <c r="B30" s="332">
        <f t="shared" si="5"/>
        <v>0</v>
      </c>
      <c r="C30" s="15"/>
      <c r="D30" s="860"/>
      <c r="E30" s="861"/>
      <c r="F30" s="860">
        <f t="shared" si="3"/>
        <v>0</v>
      </c>
      <c r="G30" s="862"/>
      <c r="H30" s="863"/>
      <c r="I30" s="326">
        <f t="shared" si="6"/>
        <v>-6.8599999999996726</v>
      </c>
      <c r="K30" s="132"/>
      <c r="L30" s="332">
        <f t="shared" si="7"/>
        <v>30</v>
      </c>
      <c r="M30" s="15"/>
      <c r="N30" s="314"/>
      <c r="O30" s="352"/>
      <c r="P30" s="314">
        <f t="shared" si="1"/>
        <v>0</v>
      </c>
      <c r="Q30" s="315"/>
      <c r="R30" s="316"/>
      <c r="S30" s="326">
        <f t="shared" si="8"/>
        <v>1013.2699999999994</v>
      </c>
      <c r="U30" s="132"/>
      <c r="V30" s="332">
        <f t="shared" si="9"/>
        <v>100</v>
      </c>
      <c r="W30" s="15"/>
      <c r="X30" s="314"/>
      <c r="Y30" s="352"/>
      <c r="Z30" s="314">
        <f t="shared" si="4"/>
        <v>0</v>
      </c>
      <c r="AA30" s="315"/>
      <c r="AB30" s="316"/>
      <c r="AC30" s="326">
        <f t="shared" si="10"/>
        <v>3175.02</v>
      </c>
    </row>
    <row r="31" spans="1:29" ht="15" x14ac:dyDescent="0.25">
      <c r="A31" s="132"/>
      <c r="B31" s="332">
        <f t="shared" si="5"/>
        <v>0</v>
      </c>
      <c r="C31" s="15"/>
      <c r="D31" s="860"/>
      <c r="E31" s="861"/>
      <c r="F31" s="860">
        <f t="shared" si="3"/>
        <v>0</v>
      </c>
      <c r="G31" s="862"/>
      <c r="H31" s="863"/>
      <c r="I31" s="326">
        <f t="shared" si="6"/>
        <v>-6.8599999999996726</v>
      </c>
      <c r="K31" s="132"/>
      <c r="L31" s="332">
        <f t="shared" si="7"/>
        <v>30</v>
      </c>
      <c r="M31" s="15"/>
      <c r="N31" s="314"/>
      <c r="O31" s="352"/>
      <c r="P31" s="314">
        <f t="shared" si="1"/>
        <v>0</v>
      </c>
      <c r="Q31" s="315"/>
      <c r="R31" s="316"/>
      <c r="S31" s="326">
        <f t="shared" si="8"/>
        <v>1013.2699999999994</v>
      </c>
      <c r="U31" s="132"/>
      <c r="V31" s="332">
        <f t="shared" si="9"/>
        <v>100</v>
      </c>
      <c r="W31" s="15"/>
      <c r="X31" s="314"/>
      <c r="Y31" s="352"/>
      <c r="Z31" s="314">
        <f t="shared" si="4"/>
        <v>0</v>
      </c>
      <c r="AA31" s="315"/>
      <c r="AB31" s="316"/>
      <c r="AC31" s="326">
        <f t="shared" si="10"/>
        <v>3175.02</v>
      </c>
    </row>
    <row r="32" spans="1:29" ht="15" x14ac:dyDescent="0.25">
      <c r="A32" s="132"/>
      <c r="B32" s="332">
        <f t="shared" si="5"/>
        <v>0</v>
      </c>
      <c r="C32" s="15"/>
      <c r="D32" s="860"/>
      <c r="E32" s="861"/>
      <c r="F32" s="860">
        <f t="shared" si="3"/>
        <v>0</v>
      </c>
      <c r="G32" s="862"/>
      <c r="H32" s="863"/>
      <c r="I32" s="326">
        <f t="shared" si="6"/>
        <v>-6.8599999999996726</v>
      </c>
      <c r="K32" s="132"/>
      <c r="L32" s="332">
        <f t="shared" si="7"/>
        <v>30</v>
      </c>
      <c r="M32" s="15"/>
      <c r="N32" s="314"/>
      <c r="O32" s="352"/>
      <c r="P32" s="314">
        <f t="shared" si="1"/>
        <v>0</v>
      </c>
      <c r="Q32" s="315"/>
      <c r="R32" s="316"/>
      <c r="S32" s="326">
        <f t="shared" si="8"/>
        <v>1013.2699999999994</v>
      </c>
      <c r="U32" s="132"/>
      <c r="V32" s="332">
        <f t="shared" si="9"/>
        <v>100</v>
      </c>
      <c r="W32" s="15"/>
      <c r="X32" s="314"/>
      <c r="Y32" s="352"/>
      <c r="Z32" s="314">
        <f t="shared" si="4"/>
        <v>0</v>
      </c>
      <c r="AA32" s="315"/>
      <c r="AB32" s="316"/>
      <c r="AC32" s="326">
        <f t="shared" si="10"/>
        <v>3175.02</v>
      </c>
    </row>
    <row r="33" spans="1:29" ht="15" x14ac:dyDescent="0.25">
      <c r="A33" s="132"/>
      <c r="B33" s="332">
        <f t="shared" si="5"/>
        <v>0</v>
      </c>
      <c r="C33" s="15"/>
      <c r="D33" s="314"/>
      <c r="E33" s="352"/>
      <c r="F33" s="314">
        <f t="shared" si="3"/>
        <v>0</v>
      </c>
      <c r="G33" s="315"/>
      <c r="H33" s="316"/>
      <c r="I33" s="326">
        <f t="shared" si="6"/>
        <v>-6.8599999999996726</v>
      </c>
      <c r="K33" s="132"/>
      <c r="L33" s="332">
        <f t="shared" si="7"/>
        <v>30</v>
      </c>
      <c r="M33" s="15"/>
      <c r="N33" s="314"/>
      <c r="O33" s="352"/>
      <c r="P33" s="314">
        <f t="shared" si="1"/>
        <v>0</v>
      </c>
      <c r="Q33" s="315"/>
      <c r="R33" s="316"/>
      <c r="S33" s="326">
        <f t="shared" si="8"/>
        <v>1013.2699999999994</v>
      </c>
      <c r="U33" s="132"/>
      <c r="V33" s="332">
        <f t="shared" si="9"/>
        <v>100</v>
      </c>
      <c r="W33" s="15"/>
      <c r="X33" s="314"/>
      <c r="Y33" s="352"/>
      <c r="Z33" s="314">
        <f t="shared" si="4"/>
        <v>0</v>
      </c>
      <c r="AA33" s="315"/>
      <c r="AB33" s="316"/>
      <c r="AC33" s="326">
        <f t="shared" si="10"/>
        <v>3175.02</v>
      </c>
    </row>
    <row r="34" spans="1:29" ht="15" x14ac:dyDescent="0.25">
      <c r="A34" s="132"/>
      <c r="B34" s="332">
        <f t="shared" si="5"/>
        <v>0</v>
      </c>
      <c r="C34" s="15"/>
      <c r="D34" s="314"/>
      <c r="E34" s="352"/>
      <c r="F34" s="314">
        <f t="shared" si="3"/>
        <v>0</v>
      </c>
      <c r="G34" s="315"/>
      <c r="H34" s="316"/>
      <c r="I34" s="326">
        <f t="shared" si="6"/>
        <v>-6.8599999999996726</v>
      </c>
      <c r="K34" s="132"/>
      <c r="L34" s="332">
        <f t="shared" si="7"/>
        <v>30</v>
      </c>
      <c r="M34" s="15"/>
      <c r="N34" s="314"/>
      <c r="O34" s="352"/>
      <c r="P34" s="314">
        <f t="shared" si="1"/>
        <v>0</v>
      </c>
      <c r="Q34" s="315"/>
      <c r="R34" s="316"/>
      <c r="S34" s="326">
        <f t="shared" si="8"/>
        <v>1013.2699999999994</v>
      </c>
      <c r="U34" s="132"/>
      <c r="V34" s="332">
        <f t="shared" si="9"/>
        <v>100</v>
      </c>
      <c r="W34" s="15"/>
      <c r="X34" s="314"/>
      <c r="Y34" s="352"/>
      <c r="Z34" s="314">
        <f t="shared" si="4"/>
        <v>0</v>
      </c>
      <c r="AA34" s="315"/>
      <c r="AB34" s="316"/>
      <c r="AC34" s="326">
        <f t="shared" si="10"/>
        <v>3175.02</v>
      </c>
    </row>
    <row r="35" spans="1:29" ht="15" x14ac:dyDescent="0.25">
      <c r="A35" s="132"/>
      <c r="B35" s="332">
        <f t="shared" si="5"/>
        <v>0</v>
      </c>
      <c r="C35" s="15"/>
      <c r="D35" s="314"/>
      <c r="E35" s="352"/>
      <c r="F35" s="314">
        <f t="shared" si="3"/>
        <v>0</v>
      </c>
      <c r="G35" s="315"/>
      <c r="H35" s="316"/>
      <c r="I35" s="326">
        <f t="shared" si="6"/>
        <v>-6.8599999999996726</v>
      </c>
      <c r="K35" s="132"/>
      <c r="L35" s="332">
        <f t="shared" si="7"/>
        <v>30</v>
      </c>
      <c r="M35" s="15"/>
      <c r="N35" s="314"/>
      <c r="O35" s="352"/>
      <c r="P35" s="314">
        <f t="shared" si="1"/>
        <v>0</v>
      </c>
      <c r="Q35" s="315"/>
      <c r="R35" s="316"/>
      <c r="S35" s="326">
        <f t="shared" si="8"/>
        <v>1013.2699999999994</v>
      </c>
      <c r="U35" s="132"/>
      <c r="V35" s="332">
        <f t="shared" si="9"/>
        <v>100</v>
      </c>
      <c r="W35" s="15"/>
      <c r="X35" s="314"/>
      <c r="Y35" s="352"/>
      <c r="Z35" s="314">
        <f t="shared" si="4"/>
        <v>0</v>
      </c>
      <c r="AA35" s="315"/>
      <c r="AB35" s="316"/>
      <c r="AC35" s="326">
        <f t="shared" si="10"/>
        <v>3175.02</v>
      </c>
    </row>
    <row r="36" spans="1:29" ht="15" x14ac:dyDescent="0.25">
      <c r="A36" s="132" t="s">
        <v>22</v>
      </c>
      <c r="B36" s="332">
        <f t="shared" si="5"/>
        <v>0</v>
      </c>
      <c r="C36" s="15"/>
      <c r="D36" s="314"/>
      <c r="E36" s="352"/>
      <c r="F36" s="314">
        <f t="shared" si="3"/>
        <v>0</v>
      </c>
      <c r="G36" s="315"/>
      <c r="H36" s="316"/>
      <c r="I36" s="326">
        <f t="shared" si="6"/>
        <v>-6.8599999999996726</v>
      </c>
      <c r="K36" s="132" t="s">
        <v>22</v>
      </c>
      <c r="L36" s="332">
        <f t="shared" si="7"/>
        <v>30</v>
      </c>
      <c r="M36" s="15"/>
      <c r="N36" s="314"/>
      <c r="O36" s="352"/>
      <c r="P36" s="314">
        <f t="shared" si="1"/>
        <v>0</v>
      </c>
      <c r="Q36" s="315"/>
      <c r="R36" s="316"/>
      <c r="S36" s="326">
        <f t="shared" si="8"/>
        <v>1013.2699999999994</v>
      </c>
      <c r="U36" s="132" t="s">
        <v>22</v>
      </c>
      <c r="V36" s="332">
        <f t="shared" si="9"/>
        <v>100</v>
      </c>
      <c r="W36" s="15"/>
      <c r="X36" s="314"/>
      <c r="Y36" s="352"/>
      <c r="Z36" s="314">
        <f t="shared" si="4"/>
        <v>0</v>
      </c>
      <c r="AA36" s="315"/>
      <c r="AB36" s="316"/>
      <c r="AC36" s="326">
        <f t="shared" si="10"/>
        <v>3175.02</v>
      </c>
    </row>
    <row r="37" spans="1:29" ht="15" x14ac:dyDescent="0.25">
      <c r="A37" s="133"/>
      <c r="B37" s="332">
        <f t="shared" si="5"/>
        <v>0</v>
      </c>
      <c r="C37" s="15"/>
      <c r="D37" s="314"/>
      <c r="E37" s="352"/>
      <c r="F37" s="314">
        <f t="shared" si="3"/>
        <v>0</v>
      </c>
      <c r="G37" s="315"/>
      <c r="H37" s="316"/>
      <c r="I37" s="326">
        <f t="shared" si="6"/>
        <v>-6.8599999999996726</v>
      </c>
      <c r="K37" s="133"/>
      <c r="L37" s="332">
        <f t="shared" si="7"/>
        <v>30</v>
      </c>
      <c r="M37" s="15"/>
      <c r="N37" s="314"/>
      <c r="O37" s="352"/>
      <c r="P37" s="314">
        <f t="shared" si="1"/>
        <v>0</v>
      </c>
      <c r="Q37" s="315"/>
      <c r="R37" s="316"/>
      <c r="S37" s="326">
        <f t="shared" si="8"/>
        <v>1013.2699999999994</v>
      </c>
      <c r="U37" s="133"/>
      <c r="V37" s="332">
        <f t="shared" si="9"/>
        <v>100</v>
      </c>
      <c r="W37" s="15"/>
      <c r="X37" s="314"/>
      <c r="Y37" s="352"/>
      <c r="Z37" s="314">
        <f t="shared" si="4"/>
        <v>0</v>
      </c>
      <c r="AA37" s="315"/>
      <c r="AB37" s="316"/>
      <c r="AC37" s="326">
        <f t="shared" si="10"/>
        <v>3175.02</v>
      </c>
    </row>
    <row r="38" spans="1:29" ht="15" x14ac:dyDescent="0.25">
      <c r="A38" s="132"/>
      <c r="B38" s="332">
        <f t="shared" si="5"/>
        <v>0</v>
      </c>
      <c r="C38" s="15"/>
      <c r="D38" s="314"/>
      <c r="E38" s="352"/>
      <c r="F38" s="314">
        <f t="shared" si="3"/>
        <v>0</v>
      </c>
      <c r="G38" s="315"/>
      <c r="H38" s="316"/>
      <c r="I38" s="326">
        <f t="shared" si="6"/>
        <v>-6.8599999999996726</v>
      </c>
      <c r="K38" s="132"/>
      <c r="L38" s="332">
        <f t="shared" si="7"/>
        <v>30</v>
      </c>
      <c r="M38" s="15"/>
      <c r="N38" s="314"/>
      <c r="O38" s="352"/>
      <c r="P38" s="314">
        <f t="shared" si="1"/>
        <v>0</v>
      </c>
      <c r="Q38" s="315"/>
      <c r="R38" s="316"/>
      <c r="S38" s="326">
        <f t="shared" si="8"/>
        <v>1013.2699999999994</v>
      </c>
      <c r="U38" s="132"/>
      <c r="V38" s="332">
        <f t="shared" si="9"/>
        <v>100</v>
      </c>
      <c r="W38" s="15"/>
      <c r="X38" s="314"/>
      <c r="Y38" s="352"/>
      <c r="Z38" s="314">
        <f t="shared" si="4"/>
        <v>0</v>
      </c>
      <c r="AA38" s="315"/>
      <c r="AB38" s="316"/>
      <c r="AC38" s="326">
        <f t="shared" si="10"/>
        <v>3175.02</v>
      </c>
    </row>
    <row r="39" spans="1:29" ht="15" x14ac:dyDescent="0.25">
      <c r="A39" s="132"/>
      <c r="B39" s="90">
        <f t="shared" si="5"/>
        <v>0</v>
      </c>
      <c r="C39" s="15"/>
      <c r="D39" s="314"/>
      <c r="E39" s="352"/>
      <c r="F39" s="314">
        <f t="shared" si="3"/>
        <v>0</v>
      </c>
      <c r="G39" s="315"/>
      <c r="H39" s="316"/>
      <c r="I39" s="326">
        <f t="shared" si="6"/>
        <v>-6.8599999999996726</v>
      </c>
      <c r="K39" s="132"/>
      <c r="L39" s="90">
        <f t="shared" si="7"/>
        <v>30</v>
      </c>
      <c r="M39" s="15"/>
      <c r="N39" s="314"/>
      <c r="O39" s="352"/>
      <c r="P39" s="314">
        <f t="shared" si="1"/>
        <v>0</v>
      </c>
      <c r="Q39" s="315"/>
      <c r="R39" s="316"/>
      <c r="S39" s="326">
        <f t="shared" si="8"/>
        <v>1013.2699999999994</v>
      </c>
      <c r="U39" s="132"/>
      <c r="V39" s="90">
        <f t="shared" si="9"/>
        <v>100</v>
      </c>
      <c r="W39" s="15"/>
      <c r="X39" s="314"/>
      <c r="Y39" s="352"/>
      <c r="Z39" s="314">
        <f t="shared" si="4"/>
        <v>0</v>
      </c>
      <c r="AA39" s="315"/>
      <c r="AB39" s="316"/>
      <c r="AC39" s="326">
        <f t="shared" si="10"/>
        <v>3175.02</v>
      </c>
    </row>
    <row r="40" spans="1:29" ht="15" x14ac:dyDescent="0.25">
      <c r="A40" s="132"/>
      <c r="B40" s="90">
        <f t="shared" si="5"/>
        <v>0</v>
      </c>
      <c r="C40" s="15"/>
      <c r="D40" s="314"/>
      <c r="E40" s="352"/>
      <c r="F40" s="314">
        <f t="shared" si="3"/>
        <v>0</v>
      </c>
      <c r="G40" s="315"/>
      <c r="H40" s="316"/>
      <c r="I40" s="326">
        <f t="shared" si="6"/>
        <v>-6.8599999999996726</v>
      </c>
      <c r="K40" s="132"/>
      <c r="L40" s="90">
        <f t="shared" si="7"/>
        <v>30</v>
      </c>
      <c r="M40" s="15"/>
      <c r="N40" s="314"/>
      <c r="O40" s="352"/>
      <c r="P40" s="314">
        <f t="shared" si="1"/>
        <v>0</v>
      </c>
      <c r="Q40" s="315"/>
      <c r="R40" s="316"/>
      <c r="S40" s="326">
        <f t="shared" si="8"/>
        <v>1013.2699999999994</v>
      </c>
      <c r="U40" s="132"/>
      <c r="V40" s="90">
        <f t="shared" si="9"/>
        <v>100</v>
      </c>
      <c r="W40" s="15"/>
      <c r="X40" s="314"/>
      <c r="Y40" s="352"/>
      <c r="Z40" s="314">
        <f t="shared" si="4"/>
        <v>0</v>
      </c>
      <c r="AA40" s="315"/>
      <c r="AB40" s="316"/>
      <c r="AC40" s="326">
        <f t="shared" si="10"/>
        <v>3175.02</v>
      </c>
    </row>
    <row r="41" spans="1:29" ht="15" x14ac:dyDescent="0.25">
      <c r="A41" s="132"/>
      <c r="B41" s="90">
        <f t="shared" si="5"/>
        <v>0</v>
      </c>
      <c r="C41" s="15"/>
      <c r="D41" s="314"/>
      <c r="E41" s="352"/>
      <c r="F41" s="314">
        <f t="shared" si="3"/>
        <v>0</v>
      </c>
      <c r="G41" s="315"/>
      <c r="H41" s="316"/>
      <c r="I41" s="326">
        <f t="shared" si="6"/>
        <v>-6.8599999999996726</v>
      </c>
      <c r="K41" s="132"/>
      <c r="L41" s="90">
        <f t="shared" si="7"/>
        <v>30</v>
      </c>
      <c r="M41" s="15"/>
      <c r="N41" s="314"/>
      <c r="O41" s="352"/>
      <c r="P41" s="314">
        <f t="shared" si="1"/>
        <v>0</v>
      </c>
      <c r="Q41" s="315"/>
      <c r="R41" s="316"/>
      <c r="S41" s="326">
        <f t="shared" si="8"/>
        <v>1013.2699999999994</v>
      </c>
      <c r="U41" s="132"/>
      <c r="V41" s="90">
        <f t="shared" si="9"/>
        <v>100</v>
      </c>
      <c r="W41" s="15"/>
      <c r="X41" s="314"/>
      <c r="Y41" s="352"/>
      <c r="Z41" s="314">
        <f t="shared" si="4"/>
        <v>0</v>
      </c>
      <c r="AA41" s="315"/>
      <c r="AB41" s="316"/>
      <c r="AC41" s="326">
        <f t="shared" si="10"/>
        <v>3175.02</v>
      </c>
    </row>
    <row r="42" spans="1:29" ht="15" x14ac:dyDescent="0.25">
      <c r="A42" s="132"/>
      <c r="B42" s="90">
        <f t="shared" si="5"/>
        <v>0</v>
      </c>
      <c r="C42" s="15"/>
      <c r="D42" s="314"/>
      <c r="E42" s="352"/>
      <c r="F42" s="314">
        <f t="shared" si="3"/>
        <v>0</v>
      </c>
      <c r="G42" s="315"/>
      <c r="H42" s="316"/>
      <c r="I42" s="326">
        <f t="shared" si="6"/>
        <v>-6.8599999999996726</v>
      </c>
      <c r="K42" s="132"/>
      <c r="L42" s="90">
        <f t="shared" si="7"/>
        <v>30</v>
      </c>
      <c r="M42" s="15"/>
      <c r="N42" s="314"/>
      <c r="O42" s="352"/>
      <c r="P42" s="314">
        <f t="shared" si="1"/>
        <v>0</v>
      </c>
      <c r="Q42" s="315"/>
      <c r="R42" s="316"/>
      <c r="S42" s="326">
        <f t="shared" si="8"/>
        <v>1013.2699999999994</v>
      </c>
      <c r="U42" s="132"/>
      <c r="V42" s="90">
        <f t="shared" si="9"/>
        <v>100</v>
      </c>
      <c r="W42" s="15"/>
      <c r="X42" s="314"/>
      <c r="Y42" s="352"/>
      <c r="Z42" s="314">
        <f t="shared" si="4"/>
        <v>0</v>
      </c>
      <c r="AA42" s="315"/>
      <c r="AB42" s="316"/>
      <c r="AC42" s="326">
        <f t="shared" si="10"/>
        <v>3175.02</v>
      </c>
    </row>
    <row r="43" spans="1:29" ht="15" x14ac:dyDescent="0.25">
      <c r="A43" s="132"/>
      <c r="B43" s="90">
        <f t="shared" si="5"/>
        <v>0</v>
      </c>
      <c r="C43" s="15"/>
      <c r="D43" s="314"/>
      <c r="E43" s="352"/>
      <c r="F43" s="314">
        <f t="shared" si="3"/>
        <v>0</v>
      </c>
      <c r="G43" s="315"/>
      <c r="H43" s="316"/>
      <c r="I43" s="326">
        <f t="shared" si="6"/>
        <v>-6.8599999999996726</v>
      </c>
      <c r="K43" s="132"/>
      <c r="L43" s="90">
        <f t="shared" si="7"/>
        <v>30</v>
      </c>
      <c r="M43" s="15"/>
      <c r="N43" s="314"/>
      <c r="O43" s="352"/>
      <c r="P43" s="314">
        <f t="shared" si="1"/>
        <v>0</v>
      </c>
      <c r="Q43" s="315"/>
      <c r="R43" s="316"/>
      <c r="S43" s="326">
        <f t="shared" si="8"/>
        <v>1013.2699999999994</v>
      </c>
      <c r="U43" s="132"/>
      <c r="V43" s="90">
        <f t="shared" si="9"/>
        <v>100</v>
      </c>
      <c r="W43" s="15"/>
      <c r="X43" s="314"/>
      <c r="Y43" s="352"/>
      <c r="Z43" s="314">
        <f t="shared" si="4"/>
        <v>0</v>
      </c>
      <c r="AA43" s="315"/>
      <c r="AB43" s="316"/>
      <c r="AC43" s="326">
        <f t="shared" si="10"/>
        <v>3175.02</v>
      </c>
    </row>
    <row r="44" spans="1:29" ht="15" x14ac:dyDescent="0.25">
      <c r="A44" s="132"/>
      <c r="B44" s="90">
        <f t="shared" si="5"/>
        <v>0</v>
      </c>
      <c r="C44" s="15"/>
      <c r="D44" s="314"/>
      <c r="E44" s="352"/>
      <c r="F44" s="314">
        <f t="shared" si="3"/>
        <v>0</v>
      </c>
      <c r="G44" s="315"/>
      <c r="H44" s="316"/>
      <c r="I44" s="326">
        <f t="shared" si="6"/>
        <v>-6.8599999999996726</v>
      </c>
      <c r="K44" s="132"/>
      <c r="L44" s="90">
        <f t="shared" si="7"/>
        <v>30</v>
      </c>
      <c r="M44" s="15"/>
      <c r="N44" s="314"/>
      <c r="O44" s="352"/>
      <c r="P44" s="314">
        <f t="shared" si="1"/>
        <v>0</v>
      </c>
      <c r="Q44" s="315"/>
      <c r="R44" s="316"/>
      <c r="S44" s="326">
        <f t="shared" si="8"/>
        <v>1013.2699999999994</v>
      </c>
      <c r="U44" s="132"/>
      <c r="V44" s="90">
        <f t="shared" si="9"/>
        <v>100</v>
      </c>
      <c r="W44" s="15"/>
      <c r="X44" s="314"/>
      <c r="Y44" s="352"/>
      <c r="Z44" s="314">
        <f t="shared" si="4"/>
        <v>0</v>
      </c>
      <c r="AA44" s="315"/>
      <c r="AB44" s="316"/>
      <c r="AC44" s="326">
        <f t="shared" si="10"/>
        <v>3175.02</v>
      </c>
    </row>
    <row r="45" spans="1:29" ht="15" x14ac:dyDescent="0.25">
      <c r="A45" s="132"/>
      <c r="B45" s="90">
        <f t="shared" si="5"/>
        <v>0</v>
      </c>
      <c r="C45" s="15"/>
      <c r="D45" s="314"/>
      <c r="E45" s="352"/>
      <c r="F45" s="314">
        <f t="shared" si="3"/>
        <v>0</v>
      </c>
      <c r="G45" s="315"/>
      <c r="H45" s="316"/>
      <c r="I45" s="326">
        <f t="shared" si="6"/>
        <v>-6.8599999999996726</v>
      </c>
      <c r="K45" s="132"/>
      <c r="L45" s="90">
        <f t="shared" si="7"/>
        <v>30</v>
      </c>
      <c r="M45" s="15"/>
      <c r="N45" s="314"/>
      <c r="O45" s="352"/>
      <c r="P45" s="314">
        <f t="shared" si="1"/>
        <v>0</v>
      </c>
      <c r="Q45" s="315"/>
      <c r="R45" s="316"/>
      <c r="S45" s="326">
        <f t="shared" si="8"/>
        <v>1013.2699999999994</v>
      </c>
      <c r="U45" s="132"/>
      <c r="V45" s="90">
        <f t="shared" si="9"/>
        <v>100</v>
      </c>
      <c r="W45" s="15"/>
      <c r="X45" s="314"/>
      <c r="Y45" s="352"/>
      <c r="Z45" s="314">
        <f t="shared" si="4"/>
        <v>0</v>
      </c>
      <c r="AA45" s="315"/>
      <c r="AB45" s="316"/>
      <c r="AC45" s="326">
        <f t="shared" si="10"/>
        <v>3175.02</v>
      </c>
    </row>
    <row r="46" spans="1:29" ht="15" x14ac:dyDescent="0.25">
      <c r="A46" s="132"/>
      <c r="B46" s="90">
        <f t="shared" si="5"/>
        <v>0</v>
      </c>
      <c r="C46" s="15"/>
      <c r="D46" s="314"/>
      <c r="E46" s="352"/>
      <c r="F46" s="314">
        <f t="shared" si="3"/>
        <v>0</v>
      </c>
      <c r="G46" s="315"/>
      <c r="H46" s="316"/>
      <c r="I46" s="326">
        <f t="shared" si="6"/>
        <v>-6.8599999999996726</v>
      </c>
      <c r="K46" s="132"/>
      <c r="L46" s="90">
        <f t="shared" si="7"/>
        <v>30</v>
      </c>
      <c r="M46" s="15"/>
      <c r="N46" s="314"/>
      <c r="O46" s="352"/>
      <c r="P46" s="314">
        <f t="shared" si="1"/>
        <v>0</v>
      </c>
      <c r="Q46" s="315"/>
      <c r="R46" s="316"/>
      <c r="S46" s="326">
        <f t="shared" si="8"/>
        <v>1013.2699999999994</v>
      </c>
      <c r="U46" s="132"/>
      <c r="V46" s="90">
        <f t="shared" si="9"/>
        <v>100</v>
      </c>
      <c r="W46" s="15"/>
      <c r="X46" s="314"/>
      <c r="Y46" s="352"/>
      <c r="Z46" s="314">
        <f t="shared" si="4"/>
        <v>0</v>
      </c>
      <c r="AA46" s="315"/>
      <c r="AB46" s="316"/>
      <c r="AC46" s="326">
        <f t="shared" si="10"/>
        <v>3175.02</v>
      </c>
    </row>
    <row r="47" spans="1:29" ht="15" x14ac:dyDescent="0.25">
      <c r="A47" s="132"/>
      <c r="B47" s="90">
        <f t="shared" si="5"/>
        <v>0</v>
      </c>
      <c r="C47" s="15"/>
      <c r="D47" s="314"/>
      <c r="E47" s="352"/>
      <c r="F47" s="314">
        <f t="shared" si="3"/>
        <v>0</v>
      </c>
      <c r="G47" s="315"/>
      <c r="H47" s="316"/>
      <c r="I47" s="326">
        <f t="shared" si="6"/>
        <v>-6.8599999999996726</v>
      </c>
      <c r="K47" s="132"/>
      <c r="L47" s="90">
        <f t="shared" si="7"/>
        <v>30</v>
      </c>
      <c r="M47" s="15"/>
      <c r="N47" s="314"/>
      <c r="O47" s="352"/>
      <c r="P47" s="314">
        <f t="shared" si="1"/>
        <v>0</v>
      </c>
      <c r="Q47" s="315"/>
      <c r="R47" s="316"/>
      <c r="S47" s="326">
        <f t="shared" si="8"/>
        <v>1013.2699999999994</v>
      </c>
      <c r="U47" s="132"/>
      <c r="V47" s="90">
        <f t="shared" si="9"/>
        <v>100</v>
      </c>
      <c r="W47" s="15"/>
      <c r="X47" s="314"/>
      <c r="Y47" s="352"/>
      <c r="Z47" s="314">
        <f t="shared" si="4"/>
        <v>0</v>
      </c>
      <c r="AA47" s="315"/>
      <c r="AB47" s="316"/>
      <c r="AC47" s="326">
        <f t="shared" si="10"/>
        <v>3175.02</v>
      </c>
    </row>
    <row r="48" spans="1:29" ht="15" x14ac:dyDescent="0.25">
      <c r="A48" s="132"/>
      <c r="B48" s="90">
        <f t="shared" si="5"/>
        <v>0</v>
      </c>
      <c r="C48" s="15"/>
      <c r="D48" s="314"/>
      <c r="E48" s="352"/>
      <c r="F48" s="314">
        <f t="shared" si="3"/>
        <v>0</v>
      </c>
      <c r="G48" s="315"/>
      <c r="H48" s="316"/>
      <c r="I48" s="326">
        <f t="shared" si="6"/>
        <v>-6.8599999999996726</v>
      </c>
      <c r="K48" s="132"/>
      <c r="L48" s="90">
        <f t="shared" si="7"/>
        <v>30</v>
      </c>
      <c r="M48" s="15"/>
      <c r="N48" s="314"/>
      <c r="O48" s="352"/>
      <c r="P48" s="314">
        <f t="shared" si="1"/>
        <v>0</v>
      </c>
      <c r="Q48" s="315"/>
      <c r="R48" s="316"/>
      <c r="S48" s="326">
        <f t="shared" si="8"/>
        <v>1013.2699999999994</v>
      </c>
      <c r="U48" s="132"/>
      <c r="V48" s="90">
        <f t="shared" si="9"/>
        <v>100</v>
      </c>
      <c r="W48" s="15"/>
      <c r="X48" s="314"/>
      <c r="Y48" s="352"/>
      <c r="Z48" s="314">
        <f t="shared" si="4"/>
        <v>0</v>
      </c>
      <c r="AA48" s="315"/>
      <c r="AB48" s="316"/>
      <c r="AC48" s="326">
        <f t="shared" si="10"/>
        <v>3175.02</v>
      </c>
    </row>
    <row r="49" spans="1:29" ht="15" x14ac:dyDescent="0.25">
      <c r="A49" s="132"/>
      <c r="B49" s="90">
        <f t="shared" si="5"/>
        <v>0</v>
      </c>
      <c r="C49" s="15"/>
      <c r="D49" s="314"/>
      <c r="E49" s="352"/>
      <c r="F49" s="314">
        <f t="shared" si="3"/>
        <v>0</v>
      </c>
      <c r="G49" s="315"/>
      <c r="H49" s="316"/>
      <c r="I49" s="326">
        <f t="shared" si="6"/>
        <v>-6.8599999999996726</v>
      </c>
      <c r="K49" s="132"/>
      <c r="L49" s="90">
        <f t="shared" si="7"/>
        <v>30</v>
      </c>
      <c r="M49" s="15"/>
      <c r="N49" s="314"/>
      <c r="O49" s="352"/>
      <c r="P49" s="314">
        <f t="shared" si="1"/>
        <v>0</v>
      </c>
      <c r="Q49" s="315"/>
      <c r="R49" s="316"/>
      <c r="S49" s="326">
        <f t="shared" si="8"/>
        <v>1013.2699999999994</v>
      </c>
      <c r="U49" s="132"/>
      <c r="V49" s="90">
        <f t="shared" si="9"/>
        <v>100</v>
      </c>
      <c r="W49" s="15"/>
      <c r="X49" s="314"/>
      <c r="Y49" s="352"/>
      <c r="Z49" s="314">
        <f t="shared" si="4"/>
        <v>0</v>
      </c>
      <c r="AA49" s="315"/>
      <c r="AB49" s="316"/>
      <c r="AC49" s="326">
        <f t="shared" si="10"/>
        <v>3175.02</v>
      </c>
    </row>
    <row r="50" spans="1:29" ht="15" x14ac:dyDescent="0.25">
      <c r="A50" s="132"/>
      <c r="B50" s="90">
        <f t="shared" si="5"/>
        <v>0</v>
      </c>
      <c r="C50" s="15"/>
      <c r="D50" s="314"/>
      <c r="E50" s="352"/>
      <c r="F50" s="314">
        <f t="shared" si="3"/>
        <v>0</v>
      </c>
      <c r="G50" s="315"/>
      <c r="H50" s="316"/>
      <c r="I50" s="326">
        <f t="shared" si="6"/>
        <v>-6.8599999999996726</v>
      </c>
      <c r="K50" s="132"/>
      <c r="L50" s="90">
        <f t="shared" si="7"/>
        <v>30</v>
      </c>
      <c r="M50" s="15"/>
      <c r="N50" s="314"/>
      <c r="O50" s="352"/>
      <c r="P50" s="314">
        <f t="shared" si="1"/>
        <v>0</v>
      </c>
      <c r="Q50" s="315"/>
      <c r="R50" s="316"/>
      <c r="S50" s="326">
        <f t="shared" si="8"/>
        <v>1013.2699999999994</v>
      </c>
      <c r="U50" s="132"/>
      <c r="V50" s="90">
        <f t="shared" si="9"/>
        <v>100</v>
      </c>
      <c r="W50" s="15"/>
      <c r="X50" s="314"/>
      <c r="Y50" s="352"/>
      <c r="Z50" s="314">
        <f t="shared" si="4"/>
        <v>0</v>
      </c>
      <c r="AA50" s="315"/>
      <c r="AB50" s="316"/>
      <c r="AC50" s="326">
        <f t="shared" si="10"/>
        <v>3175.02</v>
      </c>
    </row>
    <row r="51" spans="1:29" x14ac:dyDescent="0.25">
      <c r="A51" s="132"/>
      <c r="B51" s="90">
        <f t="shared" si="5"/>
        <v>0</v>
      </c>
      <c r="C51" s="15"/>
      <c r="D51" s="314"/>
      <c r="E51" s="352"/>
      <c r="F51" s="314">
        <f t="shared" si="3"/>
        <v>0</v>
      </c>
      <c r="G51" s="315"/>
      <c r="H51" s="316"/>
      <c r="I51" s="326">
        <f t="shared" si="6"/>
        <v>-6.8599999999996726</v>
      </c>
      <c r="K51" s="132"/>
      <c r="L51" s="90">
        <f t="shared" si="7"/>
        <v>30</v>
      </c>
      <c r="M51" s="15"/>
      <c r="N51" s="314"/>
      <c r="O51" s="352"/>
      <c r="P51" s="314">
        <f t="shared" si="1"/>
        <v>0</v>
      </c>
      <c r="Q51" s="315"/>
      <c r="R51" s="316"/>
      <c r="S51" s="326">
        <f t="shared" si="8"/>
        <v>1013.2699999999994</v>
      </c>
      <c r="U51" s="132"/>
      <c r="V51" s="90">
        <f t="shared" si="9"/>
        <v>100</v>
      </c>
      <c r="W51" s="15"/>
      <c r="X51" s="314"/>
      <c r="Y51" s="352"/>
      <c r="Z51" s="314">
        <f t="shared" si="4"/>
        <v>0</v>
      </c>
      <c r="AA51" s="315"/>
      <c r="AB51" s="316"/>
      <c r="AC51" s="326">
        <f t="shared" si="10"/>
        <v>3175.02</v>
      </c>
    </row>
    <row r="52" spans="1:29" x14ac:dyDescent="0.25">
      <c r="A52" s="132"/>
      <c r="B52" s="90">
        <f t="shared" si="5"/>
        <v>0</v>
      </c>
      <c r="C52" s="15"/>
      <c r="D52" s="314"/>
      <c r="E52" s="352"/>
      <c r="F52" s="314">
        <f t="shared" si="3"/>
        <v>0</v>
      </c>
      <c r="G52" s="315"/>
      <c r="H52" s="316"/>
      <c r="I52" s="326">
        <f t="shared" si="6"/>
        <v>-6.8599999999996726</v>
      </c>
      <c r="K52" s="132"/>
      <c r="L52" s="90">
        <f t="shared" si="7"/>
        <v>30</v>
      </c>
      <c r="M52" s="15"/>
      <c r="N52" s="314"/>
      <c r="O52" s="352"/>
      <c r="P52" s="314">
        <f t="shared" si="1"/>
        <v>0</v>
      </c>
      <c r="Q52" s="315"/>
      <c r="R52" s="316"/>
      <c r="S52" s="326">
        <f t="shared" si="8"/>
        <v>1013.2699999999994</v>
      </c>
      <c r="U52" s="132"/>
      <c r="V52" s="90">
        <f t="shared" si="9"/>
        <v>100</v>
      </c>
      <c r="W52" s="15"/>
      <c r="X52" s="314"/>
      <c r="Y52" s="352"/>
      <c r="Z52" s="314">
        <f t="shared" si="4"/>
        <v>0</v>
      </c>
      <c r="AA52" s="315"/>
      <c r="AB52" s="316"/>
      <c r="AC52" s="326">
        <f t="shared" si="10"/>
        <v>3175.02</v>
      </c>
    </row>
    <row r="53" spans="1:29" x14ac:dyDescent="0.25">
      <c r="A53" s="132"/>
      <c r="B53" s="90">
        <f t="shared" si="5"/>
        <v>0</v>
      </c>
      <c r="C53" s="15"/>
      <c r="D53" s="314"/>
      <c r="E53" s="352"/>
      <c r="F53" s="314">
        <f t="shared" si="3"/>
        <v>0</v>
      </c>
      <c r="G53" s="315"/>
      <c r="H53" s="316"/>
      <c r="I53" s="326">
        <f t="shared" si="6"/>
        <v>-6.8599999999996726</v>
      </c>
      <c r="K53" s="132"/>
      <c r="L53" s="90">
        <f t="shared" si="7"/>
        <v>30</v>
      </c>
      <c r="M53" s="15"/>
      <c r="N53" s="314"/>
      <c r="O53" s="352"/>
      <c r="P53" s="314">
        <f t="shared" si="1"/>
        <v>0</v>
      </c>
      <c r="Q53" s="315"/>
      <c r="R53" s="316"/>
      <c r="S53" s="326">
        <f t="shared" si="8"/>
        <v>1013.2699999999994</v>
      </c>
      <c r="U53" s="132"/>
      <c r="V53" s="90">
        <f t="shared" si="9"/>
        <v>100</v>
      </c>
      <c r="W53" s="15"/>
      <c r="X53" s="314"/>
      <c r="Y53" s="352"/>
      <c r="Z53" s="314">
        <f t="shared" si="4"/>
        <v>0</v>
      </c>
      <c r="AA53" s="315"/>
      <c r="AB53" s="316"/>
      <c r="AC53" s="326">
        <f t="shared" si="10"/>
        <v>3175.02</v>
      </c>
    </row>
    <row r="54" spans="1:29" x14ac:dyDescent="0.25">
      <c r="A54" s="132"/>
      <c r="B54" s="90">
        <f t="shared" si="5"/>
        <v>0</v>
      </c>
      <c r="C54" s="15"/>
      <c r="D54" s="314"/>
      <c r="E54" s="352"/>
      <c r="F54" s="314">
        <f t="shared" si="3"/>
        <v>0</v>
      </c>
      <c r="G54" s="315"/>
      <c r="H54" s="316"/>
      <c r="I54" s="326">
        <f t="shared" si="6"/>
        <v>-6.8599999999996726</v>
      </c>
      <c r="K54" s="132"/>
      <c r="L54" s="90">
        <f t="shared" si="7"/>
        <v>30</v>
      </c>
      <c r="M54" s="15"/>
      <c r="N54" s="314"/>
      <c r="O54" s="352"/>
      <c r="P54" s="314">
        <f t="shared" si="1"/>
        <v>0</v>
      </c>
      <c r="Q54" s="315"/>
      <c r="R54" s="316"/>
      <c r="S54" s="326">
        <f t="shared" si="8"/>
        <v>1013.2699999999994</v>
      </c>
      <c r="U54" s="132"/>
      <c r="V54" s="90">
        <f t="shared" si="9"/>
        <v>100</v>
      </c>
      <c r="W54" s="15"/>
      <c r="X54" s="314"/>
      <c r="Y54" s="352"/>
      <c r="Z54" s="314">
        <f t="shared" si="4"/>
        <v>0</v>
      </c>
      <c r="AA54" s="315"/>
      <c r="AB54" s="316"/>
      <c r="AC54" s="326">
        <f t="shared" si="10"/>
        <v>3175.02</v>
      </c>
    </row>
    <row r="55" spans="1:29" x14ac:dyDescent="0.25">
      <c r="A55" s="132"/>
      <c r="B55" s="12">
        <f>B54-C55</f>
        <v>0</v>
      </c>
      <c r="C55" s="15"/>
      <c r="D55" s="314"/>
      <c r="E55" s="352"/>
      <c r="F55" s="314">
        <f t="shared" si="3"/>
        <v>0</v>
      </c>
      <c r="G55" s="315"/>
      <c r="H55" s="316"/>
      <c r="I55" s="326">
        <f t="shared" si="6"/>
        <v>-6.8599999999996726</v>
      </c>
      <c r="K55" s="132"/>
      <c r="L55" s="12">
        <f>L54-M55</f>
        <v>30</v>
      </c>
      <c r="M55" s="15"/>
      <c r="N55" s="314"/>
      <c r="O55" s="352"/>
      <c r="P55" s="314">
        <f t="shared" si="1"/>
        <v>0</v>
      </c>
      <c r="Q55" s="315"/>
      <c r="R55" s="316"/>
      <c r="S55" s="326">
        <f t="shared" si="8"/>
        <v>1013.2699999999994</v>
      </c>
      <c r="U55" s="132"/>
      <c r="V55" s="12">
        <f>V54-W55</f>
        <v>100</v>
      </c>
      <c r="W55" s="15"/>
      <c r="X55" s="314"/>
      <c r="Y55" s="352"/>
      <c r="Z55" s="314">
        <f t="shared" si="4"/>
        <v>0</v>
      </c>
      <c r="AA55" s="315"/>
      <c r="AB55" s="316"/>
      <c r="AC55" s="326">
        <f t="shared" si="10"/>
        <v>3175.02</v>
      </c>
    </row>
    <row r="56" spans="1:29" x14ac:dyDescent="0.25">
      <c r="A56" s="132"/>
      <c r="B56" s="12">
        <f t="shared" ref="B56:B75" si="11">B55-C56</f>
        <v>0</v>
      </c>
      <c r="C56" s="15"/>
      <c r="D56" s="314"/>
      <c r="E56" s="352"/>
      <c r="F56" s="314">
        <f t="shared" si="3"/>
        <v>0</v>
      </c>
      <c r="G56" s="315"/>
      <c r="H56" s="316"/>
      <c r="I56" s="326">
        <f t="shared" si="6"/>
        <v>-6.8599999999996726</v>
      </c>
      <c r="K56" s="132"/>
      <c r="L56" s="12">
        <f t="shared" ref="L56:L75" si="12">L55-M56</f>
        <v>30</v>
      </c>
      <c r="M56" s="15"/>
      <c r="N56" s="314"/>
      <c r="O56" s="352"/>
      <c r="P56" s="314">
        <f t="shared" si="1"/>
        <v>0</v>
      </c>
      <c r="Q56" s="315"/>
      <c r="R56" s="316"/>
      <c r="S56" s="326">
        <f t="shared" si="8"/>
        <v>1013.2699999999994</v>
      </c>
      <c r="U56" s="132"/>
      <c r="V56" s="12">
        <f t="shared" ref="V56:V75" si="13">V55-W56</f>
        <v>100</v>
      </c>
      <c r="W56" s="15"/>
      <c r="X56" s="314"/>
      <c r="Y56" s="352"/>
      <c r="Z56" s="314">
        <f t="shared" si="4"/>
        <v>0</v>
      </c>
      <c r="AA56" s="315"/>
      <c r="AB56" s="316"/>
      <c r="AC56" s="326">
        <f t="shared" si="10"/>
        <v>3175.02</v>
      </c>
    </row>
    <row r="57" spans="1:29" x14ac:dyDescent="0.25">
      <c r="A57" s="132"/>
      <c r="B57" s="12">
        <f t="shared" si="11"/>
        <v>0</v>
      </c>
      <c r="C57" s="15"/>
      <c r="D57" s="314"/>
      <c r="E57" s="352"/>
      <c r="F57" s="314">
        <f t="shared" si="3"/>
        <v>0</v>
      </c>
      <c r="G57" s="315"/>
      <c r="H57" s="316"/>
      <c r="I57" s="326">
        <f t="shared" si="6"/>
        <v>-6.8599999999996726</v>
      </c>
      <c r="K57" s="132"/>
      <c r="L57" s="12">
        <f t="shared" si="12"/>
        <v>30</v>
      </c>
      <c r="M57" s="15"/>
      <c r="N57" s="314"/>
      <c r="O57" s="352"/>
      <c r="P57" s="314">
        <f t="shared" si="1"/>
        <v>0</v>
      </c>
      <c r="Q57" s="315"/>
      <c r="R57" s="316"/>
      <c r="S57" s="326">
        <f t="shared" si="8"/>
        <v>1013.2699999999994</v>
      </c>
      <c r="U57" s="132"/>
      <c r="V57" s="12">
        <f t="shared" si="13"/>
        <v>100</v>
      </c>
      <c r="W57" s="15"/>
      <c r="X57" s="314"/>
      <c r="Y57" s="352"/>
      <c r="Z57" s="314">
        <f t="shared" si="4"/>
        <v>0</v>
      </c>
      <c r="AA57" s="315"/>
      <c r="AB57" s="316"/>
      <c r="AC57" s="326">
        <f t="shared" si="10"/>
        <v>3175.02</v>
      </c>
    </row>
    <row r="58" spans="1:29" x14ac:dyDescent="0.25">
      <c r="A58" s="132"/>
      <c r="B58" s="12">
        <f t="shared" si="11"/>
        <v>0</v>
      </c>
      <c r="C58" s="15"/>
      <c r="D58" s="314"/>
      <c r="E58" s="352"/>
      <c r="F58" s="314">
        <f t="shared" si="3"/>
        <v>0</v>
      </c>
      <c r="G58" s="315"/>
      <c r="H58" s="316"/>
      <c r="I58" s="326">
        <f t="shared" si="6"/>
        <v>-6.8599999999996726</v>
      </c>
      <c r="K58" s="132"/>
      <c r="L58" s="12">
        <f t="shared" si="12"/>
        <v>30</v>
      </c>
      <c r="M58" s="15"/>
      <c r="N58" s="314"/>
      <c r="O58" s="352"/>
      <c r="P58" s="314">
        <f t="shared" si="1"/>
        <v>0</v>
      </c>
      <c r="Q58" s="315"/>
      <c r="R58" s="316"/>
      <c r="S58" s="326">
        <f t="shared" si="8"/>
        <v>1013.2699999999994</v>
      </c>
      <c r="U58" s="132"/>
      <c r="V58" s="12">
        <f t="shared" si="13"/>
        <v>100</v>
      </c>
      <c r="W58" s="15"/>
      <c r="X58" s="314"/>
      <c r="Y58" s="352"/>
      <c r="Z58" s="314">
        <f t="shared" si="4"/>
        <v>0</v>
      </c>
      <c r="AA58" s="315"/>
      <c r="AB58" s="316"/>
      <c r="AC58" s="326">
        <f t="shared" si="10"/>
        <v>3175.02</v>
      </c>
    </row>
    <row r="59" spans="1:29" x14ac:dyDescent="0.25">
      <c r="A59" s="132"/>
      <c r="B59" s="12">
        <f t="shared" si="11"/>
        <v>0</v>
      </c>
      <c r="C59" s="15"/>
      <c r="D59" s="314"/>
      <c r="E59" s="352"/>
      <c r="F59" s="314">
        <f t="shared" si="3"/>
        <v>0</v>
      </c>
      <c r="G59" s="315"/>
      <c r="H59" s="316"/>
      <c r="I59" s="326">
        <f t="shared" si="6"/>
        <v>-6.8599999999996726</v>
      </c>
      <c r="K59" s="132"/>
      <c r="L59" s="12">
        <f t="shared" si="12"/>
        <v>30</v>
      </c>
      <c r="M59" s="15"/>
      <c r="N59" s="314"/>
      <c r="O59" s="352"/>
      <c r="P59" s="314">
        <f t="shared" si="1"/>
        <v>0</v>
      </c>
      <c r="Q59" s="315"/>
      <c r="R59" s="316"/>
      <c r="S59" s="326">
        <f t="shared" si="8"/>
        <v>1013.2699999999994</v>
      </c>
      <c r="U59" s="132"/>
      <c r="V59" s="12">
        <f t="shared" si="13"/>
        <v>100</v>
      </c>
      <c r="W59" s="15"/>
      <c r="X59" s="314"/>
      <c r="Y59" s="352"/>
      <c r="Z59" s="314">
        <f t="shared" si="4"/>
        <v>0</v>
      </c>
      <c r="AA59" s="315"/>
      <c r="AB59" s="316"/>
      <c r="AC59" s="326">
        <f t="shared" si="10"/>
        <v>3175.02</v>
      </c>
    </row>
    <row r="60" spans="1:29" x14ac:dyDescent="0.25">
      <c r="A60" s="132"/>
      <c r="B60" s="12">
        <f t="shared" si="11"/>
        <v>0</v>
      </c>
      <c r="C60" s="15"/>
      <c r="D60" s="314"/>
      <c r="E60" s="352"/>
      <c r="F60" s="314">
        <f t="shared" si="3"/>
        <v>0</v>
      </c>
      <c r="G60" s="315"/>
      <c r="H60" s="316"/>
      <c r="I60" s="326">
        <f t="shared" si="6"/>
        <v>-6.8599999999996726</v>
      </c>
      <c r="K60" s="132"/>
      <c r="L60" s="12">
        <f t="shared" si="12"/>
        <v>30</v>
      </c>
      <c r="M60" s="15"/>
      <c r="N60" s="314"/>
      <c r="O60" s="352"/>
      <c r="P60" s="314">
        <f t="shared" si="1"/>
        <v>0</v>
      </c>
      <c r="Q60" s="315"/>
      <c r="R60" s="316"/>
      <c r="S60" s="326">
        <f t="shared" si="8"/>
        <v>1013.2699999999994</v>
      </c>
      <c r="U60" s="132"/>
      <c r="V60" s="12">
        <f t="shared" si="13"/>
        <v>100</v>
      </c>
      <c r="W60" s="15"/>
      <c r="X60" s="314"/>
      <c r="Y60" s="352"/>
      <c r="Z60" s="314">
        <f t="shared" si="4"/>
        <v>0</v>
      </c>
      <c r="AA60" s="315"/>
      <c r="AB60" s="316"/>
      <c r="AC60" s="326">
        <f t="shared" si="10"/>
        <v>3175.02</v>
      </c>
    </row>
    <row r="61" spans="1:29" x14ac:dyDescent="0.25">
      <c r="A61" s="132"/>
      <c r="B61" s="12">
        <f t="shared" si="11"/>
        <v>0</v>
      </c>
      <c r="C61" s="15"/>
      <c r="D61" s="314"/>
      <c r="E61" s="352"/>
      <c r="F61" s="314">
        <f t="shared" si="3"/>
        <v>0</v>
      </c>
      <c r="G61" s="315"/>
      <c r="H61" s="316"/>
      <c r="I61" s="326">
        <f t="shared" si="6"/>
        <v>-6.8599999999996726</v>
      </c>
      <c r="K61" s="132"/>
      <c r="L61" s="12">
        <f t="shared" si="12"/>
        <v>30</v>
      </c>
      <c r="M61" s="15"/>
      <c r="N61" s="314"/>
      <c r="O61" s="352"/>
      <c r="P61" s="314">
        <f t="shared" si="1"/>
        <v>0</v>
      </c>
      <c r="Q61" s="315"/>
      <c r="R61" s="316"/>
      <c r="S61" s="326">
        <f t="shared" si="8"/>
        <v>1013.2699999999994</v>
      </c>
      <c r="U61" s="132"/>
      <c r="V61" s="12">
        <f t="shared" si="13"/>
        <v>100</v>
      </c>
      <c r="W61" s="15"/>
      <c r="X61" s="314"/>
      <c r="Y61" s="352"/>
      <c r="Z61" s="314">
        <f t="shared" si="4"/>
        <v>0</v>
      </c>
      <c r="AA61" s="315"/>
      <c r="AB61" s="316"/>
      <c r="AC61" s="326">
        <f t="shared" si="10"/>
        <v>3175.02</v>
      </c>
    </row>
    <row r="62" spans="1:29" x14ac:dyDescent="0.25">
      <c r="A62" s="132"/>
      <c r="B62" s="12">
        <f t="shared" si="11"/>
        <v>0</v>
      </c>
      <c r="C62" s="15"/>
      <c r="D62" s="314"/>
      <c r="E62" s="352"/>
      <c r="F62" s="314">
        <f t="shared" si="3"/>
        <v>0</v>
      </c>
      <c r="G62" s="315"/>
      <c r="H62" s="316"/>
      <c r="I62" s="326">
        <f t="shared" si="6"/>
        <v>-6.8599999999996726</v>
      </c>
      <c r="K62" s="132"/>
      <c r="L62" s="12">
        <f t="shared" si="12"/>
        <v>30</v>
      </c>
      <c r="M62" s="15"/>
      <c r="N62" s="314"/>
      <c r="O62" s="352"/>
      <c r="P62" s="314">
        <f t="shared" si="1"/>
        <v>0</v>
      </c>
      <c r="Q62" s="315"/>
      <c r="R62" s="316"/>
      <c r="S62" s="326">
        <f t="shared" si="8"/>
        <v>1013.2699999999994</v>
      </c>
      <c r="U62" s="132"/>
      <c r="V62" s="12">
        <f t="shared" si="13"/>
        <v>100</v>
      </c>
      <c r="W62" s="15"/>
      <c r="X62" s="314"/>
      <c r="Y62" s="352"/>
      <c r="Z62" s="314">
        <f t="shared" si="4"/>
        <v>0</v>
      </c>
      <c r="AA62" s="315"/>
      <c r="AB62" s="316"/>
      <c r="AC62" s="326">
        <f t="shared" si="10"/>
        <v>3175.02</v>
      </c>
    </row>
    <row r="63" spans="1:29" x14ac:dyDescent="0.25">
      <c r="A63" s="132"/>
      <c r="B63" s="12">
        <f t="shared" si="11"/>
        <v>0</v>
      </c>
      <c r="C63" s="15"/>
      <c r="D63" s="314"/>
      <c r="E63" s="352"/>
      <c r="F63" s="314">
        <f t="shared" si="3"/>
        <v>0</v>
      </c>
      <c r="G63" s="315"/>
      <c r="H63" s="316"/>
      <c r="I63" s="326">
        <f t="shared" si="6"/>
        <v>-6.8599999999996726</v>
      </c>
      <c r="K63" s="132"/>
      <c r="L63" s="12">
        <f t="shared" si="12"/>
        <v>30</v>
      </c>
      <c r="M63" s="15"/>
      <c r="N63" s="314"/>
      <c r="O63" s="352"/>
      <c r="P63" s="314">
        <f t="shared" si="1"/>
        <v>0</v>
      </c>
      <c r="Q63" s="315"/>
      <c r="R63" s="316"/>
      <c r="S63" s="326">
        <f t="shared" si="8"/>
        <v>1013.2699999999994</v>
      </c>
      <c r="U63" s="132"/>
      <c r="V63" s="12">
        <f t="shared" si="13"/>
        <v>100</v>
      </c>
      <c r="W63" s="15"/>
      <c r="X63" s="314"/>
      <c r="Y63" s="352"/>
      <c r="Z63" s="314">
        <f t="shared" si="4"/>
        <v>0</v>
      </c>
      <c r="AA63" s="315"/>
      <c r="AB63" s="316"/>
      <c r="AC63" s="326">
        <f t="shared" si="10"/>
        <v>3175.02</v>
      </c>
    </row>
    <row r="64" spans="1:29" x14ac:dyDescent="0.25">
      <c r="A64" s="132"/>
      <c r="B64" s="12">
        <f t="shared" si="11"/>
        <v>0</v>
      </c>
      <c r="C64" s="15"/>
      <c r="D64" s="314"/>
      <c r="E64" s="352"/>
      <c r="F64" s="314">
        <f t="shared" si="3"/>
        <v>0</v>
      </c>
      <c r="G64" s="315"/>
      <c r="H64" s="316"/>
      <c r="I64" s="326">
        <f t="shared" si="6"/>
        <v>-6.8599999999996726</v>
      </c>
      <c r="K64" s="132"/>
      <c r="L64" s="12">
        <f t="shared" si="12"/>
        <v>30</v>
      </c>
      <c r="M64" s="15"/>
      <c r="N64" s="314"/>
      <c r="O64" s="352"/>
      <c r="P64" s="314">
        <f t="shared" si="1"/>
        <v>0</v>
      </c>
      <c r="Q64" s="315"/>
      <c r="R64" s="316"/>
      <c r="S64" s="326">
        <f t="shared" si="8"/>
        <v>1013.2699999999994</v>
      </c>
      <c r="U64" s="132"/>
      <c r="V64" s="12">
        <f t="shared" si="13"/>
        <v>100</v>
      </c>
      <c r="W64" s="15"/>
      <c r="X64" s="314"/>
      <c r="Y64" s="352"/>
      <c r="Z64" s="314">
        <f t="shared" si="4"/>
        <v>0</v>
      </c>
      <c r="AA64" s="315"/>
      <c r="AB64" s="316"/>
      <c r="AC64" s="326">
        <f t="shared" si="10"/>
        <v>3175.02</v>
      </c>
    </row>
    <row r="65" spans="1:29" x14ac:dyDescent="0.25">
      <c r="A65" s="132"/>
      <c r="B65" s="12">
        <f t="shared" si="11"/>
        <v>0</v>
      </c>
      <c r="C65" s="15"/>
      <c r="D65" s="314"/>
      <c r="E65" s="352"/>
      <c r="F65" s="314">
        <f t="shared" si="3"/>
        <v>0</v>
      </c>
      <c r="G65" s="315"/>
      <c r="H65" s="316"/>
      <c r="I65" s="326">
        <f t="shared" si="6"/>
        <v>-6.8599999999996726</v>
      </c>
      <c r="K65" s="132"/>
      <c r="L65" s="12">
        <f t="shared" si="12"/>
        <v>30</v>
      </c>
      <c r="M65" s="15"/>
      <c r="N65" s="314"/>
      <c r="O65" s="352"/>
      <c r="P65" s="314">
        <f t="shared" si="1"/>
        <v>0</v>
      </c>
      <c r="Q65" s="315"/>
      <c r="R65" s="316"/>
      <c r="S65" s="326">
        <f t="shared" si="8"/>
        <v>1013.2699999999994</v>
      </c>
      <c r="U65" s="132"/>
      <c r="V65" s="12">
        <f t="shared" si="13"/>
        <v>100</v>
      </c>
      <c r="W65" s="15"/>
      <c r="X65" s="314"/>
      <c r="Y65" s="352"/>
      <c r="Z65" s="314">
        <f t="shared" si="4"/>
        <v>0</v>
      </c>
      <c r="AA65" s="315"/>
      <c r="AB65" s="316"/>
      <c r="AC65" s="326">
        <f t="shared" si="10"/>
        <v>3175.02</v>
      </c>
    </row>
    <row r="66" spans="1:29" x14ac:dyDescent="0.25">
      <c r="A66" s="132"/>
      <c r="B66" s="12">
        <f t="shared" si="11"/>
        <v>0</v>
      </c>
      <c r="C66" s="15"/>
      <c r="D66" s="314"/>
      <c r="E66" s="352"/>
      <c r="F66" s="314">
        <f t="shared" si="3"/>
        <v>0</v>
      </c>
      <c r="G66" s="315"/>
      <c r="H66" s="316"/>
      <c r="I66" s="326">
        <f t="shared" si="6"/>
        <v>-6.8599999999996726</v>
      </c>
      <c r="K66" s="132"/>
      <c r="L66" s="12">
        <f t="shared" si="12"/>
        <v>30</v>
      </c>
      <c r="M66" s="15"/>
      <c r="N66" s="314"/>
      <c r="O66" s="352"/>
      <c r="P66" s="314">
        <f t="shared" si="1"/>
        <v>0</v>
      </c>
      <c r="Q66" s="315"/>
      <c r="R66" s="316"/>
      <c r="S66" s="326">
        <f t="shared" si="8"/>
        <v>1013.2699999999994</v>
      </c>
      <c r="U66" s="132"/>
      <c r="V66" s="12">
        <f t="shared" si="13"/>
        <v>100</v>
      </c>
      <c r="W66" s="15"/>
      <c r="X66" s="314"/>
      <c r="Y66" s="352"/>
      <c r="Z66" s="314">
        <f t="shared" si="4"/>
        <v>0</v>
      </c>
      <c r="AA66" s="315"/>
      <c r="AB66" s="316"/>
      <c r="AC66" s="326">
        <f t="shared" si="10"/>
        <v>3175.02</v>
      </c>
    </row>
    <row r="67" spans="1:29" x14ac:dyDescent="0.25">
      <c r="A67" s="132"/>
      <c r="B67" s="12">
        <f t="shared" si="11"/>
        <v>0</v>
      </c>
      <c r="C67" s="15"/>
      <c r="D67" s="74"/>
      <c r="E67" s="254"/>
      <c r="F67" s="74">
        <f t="shared" si="3"/>
        <v>0</v>
      </c>
      <c r="G67" s="75"/>
      <c r="H67" s="76"/>
      <c r="I67" s="113">
        <f t="shared" si="6"/>
        <v>-6.8599999999996726</v>
      </c>
      <c r="K67" s="132"/>
      <c r="L67" s="12">
        <f t="shared" si="12"/>
        <v>30</v>
      </c>
      <c r="M67" s="15"/>
      <c r="N67" s="74"/>
      <c r="O67" s="254"/>
      <c r="P67" s="74">
        <f t="shared" si="1"/>
        <v>0</v>
      </c>
      <c r="Q67" s="75"/>
      <c r="R67" s="76"/>
      <c r="S67" s="113">
        <f t="shared" si="8"/>
        <v>1013.2699999999994</v>
      </c>
      <c r="U67" s="132"/>
      <c r="V67" s="12">
        <f t="shared" si="13"/>
        <v>100</v>
      </c>
      <c r="W67" s="15"/>
      <c r="X67" s="74"/>
      <c r="Y67" s="254"/>
      <c r="Z67" s="74">
        <f t="shared" si="4"/>
        <v>0</v>
      </c>
      <c r="AA67" s="75"/>
      <c r="AB67" s="76"/>
      <c r="AC67" s="113">
        <f t="shared" si="10"/>
        <v>3175.02</v>
      </c>
    </row>
    <row r="68" spans="1:29" x14ac:dyDescent="0.25">
      <c r="A68" s="132"/>
      <c r="B68" s="12">
        <f t="shared" si="11"/>
        <v>0</v>
      </c>
      <c r="C68" s="15"/>
      <c r="D68" s="64"/>
      <c r="E68" s="264"/>
      <c r="F68" s="74">
        <f t="shared" si="3"/>
        <v>0</v>
      </c>
      <c r="G68" s="75"/>
      <c r="H68" s="76"/>
      <c r="I68" s="113">
        <f t="shared" si="6"/>
        <v>-6.8599999999996726</v>
      </c>
      <c r="K68" s="132"/>
      <c r="L68" s="12">
        <f t="shared" si="12"/>
        <v>30</v>
      </c>
      <c r="M68" s="15"/>
      <c r="N68" s="64"/>
      <c r="O68" s="264"/>
      <c r="P68" s="74">
        <f t="shared" si="1"/>
        <v>0</v>
      </c>
      <c r="Q68" s="75"/>
      <c r="R68" s="76"/>
      <c r="S68" s="113">
        <f t="shared" si="8"/>
        <v>1013.2699999999994</v>
      </c>
      <c r="U68" s="132"/>
      <c r="V68" s="12">
        <f t="shared" si="13"/>
        <v>100</v>
      </c>
      <c r="W68" s="15"/>
      <c r="X68" s="64"/>
      <c r="Y68" s="264"/>
      <c r="Z68" s="74">
        <f t="shared" si="4"/>
        <v>0</v>
      </c>
      <c r="AA68" s="75"/>
      <c r="AB68" s="76"/>
      <c r="AC68" s="113">
        <f t="shared" si="10"/>
        <v>3175.02</v>
      </c>
    </row>
    <row r="69" spans="1:29" x14ac:dyDescent="0.25">
      <c r="A69" s="132"/>
      <c r="B69" s="12">
        <f t="shared" si="11"/>
        <v>0</v>
      </c>
      <c r="C69" s="15"/>
      <c r="D69" s="64"/>
      <c r="E69" s="264"/>
      <c r="F69" s="74">
        <f t="shared" si="3"/>
        <v>0</v>
      </c>
      <c r="G69" s="75"/>
      <c r="H69" s="76"/>
      <c r="I69" s="113">
        <f t="shared" si="6"/>
        <v>-6.8599999999996726</v>
      </c>
      <c r="K69" s="132"/>
      <c r="L69" s="12">
        <f t="shared" si="12"/>
        <v>30</v>
      </c>
      <c r="M69" s="15"/>
      <c r="N69" s="64"/>
      <c r="O69" s="264"/>
      <c r="P69" s="74">
        <f t="shared" si="1"/>
        <v>0</v>
      </c>
      <c r="Q69" s="75"/>
      <c r="R69" s="76"/>
      <c r="S69" s="113">
        <f t="shared" si="8"/>
        <v>1013.2699999999994</v>
      </c>
      <c r="U69" s="132"/>
      <c r="V69" s="12">
        <f t="shared" si="13"/>
        <v>100</v>
      </c>
      <c r="W69" s="15"/>
      <c r="X69" s="64"/>
      <c r="Y69" s="264"/>
      <c r="Z69" s="74">
        <f t="shared" si="4"/>
        <v>0</v>
      </c>
      <c r="AA69" s="75"/>
      <c r="AB69" s="76"/>
      <c r="AC69" s="113">
        <f t="shared" si="10"/>
        <v>3175.02</v>
      </c>
    </row>
    <row r="70" spans="1:29" x14ac:dyDescent="0.25">
      <c r="A70" s="132"/>
      <c r="B70" s="12">
        <f t="shared" si="11"/>
        <v>0</v>
      </c>
      <c r="C70" s="15"/>
      <c r="D70" s="64"/>
      <c r="E70" s="264"/>
      <c r="F70" s="74">
        <f t="shared" si="3"/>
        <v>0</v>
      </c>
      <c r="G70" s="75"/>
      <c r="H70" s="76"/>
      <c r="I70" s="113">
        <f t="shared" si="6"/>
        <v>-6.8599999999996726</v>
      </c>
      <c r="K70" s="132"/>
      <c r="L70" s="12">
        <f t="shared" si="12"/>
        <v>30</v>
      </c>
      <c r="M70" s="15"/>
      <c r="N70" s="64"/>
      <c r="O70" s="264"/>
      <c r="P70" s="74">
        <f t="shared" si="1"/>
        <v>0</v>
      </c>
      <c r="Q70" s="75"/>
      <c r="R70" s="76"/>
      <c r="S70" s="113">
        <f t="shared" si="8"/>
        <v>1013.2699999999994</v>
      </c>
      <c r="U70" s="132"/>
      <c r="V70" s="12">
        <f t="shared" si="13"/>
        <v>100</v>
      </c>
      <c r="W70" s="15"/>
      <c r="X70" s="64"/>
      <c r="Y70" s="264"/>
      <c r="Z70" s="74">
        <f t="shared" si="4"/>
        <v>0</v>
      </c>
      <c r="AA70" s="75"/>
      <c r="AB70" s="76"/>
      <c r="AC70" s="113">
        <f t="shared" si="10"/>
        <v>3175.02</v>
      </c>
    </row>
    <row r="71" spans="1:29" x14ac:dyDescent="0.25">
      <c r="A71" s="132"/>
      <c r="B71" s="12">
        <f t="shared" si="11"/>
        <v>0</v>
      </c>
      <c r="C71" s="15"/>
      <c r="D71" s="64"/>
      <c r="E71" s="264"/>
      <c r="F71" s="74">
        <f t="shared" si="3"/>
        <v>0</v>
      </c>
      <c r="G71" s="75"/>
      <c r="H71" s="76"/>
      <c r="I71" s="113">
        <f t="shared" si="6"/>
        <v>-6.8599999999996726</v>
      </c>
      <c r="K71" s="132"/>
      <c r="L71" s="12">
        <f t="shared" si="12"/>
        <v>30</v>
      </c>
      <c r="M71" s="15"/>
      <c r="N71" s="64"/>
      <c r="O71" s="264"/>
      <c r="P71" s="74">
        <f t="shared" si="1"/>
        <v>0</v>
      </c>
      <c r="Q71" s="75"/>
      <c r="R71" s="76"/>
      <c r="S71" s="113">
        <f t="shared" si="8"/>
        <v>1013.2699999999994</v>
      </c>
      <c r="U71" s="132"/>
      <c r="V71" s="12">
        <f t="shared" si="13"/>
        <v>100</v>
      </c>
      <c r="W71" s="15"/>
      <c r="X71" s="64"/>
      <c r="Y71" s="264"/>
      <c r="Z71" s="74">
        <f t="shared" si="4"/>
        <v>0</v>
      </c>
      <c r="AA71" s="75"/>
      <c r="AB71" s="76"/>
      <c r="AC71" s="113">
        <f t="shared" si="10"/>
        <v>3175.02</v>
      </c>
    </row>
    <row r="72" spans="1:29" x14ac:dyDescent="0.25">
      <c r="A72" s="132"/>
      <c r="B72" s="12">
        <f t="shared" si="11"/>
        <v>0</v>
      </c>
      <c r="C72" s="15"/>
      <c r="D72" s="64"/>
      <c r="E72" s="264"/>
      <c r="F72" s="74">
        <f t="shared" si="3"/>
        <v>0</v>
      </c>
      <c r="G72" s="75"/>
      <c r="H72" s="76"/>
      <c r="I72" s="113">
        <f t="shared" si="6"/>
        <v>-6.8599999999996726</v>
      </c>
      <c r="K72" s="132"/>
      <c r="L72" s="12">
        <f t="shared" si="12"/>
        <v>30</v>
      </c>
      <c r="M72" s="15"/>
      <c r="N72" s="64"/>
      <c r="O72" s="264"/>
      <c r="P72" s="74">
        <f t="shared" si="1"/>
        <v>0</v>
      </c>
      <c r="Q72" s="75"/>
      <c r="R72" s="76"/>
      <c r="S72" s="113">
        <f t="shared" si="8"/>
        <v>1013.2699999999994</v>
      </c>
      <c r="U72" s="132"/>
      <c r="V72" s="12">
        <f t="shared" si="13"/>
        <v>100</v>
      </c>
      <c r="W72" s="15"/>
      <c r="X72" s="64"/>
      <c r="Y72" s="264"/>
      <c r="Z72" s="74">
        <f t="shared" si="4"/>
        <v>0</v>
      </c>
      <c r="AA72" s="75"/>
      <c r="AB72" s="76"/>
      <c r="AC72" s="113">
        <f t="shared" si="10"/>
        <v>3175.02</v>
      </c>
    </row>
    <row r="73" spans="1:29" x14ac:dyDescent="0.25">
      <c r="A73" s="132"/>
      <c r="B73" s="12">
        <f t="shared" si="11"/>
        <v>0</v>
      </c>
      <c r="C73" s="15"/>
      <c r="D73" s="64"/>
      <c r="E73" s="264"/>
      <c r="F73" s="74">
        <f t="shared" ref="F73" si="14">D73</f>
        <v>0</v>
      </c>
      <c r="G73" s="75"/>
      <c r="H73" s="76"/>
      <c r="I73" s="113">
        <f t="shared" si="6"/>
        <v>-6.8599999999996726</v>
      </c>
      <c r="K73" s="132"/>
      <c r="L73" s="12">
        <f t="shared" si="12"/>
        <v>30</v>
      </c>
      <c r="M73" s="15"/>
      <c r="N73" s="64"/>
      <c r="O73" s="264"/>
      <c r="P73" s="74">
        <f t="shared" ref="P73" si="15">N73</f>
        <v>0</v>
      </c>
      <c r="Q73" s="75"/>
      <c r="R73" s="76"/>
      <c r="S73" s="113">
        <f t="shared" si="8"/>
        <v>1013.2699999999994</v>
      </c>
      <c r="U73" s="132"/>
      <c r="V73" s="12">
        <f t="shared" si="13"/>
        <v>100</v>
      </c>
      <c r="W73" s="15"/>
      <c r="X73" s="64"/>
      <c r="Y73" s="264"/>
      <c r="Z73" s="74">
        <f t="shared" ref="Z73" si="16">X73</f>
        <v>0</v>
      </c>
      <c r="AA73" s="75"/>
      <c r="AB73" s="76"/>
      <c r="AC73" s="113">
        <f t="shared" si="10"/>
        <v>3175.02</v>
      </c>
    </row>
    <row r="74" spans="1:29" x14ac:dyDescent="0.25">
      <c r="A74" s="132"/>
      <c r="B74" s="12">
        <f t="shared" si="11"/>
        <v>0</v>
      </c>
      <c r="C74" s="15"/>
      <c r="D74" s="64"/>
      <c r="E74" s="264"/>
      <c r="F74" s="74">
        <f>D74</f>
        <v>0</v>
      </c>
      <c r="G74" s="75"/>
      <c r="H74" s="76"/>
      <c r="I74" s="113">
        <f t="shared" si="6"/>
        <v>-6.8599999999996726</v>
      </c>
      <c r="K74" s="132"/>
      <c r="L74" s="12">
        <f t="shared" si="12"/>
        <v>30</v>
      </c>
      <c r="M74" s="15"/>
      <c r="N74" s="64"/>
      <c r="O74" s="264"/>
      <c r="P74" s="74">
        <f>N74</f>
        <v>0</v>
      </c>
      <c r="Q74" s="75"/>
      <c r="R74" s="76"/>
      <c r="S74" s="113">
        <f t="shared" si="8"/>
        <v>1013.2699999999994</v>
      </c>
      <c r="U74" s="132"/>
      <c r="V74" s="12">
        <f t="shared" si="13"/>
        <v>100</v>
      </c>
      <c r="W74" s="15"/>
      <c r="X74" s="64"/>
      <c r="Y74" s="264"/>
      <c r="Z74" s="74">
        <f>X74</f>
        <v>0</v>
      </c>
      <c r="AA74" s="75"/>
      <c r="AB74" s="76"/>
      <c r="AC74" s="113">
        <f t="shared" si="10"/>
        <v>3175.02</v>
      </c>
    </row>
    <row r="75" spans="1:29" x14ac:dyDescent="0.25">
      <c r="A75" s="132"/>
      <c r="B75" s="12">
        <f t="shared" si="11"/>
        <v>0</v>
      </c>
      <c r="C75" s="15"/>
      <c r="D75" s="64"/>
      <c r="E75" s="264"/>
      <c r="F75" s="74">
        <f>D75</f>
        <v>0</v>
      </c>
      <c r="G75" s="75"/>
      <c r="H75" s="76"/>
      <c r="I75" s="113">
        <f t="shared" ref="I75:I76" si="17">I74-F75</f>
        <v>-6.8599999999996726</v>
      </c>
      <c r="K75" s="132"/>
      <c r="L75" s="12">
        <f t="shared" si="12"/>
        <v>30</v>
      </c>
      <c r="M75" s="15"/>
      <c r="N75" s="64"/>
      <c r="O75" s="264"/>
      <c r="P75" s="74">
        <f>N75</f>
        <v>0</v>
      </c>
      <c r="Q75" s="75"/>
      <c r="R75" s="76"/>
      <c r="S75" s="113">
        <f t="shared" ref="S75:S76" si="18">S74-P75</f>
        <v>1013.2699999999994</v>
      </c>
      <c r="U75" s="132"/>
      <c r="V75" s="12">
        <f t="shared" si="13"/>
        <v>100</v>
      </c>
      <c r="W75" s="15"/>
      <c r="X75" s="64"/>
      <c r="Y75" s="264"/>
      <c r="Z75" s="74">
        <f>X75</f>
        <v>0</v>
      </c>
      <c r="AA75" s="75"/>
      <c r="AB75" s="76"/>
      <c r="AC75" s="113">
        <f t="shared" ref="AC75:AC76" si="19">AC74-Z75</f>
        <v>3175.02</v>
      </c>
    </row>
    <row r="76" spans="1:29" x14ac:dyDescent="0.25">
      <c r="A76" s="132"/>
      <c r="C76" s="15"/>
      <c r="D76" s="64"/>
      <c r="E76" s="264"/>
      <c r="F76" s="74">
        <f>D76</f>
        <v>0</v>
      </c>
      <c r="G76" s="75"/>
      <c r="H76" s="76"/>
      <c r="I76" s="113">
        <f t="shared" si="17"/>
        <v>-6.8599999999996726</v>
      </c>
      <c r="K76" s="132"/>
      <c r="M76" s="15"/>
      <c r="N76" s="64"/>
      <c r="O76" s="264"/>
      <c r="P76" s="74">
        <f>N76</f>
        <v>0</v>
      </c>
      <c r="Q76" s="75"/>
      <c r="R76" s="76"/>
      <c r="S76" s="113">
        <f t="shared" si="18"/>
        <v>1013.2699999999994</v>
      </c>
      <c r="U76" s="132"/>
      <c r="W76" s="15"/>
      <c r="X76" s="64"/>
      <c r="Y76" s="264"/>
      <c r="Z76" s="74">
        <f>X76</f>
        <v>0</v>
      </c>
      <c r="AA76" s="75"/>
      <c r="AB76" s="76"/>
      <c r="AC76" s="113">
        <f t="shared" si="19"/>
        <v>3175.02</v>
      </c>
    </row>
    <row r="77" spans="1:29" ht="14.4" thickBot="1" x14ac:dyDescent="0.3">
      <c r="A77" s="132"/>
      <c r="B77" s="16"/>
      <c r="C77" s="54"/>
      <c r="D77" s="115"/>
      <c r="E77" s="243"/>
      <c r="F77" s="111"/>
      <c r="G77" s="112"/>
      <c r="H77" s="65"/>
      <c r="K77" s="132"/>
      <c r="L77" s="16"/>
      <c r="M77" s="54"/>
      <c r="N77" s="115"/>
      <c r="O77" s="243"/>
      <c r="P77" s="111"/>
      <c r="Q77" s="112"/>
      <c r="R77" s="65"/>
      <c r="U77" s="132"/>
      <c r="V77" s="16"/>
      <c r="W77" s="54"/>
      <c r="X77" s="115"/>
      <c r="Y77" s="243"/>
      <c r="Z77" s="111"/>
      <c r="AA77" s="112"/>
      <c r="AB77" s="65"/>
    </row>
    <row r="78" spans="1:29" x14ac:dyDescent="0.25">
      <c r="C78" s="55">
        <f>SUM(C9:C77)</f>
        <v>265</v>
      </c>
      <c r="D78" s="6">
        <f>SUM(D9:D77)</f>
        <v>8191.130000000001</v>
      </c>
      <c r="F78" s="6">
        <f>SUM(F9:F77)</f>
        <v>8191.130000000001</v>
      </c>
      <c r="M78" s="55">
        <f>SUM(M9:M77)</f>
        <v>487</v>
      </c>
      <c r="N78" s="6">
        <f>SUM(N9:N77)</f>
        <v>14549.2</v>
      </c>
      <c r="P78" s="6">
        <f>SUM(P9:P77)</f>
        <v>14549.2</v>
      </c>
      <c r="W78" s="55">
        <f>SUM(W9:W77)</f>
        <v>0</v>
      </c>
      <c r="X78" s="6">
        <f>SUM(X9:X77)</f>
        <v>0</v>
      </c>
      <c r="Z78" s="6">
        <f>SUM(Z9:Z77)</f>
        <v>0</v>
      </c>
    </row>
    <row r="80" spans="1:29" ht="14.4" thickBot="1" x14ac:dyDescent="0.3"/>
    <row r="81" spans="3:26" ht="14.4" thickBot="1" x14ac:dyDescent="0.3">
      <c r="D81" s="46" t="s">
        <v>4</v>
      </c>
      <c r="E81" s="61">
        <f>F5+F6-C78+F7</f>
        <v>0</v>
      </c>
      <c r="N81" s="46" t="s">
        <v>4</v>
      </c>
      <c r="O81" s="61">
        <f>P5+P6-M78+P7</f>
        <v>30</v>
      </c>
      <c r="X81" s="46" t="s">
        <v>4</v>
      </c>
      <c r="Y81" s="61">
        <f>Z5+Z6-W78+Z7</f>
        <v>100</v>
      </c>
    </row>
    <row r="82" spans="3:26" ht="14.4" thickBot="1" x14ac:dyDescent="0.3"/>
    <row r="83" spans="3:26" ht="14.4" thickBot="1" x14ac:dyDescent="0.3">
      <c r="C83" s="1036" t="s">
        <v>11</v>
      </c>
      <c r="D83" s="1037"/>
      <c r="E83" s="62">
        <f>E5+E6-F78+E7</f>
        <v>-6.8600000000005821</v>
      </c>
      <c r="F83" s="79"/>
      <c r="M83" s="1036" t="s">
        <v>11</v>
      </c>
      <c r="N83" s="1037"/>
      <c r="O83" s="62">
        <f>O5+O6-P78+O7</f>
        <v>1013.2699999999986</v>
      </c>
      <c r="P83" s="79"/>
      <c r="W83" s="1036" t="s">
        <v>11</v>
      </c>
      <c r="X83" s="1037"/>
      <c r="Y83" s="62">
        <f>Y5+Y6-Z78+Y7</f>
        <v>3175.02</v>
      </c>
      <c r="Z83" s="79"/>
    </row>
  </sheetData>
  <mergeCells count="12">
    <mergeCell ref="U1:AA1"/>
    <mergeCell ref="U5:U7"/>
    <mergeCell ref="V5:V6"/>
    <mergeCell ref="W83:X83"/>
    <mergeCell ref="A1:G1"/>
    <mergeCell ref="A5:A7"/>
    <mergeCell ref="B5:B6"/>
    <mergeCell ref="C83:D83"/>
    <mergeCell ref="K1:Q1"/>
    <mergeCell ref="K5:K7"/>
    <mergeCell ref="L5:L6"/>
    <mergeCell ref="M83:N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B3D-5832-46C1-AD8E-525E7A6034E6}">
  <sheetPr>
    <tabColor rgb="FF00B050"/>
  </sheetPr>
  <dimension ref="A1:I83"/>
  <sheetViews>
    <sheetView workbookViewId="0">
      <selection activeCell="G5" sqref="G5"/>
    </sheetView>
  </sheetViews>
  <sheetFormatPr baseColWidth="10" defaultRowHeight="13.8" x14ac:dyDescent="0.25"/>
  <cols>
    <col min="1" max="1" width="26.6640625" customWidth="1"/>
    <col min="2" max="2" width="16.109375" customWidth="1"/>
    <col min="3" max="3" width="14.6640625" customWidth="1"/>
    <col min="5" max="5" width="13" bestFit="1" customWidth="1"/>
    <col min="9" max="9" width="11.44140625" style="66"/>
  </cols>
  <sheetData>
    <row r="1" spans="1:9" ht="40.5" x14ac:dyDescent="0.55000000000000004">
      <c r="A1" s="1034" t="s">
        <v>506</v>
      </c>
      <c r="B1" s="1034"/>
      <c r="C1" s="1034"/>
      <c r="D1" s="1034"/>
      <c r="E1" s="1034"/>
      <c r="F1" s="1034"/>
      <c r="G1" s="10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75"/>
      <c r="H4" s="175"/>
    </row>
    <row r="5" spans="1:9" x14ac:dyDescent="0.25">
      <c r="A5" s="1032" t="s">
        <v>507</v>
      </c>
      <c r="B5" s="1040" t="s">
        <v>119</v>
      </c>
      <c r="C5" s="321">
        <v>112</v>
      </c>
      <c r="D5" s="294">
        <v>44172</v>
      </c>
      <c r="E5" s="309">
        <v>16708.080000000002</v>
      </c>
      <c r="F5" s="300">
        <v>613</v>
      </c>
      <c r="G5" s="310"/>
    </row>
    <row r="6" spans="1:9" x14ac:dyDescent="0.25">
      <c r="A6" s="1032"/>
      <c r="B6" s="1040"/>
      <c r="C6" s="322"/>
      <c r="D6" s="294"/>
      <c r="E6" s="317"/>
      <c r="F6" s="300"/>
      <c r="G6" s="312">
        <f>F78</f>
        <v>0</v>
      </c>
      <c r="H6" s="7">
        <f>E6-G6+E7+E5-G5</f>
        <v>16708.080000000002</v>
      </c>
    </row>
    <row r="7" spans="1:9" ht="14.4" thickBot="1" x14ac:dyDescent="0.3">
      <c r="A7" s="1032"/>
      <c r="B7" s="323"/>
      <c r="C7" s="324"/>
      <c r="D7" s="325"/>
      <c r="E7" s="309"/>
      <c r="F7" s="300"/>
      <c r="G7" s="286"/>
    </row>
    <row r="8" spans="1:9" ht="16.5" thickTop="1" thickBot="1" x14ac:dyDescent="0.3">
      <c r="B8" s="69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7" t="s">
        <v>32</v>
      </c>
      <c r="B9" s="90">
        <f>F6-C9+F5</f>
        <v>613</v>
      </c>
      <c r="C9" s="15"/>
      <c r="D9" s="314"/>
      <c r="E9" s="352"/>
      <c r="F9" s="314">
        <f t="shared" ref="F9:F72" si="0">D9</f>
        <v>0</v>
      </c>
      <c r="G9" s="315"/>
      <c r="H9" s="316"/>
      <c r="I9" s="326">
        <f>E6-F9+E5</f>
        <v>16708.080000000002</v>
      </c>
    </row>
    <row r="10" spans="1:9" ht="15" x14ac:dyDescent="0.25">
      <c r="A10" s="241"/>
      <c r="B10" s="90">
        <f>B9-C10</f>
        <v>613</v>
      </c>
      <c r="C10" s="15"/>
      <c r="D10" s="534"/>
      <c r="E10" s="699"/>
      <c r="F10" s="534">
        <f t="shared" si="0"/>
        <v>0</v>
      </c>
      <c r="G10" s="517"/>
      <c r="H10" s="518"/>
      <c r="I10" s="326">
        <f>I9-F10</f>
        <v>16708.080000000002</v>
      </c>
    </row>
    <row r="11" spans="1:9" ht="15" x14ac:dyDescent="0.25">
      <c r="A11" s="227"/>
      <c r="B11" s="90">
        <f t="shared" ref="B11:B54" si="1">B10-C11</f>
        <v>613</v>
      </c>
      <c r="C11" s="15"/>
      <c r="D11" s="534"/>
      <c r="E11" s="699"/>
      <c r="F11" s="534">
        <f t="shared" si="0"/>
        <v>0</v>
      </c>
      <c r="G11" s="517"/>
      <c r="H11" s="518"/>
      <c r="I11" s="326">
        <f t="shared" ref="I11:I74" si="2">I10-F11</f>
        <v>16708.080000000002</v>
      </c>
    </row>
    <row r="12" spans="1:9" ht="15" x14ac:dyDescent="0.25">
      <c r="A12" s="227"/>
      <c r="B12" s="90">
        <f t="shared" si="1"/>
        <v>613</v>
      </c>
      <c r="C12" s="15"/>
      <c r="D12" s="534"/>
      <c r="E12" s="699"/>
      <c r="F12" s="534">
        <f t="shared" si="0"/>
        <v>0</v>
      </c>
      <c r="G12" s="517"/>
      <c r="H12" s="518"/>
      <c r="I12" s="326">
        <f t="shared" si="2"/>
        <v>16708.080000000002</v>
      </c>
    </row>
    <row r="13" spans="1:9" ht="15" x14ac:dyDescent="0.25">
      <c r="A13" s="89" t="s">
        <v>33</v>
      </c>
      <c r="B13" s="90">
        <f t="shared" si="1"/>
        <v>613</v>
      </c>
      <c r="C13" s="15"/>
      <c r="D13" s="534"/>
      <c r="E13" s="699"/>
      <c r="F13" s="534">
        <f t="shared" si="0"/>
        <v>0</v>
      </c>
      <c r="G13" s="517"/>
      <c r="H13" s="518"/>
      <c r="I13" s="326">
        <f t="shared" si="2"/>
        <v>16708.080000000002</v>
      </c>
    </row>
    <row r="14" spans="1:9" ht="15" x14ac:dyDescent="0.25">
      <c r="A14" s="79"/>
      <c r="B14" s="90">
        <f t="shared" si="1"/>
        <v>613</v>
      </c>
      <c r="C14" s="15"/>
      <c r="D14" s="534"/>
      <c r="E14" s="699"/>
      <c r="F14" s="534">
        <f t="shared" si="0"/>
        <v>0</v>
      </c>
      <c r="G14" s="517"/>
      <c r="H14" s="518"/>
      <c r="I14" s="326">
        <f t="shared" si="2"/>
        <v>16708.080000000002</v>
      </c>
    </row>
    <row r="15" spans="1:9" ht="15" x14ac:dyDescent="0.25">
      <c r="A15" s="79"/>
      <c r="B15" s="90">
        <f t="shared" si="1"/>
        <v>613</v>
      </c>
      <c r="C15" s="15"/>
      <c r="D15" s="534"/>
      <c r="E15" s="699"/>
      <c r="F15" s="534">
        <f t="shared" si="0"/>
        <v>0</v>
      </c>
      <c r="G15" s="517"/>
      <c r="H15" s="518"/>
      <c r="I15" s="326">
        <f t="shared" si="2"/>
        <v>16708.080000000002</v>
      </c>
    </row>
    <row r="16" spans="1:9" ht="15" x14ac:dyDescent="0.25">
      <c r="B16" s="90">
        <f t="shared" si="1"/>
        <v>613</v>
      </c>
      <c r="C16" s="15"/>
      <c r="D16" s="534"/>
      <c r="E16" s="699"/>
      <c r="F16" s="534">
        <f t="shared" si="0"/>
        <v>0</v>
      </c>
      <c r="G16" s="517"/>
      <c r="H16" s="518"/>
      <c r="I16" s="326">
        <f t="shared" si="2"/>
        <v>16708.080000000002</v>
      </c>
    </row>
    <row r="17" spans="1:9" ht="15" x14ac:dyDescent="0.25">
      <c r="B17" s="90">
        <f t="shared" si="1"/>
        <v>613</v>
      </c>
      <c r="C17" s="15"/>
      <c r="D17" s="534"/>
      <c r="E17" s="699"/>
      <c r="F17" s="534">
        <f t="shared" si="0"/>
        <v>0</v>
      </c>
      <c r="G17" s="517"/>
      <c r="H17" s="518"/>
      <c r="I17" s="326">
        <f t="shared" si="2"/>
        <v>16708.080000000002</v>
      </c>
    </row>
    <row r="18" spans="1:9" ht="15" x14ac:dyDescent="0.25">
      <c r="A18" s="132"/>
      <c r="B18" s="90">
        <f t="shared" si="1"/>
        <v>613</v>
      </c>
      <c r="C18" s="15"/>
      <c r="D18" s="534"/>
      <c r="E18" s="699"/>
      <c r="F18" s="534">
        <f t="shared" si="0"/>
        <v>0</v>
      </c>
      <c r="G18" s="517"/>
      <c r="H18" s="518"/>
      <c r="I18" s="326">
        <f t="shared" si="2"/>
        <v>16708.080000000002</v>
      </c>
    </row>
    <row r="19" spans="1:9" ht="15" x14ac:dyDescent="0.25">
      <c r="A19" s="132"/>
      <c r="B19" s="90">
        <f t="shared" si="1"/>
        <v>613</v>
      </c>
      <c r="C19" s="15"/>
      <c r="D19" s="534"/>
      <c r="E19" s="699"/>
      <c r="F19" s="534">
        <f t="shared" si="0"/>
        <v>0</v>
      </c>
      <c r="G19" s="517"/>
      <c r="H19" s="518"/>
      <c r="I19" s="326">
        <f t="shared" si="2"/>
        <v>16708.080000000002</v>
      </c>
    </row>
    <row r="20" spans="1:9" ht="15" x14ac:dyDescent="0.25">
      <c r="A20" s="132"/>
      <c r="B20" s="90">
        <f t="shared" si="1"/>
        <v>613</v>
      </c>
      <c r="C20" s="15"/>
      <c r="D20" s="534"/>
      <c r="E20" s="699"/>
      <c r="F20" s="534">
        <f t="shared" si="0"/>
        <v>0</v>
      </c>
      <c r="G20" s="517"/>
      <c r="H20" s="518"/>
      <c r="I20" s="326">
        <f t="shared" si="2"/>
        <v>16708.080000000002</v>
      </c>
    </row>
    <row r="21" spans="1:9" ht="15" x14ac:dyDescent="0.25">
      <c r="A21" s="132"/>
      <c r="B21" s="90">
        <f t="shared" si="1"/>
        <v>613</v>
      </c>
      <c r="C21" s="15"/>
      <c r="D21" s="534"/>
      <c r="E21" s="699"/>
      <c r="F21" s="534">
        <f t="shared" si="0"/>
        <v>0</v>
      </c>
      <c r="G21" s="517"/>
      <c r="H21" s="518"/>
      <c r="I21" s="326">
        <f t="shared" si="2"/>
        <v>16708.080000000002</v>
      </c>
    </row>
    <row r="22" spans="1:9" ht="15" x14ac:dyDescent="0.25">
      <c r="A22" s="132"/>
      <c r="B22" s="332">
        <f t="shared" si="1"/>
        <v>613</v>
      </c>
      <c r="C22" s="15"/>
      <c r="D22" s="534"/>
      <c r="E22" s="699"/>
      <c r="F22" s="534">
        <f t="shared" si="0"/>
        <v>0</v>
      </c>
      <c r="G22" s="517"/>
      <c r="H22" s="518"/>
      <c r="I22" s="326">
        <f t="shared" si="2"/>
        <v>16708.080000000002</v>
      </c>
    </row>
    <row r="23" spans="1:9" ht="15" x14ac:dyDescent="0.25">
      <c r="A23" s="133"/>
      <c r="B23" s="332">
        <f t="shared" si="1"/>
        <v>613</v>
      </c>
      <c r="C23" s="15"/>
      <c r="D23" s="314"/>
      <c r="E23" s="352"/>
      <c r="F23" s="314">
        <f t="shared" si="0"/>
        <v>0</v>
      </c>
      <c r="G23" s="315"/>
      <c r="H23" s="316"/>
      <c r="I23" s="326">
        <f t="shared" si="2"/>
        <v>16708.080000000002</v>
      </c>
    </row>
    <row r="24" spans="1:9" ht="15" x14ac:dyDescent="0.25">
      <c r="A24" s="132"/>
      <c r="B24" s="332">
        <f t="shared" si="1"/>
        <v>613</v>
      </c>
      <c r="C24" s="15"/>
      <c r="D24" s="314"/>
      <c r="E24" s="352"/>
      <c r="F24" s="314">
        <f t="shared" si="0"/>
        <v>0</v>
      </c>
      <c r="G24" s="315"/>
      <c r="H24" s="316"/>
      <c r="I24" s="326">
        <f t="shared" si="2"/>
        <v>16708.080000000002</v>
      </c>
    </row>
    <row r="25" spans="1:9" ht="15" x14ac:dyDescent="0.25">
      <c r="A25" s="132"/>
      <c r="B25" s="332">
        <f t="shared" si="1"/>
        <v>613</v>
      </c>
      <c r="C25" s="15"/>
      <c r="D25" s="314"/>
      <c r="E25" s="352"/>
      <c r="F25" s="314">
        <f t="shared" si="0"/>
        <v>0</v>
      </c>
      <c r="G25" s="315"/>
      <c r="H25" s="316"/>
      <c r="I25" s="326">
        <f t="shared" si="2"/>
        <v>16708.080000000002</v>
      </c>
    </row>
    <row r="26" spans="1:9" x14ac:dyDescent="0.25">
      <c r="A26" s="132"/>
      <c r="B26" s="227">
        <f t="shared" si="1"/>
        <v>613</v>
      </c>
      <c r="C26" s="15"/>
      <c r="D26" s="314"/>
      <c r="E26" s="352"/>
      <c r="F26" s="314">
        <f t="shared" si="0"/>
        <v>0</v>
      </c>
      <c r="G26" s="315"/>
      <c r="H26" s="316"/>
      <c r="I26" s="326">
        <f t="shared" si="2"/>
        <v>16708.080000000002</v>
      </c>
    </row>
    <row r="27" spans="1:9" x14ac:dyDescent="0.25">
      <c r="A27" s="132"/>
      <c r="B27" s="332">
        <f t="shared" si="1"/>
        <v>613</v>
      </c>
      <c r="C27" s="15"/>
      <c r="D27" s="314"/>
      <c r="E27" s="352"/>
      <c r="F27" s="314">
        <f t="shared" si="0"/>
        <v>0</v>
      </c>
      <c r="G27" s="315"/>
      <c r="H27" s="316"/>
      <c r="I27" s="326">
        <f t="shared" si="2"/>
        <v>16708.080000000002</v>
      </c>
    </row>
    <row r="28" spans="1:9" x14ac:dyDescent="0.25">
      <c r="A28" s="132"/>
      <c r="B28" s="227">
        <f t="shared" si="1"/>
        <v>613</v>
      </c>
      <c r="C28" s="15"/>
      <c r="D28" s="314"/>
      <c r="E28" s="352"/>
      <c r="F28" s="314">
        <f t="shared" si="0"/>
        <v>0</v>
      </c>
      <c r="G28" s="315"/>
      <c r="H28" s="316"/>
      <c r="I28" s="326">
        <f t="shared" si="2"/>
        <v>16708.080000000002</v>
      </c>
    </row>
    <row r="29" spans="1:9" x14ac:dyDescent="0.25">
      <c r="A29" s="132"/>
      <c r="B29" s="332">
        <f t="shared" si="1"/>
        <v>613</v>
      </c>
      <c r="C29" s="15"/>
      <c r="D29" s="314"/>
      <c r="E29" s="352"/>
      <c r="F29" s="314">
        <f t="shared" si="0"/>
        <v>0</v>
      </c>
      <c r="G29" s="315"/>
      <c r="H29" s="316"/>
      <c r="I29" s="326">
        <f t="shared" si="2"/>
        <v>16708.080000000002</v>
      </c>
    </row>
    <row r="30" spans="1:9" x14ac:dyDescent="0.25">
      <c r="A30" s="132"/>
      <c r="B30" s="332">
        <f t="shared" si="1"/>
        <v>613</v>
      </c>
      <c r="C30" s="15"/>
      <c r="D30" s="314"/>
      <c r="E30" s="352"/>
      <c r="F30" s="314">
        <f t="shared" si="0"/>
        <v>0</v>
      </c>
      <c r="G30" s="315"/>
      <c r="H30" s="316"/>
      <c r="I30" s="326">
        <f t="shared" si="2"/>
        <v>16708.080000000002</v>
      </c>
    </row>
    <row r="31" spans="1:9" x14ac:dyDescent="0.25">
      <c r="A31" s="132"/>
      <c r="B31" s="332">
        <f t="shared" si="1"/>
        <v>613</v>
      </c>
      <c r="C31" s="15"/>
      <c r="D31" s="314"/>
      <c r="E31" s="352"/>
      <c r="F31" s="314">
        <f t="shared" si="0"/>
        <v>0</v>
      </c>
      <c r="G31" s="315"/>
      <c r="H31" s="316"/>
      <c r="I31" s="326">
        <f t="shared" si="2"/>
        <v>16708.080000000002</v>
      </c>
    </row>
    <row r="32" spans="1:9" x14ac:dyDescent="0.25">
      <c r="A32" s="132"/>
      <c r="B32" s="332">
        <f t="shared" si="1"/>
        <v>613</v>
      </c>
      <c r="C32" s="15"/>
      <c r="D32" s="314"/>
      <c r="E32" s="352"/>
      <c r="F32" s="314">
        <f t="shared" si="0"/>
        <v>0</v>
      </c>
      <c r="G32" s="315"/>
      <c r="H32" s="316"/>
      <c r="I32" s="326">
        <f t="shared" si="2"/>
        <v>16708.080000000002</v>
      </c>
    </row>
    <row r="33" spans="1:9" x14ac:dyDescent="0.25">
      <c r="A33" s="132"/>
      <c r="B33" s="332">
        <f t="shared" si="1"/>
        <v>613</v>
      </c>
      <c r="C33" s="15"/>
      <c r="D33" s="314"/>
      <c r="E33" s="352"/>
      <c r="F33" s="314">
        <f t="shared" si="0"/>
        <v>0</v>
      </c>
      <c r="G33" s="315"/>
      <c r="H33" s="316"/>
      <c r="I33" s="326">
        <f t="shared" si="2"/>
        <v>16708.080000000002</v>
      </c>
    </row>
    <row r="34" spans="1:9" x14ac:dyDescent="0.25">
      <c r="A34" s="132"/>
      <c r="B34" s="332">
        <f t="shared" si="1"/>
        <v>613</v>
      </c>
      <c r="C34" s="15"/>
      <c r="D34" s="314"/>
      <c r="E34" s="352"/>
      <c r="F34" s="314">
        <f t="shared" si="0"/>
        <v>0</v>
      </c>
      <c r="G34" s="315"/>
      <c r="H34" s="316"/>
      <c r="I34" s="326">
        <f t="shared" si="2"/>
        <v>16708.080000000002</v>
      </c>
    </row>
    <row r="35" spans="1:9" x14ac:dyDescent="0.25">
      <c r="A35" s="132"/>
      <c r="B35" s="332">
        <f t="shared" si="1"/>
        <v>613</v>
      </c>
      <c r="C35" s="15"/>
      <c r="D35" s="314"/>
      <c r="E35" s="352"/>
      <c r="F35" s="314">
        <f t="shared" si="0"/>
        <v>0</v>
      </c>
      <c r="G35" s="315"/>
      <c r="H35" s="316"/>
      <c r="I35" s="326">
        <f t="shared" si="2"/>
        <v>16708.080000000002</v>
      </c>
    </row>
    <row r="36" spans="1:9" x14ac:dyDescent="0.25">
      <c r="A36" s="132" t="s">
        <v>22</v>
      </c>
      <c r="B36" s="332">
        <f t="shared" si="1"/>
        <v>613</v>
      </c>
      <c r="C36" s="15"/>
      <c r="D36" s="314"/>
      <c r="E36" s="352"/>
      <c r="F36" s="314">
        <f t="shared" si="0"/>
        <v>0</v>
      </c>
      <c r="G36" s="315"/>
      <c r="H36" s="316"/>
      <c r="I36" s="326">
        <f t="shared" si="2"/>
        <v>16708.080000000002</v>
      </c>
    </row>
    <row r="37" spans="1:9" x14ac:dyDescent="0.25">
      <c r="A37" s="133"/>
      <c r="B37" s="332">
        <f t="shared" si="1"/>
        <v>613</v>
      </c>
      <c r="C37" s="15"/>
      <c r="D37" s="314"/>
      <c r="E37" s="352"/>
      <c r="F37" s="314">
        <f t="shared" si="0"/>
        <v>0</v>
      </c>
      <c r="G37" s="315"/>
      <c r="H37" s="316"/>
      <c r="I37" s="326">
        <f t="shared" si="2"/>
        <v>16708.080000000002</v>
      </c>
    </row>
    <row r="38" spans="1:9" x14ac:dyDescent="0.25">
      <c r="A38" s="132"/>
      <c r="B38" s="332">
        <f t="shared" si="1"/>
        <v>613</v>
      </c>
      <c r="C38" s="15"/>
      <c r="D38" s="314"/>
      <c r="E38" s="352"/>
      <c r="F38" s="314">
        <f t="shared" si="0"/>
        <v>0</v>
      </c>
      <c r="G38" s="315"/>
      <c r="H38" s="316"/>
      <c r="I38" s="326">
        <f t="shared" si="2"/>
        <v>16708.080000000002</v>
      </c>
    </row>
    <row r="39" spans="1:9" x14ac:dyDescent="0.25">
      <c r="A39" s="132"/>
      <c r="B39" s="90">
        <f t="shared" si="1"/>
        <v>613</v>
      </c>
      <c r="C39" s="15"/>
      <c r="D39" s="314"/>
      <c r="E39" s="352"/>
      <c r="F39" s="314">
        <f t="shared" si="0"/>
        <v>0</v>
      </c>
      <c r="G39" s="315"/>
      <c r="H39" s="316"/>
      <c r="I39" s="326">
        <f t="shared" si="2"/>
        <v>16708.080000000002</v>
      </c>
    </row>
    <row r="40" spans="1:9" x14ac:dyDescent="0.25">
      <c r="A40" s="132"/>
      <c r="B40" s="90">
        <f t="shared" si="1"/>
        <v>613</v>
      </c>
      <c r="C40" s="15"/>
      <c r="D40" s="314"/>
      <c r="E40" s="352"/>
      <c r="F40" s="314">
        <f t="shared" si="0"/>
        <v>0</v>
      </c>
      <c r="G40" s="315"/>
      <c r="H40" s="316"/>
      <c r="I40" s="326">
        <f t="shared" si="2"/>
        <v>16708.080000000002</v>
      </c>
    </row>
    <row r="41" spans="1:9" x14ac:dyDescent="0.25">
      <c r="A41" s="132"/>
      <c r="B41" s="90">
        <f t="shared" si="1"/>
        <v>613</v>
      </c>
      <c r="C41" s="15"/>
      <c r="D41" s="314"/>
      <c r="E41" s="352"/>
      <c r="F41" s="314">
        <f t="shared" si="0"/>
        <v>0</v>
      </c>
      <c r="G41" s="315"/>
      <c r="H41" s="316"/>
      <c r="I41" s="326">
        <f t="shared" si="2"/>
        <v>16708.080000000002</v>
      </c>
    </row>
    <row r="42" spans="1:9" x14ac:dyDescent="0.25">
      <c r="A42" s="132"/>
      <c r="B42" s="90">
        <f t="shared" si="1"/>
        <v>613</v>
      </c>
      <c r="C42" s="15"/>
      <c r="D42" s="314"/>
      <c r="E42" s="352"/>
      <c r="F42" s="314">
        <f t="shared" si="0"/>
        <v>0</v>
      </c>
      <c r="G42" s="315"/>
      <c r="H42" s="316"/>
      <c r="I42" s="326">
        <f t="shared" si="2"/>
        <v>16708.080000000002</v>
      </c>
    </row>
    <row r="43" spans="1:9" x14ac:dyDescent="0.25">
      <c r="A43" s="132"/>
      <c r="B43" s="90">
        <f t="shared" si="1"/>
        <v>613</v>
      </c>
      <c r="C43" s="15"/>
      <c r="D43" s="314"/>
      <c r="E43" s="352"/>
      <c r="F43" s="314">
        <f t="shared" si="0"/>
        <v>0</v>
      </c>
      <c r="G43" s="315"/>
      <c r="H43" s="316"/>
      <c r="I43" s="326">
        <f t="shared" si="2"/>
        <v>16708.080000000002</v>
      </c>
    </row>
    <row r="44" spans="1:9" x14ac:dyDescent="0.25">
      <c r="A44" s="132"/>
      <c r="B44" s="90">
        <f t="shared" si="1"/>
        <v>613</v>
      </c>
      <c r="C44" s="15"/>
      <c r="D44" s="314"/>
      <c r="E44" s="352"/>
      <c r="F44" s="314">
        <f t="shared" si="0"/>
        <v>0</v>
      </c>
      <c r="G44" s="315"/>
      <c r="H44" s="316"/>
      <c r="I44" s="326">
        <f t="shared" si="2"/>
        <v>16708.080000000002</v>
      </c>
    </row>
    <row r="45" spans="1:9" x14ac:dyDescent="0.25">
      <c r="A45" s="132"/>
      <c r="B45" s="90">
        <f t="shared" si="1"/>
        <v>613</v>
      </c>
      <c r="C45" s="15"/>
      <c r="D45" s="314"/>
      <c r="E45" s="352"/>
      <c r="F45" s="314">
        <f t="shared" si="0"/>
        <v>0</v>
      </c>
      <c r="G45" s="315"/>
      <c r="H45" s="316"/>
      <c r="I45" s="326">
        <f t="shared" si="2"/>
        <v>16708.080000000002</v>
      </c>
    </row>
    <row r="46" spans="1:9" x14ac:dyDescent="0.25">
      <c r="A46" s="132"/>
      <c r="B46" s="90">
        <f t="shared" si="1"/>
        <v>613</v>
      </c>
      <c r="C46" s="15"/>
      <c r="D46" s="314"/>
      <c r="E46" s="352"/>
      <c r="F46" s="314">
        <f t="shared" si="0"/>
        <v>0</v>
      </c>
      <c r="G46" s="315"/>
      <c r="H46" s="316"/>
      <c r="I46" s="326">
        <f t="shared" si="2"/>
        <v>16708.080000000002</v>
      </c>
    </row>
    <row r="47" spans="1:9" x14ac:dyDescent="0.25">
      <c r="A47" s="132"/>
      <c r="B47" s="90">
        <f t="shared" si="1"/>
        <v>613</v>
      </c>
      <c r="C47" s="15"/>
      <c r="D47" s="314"/>
      <c r="E47" s="352"/>
      <c r="F47" s="314">
        <f t="shared" si="0"/>
        <v>0</v>
      </c>
      <c r="G47" s="315"/>
      <c r="H47" s="316"/>
      <c r="I47" s="326">
        <f t="shared" si="2"/>
        <v>16708.080000000002</v>
      </c>
    </row>
    <row r="48" spans="1:9" x14ac:dyDescent="0.25">
      <c r="A48" s="132"/>
      <c r="B48" s="90">
        <f t="shared" si="1"/>
        <v>613</v>
      </c>
      <c r="C48" s="15"/>
      <c r="D48" s="314"/>
      <c r="E48" s="352"/>
      <c r="F48" s="314">
        <f t="shared" si="0"/>
        <v>0</v>
      </c>
      <c r="G48" s="315"/>
      <c r="H48" s="316"/>
      <c r="I48" s="326">
        <f t="shared" si="2"/>
        <v>16708.080000000002</v>
      </c>
    </row>
    <row r="49" spans="1:9" x14ac:dyDescent="0.25">
      <c r="A49" s="132"/>
      <c r="B49" s="90">
        <f t="shared" si="1"/>
        <v>613</v>
      </c>
      <c r="C49" s="15"/>
      <c r="D49" s="314"/>
      <c r="E49" s="352"/>
      <c r="F49" s="314">
        <f t="shared" si="0"/>
        <v>0</v>
      </c>
      <c r="G49" s="315"/>
      <c r="H49" s="316"/>
      <c r="I49" s="326">
        <f t="shared" si="2"/>
        <v>16708.080000000002</v>
      </c>
    </row>
    <row r="50" spans="1:9" x14ac:dyDescent="0.25">
      <c r="A50" s="132"/>
      <c r="B50" s="90">
        <f t="shared" si="1"/>
        <v>613</v>
      </c>
      <c r="C50" s="15"/>
      <c r="D50" s="314"/>
      <c r="E50" s="352"/>
      <c r="F50" s="314">
        <f t="shared" si="0"/>
        <v>0</v>
      </c>
      <c r="G50" s="315"/>
      <c r="H50" s="316"/>
      <c r="I50" s="326">
        <f t="shared" si="2"/>
        <v>16708.080000000002</v>
      </c>
    </row>
    <row r="51" spans="1:9" x14ac:dyDescent="0.25">
      <c r="A51" s="132"/>
      <c r="B51" s="90">
        <f t="shared" si="1"/>
        <v>613</v>
      </c>
      <c r="C51" s="15"/>
      <c r="D51" s="314"/>
      <c r="E51" s="352"/>
      <c r="F51" s="314">
        <f t="shared" si="0"/>
        <v>0</v>
      </c>
      <c r="G51" s="315"/>
      <c r="H51" s="316"/>
      <c r="I51" s="326">
        <f t="shared" si="2"/>
        <v>16708.080000000002</v>
      </c>
    </row>
    <row r="52" spans="1:9" x14ac:dyDescent="0.25">
      <c r="A52" s="132"/>
      <c r="B52" s="90">
        <f t="shared" si="1"/>
        <v>613</v>
      </c>
      <c r="C52" s="15"/>
      <c r="D52" s="314"/>
      <c r="E52" s="352"/>
      <c r="F52" s="314">
        <f t="shared" si="0"/>
        <v>0</v>
      </c>
      <c r="G52" s="315"/>
      <c r="H52" s="316"/>
      <c r="I52" s="326">
        <f t="shared" si="2"/>
        <v>16708.080000000002</v>
      </c>
    </row>
    <row r="53" spans="1:9" x14ac:dyDescent="0.25">
      <c r="A53" s="132"/>
      <c r="B53" s="90">
        <f t="shared" si="1"/>
        <v>613</v>
      </c>
      <c r="C53" s="15"/>
      <c r="D53" s="314"/>
      <c r="E53" s="352"/>
      <c r="F53" s="314">
        <f t="shared" si="0"/>
        <v>0</v>
      </c>
      <c r="G53" s="315"/>
      <c r="H53" s="316"/>
      <c r="I53" s="326">
        <f t="shared" si="2"/>
        <v>16708.080000000002</v>
      </c>
    </row>
    <row r="54" spans="1:9" x14ac:dyDescent="0.25">
      <c r="A54" s="132"/>
      <c r="B54" s="90">
        <f t="shared" si="1"/>
        <v>613</v>
      </c>
      <c r="C54" s="15"/>
      <c r="D54" s="314"/>
      <c r="E54" s="352"/>
      <c r="F54" s="314">
        <f t="shared" si="0"/>
        <v>0</v>
      </c>
      <c r="G54" s="315"/>
      <c r="H54" s="316"/>
      <c r="I54" s="326">
        <f t="shared" si="2"/>
        <v>16708.080000000002</v>
      </c>
    </row>
    <row r="55" spans="1:9" x14ac:dyDescent="0.25">
      <c r="A55" s="132"/>
      <c r="B55" s="12">
        <f>B54-C55</f>
        <v>613</v>
      </c>
      <c r="C55" s="15"/>
      <c r="D55" s="314"/>
      <c r="E55" s="352"/>
      <c r="F55" s="314">
        <f t="shared" si="0"/>
        <v>0</v>
      </c>
      <c r="G55" s="315"/>
      <c r="H55" s="316"/>
      <c r="I55" s="326">
        <f t="shared" si="2"/>
        <v>16708.080000000002</v>
      </c>
    </row>
    <row r="56" spans="1:9" x14ac:dyDescent="0.25">
      <c r="A56" s="132"/>
      <c r="B56" s="12">
        <f t="shared" ref="B56:B75" si="3">B55-C56</f>
        <v>613</v>
      </c>
      <c r="C56" s="15"/>
      <c r="D56" s="314"/>
      <c r="E56" s="352"/>
      <c r="F56" s="314">
        <f t="shared" si="0"/>
        <v>0</v>
      </c>
      <c r="G56" s="315"/>
      <c r="H56" s="316"/>
      <c r="I56" s="326">
        <f t="shared" si="2"/>
        <v>16708.080000000002</v>
      </c>
    </row>
    <row r="57" spans="1:9" x14ac:dyDescent="0.25">
      <c r="A57" s="132"/>
      <c r="B57" s="12">
        <f t="shared" si="3"/>
        <v>613</v>
      </c>
      <c r="C57" s="15"/>
      <c r="D57" s="314"/>
      <c r="E57" s="352"/>
      <c r="F57" s="314">
        <f t="shared" si="0"/>
        <v>0</v>
      </c>
      <c r="G57" s="315"/>
      <c r="H57" s="316"/>
      <c r="I57" s="326">
        <f t="shared" si="2"/>
        <v>16708.080000000002</v>
      </c>
    </row>
    <row r="58" spans="1:9" x14ac:dyDescent="0.25">
      <c r="A58" s="132"/>
      <c r="B58" s="12">
        <f t="shared" si="3"/>
        <v>613</v>
      </c>
      <c r="C58" s="15"/>
      <c r="D58" s="314"/>
      <c r="E58" s="352"/>
      <c r="F58" s="314">
        <f t="shared" si="0"/>
        <v>0</v>
      </c>
      <c r="G58" s="315"/>
      <c r="H58" s="316"/>
      <c r="I58" s="326">
        <f t="shared" si="2"/>
        <v>16708.080000000002</v>
      </c>
    </row>
    <row r="59" spans="1:9" x14ac:dyDescent="0.25">
      <c r="A59" s="132"/>
      <c r="B59" s="12">
        <f t="shared" si="3"/>
        <v>613</v>
      </c>
      <c r="C59" s="15"/>
      <c r="D59" s="314"/>
      <c r="E59" s="352"/>
      <c r="F59" s="314">
        <f t="shared" si="0"/>
        <v>0</v>
      </c>
      <c r="G59" s="315"/>
      <c r="H59" s="316"/>
      <c r="I59" s="326">
        <f t="shared" si="2"/>
        <v>16708.080000000002</v>
      </c>
    </row>
    <row r="60" spans="1:9" x14ac:dyDescent="0.25">
      <c r="A60" s="132"/>
      <c r="B60" s="12">
        <f t="shared" si="3"/>
        <v>613</v>
      </c>
      <c r="C60" s="15"/>
      <c r="D60" s="314"/>
      <c r="E60" s="352"/>
      <c r="F60" s="314">
        <f t="shared" si="0"/>
        <v>0</v>
      </c>
      <c r="G60" s="315"/>
      <c r="H60" s="316"/>
      <c r="I60" s="326">
        <f t="shared" si="2"/>
        <v>16708.080000000002</v>
      </c>
    </row>
    <row r="61" spans="1:9" x14ac:dyDescent="0.25">
      <c r="A61" s="132"/>
      <c r="B61" s="12">
        <f t="shared" si="3"/>
        <v>613</v>
      </c>
      <c r="C61" s="15"/>
      <c r="D61" s="314"/>
      <c r="E61" s="352"/>
      <c r="F61" s="314">
        <f t="shared" si="0"/>
        <v>0</v>
      </c>
      <c r="G61" s="315"/>
      <c r="H61" s="316"/>
      <c r="I61" s="326">
        <f t="shared" si="2"/>
        <v>16708.080000000002</v>
      </c>
    </row>
    <row r="62" spans="1:9" x14ac:dyDescent="0.25">
      <c r="A62" s="132"/>
      <c r="B62" s="12">
        <f t="shared" si="3"/>
        <v>613</v>
      </c>
      <c r="C62" s="15"/>
      <c r="D62" s="314"/>
      <c r="E62" s="352"/>
      <c r="F62" s="314">
        <f t="shared" si="0"/>
        <v>0</v>
      </c>
      <c r="G62" s="315"/>
      <c r="H62" s="316"/>
      <c r="I62" s="326">
        <f t="shared" si="2"/>
        <v>16708.080000000002</v>
      </c>
    </row>
    <row r="63" spans="1:9" x14ac:dyDescent="0.25">
      <c r="A63" s="132"/>
      <c r="B63" s="12">
        <f t="shared" si="3"/>
        <v>613</v>
      </c>
      <c r="C63" s="15"/>
      <c r="D63" s="314"/>
      <c r="E63" s="352"/>
      <c r="F63" s="314">
        <f t="shared" si="0"/>
        <v>0</v>
      </c>
      <c r="G63" s="315"/>
      <c r="H63" s="316"/>
      <c r="I63" s="326">
        <f t="shared" si="2"/>
        <v>16708.080000000002</v>
      </c>
    </row>
    <row r="64" spans="1:9" x14ac:dyDescent="0.25">
      <c r="A64" s="132"/>
      <c r="B64" s="12">
        <f t="shared" si="3"/>
        <v>613</v>
      </c>
      <c r="C64" s="15"/>
      <c r="D64" s="314"/>
      <c r="E64" s="352"/>
      <c r="F64" s="314">
        <f t="shared" si="0"/>
        <v>0</v>
      </c>
      <c r="G64" s="315"/>
      <c r="H64" s="316"/>
      <c r="I64" s="326">
        <f t="shared" si="2"/>
        <v>16708.080000000002</v>
      </c>
    </row>
    <row r="65" spans="1:9" x14ac:dyDescent="0.25">
      <c r="A65" s="132"/>
      <c r="B65" s="12">
        <f t="shared" si="3"/>
        <v>613</v>
      </c>
      <c r="C65" s="15"/>
      <c r="D65" s="314"/>
      <c r="E65" s="352"/>
      <c r="F65" s="314">
        <f t="shared" si="0"/>
        <v>0</v>
      </c>
      <c r="G65" s="315"/>
      <c r="H65" s="316"/>
      <c r="I65" s="326">
        <f t="shared" si="2"/>
        <v>16708.080000000002</v>
      </c>
    </row>
    <row r="66" spans="1:9" x14ac:dyDescent="0.25">
      <c r="A66" s="132"/>
      <c r="B66" s="12">
        <f t="shared" si="3"/>
        <v>613</v>
      </c>
      <c r="C66" s="15"/>
      <c r="D66" s="314"/>
      <c r="E66" s="352"/>
      <c r="F66" s="314">
        <f t="shared" si="0"/>
        <v>0</v>
      </c>
      <c r="G66" s="315"/>
      <c r="H66" s="316"/>
      <c r="I66" s="326">
        <f t="shared" si="2"/>
        <v>16708.080000000002</v>
      </c>
    </row>
    <row r="67" spans="1:9" x14ac:dyDescent="0.25">
      <c r="A67" s="132"/>
      <c r="B67" s="12">
        <f t="shared" si="3"/>
        <v>613</v>
      </c>
      <c r="C67" s="15"/>
      <c r="D67" s="74"/>
      <c r="E67" s="254"/>
      <c r="F67" s="74">
        <f t="shared" si="0"/>
        <v>0</v>
      </c>
      <c r="G67" s="75"/>
      <c r="H67" s="76"/>
      <c r="I67" s="113">
        <f t="shared" si="2"/>
        <v>16708.080000000002</v>
      </c>
    </row>
    <row r="68" spans="1:9" x14ac:dyDescent="0.25">
      <c r="A68" s="132"/>
      <c r="B68" s="12">
        <f t="shared" si="3"/>
        <v>613</v>
      </c>
      <c r="C68" s="15"/>
      <c r="D68" s="64"/>
      <c r="E68" s="264"/>
      <c r="F68" s="74">
        <f t="shared" si="0"/>
        <v>0</v>
      </c>
      <c r="G68" s="75"/>
      <c r="H68" s="76"/>
      <c r="I68" s="113">
        <f t="shared" si="2"/>
        <v>16708.080000000002</v>
      </c>
    </row>
    <row r="69" spans="1:9" x14ac:dyDescent="0.25">
      <c r="A69" s="132"/>
      <c r="B69" s="12">
        <f t="shared" si="3"/>
        <v>613</v>
      </c>
      <c r="C69" s="15"/>
      <c r="D69" s="64"/>
      <c r="E69" s="264"/>
      <c r="F69" s="74">
        <f t="shared" si="0"/>
        <v>0</v>
      </c>
      <c r="G69" s="75"/>
      <c r="H69" s="76"/>
      <c r="I69" s="113">
        <f t="shared" si="2"/>
        <v>16708.080000000002</v>
      </c>
    </row>
    <row r="70" spans="1:9" x14ac:dyDescent="0.25">
      <c r="A70" s="132"/>
      <c r="B70" s="12">
        <f t="shared" si="3"/>
        <v>613</v>
      </c>
      <c r="C70" s="15"/>
      <c r="D70" s="64"/>
      <c r="E70" s="264"/>
      <c r="F70" s="74">
        <f t="shared" si="0"/>
        <v>0</v>
      </c>
      <c r="G70" s="75"/>
      <c r="H70" s="76"/>
      <c r="I70" s="113">
        <f t="shared" si="2"/>
        <v>16708.080000000002</v>
      </c>
    </row>
    <row r="71" spans="1:9" x14ac:dyDescent="0.25">
      <c r="A71" s="132"/>
      <c r="B71" s="12">
        <f t="shared" si="3"/>
        <v>613</v>
      </c>
      <c r="C71" s="15"/>
      <c r="D71" s="64"/>
      <c r="E71" s="264"/>
      <c r="F71" s="74">
        <f t="shared" si="0"/>
        <v>0</v>
      </c>
      <c r="G71" s="75"/>
      <c r="H71" s="76"/>
      <c r="I71" s="113">
        <f t="shared" si="2"/>
        <v>16708.080000000002</v>
      </c>
    </row>
    <row r="72" spans="1:9" x14ac:dyDescent="0.25">
      <c r="A72" s="132"/>
      <c r="B72" s="12">
        <f t="shared" si="3"/>
        <v>613</v>
      </c>
      <c r="C72" s="15"/>
      <c r="D72" s="64"/>
      <c r="E72" s="264"/>
      <c r="F72" s="74">
        <f t="shared" si="0"/>
        <v>0</v>
      </c>
      <c r="G72" s="75"/>
      <c r="H72" s="76"/>
      <c r="I72" s="113">
        <f t="shared" si="2"/>
        <v>16708.080000000002</v>
      </c>
    </row>
    <row r="73" spans="1:9" x14ac:dyDescent="0.25">
      <c r="A73" s="132"/>
      <c r="B73" s="12">
        <f t="shared" si="3"/>
        <v>613</v>
      </c>
      <c r="C73" s="15"/>
      <c r="D73" s="64"/>
      <c r="E73" s="264"/>
      <c r="F73" s="74">
        <f t="shared" ref="F73" si="4">D73</f>
        <v>0</v>
      </c>
      <c r="G73" s="75"/>
      <c r="H73" s="76"/>
      <c r="I73" s="113">
        <f t="shared" si="2"/>
        <v>16708.080000000002</v>
      </c>
    </row>
    <row r="74" spans="1:9" x14ac:dyDescent="0.25">
      <c r="A74" s="132"/>
      <c r="B74" s="12">
        <f t="shared" si="3"/>
        <v>613</v>
      </c>
      <c r="C74" s="15"/>
      <c r="D74" s="64"/>
      <c r="E74" s="264"/>
      <c r="F74" s="74">
        <f>D74</f>
        <v>0</v>
      </c>
      <c r="G74" s="75"/>
      <c r="H74" s="76"/>
      <c r="I74" s="113">
        <f t="shared" si="2"/>
        <v>16708.080000000002</v>
      </c>
    </row>
    <row r="75" spans="1:9" x14ac:dyDescent="0.25">
      <c r="A75" s="132"/>
      <c r="B75" s="12">
        <f t="shared" si="3"/>
        <v>613</v>
      </c>
      <c r="C75" s="15"/>
      <c r="D75" s="64"/>
      <c r="E75" s="264"/>
      <c r="F75" s="74">
        <f>D75</f>
        <v>0</v>
      </c>
      <c r="G75" s="75"/>
      <c r="H75" s="76"/>
      <c r="I75" s="113">
        <f t="shared" ref="I75:I76" si="5">I74-F75</f>
        <v>16708.080000000002</v>
      </c>
    </row>
    <row r="76" spans="1:9" x14ac:dyDescent="0.25">
      <c r="A76" s="132"/>
      <c r="C76" s="15"/>
      <c r="D76" s="64"/>
      <c r="E76" s="264"/>
      <c r="F76" s="74">
        <f>D76</f>
        <v>0</v>
      </c>
      <c r="G76" s="75"/>
      <c r="H76" s="76"/>
      <c r="I76" s="113">
        <f t="shared" si="5"/>
        <v>16708.080000000002</v>
      </c>
    </row>
    <row r="77" spans="1:9" ht="14.4" thickBot="1" x14ac:dyDescent="0.3">
      <c r="A77" s="132"/>
      <c r="B77" s="16"/>
      <c r="C77" s="54"/>
      <c r="D77" s="115"/>
      <c r="E77" s="243"/>
      <c r="F77" s="111"/>
      <c r="G77" s="112"/>
      <c r="H77" s="65"/>
    </row>
    <row r="78" spans="1:9" x14ac:dyDescent="0.25">
      <c r="C78" s="55">
        <f>SUM(C9:C77)</f>
        <v>0</v>
      </c>
      <c r="D78" s="6">
        <f>SUM(D9:D77)</f>
        <v>0</v>
      </c>
      <c r="F78" s="6">
        <f>SUM(F9:F77)</f>
        <v>0</v>
      </c>
    </row>
    <row r="80" spans="1:9" ht="14.4" thickBot="1" x14ac:dyDescent="0.3"/>
    <row r="81" spans="3:6" ht="14.4" thickBot="1" x14ac:dyDescent="0.3">
      <c r="D81" s="46" t="s">
        <v>4</v>
      </c>
      <c r="E81" s="61">
        <f>F5+F6-C78+F7</f>
        <v>613</v>
      </c>
    </row>
    <row r="82" spans="3:6" ht="14.4" thickBot="1" x14ac:dyDescent="0.3"/>
    <row r="83" spans="3:6" ht="14.4" thickBot="1" x14ac:dyDescent="0.3">
      <c r="C83" s="1036" t="s">
        <v>11</v>
      </c>
      <c r="D83" s="1037"/>
      <c r="E83" s="62">
        <f>E5+E6-F78+E7</f>
        <v>16708.080000000002</v>
      </c>
      <c r="F83" s="79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M40"/>
  <sheetViews>
    <sheetView topLeftCell="D1" workbookViewId="0">
      <pane ySplit="9" topLeftCell="A10" activePane="bottomLeft" state="frozen"/>
      <selection pane="bottomLeft" activeCell="O16" sqref="O16"/>
    </sheetView>
  </sheetViews>
  <sheetFormatPr baseColWidth="10" defaultRowHeight="13.8" x14ac:dyDescent="0.25"/>
  <cols>
    <col min="1" max="1" width="34.109375" customWidth="1"/>
    <col min="2" max="2" width="18" customWidth="1"/>
    <col min="3" max="3" width="11.88671875" customWidth="1"/>
    <col min="5" max="5" width="13" bestFit="1" customWidth="1"/>
  </cols>
  <sheetData>
    <row r="1" spans="1:13" ht="40.5" x14ac:dyDescent="0.55000000000000004">
      <c r="A1" s="1041" t="s">
        <v>170</v>
      </c>
      <c r="B1" s="1041"/>
      <c r="C1" s="1041"/>
      <c r="D1" s="1041"/>
      <c r="E1" s="1041"/>
      <c r="F1" s="1041"/>
      <c r="G1" s="1041"/>
      <c r="H1" s="11">
        <v>1</v>
      </c>
      <c r="I1" s="38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8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81"/>
    </row>
    <row r="4" spans="1:13" ht="15.75" thickTop="1" x14ac:dyDescent="0.25">
      <c r="A4" s="353"/>
      <c r="B4" s="353"/>
      <c r="C4" s="353"/>
      <c r="D4" s="289"/>
      <c r="E4" s="410"/>
      <c r="F4" s="300"/>
      <c r="G4" s="175"/>
      <c r="H4" s="175"/>
      <c r="I4" s="175"/>
    </row>
    <row r="5" spans="1:13" x14ac:dyDescent="0.25">
      <c r="A5" s="1026" t="s">
        <v>70</v>
      </c>
      <c r="B5" s="1026" t="s">
        <v>103</v>
      </c>
      <c r="C5" s="336">
        <v>42</v>
      </c>
      <c r="D5" s="294">
        <v>44120</v>
      </c>
      <c r="E5" s="309">
        <v>218.91</v>
      </c>
      <c r="F5" s="300">
        <v>10</v>
      </c>
      <c r="G5" s="354"/>
      <c r="H5" t="s">
        <v>41</v>
      </c>
    </row>
    <row r="6" spans="1:13" ht="15.6" x14ac:dyDescent="0.3">
      <c r="A6" s="1026"/>
      <c r="B6" s="1026"/>
      <c r="C6" s="421">
        <v>46</v>
      </c>
      <c r="D6" s="311">
        <v>44137</v>
      </c>
      <c r="E6" s="309">
        <v>491.8</v>
      </c>
      <c r="F6" s="300">
        <v>22</v>
      </c>
      <c r="G6" s="312">
        <f>F35</f>
        <v>710.71</v>
      </c>
      <c r="H6" s="7">
        <f>E6-G6+E7+E5-G5+E4+E8</f>
        <v>-2.8421709430404007E-14</v>
      </c>
      <c r="I6" s="310"/>
    </row>
    <row r="7" spans="1:13" ht="15" x14ac:dyDescent="0.25">
      <c r="A7" s="286"/>
      <c r="B7" s="333"/>
      <c r="C7" s="336"/>
      <c r="D7" s="294"/>
      <c r="E7" s="309"/>
      <c r="F7" s="300"/>
      <c r="G7" s="286"/>
      <c r="H7" s="286"/>
    </row>
    <row r="8" spans="1:13" ht="15.75" thickBot="1" x14ac:dyDescent="0.3">
      <c r="A8" s="286"/>
      <c r="B8" s="333"/>
      <c r="C8" s="336"/>
      <c r="D8" s="294"/>
      <c r="E8" s="309"/>
      <c r="F8" s="300"/>
      <c r="G8" s="286"/>
      <c r="H8" s="286"/>
    </row>
    <row r="9" spans="1:13" ht="16.5" thickTop="1" thickBot="1" x14ac:dyDescent="0.3">
      <c r="B9" s="6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82"/>
    </row>
    <row r="10" spans="1:13" ht="15.75" thickTop="1" x14ac:dyDescent="0.25">
      <c r="A10" s="87" t="s">
        <v>32</v>
      </c>
      <c r="B10" s="337">
        <f>F4+F5+F6+F7-C10+F8</f>
        <v>22</v>
      </c>
      <c r="C10" s="15">
        <v>10</v>
      </c>
      <c r="D10" s="74">
        <v>218.91</v>
      </c>
      <c r="E10" s="254">
        <v>44120</v>
      </c>
      <c r="F10" s="74">
        <f t="shared" ref="F10:F11" si="0">D10</f>
        <v>218.91</v>
      </c>
      <c r="G10" s="315" t="s">
        <v>129</v>
      </c>
      <c r="H10" s="316">
        <v>44</v>
      </c>
      <c r="I10" s="383">
        <f>E4+E5+E6+E7-F10+E8</f>
        <v>491.80000000000007</v>
      </c>
      <c r="J10" s="286"/>
    </row>
    <row r="11" spans="1:13" ht="15" x14ac:dyDescent="0.25">
      <c r="A11" s="241"/>
      <c r="B11" s="337">
        <f>B10-C11</f>
        <v>0</v>
      </c>
      <c r="C11" s="15">
        <v>22</v>
      </c>
      <c r="D11" s="617">
        <v>491.8</v>
      </c>
      <c r="E11" s="763">
        <v>44141</v>
      </c>
      <c r="F11" s="764">
        <f t="shared" si="0"/>
        <v>491.8</v>
      </c>
      <c r="G11" s="618" t="s">
        <v>345</v>
      </c>
      <c r="H11" s="765">
        <v>48</v>
      </c>
      <c r="I11" s="383">
        <f>I10-F11</f>
        <v>0</v>
      </c>
      <c r="J11" s="286"/>
    </row>
    <row r="12" spans="1:13" ht="15" x14ac:dyDescent="0.25">
      <c r="A12" s="227"/>
      <c r="B12" s="337">
        <f t="shared" ref="B12:B28" si="1">B11-C12</f>
        <v>0</v>
      </c>
      <c r="C12" s="15"/>
      <c r="D12" s="617"/>
      <c r="E12" s="766"/>
      <c r="F12" s="764">
        <f t="shared" ref="F12" si="2">D12</f>
        <v>0</v>
      </c>
      <c r="G12" s="864"/>
      <c r="H12" s="865"/>
      <c r="I12" s="967">
        <f t="shared" ref="I12:I30" si="3">I11-F12</f>
        <v>0</v>
      </c>
      <c r="J12" s="286"/>
      <c r="K12" s="286"/>
      <c r="L12" s="286"/>
      <c r="M12" s="286"/>
    </row>
    <row r="13" spans="1:13" ht="15" x14ac:dyDescent="0.25">
      <c r="A13" s="89" t="s">
        <v>33</v>
      </c>
      <c r="B13" s="337">
        <f t="shared" si="1"/>
        <v>0</v>
      </c>
      <c r="C13" s="15"/>
      <c r="D13" s="617"/>
      <c r="E13" s="766"/>
      <c r="F13" s="764">
        <f t="shared" ref="F13:F33" si="4">D13</f>
        <v>0</v>
      </c>
      <c r="G13" s="864"/>
      <c r="H13" s="865"/>
      <c r="I13" s="967">
        <f t="shared" si="3"/>
        <v>0</v>
      </c>
      <c r="J13" s="286"/>
      <c r="K13" s="286"/>
      <c r="L13" s="286"/>
      <c r="M13" s="286"/>
    </row>
    <row r="14" spans="1:13" ht="15" x14ac:dyDescent="0.25">
      <c r="A14" s="79"/>
      <c r="B14" s="337">
        <f t="shared" si="1"/>
        <v>0</v>
      </c>
      <c r="C14" s="15"/>
      <c r="D14" s="617"/>
      <c r="E14" s="766"/>
      <c r="F14" s="764">
        <f t="shared" ref="F14:F26" si="5">D14</f>
        <v>0</v>
      </c>
      <c r="G14" s="864"/>
      <c r="H14" s="865"/>
      <c r="I14" s="967">
        <f t="shared" si="3"/>
        <v>0</v>
      </c>
      <c r="J14" s="286"/>
      <c r="K14" s="286"/>
      <c r="L14" s="286"/>
      <c r="M14" s="286"/>
    </row>
    <row r="15" spans="1:13" ht="15" x14ac:dyDescent="0.25">
      <c r="A15" s="79"/>
      <c r="B15" s="337">
        <f t="shared" si="1"/>
        <v>0</v>
      </c>
      <c r="C15" s="15"/>
      <c r="D15" s="617"/>
      <c r="E15" s="766"/>
      <c r="F15" s="764">
        <f t="shared" si="5"/>
        <v>0</v>
      </c>
      <c r="G15" s="618"/>
      <c r="H15" s="765"/>
      <c r="I15" s="383">
        <f t="shared" si="3"/>
        <v>0</v>
      </c>
      <c r="J15" s="286"/>
      <c r="K15" s="286"/>
      <c r="L15" s="286"/>
      <c r="M15" s="286"/>
    </row>
    <row r="16" spans="1:13" ht="15" x14ac:dyDescent="0.25">
      <c r="B16" s="337">
        <f t="shared" si="1"/>
        <v>0</v>
      </c>
      <c r="C16" s="15"/>
      <c r="D16" s="617"/>
      <c r="E16" s="766"/>
      <c r="F16" s="764">
        <f t="shared" si="5"/>
        <v>0</v>
      </c>
      <c r="G16" s="618"/>
      <c r="H16" s="765"/>
      <c r="I16" s="383">
        <f t="shared" si="3"/>
        <v>0</v>
      </c>
      <c r="J16" s="286"/>
      <c r="K16" s="286"/>
      <c r="L16" s="286"/>
      <c r="M16" s="286"/>
    </row>
    <row r="17" spans="1:13" ht="15" x14ac:dyDescent="0.25">
      <c r="B17" s="337">
        <f t="shared" si="1"/>
        <v>0</v>
      </c>
      <c r="C17" s="15"/>
      <c r="D17" s="617"/>
      <c r="E17" s="766"/>
      <c r="F17" s="764">
        <f t="shared" si="5"/>
        <v>0</v>
      </c>
      <c r="G17" s="618"/>
      <c r="H17" s="765"/>
      <c r="I17" s="383">
        <f t="shared" si="3"/>
        <v>0</v>
      </c>
      <c r="J17" s="286"/>
      <c r="K17" s="286"/>
      <c r="L17" s="286"/>
      <c r="M17" s="286"/>
    </row>
    <row r="18" spans="1:13" ht="15" x14ac:dyDescent="0.25">
      <c r="A18" s="132"/>
      <c r="B18" s="337">
        <f t="shared" si="1"/>
        <v>0</v>
      </c>
      <c r="C18" s="15"/>
      <c r="D18" s="617"/>
      <c r="E18" s="766"/>
      <c r="F18" s="764">
        <f t="shared" si="5"/>
        <v>0</v>
      </c>
      <c r="G18" s="618"/>
      <c r="H18" s="765"/>
      <c r="I18" s="383">
        <f t="shared" si="3"/>
        <v>0</v>
      </c>
      <c r="J18" s="286"/>
      <c r="K18" s="286"/>
      <c r="L18" s="286"/>
      <c r="M18" s="286"/>
    </row>
    <row r="19" spans="1:13" ht="15" x14ac:dyDescent="0.25">
      <c r="A19" s="132"/>
      <c r="B19" s="337">
        <f t="shared" si="1"/>
        <v>0</v>
      </c>
      <c r="C19" s="15"/>
      <c r="D19" s="617"/>
      <c r="E19" s="766"/>
      <c r="F19" s="764">
        <f t="shared" si="5"/>
        <v>0</v>
      </c>
      <c r="G19" s="618"/>
      <c r="H19" s="765"/>
      <c r="I19" s="383">
        <f t="shared" si="3"/>
        <v>0</v>
      </c>
      <c r="J19" s="286"/>
      <c r="K19" s="286"/>
      <c r="L19" s="286"/>
      <c r="M19" s="286"/>
    </row>
    <row r="20" spans="1:13" ht="15" x14ac:dyDescent="0.25">
      <c r="A20" s="132"/>
      <c r="B20" s="337">
        <f t="shared" si="1"/>
        <v>0</v>
      </c>
      <c r="C20" s="15"/>
      <c r="D20" s="617"/>
      <c r="E20" s="766"/>
      <c r="F20" s="764">
        <f t="shared" si="5"/>
        <v>0</v>
      </c>
      <c r="G20" s="618"/>
      <c r="H20" s="765"/>
      <c r="I20" s="383">
        <f t="shared" si="3"/>
        <v>0</v>
      </c>
      <c r="J20" s="286"/>
      <c r="K20" s="286"/>
      <c r="L20" s="286"/>
      <c r="M20" s="286"/>
    </row>
    <row r="21" spans="1:13" ht="15" x14ac:dyDescent="0.25">
      <c r="A21" s="132"/>
      <c r="B21" s="337">
        <f t="shared" si="1"/>
        <v>0</v>
      </c>
      <c r="C21" s="15"/>
      <c r="D21" s="617"/>
      <c r="E21" s="763"/>
      <c r="F21" s="617">
        <f t="shared" si="5"/>
        <v>0</v>
      </c>
      <c r="G21" s="618"/>
      <c r="H21" s="765"/>
      <c r="I21" s="259">
        <f t="shared" si="3"/>
        <v>0</v>
      </c>
      <c r="J21" s="286"/>
    </row>
    <row r="22" spans="1:13" ht="15" x14ac:dyDescent="0.25">
      <c r="A22" s="132"/>
      <c r="B22" s="337">
        <f t="shared" si="1"/>
        <v>0</v>
      </c>
      <c r="C22" s="15"/>
      <c r="D22" s="617"/>
      <c r="E22" s="763"/>
      <c r="F22" s="617">
        <f t="shared" si="5"/>
        <v>0</v>
      </c>
      <c r="G22" s="618"/>
      <c r="H22" s="765"/>
      <c r="I22" s="259">
        <f t="shared" si="3"/>
        <v>0</v>
      </c>
      <c r="J22" s="286"/>
    </row>
    <row r="23" spans="1:13" ht="15" x14ac:dyDescent="0.25">
      <c r="A23" s="133"/>
      <c r="B23" s="337">
        <f t="shared" si="1"/>
        <v>0</v>
      </c>
      <c r="C23" s="15"/>
      <c r="D23" s="617"/>
      <c r="E23" s="763"/>
      <c r="F23" s="617">
        <f t="shared" si="5"/>
        <v>0</v>
      </c>
      <c r="G23" s="618"/>
      <c r="H23" s="765"/>
      <c r="I23" s="259">
        <f t="shared" si="3"/>
        <v>0</v>
      </c>
      <c r="J23" s="286"/>
    </row>
    <row r="24" spans="1:13" ht="15" x14ac:dyDescent="0.25">
      <c r="A24" s="132"/>
      <c r="B24" s="337">
        <f t="shared" si="1"/>
        <v>0</v>
      </c>
      <c r="C24" s="15"/>
      <c r="D24" s="617"/>
      <c r="E24" s="763"/>
      <c r="F24" s="617">
        <f t="shared" si="5"/>
        <v>0</v>
      </c>
      <c r="G24" s="618"/>
      <c r="H24" s="765"/>
      <c r="I24" s="259">
        <f t="shared" si="3"/>
        <v>0</v>
      </c>
      <c r="J24" s="286"/>
    </row>
    <row r="25" spans="1:13" ht="15" x14ac:dyDescent="0.25">
      <c r="A25" s="132"/>
      <c r="B25" s="337">
        <f t="shared" si="1"/>
        <v>0</v>
      </c>
      <c r="C25" s="15"/>
      <c r="D25" s="617"/>
      <c r="E25" s="763"/>
      <c r="F25" s="617">
        <f t="shared" si="5"/>
        <v>0</v>
      </c>
      <c r="G25" s="618"/>
      <c r="H25" s="765"/>
      <c r="I25" s="259">
        <f t="shared" si="3"/>
        <v>0</v>
      </c>
      <c r="J25" s="286"/>
    </row>
    <row r="26" spans="1:13" ht="15" x14ac:dyDescent="0.25">
      <c r="A26" s="132"/>
      <c r="B26" s="337">
        <f t="shared" si="1"/>
        <v>0</v>
      </c>
      <c r="C26" s="15"/>
      <c r="D26" s="617"/>
      <c r="E26" s="763"/>
      <c r="F26" s="617">
        <f t="shared" si="5"/>
        <v>0</v>
      </c>
      <c r="G26" s="618"/>
      <c r="H26" s="765"/>
      <c r="I26" s="259">
        <f t="shared" si="3"/>
        <v>0</v>
      </c>
      <c r="J26" s="286"/>
    </row>
    <row r="27" spans="1:13" ht="15" x14ac:dyDescent="0.25">
      <c r="A27" s="132"/>
      <c r="B27" s="337">
        <f t="shared" si="1"/>
        <v>0</v>
      </c>
      <c r="C27" s="15"/>
      <c r="D27" s="617"/>
      <c r="E27" s="763"/>
      <c r="F27" s="617">
        <v>0</v>
      </c>
      <c r="G27" s="618"/>
      <c r="H27" s="765"/>
      <c r="I27" s="383">
        <f t="shared" si="3"/>
        <v>0</v>
      </c>
      <c r="J27" s="286"/>
    </row>
    <row r="28" spans="1:13" ht="15" x14ac:dyDescent="0.25">
      <c r="A28" s="132"/>
      <c r="B28" s="337">
        <f t="shared" si="1"/>
        <v>0</v>
      </c>
      <c r="C28" s="15"/>
      <c r="D28" s="617"/>
      <c r="E28" s="763"/>
      <c r="F28" s="617">
        <f t="shared" si="4"/>
        <v>0</v>
      </c>
      <c r="G28" s="618"/>
      <c r="H28" s="765"/>
      <c r="I28" s="383">
        <f t="shared" si="3"/>
        <v>0</v>
      </c>
    </row>
    <row r="29" spans="1:13" ht="15" x14ac:dyDescent="0.25">
      <c r="A29" s="132"/>
      <c r="B29" s="337"/>
      <c r="C29" s="15"/>
      <c r="D29" s="617"/>
      <c r="E29" s="763"/>
      <c r="F29" s="617">
        <f t="shared" si="4"/>
        <v>0</v>
      </c>
      <c r="G29" s="618"/>
      <c r="H29" s="765"/>
      <c r="I29" s="383">
        <f t="shared" si="3"/>
        <v>0</v>
      </c>
    </row>
    <row r="30" spans="1:13" ht="15" x14ac:dyDescent="0.25">
      <c r="A30" s="132"/>
      <c r="B30" s="337"/>
      <c r="C30" s="15"/>
      <c r="D30" s="74"/>
      <c r="E30" s="254"/>
      <c r="F30" s="74">
        <f t="shared" si="4"/>
        <v>0</v>
      </c>
      <c r="G30" s="315"/>
      <c r="H30" s="316"/>
      <c r="I30" s="383">
        <f t="shared" si="3"/>
        <v>0</v>
      </c>
    </row>
    <row r="31" spans="1:13" ht="15" x14ac:dyDescent="0.25">
      <c r="A31" s="132"/>
      <c r="B31" s="337"/>
      <c r="C31" s="15"/>
      <c r="D31" s="74"/>
      <c r="E31" s="254"/>
      <c r="F31" s="74">
        <f t="shared" si="4"/>
        <v>0</v>
      </c>
      <c r="G31" s="75"/>
      <c r="H31" s="76"/>
      <c r="I31" s="76"/>
    </row>
    <row r="32" spans="1:13" ht="15" x14ac:dyDescent="0.25">
      <c r="A32" s="132"/>
      <c r="B32" s="337"/>
      <c r="C32" s="15"/>
      <c r="D32" s="74"/>
      <c r="E32" s="254"/>
      <c r="F32" s="74">
        <f t="shared" si="4"/>
        <v>0</v>
      </c>
      <c r="G32" s="75"/>
      <c r="H32" s="76"/>
      <c r="I32" s="76"/>
    </row>
    <row r="33" spans="1:9" ht="15" x14ac:dyDescent="0.25">
      <c r="A33" s="132"/>
      <c r="B33" s="90"/>
      <c r="C33" s="15"/>
      <c r="D33" s="74"/>
      <c r="E33" s="254"/>
      <c r="F33" s="74">
        <f t="shared" si="4"/>
        <v>0</v>
      </c>
      <c r="G33" s="315"/>
      <c r="H33" s="316"/>
      <c r="I33" s="316"/>
    </row>
    <row r="34" spans="1:9" ht="15.75" thickBot="1" x14ac:dyDescent="0.3">
      <c r="A34" s="132"/>
      <c r="B34" s="16"/>
      <c r="C34" s="54"/>
      <c r="D34" s="115"/>
      <c r="E34" s="243"/>
      <c r="F34" s="111"/>
      <c r="G34" s="112"/>
      <c r="H34" s="65"/>
      <c r="I34" s="65"/>
    </row>
    <row r="35" spans="1:9" ht="15" x14ac:dyDescent="0.25">
      <c r="C35" s="6">
        <f>SUM(C10:C34)</f>
        <v>32</v>
      </c>
      <c r="D35" s="6">
        <f>SUM(D10:D34)</f>
        <v>710.71</v>
      </c>
      <c r="F35" s="6">
        <f>SUM(F10:F34)</f>
        <v>710.71</v>
      </c>
    </row>
    <row r="37" spans="1:9" ht="14.4" thickBot="1" x14ac:dyDescent="0.3"/>
    <row r="38" spans="1:9" ht="14.4" thickBot="1" x14ac:dyDescent="0.3">
      <c r="D38" s="46" t="s">
        <v>4</v>
      </c>
      <c r="E38" s="61">
        <f>F5+F6-C35+F7+F4</f>
        <v>0</v>
      </c>
    </row>
    <row r="39" spans="1:9" ht="14.4" thickBot="1" x14ac:dyDescent="0.3"/>
    <row r="40" spans="1:9" ht="14.4" thickBot="1" x14ac:dyDescent="0.3">
      <c r="C40" s="1036" t="s">
        <v>11</v>
      </c>
      <c r="D40" s="1037"/>
      <c r="E40" s="62">
        <f>E4+E5+E6+E7-F35</f>
        <v>0</v>
      </c>
      <c r="F40" s="79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AW54"/>
  <sheetViews>
    <sheetView topLeftCell="AM1" workbookViewId="0">
      <pane xSplit="4" ySplit="10" topLeftCell="AQ11" activePane="bottomRight" state="frozen"/>
      <selection activeCell="AM1" sqref="AM1"/>
      <selection pane="topRight" activeCell="AQ1" sqref="AQ1"/>
      <selection pane="bottomLeft" activeCell="AM11" sqref="AM11"/>
      <selection pane="bottomRight" activeCell="AO19" sqref="AO19"/>
    </sheetView>
  </sheetViews>
  <sheetFormatPr baseColWidth="10" defaultRowHeight="13.8" x14ac:dyDescent="0.25"/>
  <cols>
    <col min="1" max="1" width="32.44140625" bestFit="1" customWidth="1"/>
    <col min="2" max="2" width="17.6640625" bestFit="1" customWidth="1"/>
    <col min="3" max="3" width="13.33203125" bestFit="1" customWidth="1"/>
    <col min="4" max="4" width="11.109375" bestFit="1" customWidth="1"/>
    <col min="6" max="6" width="12" customWidth="1"/>
    <col min="9" max="9" width="11.44140625" style="82"/>
    <col min="11" max="11" width="32.44140625" bestFit="1" customWidth="1"/>
    <col min="12" max="12" width="17.6640625" bestFit="1" customWidth="1"/>
    <col min="13" max="13" width="13.33203125" bestFit="1" customWidth="1"/>
    <col min="14" max="14" width="11.109375" bestFit="1" customWidth="1"/>
    <col min="16" max="16" width="12" customWidth="1"/>
    <col min="19" max="19" width="11.44140625" style="82"/>
    <col min="21" max="21" width="32.44140625" bestFit="1" customWidth="1"/>
    <col min="22" max="22" width="17.6640625" bestFit="1" customWidth="1"/>
    <col min="23" max="23" width="13.33203125" bestFit="1" customWidth="1"/>
    <col min="24" max="24" width="11.109375" bestFit="1" customWidth="1"/>
    <col min="26" max="26" width="12" customWidth="1"/>
    <col min="29" max="29" width="11.44140625" style="82"/>
    <col min="31" max="31" width="32.44140625" bestFit="1" customWidth="1"/>
    <col min="32" max="32" width="17.6640625" bestFit="1" customWidth="1"/>
    <col min="33" max="33" width="13.33203125" bestFit="1" customWidth="1"/>
    <col min="34" max="34" width="11.109375" bestFit="1" customWidth="1"/>
    <col min="36" max="36" width="12" customWidth="1"/>
    <col min="39" max="39" width="11.44140625" style="82"/>
    <col min="41" max="41" width="32.44140625" bestFit="1" customWidth="1"/>
    <col min="42" max="42" width="17.6640625" bestFit="1" customWidth="1"/>
    <col min="43" max="43" width="13.33203125" bestFit="1" customWidth="1"/>
    <col min="44" max="44" width="11.109375" bestFit="1" customWidth="1"/>
    <col min="46" max="46" width="12" customWidth="1"/>
    <col min="49" max="49" width="11.44140625" style="82"/>
  </cols>
  <sheetData>
    <row r="1" spans="1:49" ht="40.5" customHeight="1" x14ac:dyDescent="0.55000000000000004">
      <c r="A1" s="1041" t="s">
        <v>171</v>
      </c>
      <c r="B1" s="1041"/>
      <c r="C1" s="1041"/>
      <c r="D1" s="1041"/>
      <c r="E1" s="1041"/>
      <c r="F1" s="1041"/>
      <c r="G1" s="1041"/>
      <c r="H1" s="11">
        <v>1</v>
      </c>
      <c r="K1" s="1034" t="s">
        <v>162</v>
      </c>
      <c r="L1" s="1034"/>
      <c r="M1" s="1034"/>
      <c r="N1" s="1034"/>
      <c r="O1" s="1034"/>
      <c r="P1" s="1034"/>
      <c r="Q1" s="1034"/>
      <c r="R1" s="11">
        <v>2</v>
      </c>
      <c r="U1" s="1034" t="s">
        <v>162</v>
      </c>
      <c r="V1" s="1034"/>
      <c r="W1" s="1034"/>
      <c r="X1" s="1034"/>
      <c r="Y1" s="1034"/>
      <c r="Z1" s="1034"/>
      <c r="AA1" s="1034"/>
      <c r="AB1" s="11">
        <v>2</v>
      </c>
      <c r="AE1" s="1034" t="s">
        <v>162</v>
      </c>
      <c r="AF1" s="1034"/>
      <c r="AG1" s="1034"/>
      <c r="AH1" s="1034"/>
      <c r="AI1" s="1034"/>
      <c r="AJ1" s="1034"/>
      <c r="AK1" s="1034"/>
      <c r="AL1" s="11">
        <v>3</v>
      </c>
      <c r="AO1" s="1034" t="s">
        <v>162</v>
      </c>
      <c r="AP1" s="1034"/>
      <c r="AQ1" s="1034"/>
      <c r="AR1" s="1034"/>
      <c r="AS1" s="1034"/>
      <c r="AT1" s="1034"/>
      <c r="AU1" s="1034"/>
      <c r="AV1" s="11">
        <v>3</v>
      </c>
    </row>
    <row r="2" spans="1:49" ht="15.75" customHeight="1" thickBot="1" x14ac:dyDescent="0.3"/>
    <row r="3" spans="1:4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6" t="s">
        <v>6</v>
      </c>
      <c r="AE3" s="9" t="s">
        <v>0</v>
      </c>
      <c r="AF3" s="9" t="s">
        <v>1</v>
      </c>
      <c r="AG3" s="9"/>
      <c r="AH3" s="9" t="s">
        <v>2</v>
      </c>
      <c r="AI3" s="9" t="s">
        <v>3</v>
      </c>
      <c r="AJ3" s="9" t="s">
        <v>4</v>
      </c>
      <c r="AK3" s="26" t="s">
        <v>20</v>
      </c>
      <c r="AL3" s="36" t="s">
        <v>6</v>
      </c>
      <c r="AO3" s="9" t="s">
        <v>0</v>
      </c>
      <c r="AP3" s="9" t="s">
        <v>1</v>
      </c>
      <c r="AQ3" s="9"/>
      <c r="AR3" s="9" t="s">
        <v>2</v>
      </c>
      <c r="AS3" s="9" t="s">
        <v>3</v>
      </c>
      <c r="AT3" s="9" t="s">
        <v>4</v>
      </c>
      <c r="AU3" s="26" t="s">
        <v>20</v>
      </c>
      <c r="AV3" s="36" t="s">
        <v>6</v>
      </c>
    </row>
    <row r="4" spans="1:49" ht="15.75" thickTop="1" x14ac:dyDescent="0.25">
      <c r="C4" s="138"/>
      <c r="D4" s="168"/>
      <c r="E4" s="93"/>
      <c r="F4" s="79"/>
      <c r="G4" s="39"/>
      <c r="M4" s="138"/>
      <c r="N4" s="168"/>
      <c r="O4" s="93"/>
      <c r="P4" s="79"/>
      <c r="Q4" s="39"/>
      <c r="W4" s="138"/>
      <c r="X4" s="168"/>
      <c r="Y4" s="93"/>
      <c r="Z4" s="79"/>
      <c r="AA4" s="39"/>
      <c r="AG4" s="138"/>
      <c r="AH4" s="168"/>
      <c r="AI4" s="93"/>
      <c r="AJ4" s="79"/>
      <c r="AK4" s="39"/>
      <c r="AQ4" s="138"/>
      <c r="AR4" s="168"/>
      <c r="AS4" s="93"/>
      <c r="AT4" s="79"/>
      <c r="AU4" s="39"/>
    </row>
    <row r="5" spans="1:49" ht="15" x14ac:dyDescent="0.25">
      <c r="A5" s="409" t="s">
        <v>121</v>
      </c>
      <c r="B5" s="408" t="s">
        <v>68</v>
      </c>
      <c r="C5" s="176">
        <v>60</v>
      </c>
      <c r="D5" s="168">
        <v>44119</v>
      </c>
      <c r="E5" s="142">
        <v>408.6</v>
      </c>
      <c r="F5" s="79">
        <v>30</v>
      </c>
      <c r="G5" s="327">
        <f>F50</f>
        <v>408.6</v>
      </c>
      <c r="H5" s="7">
        <f>E5-G5+E4+E6</f>
        <v>0</v>
      </c>
      <c r="K5" s="409" t="s">
        <v>121</v>
      </c>
      <c r="L5" s="408" t="s">
        <v>68</v>
      </c>
      <c r="M5" s="176">
        <v>61</v>
      </c>
      <c r="N5" s="168">
        <v>44141</v>
      </c>
      <c r="O5" s="142">
        <v>408.6</v>
      </c>
      <c r="P5" s="79">
        <v>30</v>
      </c>
      <c r="Q5" s="327">
        <f>P50</f>
        <v>408.59999999999997</v>
      </c>
      <c r="R5" s="7">
        <f>O5-Q5+O4+O6</f>
        <v>5.6843418860808015E-14</v>
      </c>
      <c r="U5" s="835" t="s">
        <v>218</v>
      </c>
      <c r="V5" s="408" t="s">
        <v>68</v>
      </c>
      <c r="W5" s="176">
        <v>58</v>
      </c>
      <c r="X5" s="168">
        <v>44146</v>
      </c>
      <c r="Y5" s="142">
        <v>402.86</v>
      </c>
      <c r="Z5" s="79">
        <v>20</v>
      </c>
      <c r="AA5" s="327">
        <f>Z50</f>
        <v>402.86</v>
      </c>
      <c r="AB5" s="7">
        <f>Y5-AA5+Y4+Y6</f>
        <v>0</v>
      </c>
      <c r="AE5" s="938" t="s">
        <v>218</v>
      </c>
      <c r="AF5" s="408" t="s">
        <v>68</v>
      </c>
      <c r="AG5" s="176">
        <v>58</v>
      </c>
      <c r="AH5" s="168">
        <v>44169</v>
      </c>
      <c r="AI5" s="142">
        <v>709.97</v>
      </c>
      <c r="AJ5" s="79">
        <v>39</v>
      </c>
      <c r="AK5" s="327">
        <f>AJ50</f>
        <v>709.97</v>
      </c>
      <c r="AL5" s="7">
        <f>AI5-AK5+AI4+AI6</f>
        <v>0</v>
      </c>
      <c r="AO5" s="938" t="s">
        <v>121</v>
      </c>
      <c r="AP5" s="408" t="s">
        <v>68</v>
      </c>
      <c r="AQ5" s="176">
        <v>58</v>
      </c>
      <c r="AR5" s="168">
        <v>44169</v>
      </c>
      <c r="AS5" s="142">
        <v>267.70999999999998</v>
      </c>
      <c r="AT5" s="79">
        <v>10</v>
      </c>
      <c r="AU5" s="327">
        <f>AT50</f>
        <v>0</v>
      </c>
      <c r="AV5" s="7">
        <f>AS5-AU5+AS4+AS6</f>
        <v>267.70999999999998</v>
      </c>
    </row>
    <row r="6" spans="1:49" ht="15.75" customHeight="1" thickBot="1" x14ac:dyDescent="0.3">
      <c r="A6" s="289"/>
      <c r="B6" s="79"/>
      <c r="C6" s="176"/>
      <c r="D6" s="168"/>
      <c r="E6" s="142"/>
      <c r="F6" s="79"/>
      <c r="K6" s="289"/>
      <c r="L6" s="79"/>
      <c r="M6" s="176"/>
      <c r="N6" s="168"/>
      <c r="O6" s="142"/>
      <c r="P6" s="79"/>
      <c r="U6" s="289"/>
      <c r="V6" s="79"/>
      <c r="W6" s="176"/>
      <c r="X6" s="168"/>
      <c r="Y6" s="142"/>
      <c r="Z6" s="79"/>
      <c r="AE6" s="289"/>
      <c r="AF6" s="79"/>
      <c r="AG6" s="176"/>
      <c r="AH6" s="168"/>
      <c r="AI6" s="142"/>
      <c r="AJ6" s="79"/>
      <c r="AO6" s="289"/>
      <c r="AP6" s="79"/>
      <c r="AQ6" s="176"/>
      <c r="AR6" s="168"/>
      <c r="AS6" s="142"/>
      <c r="AT6" s="79"/>
    </row>
    <row r="7" spans="1:49" ht="16.5" customHeight="1" thickTop="1" thickBot="1" x14ac:dyDescent="0.3">
      <c r="A7" s="289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89"/>
      <c r="L7" s="6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289"/>
      <c r="V7" s="6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  <c r="AE7" s="289"/>
      <c r="AF7" s="69" t="s">
        <v>7</v>
      </c>
      <c r="AG7" s="27" t="s">
        <v>8</v>
      </c>
      <c r="AH7" s="28" t="s">
        <v>17</v>
      </c>
      <c r="AI7" s="23" t="s">
        <v>2</v>
      </c>
      <c r="AJ7" s="26" t="s">
        <v>18</v>
      </c>
      <c r="AK7" s="10" t="s">
        <v>15</v>
      </c>
      <c r="AL7" s="24"/>
      <c r="AO7" s="289"/>
      <c r="AP7" s="69" t="s">
        <v>7</v>
      </c>
      <c r="AQ7" s="27" t="s">
        <v>8</v>
      </c>
      <c r="AR7" s="28" t="s">
        <v>17</v>
      </c>
      <c r="AS7" s="23" t="s">
        <v>2</v>
      </c>
      <c r="AT7" s="26" t="s">
        <v>18</v>
      </c>
      <c r="AU7" s="10" t="s">
        <v>15</v>
      </c>
      <c r="AV7" s="24"/>
    </row>
    <row r="8" spans="1:49" ht="15.75" customHeight="1" thickTop="1" x14ac:dyDescent="0.25">
      <c r="A8" s="365"/>
      <c r="B8" s="338">
        <v>13.62</v>
      </c>
      <c r="C8" s="15">
        <v>10</v>
      </c>
      <c r="D8" s="74">
        <f>C8*B8</f>
        <v>136.19999999999999</v>
      </c>
      <c r="E8" s="392">
        <v>44125</v>
      </c>
      <c r="F8" s="113">
        <f t="shared" ref="F8:F16" si="0">D8</f>
        <v>136.19999999999999</v>
      </c>
      <c r="G8" s="315" t="s">
        <v>134</v>
      </c>
      <c r="H8" s="316">
        <v>62</v>
      </c>
      <c r="I8" s="270">
        <f>E5-F8+E4+E6</f>
        <v>272.40000000000003</v>
      </c>
      <c r="K8" s="365"/>
      <c r="L8" s="338">
        <v>13.62</v>
      </c>
      <c r="M8" s="15">
        <v>30</v>
      </c>
      <c r="N8" s="74">
        <f>M8*L8</f>
        <v>408.59999999999997</v>
      </c>
      <c r="O8" s="392">
        <v>44141</v>
      </c>
      <c r="P8" s="113">
        <f t="shared" ref="P8:P16" si="1">N8</f>
        <v>408.59999999999997</v>
      </c>
      <c r="Q8" s="315" t="s">
        <v>340</v>
      </c>
      <c r="R8" s="316">
        <v>64</v>
      </c>
      <c r="S8" s="270">
        <f>O5-P8+O4+O6</f>
        <v>5.6843418860808015E-14</v>
      </c>
      <c r="U8" s="365"/>
      <c r="V8" s="338"/>
      <c r="W8" s="15">
        <v>10</v>
      </c>
      <c r="X8" s="74">
        <v>201.09</v>
      </c>
      <c r="Y8" s="392">
        <v>44151</v>
      </c>
      <c r="Z8" s="113">
        <f t="shared" ref="Z8:Z16" si="2">X8</f>
        <v>201.09</v>
      </c>
      <c r="AA8" s="315" t="s">
        <v>388</v>
      </c>
      <c r="AB8" s="316">
        <v>64</v>
      </c>
      <c r="AC8" s="270">
        <f>Y5-Z8+Y4+Y6</f>
        <v>201.77</v>
      </c>
      <c r="AE8" s="365"/>
      <c r="AF8" s="338"/>
      <c r="AG8" s="15">
        <v>39</v>
      </c>
      <c r="AH8" s="74">
        <v>709.97</v>
      </c>
      <c r="AI8" s="392">
        <v>44169</v>
      </c>
      <c r="AJ8" s="113">
        <f t="shared" ref="AJ8:AJ16" si="3">AH8</f>
        <v>709.97</v>
      </c>
      <c r="AK8" s="315" t="s">
        <v>494</v>
      </c>
      <c r="AL8" s="316">
        <v>64</v>
      </c>
      <c r="AM8" s="270">
        <f>AI5-AJ8+AI4+AI6</f>
        <v>0</v>
      </c>
      <c r="AO8" s="365"/>
      <c r="AP8" s="338"/>
      <c r="AQ8" s="15"/>
      <c r="AR8" s="74">
        <v>0</v>
      </c>
      <c r="AS8" s="392"/>
      <c r="AT8" s="113">
        <f t="shared" ref="AT8:AT16" si="4">AR8</f>
        <v>0</v>
      </c>
      <c r="AU8" s="315"/>
      <c r="AV8" s="316"/>
      <c r="AW8" s="270">
        <f>AS5-AT8+AS4+AS6</f>
        <v>267.70999999999998</v>
      </c>
    </row>
    <row r="9" spans="1:49" ht="15" customHeight="1" x14ac:dyDescent="0.25">
      <c r="B9" s="338">
        <v>13.62</v>
      </c>
      <c r="C9" s="15">
        <v>2</v>
      </c>
      <c r="D9" s="74">
        <f>C9*B9</f>
        <v>27.24</v>
      </c>
      <c r="E9" s="392">
        <v>44127</v>
      </c>
      <c r="F9" s="326">
        <f t="shared" si="0"/>
        <v>27.24</v>
      </c>
      <c r="G9" s="315" t="s">
        <v>143</v>
      </c>
      <c r="H9" s="316">
        <v>62</v>
      </c>
      <c r="I9" s="319">
        <f>I8-F9</f>
        <v>245.16000000000003</v>
      </c>
      <c r="L9" s="338">
        <v>13.62</v>
      </c>
      <c r="M9" s="15"/>
      <c r="N9" s="74">
        <f>M9*L9</f>
        <v>0</v>
      </c>
      <c r="O9" s="392"/>
      <c r="P9" s="326">
        <f t="shared" si="1"/>
        <v>0</v>
      </c>
      <c r="Q9" s="913"/>
      <c r="R9" s="915"/>
      <c r="S9" s="911">
        <f>S8-P9</f>
        <v>5.6843418860808015E-14</v>
      </c>
      <c r="V9" s="338"/>
      <c r="W9" s="15">
        <v>10</v>
      </c>
      <c r="X9" s="74">
        <v>201.77</v>
      </c>
      <c r="Y9" s="392">
        <v>44154</v>
      </c>
      <c r="Z9" s="326">
        <f t="shared" si="2"/>
        <v>201.77</v>
      </c>
      <c r="AA9" s="315" t="s">
        <v>403</v>
      </c>
      <c r="AB9" s="316">
        <v>64</v>
      </c>
      <c r="AC9" s="319">
        <f>AC8-Z9</f>
        <v>0</v>
      </c>
      <c r="AF9" s="338"/>
      <c r="AG9" s="15"/>
      <c r="AH9" s="74">
        <v>0</v>
      </c>
      <c r="AI9" s="392"/>
      <c r="AJ9" s="326">
        <f t="shared" si="3"/>
        <v>0</v>
      </c>
      <c r="AK9" s="913"/>
      <c r="AL9" s="915"/>
      <c r="AM9" s="911">
        <f>AM8-AJ9</f>
        <v>0</v>
      </c>
      <c r="AP9" s="338"/>
      <c r="AQ9" s="15"/>
      <c r="AR9" s="74">
        <v>0</v>
      </c>
      <c r="AS9" s="392"/>
      <c r="AT9" s="326">
        <f t="shared" si="4"/>
        <v>0</v>
      </c>
      <c r="AU9" s="315"/>
      <c r="AV9" s="316"/>
      <c r="AW9" s="319">
        <f>AW8-AT9</f>
        <v>267.70999999999998</v>
      </c>
    </row>
    <row r="10" spans="1:49" ht="15" customHeight="1" x14ac:dyDescent="0.25">
      <c r="B10" s="338">
        <v>13.62</v>
      </c>
      <c r="C10" s="15">
        <v>1</v>
      </c>
      <c r="D10" s="74">
        <f t="shared" ref="D10:D16" si="5">C10*B10</f>
        <v>13.62</v>
      </c>
      <c r="E10" s="392">
        <v>44128</v>
      </c>
      <c r="F10" s="326">
        <f t="shared" si="0"/>
        <v>13.62</v>
      </c>
      <c r="G10" s="315" t="s">
        <v>144</v>
      </c>
      <c r="H10" s="316">
        <v>62</v>
      </c>
      <c r="I10" s="319">
        <f>I9-F10</f>
        <v>231.54000000000002</v>
      </c>
      <c r="L10" s="338">
        <v>13.62</v>
      </c>
      <c r="M10" s="15"/>
      <c r="N10" s="74">
        <f t="shared" ref="N10:N16" si="6">M10*L10</f>
        <v>0</v>
      </c>
      <c r="O10" s="392"/>
      <c r="P10" s="326">
        <f t="shared" si="1"/>
        <v>0</v>
      </c>
      <c r="Q10" s="913"/>
      <c r="R10" s="915"/>
      <c r="S10" s="911">
        <f>S9-P10</f>
        <v>5.6843418860808015E-14</v>
      </c>
      <c r="V10" s="338"/>
      <c r="W10" s="15"/>
      <c r="X10" s="74">
        <f t="shared" ref="X10:X16" si="7">W10*V10</f>
        <v>0</v>
      </c>
      <c r="Y10" s="392"/>
      <c r="Z10" s="912">
        <f t="shared" si="2"/>
        <v>0</v>
      </c>
      <c r="AA10" s="913"/>
      <c r="AB10" s="915"/>
      <c r="AC10" s="911">
        <f>AC9-Z10</f>
        <v>0</v>
      </c>
      <c r="AF10" s="338"/>
      <c r="AG10" s="15"/>
      <c r="AH10" s="74">
        <f t="shared" ref="AH10:AH16" si="8">AG10*AF10</f>
        <v>0</v>
      </c>
      <c r="AI10" s="392"/>
      <c r="AJ10" s="326">
        <f t="shared" si="3"/>
        <v>0</v>
      </c>
      <c r="AK10" s="913"/>
      <c r="AL10" s="915"/>
      <c r="AM10" s="911">
        <f>AM9-AJ10</f>
        <v>0</v>
      </c>
      <c r="AP10" s="338"/>
      <c r="AQ10" s="15"/>
      <c r="AR10" s="74">
        <f t="shared" ref="AR10:AR16" si="9">AQ10*AP10</f>
        <v>0</v>
      </c>
      <c r="AS10" s="392"/>
      <c r="AT10" s="326">
        <f t="shared" si="4"/>
        <v>0</v>
      </c>
      <c r="AU10" s="315"/>
      <c r="AV10" s="316"/>
      <c r="AW10" s="319">
        <f>AW9-AT10</f>
        <v>267.70999999999998</v>
      </c>
    </row>
    <row r="11" spans="1:49" ht="15" customHeight="1" x14ac:dyDescent="0.25">
      <c r="A11" s="60" t="s">
        <v>33</v>
      </c>
      <c r="B11" s="338">
        <v>13.62</v>
      </c>
      <c r="C11" s="15">
        <v>1</v>
      </c>
      <c r="D11" s="74">
        <f t="shared" si="5"/>
        <v>13.62</v>
      </c>
      <c r="E11" s="392">
        <v>44131</v>
      </c>
      <c r="F11" s="326">
        <f t="shared" si="0"/>
        <v>13.62</v>
      </c>
      <c r="G11" s="315" t="s">
        <v>150</v>
      </c>
      <c r="H11" s="316">
        <v>62</v>
      </c>
      <c r="I11" s="319">
        <f t="shared" ref="I11:I48" si="10">I10-F11</f>
        <v>217.92000000000002</v>
      </c>
      <c r="K11" s="60" t="s">
        <v>33</v>
      </c>
      <c r="L11" s="338">
        <v>13.62</v>
      </c>
      <c r="M11" s="15"/>
      <c r="N11" s="74">
        <f t="shared" si="6"/>
        <v>0</v>
      </c>
      <c r="O11" s="392"/>
      <c r="P11" s="326">
        <f t="shared" si="1"/>
        <v>0</v>
      </c>
      <c r="Q11" s="913"/>
      <c r="R11" s="915"/>
      <c r="S11" s="911">
        <f t="shared" ref="S11:S48" si="11">S10-P11</f>
        <v>5.6843418860808015E-14</v>
      </c>
      <c r="U11" s="60" t="s">
        <v>33</v>
      </c>
      <c r="V11" s="338"/>
      <c r="W11" s="15"/>
      <c r="X11" s="74">
        <f t="shared" si="7"/>
        <v>0</v>
      </c>
      <c r="Y11" s="392"/>
      <c r="Z11" s="912">
        <f t="shared" si="2"/>
        <v>0</v>
      </c>
      <c r="AA11" s="913"/>
      <c r="AB11" s="915"/>
      <c r="AC11" s="911">
        <f t="shared" ref="AC11:AC48" si="12">AC10-Z11</f>
        <v>0</v>
      </c>
      <c r="AE11" s="60" t="s">
        <v>33</v>
      </c>
      <c r="AF11" s="338"/>
      <c r="AG11" s="15"/>
      <c r="AH11" s="74">
        <f t="shared" si="8"/>
        <v>0</v>
      </c>
      <c r="AI11" s="392"/>
      <c r="AJ11" s="326">
        <f t="shared" si="3"/>
        <v>0</v>
      </c>
      <c r="AK11" s="913"/>
      <c r="AL11" s="915"/>
      <c r="AM11" s="911">
        <f t="shared" ref="AM11:AM48" si="13">AM10-AJ11</f>
        <v>0</v>
      </c>
      <c r="AO11" s="60" t="s">
        <v>33</v>
      </c>
      <c r="AP11" s="338"/>
      <c r="AQ11" s="15"/>
      <c r="AR11" s="74">
        <f t="shared" si="9"/>
        <v>0</v>
      </c>
      <c r="AS11" s="392"/>
      <c r="AT11" s="326">
        <f t="shared" si="4"/>
        <v>0</v>
      </c>
      <c r="AU11" s="315"/>
      <c r="AV11" s="316"/>
      <c r="AW11" s="319">
        <f t="shared" ref="AW11:AW48" si="14">AW10-AT11</f>
        <v>267.70999999999998</v>
      </c>
    </row>
    <row r="12" spans="1:49" ht="15" customHeight="1" x14ac:dyDescent="0.25">
      <c r="A12" s="19"/>
      <c r="B12" s="338">
        <v>13.62</v>
      </c>
      <c r="C12" s="55">
        <v>10</v>
      </c>
      <c r="D12" s="74">
        <f t="shared" si="5"/>
        <v>136.19999999999999</v>
      </c>
      <c r="E12" s="392">
        <v>44133</v>
      </c>
      <c r="F12" s="326">
        <f t="shared" si="0"/>
        <v>136.19999999999999</v>
      </c>
      <c r="G12" s="315" t="s">
        <v>153</v>
      </c>
      <c r="H12" s="316">
        <v>62</v>
      </c>
      <c r="I12" s="319">
        <f t="shared" si="10"/>
        <v>81.720000000000027</v>
      </c>
      <c r="K12" s="19"/>
      <c r="L12" s="338">
        <v>13.62</v>
      </c>
      <c r="M12" s="55"/>
      <c r="N12" s="74">
        <f t="shared" si="6"/>
        <v>0</v>
      </c>
      <c r="O12" s="392"/>
      <c r="P12" s="326">
        <f t="shared" si="1"/>
        <v>0</v>
      </c>
      <c r="Q12" s="315"/>
      <c r="R12" s="316"/>
      <c r="S12" s="319">
        <f t="shared" si="11"/>
        <v>5.6843418860808015E-14</v>
      </c>
      <c r="U12" s="19"/>
      <c r="V12" s="338"/>
      <c r="W12" s="55"/>
      <c r="X12" s="74">
        <f t="shared" si="7"/>
        <v>0</v>
      </c>
      <c r="Y12" s="392"/>
      <c r="Z12" s="912">
        <f t="shared" si="2"/>
        <v>0</v>
      </c>
      <c r="AA12" s="913"/>
      <c r="AB12" s="915"/>
      <c r="AC12" s="911">
        <f t="shared" si="12"/>
        <v>0</v>
      </c>
      <c r="AE12" s="19"/>
      <c r="AF12" s="338"/>
      <c r="AG12" s="55"/>
      <c r="AH12" s="74">
        <f t="shared" si="8"/>
        <v>0</v>
      </c>
      <c r="AI12" s="392"/>
      <c r="AJ12" s="326">
        <f t="shared" si="3"/>
        <v>0</v>
      </c>
      <c r="AK12" s="315"/>
      <c r="AL12" s="316"/>
      <c r="AM12" s="319">
        <f t="shared" si="13"/>
        <v>0</v>
      </c>
      <c r="AO12" s="19"/>
      <c r="AP12" s="338"/>
      <c r="AQ12" s="55"/>
      <c r="AR12" s="74">
        <f t="shared" si="9"/>
        <v>0</v>
      </c>
      <c r="AS12" s="392"/>
      <c r="AT12" s="326">
        <f t="shared" si="4"/>
        <v>0</v>
      </c>
      <c r="AU12" s="315"/>
      <c r="AV12" s="316"/>
      <c r="AW12" s="319">
        <f t="shared" si="14"/>
        <v>267.70999999999998</v>
      </c>
    </row>
    <row r="13" spans="1:49" ht="15" customHeight="1" x14ac:dyDescent="0.25">
      <c r="B13" s="338">
        <v>13.62</v>
      </c>
      <c r="C13" s="55">
        <v>1</v>
      </c>
      <c r="D13" s="872">
        <f t="shared" si="5"/>
        <v>13.62</v>
      </c>
      <c r="E13" s="873">
        <v>44139</v>
      </c>
      <c r="F13" s="874">
        <f t="shared" si="0"/>
        <v>13.62</v>
      </c>
      <c r="G13" s="862" t="s">
        <v>323</v>
      </c>
      <c r="H13" s="863">
        <v>62</v>
      </c>
      <c r="I13" s="319">
        <f t="shared" si="10"/>
        <v>68.100000000000023</v>
      </c>
      <c r="L13" s="338">
        <v>13.62</v>
      </c>
      <c r="M13" s="55"/>
      <c r="N13" s="74">
        <f t="shared" si="6"/>
        <v>0</v>
      </c>
      <c r="O13" s="392"/>
      <c r="P13" s="113">
        <f t="shared" si="1"/>
        <v>0</v>
      </c>
      <c r="Q13" s="315"/>
      <c r="R13" s="316"/>
      <c r="S13" s="319">
        <f t="shared" si="11"/>
        <v>5.6843418860808015E-14</v>
      </c>
      <c r="V13" s="338"/>
      <c r="W13" s="55"/>
      <c r="X13" s="74">
        <f t="shared" si="7"/>
        <v>0</v>
      </c>
      <c r="Y13" s="392"/>
      <c r="Z13" s="113">
        <f t="shared" si="2"/>
        <v>0</v>
      </c>
      <c r="AA13" s="315"/>
      <c r="AB13" s="316"/>
      <c r="AC13" s="319">
        <f t="shared" si="12"/>
        <v>0</v>
      </c>
      <c r="AF13" s="338"/>
      <c r="AG13" s="55"/>
      <c r="AH13" s="74">
        <f t="shared" si="8"/>
        <v>0</v>
      </c>
      <c r="AI13" s="392"/>
      <c r="AJ13" s="113">
        <f t="shared" si="3"/>
        <v>0</v>
      </c>
      <c r="AK13" s="315"/>
      <c r="AL13" s="316"/>
      <c r="AM13" s="319">
        <f t="shared" si="13"/>
        <v>0</v>
      </c>
      <c r="AP13" s="338"/>
      <c r="AQ13" s="55"/>
      <c r="AR13" s="74">
        <f t="shared" si="9"/>
        <v>0</v>
      </c>
      <c r="AS13" s="392"/>
      <c r="AT13" s="113">
        <f t="shared" si="4"/>
        <v>0</v>
      </c>
      <c r="AU13" s="315"/>
      <c r="AV13" s="316"/>
      <c r="AW13" s="319">
        <f t="shared" si="14"/>
        <v>267.70999999999998</v>
      </c>
    </row>
    <row r="14" spans="1:49" ht="15" customHeight="1" x14ac:dyDescent="0.25">
      <c r="B14" s="338">
        <v>13.62</v>
      </c>
      <c r="C14" s="15">
        <v>1</v>
      </c>
      <c r="D14" s="872">
        <f t="shared" si="5"/>
        <v>13.62</v>
      </c>
      <c r="E14" s="873">
        <v>44140</v>
      </c>
      <c r="F14" s="874">
        <f t="shared" si="0"/>
        <v>13.62</v>
      </c>
      <c r="G14" s="862" t="s">
        <v>332</v>
      </c>
      <c r="H14" s="863">
        <v>62</v>
      </c>
      <c r="I14" s="319">
        <f t="shared" si="10"/>
        <v>54.480000000000025</v>
      </c>
      <c r="L14" s="338">
        <v>13.62</v>
      </c>
      <c r="M14" s="15"/>
      <c r="N14" s="74">
        <f t="shared" si="6"/>
        <v>0</v>
      </c>
      <c r="O14" s="392"/>
      <c r="P14" s="113">
        <f t="shared" si="1"/>
        <v>0</v>
      </c>
      <c r="Q14" s="315"/>
      <c r="R14" s="316"/>
      <c r="S14" s="319">
        <f t="shared" si="11"/>
        <v>5.6843418860808015E-14</v>
      </c>
      <c r="V14" s="338"/>
      <c r="W14" s="15"/>
      <c r="X14" s="74">
        <f t="shared" si="7"/>
        <v>0</v>
      </c>
      <c r="Y14" s="392"/>
      <c r="Z14" s="113">
        <f t="shared" si="2"/>
        <v>0</v>
      </c>
      <c r="AA14" s="315"/>
      <c r="AB14" s="316"/>
      <c r="AC14" s="319">
        <f t="shared" si="12"/>
        <v>0</v>
      </c>
      <c r="AF14" s="338"/>
      <c r="AG14" s="15"/>
      <c r="AH14" s="74">
        <f t="shared" si="8"/>
        <v>0</v>
      </c>
      <c r="AI14" s="392"/>
      <c r="AJ14" s="113">
        <f t="shared" si="3"/>
        <v>0</v>
      </c>
      <c r="AK14" s="315"/>
      <c r="AL14" s="316"/>
      <c r="AM14" s="319">
        <f t="shared" si="13"/>
        <v>0</v>
      </c>
      <c r="AP14" s="338"/>
      <c r="AQ14" s="15"/>
      <c r="AR14" s="74">
        <f t="shared" si="9"/>
        <v>0</v>
      </c>
      <c r="AS14" s="392"/>
      <c r="AT14" s="113">
        <f t="shared" si="4"/>
        <v>0</v>
      </c>
      <c r="AU14" s="315"/>
      <c r="AV14" s="316"/>
      <c r="AW14" s="319">
        <f t="shared" si="14"/>
        <v>267.70999999999998</v>
      </c>
    </row>
    <row r="15" spans="1:49" ht="15" customHeight="1" x14ac:dyDescent="0.25">
      <c r="B15" s="338">
        <v>13.62</v>
      </c>
      <c r="C15" s="15">
        <v>4</v>
      </c>
      <c r="D15" s="872">
        <f t="shared" si="5"/>
        <v>54.48</v>
      </c>
      <c r="E15" s="873">
        <v>44141</v>
      </c>
      <c r="F15" s="874">
        <f t="shared" si="0"/>
        <v>54.48</v>
      </c>
      <c r="G15" s="862" t="s">
        <v>337</v>
      </c>
      <c r="H15" s="863">
        <v>64</v>
      </c>
      <c r="I15" s="319">
        <f t="shared" si="10"/>
        <v>0</v>
      </c>
      <c r="L15" s="338">
        <v>13.62</v>
      </c>
      <c r="M15" s="15"/>
      <c r="N15" s="74">
        <f t="shared" si="6"/>
        <v>0</v>
      </c>
      <c r="O15" s="392"/>
      <c r="P15" s="113">
        <f t="shared" si="1"/>
        <v>0</v>
      </c>
      <c r="Q15" s="315"/>
      <c r="R15" s="316"/>
      <c r="S15" s="319">
        <f t="shared" si="11"/>
        <v>5.6843418860808015E-14</v>
      </c>
      <c r="V15" s="338"/>
      <c r="W15" s="15"/>
      <c r="X15" s="74">
        <f t="shared" si="7"/>
        <v>0</v>
      </c>
      <c r="Y15" s="392"/>
      <c r="Z15" s="113">
        <f t="shared" si="2"/>
        <v>0</v>
      </c>
      <c r="AA15" s="315"/>
      <c r="AB15" s="316"/>
      <c r="AC15" s="319">
        <f t="shared" si="12"/>
        <v>0</v>
      </c>
      <c r="AF15" s="338"/>
      <c r="AG15" s="15"/>
      <c r="AH15" s="74">
        <f t="shared" si="8"/>
        <v>0</v>
      </c>
      <c r="AI15" s="392"/>
      <c r="AJ15" s="113">
        <f t="shared" si="3"/>
        <v>0</v>
      </c>
      <c r="AK15" s="315"/>
      <c r="AL15" s="316"/>
      <c r="AM15" s="319">
        <f t="shared" si="13"/>
        <v>0</v>
      </c>
      <c r="AP15" s="338"/>
      <c r="AQ15" s="15"/>
      <c r="AR15" s="74">
        <f t="shared" si="9"/>
        <v>0</v>
      </c>
      <c r="AS15" s="392"/>
      <c r="AT15" s="113">
        <f t="shared" si="4"/>
        <v>0</v>
      </c>
      <c r="AU15" s="315"/>
      <c r="AV15" s="316"/>
      <c r="AW15" s="319">
        <f t="shared" si="14"/>
        <v>267.70999999999998</v>
      </c>
    </row>
    <row r="16" spans="1:49" ht="15" customHeight="1" x14ac:dyDescent="0.25">
      <c r="B16" s="338">
        <v>13.62</v>
      </c>
      <c r="C16" s="15"/>
      <c r="D16" s="872">
        <f t="shared" si="5"/>
        <v>0</v>
      </c>
      <c r="E16" s="873"/>
      <c r="F16" s="910">
        <f t="shared" si="0"/>
        <v>0</v>
      </c>
      <c r="G16" s="901"/>
      <c r="H16" s="902"/>
      <c r="I16" s="911">
        <f t="shared" si="10"/>
        <v>0</v>
      </c>
      <c r="L16" s="338">
        <v>13.62</v>
      </c>
      <c r="M16" s="15"/>
      <c r="N16" s="74">
        <f t="shared" si="6"/>
        <v>0</v>
      </c>
      <c r="O16" s="392"/>
      <c r="P16" s="113">
        <f t="shared" si="1"/>
        <v>0</v>
      </c>
      <c r="Q16" s="315"/>
      <c r="R16" s="518"/>
      <c r="S16" s="319">
        <f t="shared" si="11"/>
        <v>5.6843418860808015E-14</v>
      </c>
      <c r="V16" s="338"/>
      <c r="W16" s="15"/>
      <c r="X16" s="74">
        <f t="shared" si="7"/>
        <v>0</v>
      </c>
      <c r="Y16" s="392"/>
      <c r="Z16" s="113">
        <f t="shared" si="2"/>
        <v>0</v>
      </c>
      <c r="AA16" s="315"/>
      <c r="AB16" s="518"/>
      <c r="AC16" s="319">
        <f t="shared" si="12"/>
        <v>0</v>
      </c>
      <c r="AF16" s="338"/>
      <c r="AG16" s="15"/>
      <c r="AH16" s="74">
        <f t="shared" si="8"/>
        <v>0</v>
      </c>
      <c r="AI16" s="392"/>
      <c r="AJ16" s="113">
        <f t="shared" si="3"/>
        <v>0</v>
      </c>
      <c r="AK16" s="315"/>
      <c r="AL16" s="518"/>
      <c r="AM16" s="319">
        <f t="shared" si="13"/>
        <v>0</v>
      </c>
      <c r="AP16" s="338"/>
      <c r="AQ16" s="15"/>
      <c r="AR16" s="74">
        <f t="shared" si="9"/>
        <v>0</v>
      </c>
      <c r="AS16" s="392"/>
      <c r="AT16" s="113">
        <f t="shared" si="4"/>
        <v>0</v>
      </c>
      <c r="AU16" s="315"/>
      <c r="AV16" s="518"/>
      <c r="AW16" s="319">
        <f t="shared" si="14"/>
        <v>267.70999999999998</v>
      </c>
    </row>
    <row r="17" spans="1:49" ht="15" customHeight="1" x14ac:dyDescent="0.25">
      <c r="B17" s="338">
        <v>13.62</v>
      </c>
      <c r="C17" s="15"/>
      <c r="D17" s="872">
        <f>C17*B17</f>
        <v>0</v>
      </c>
      <c r="E17" s="873"/>
      <c r="F17" s="910">
        <f>D17</f>
        <v>0</v>
      </c>
      <c r="G17" s="901"/>
      <c r="H17" s="902"/>
      <c r="I17" s="911">
        <f t="shared" si="10"/>
        <v>0</v>
      </c>
      <c r="L17" s="338">
        <v>13.62</v>
      </c>
      <c r="M17" s="15"/>
      <c r="N17" s="74">
        <f>M17*L17</f>
        <v>0</v>
      </c>
      <c r="O17" s="392"/>
      <c r="P17" s="113">
        <f>N17</f>
        <v>0</v>
      </c>
      <c r="Q17" s="315"/>
      <c r="R17" s="518"/>
      <c r="S17" s="319">
        <f t="shared" si="11"/>
        <v>5.6843418860808015E-14</v>
      </c>
      <c r="V17" s="338"/>
      <c r="W17" s="15"/>
      <c r="X17" s="74">
        <f>W17*V17</f>
        <v>0</v>
      </c>
      <c r="Y17" s="392"/>
      <c r="Z17" s="113">
        <f>X17</f>
        <v>0</v>
      </c>
      <c r="AA17" s="315"/>
      <c r="AB17" s="518"/>
      <c r="AC17" s="319">
        <f t="shared" si="12"/>
        <v>0</v>
      </c>
      <c r="AF17" s="338"/>
      <c r="AG17" s="15"/>
      <c r="AH17" s="74">
        <f>AG17*AF17</f>
        <v>0</v>
      </c>
      <c r="AI17" s="392"/>
      <c r="AJ17" s="113">
        <f>AH17</f>
        <v>0</v>
      </c>
      <c r="AK17" s="315"/>
      <c r="AL17" s="518"/>
      <c r="AM17" s="319">
        <f t="shared" si="13"/>
        <v>0</v>
      </c>
      <c r="AP17" s="338"/>
      <c r="AQ17" s="15"/>
      <c r="AR17" s="74">
        <f>AQ17*AP17</f>
        <v>0</v>
      </c>
      <c r="AS17" s="392"/>
      <c r="AT17" s="113">
        <f>AR17</f>
        <v>0</v>
      </c>
      <c r="AU17" s="315"/>
      <c r="AV17" s="518"/>
      <c r="AW17" s="319">
        <f t="shared" si="14"/>
        <v>267.70999999999998</v>
      </c>
    </row>
    <row r="18" spans="1:49" ht="15" customHeight="1" x14ac:dyDescent="0.25">
      <c r="B18" s="338">
        <v>13.62</v>
      </c>
      <c r="C18" s="15"/>
      <c r="D18" s="872">
        <f>C18*B18</f>
        <v>0</v>
      </c>
      <c r="E18" s="873"/>
      <c r="F18" s="910">
        <f>D18</f>
        <v>0</v>
      </c>
      <c r="G18" s="901"/>
      <c r="H18" s="902"/>
      <c r="I18" s="911">
        <f t="shared" si="10"/>
        <v>0</v>
      </c>
      <c r="L18" s="338">
        <v>13.62</v>
      </c>
      <c r="M18" s="15"/>
      <c r="N18" s="74">
        <f>M18*L18</f>
        <v>0</v>
      </c>
      <c r="O18" s="392"/>
      <c r="P18" s="113">
        <f>N18</f>
        <v>0</v>
      </c>
      <c r="Q18" s="315"/>
      <c r="R18" s="518"/>
      <c r="S18" s="319">
        <f t="shared" si="11"/>
        <v>5.6843418860808015E-14</v>
      </c>
      <c r="V18" s="338"/>
      <c r="W18" s="15"/>
      <c r="X18" s="74">
        <f>W18*V18</f>
        <v>0</v>
      </c>
      <c r="Y18" s="392"/>
      <c r="Z18" s="113">
        <f>X18</f>
        <v>0</v>
      </c>
      <c r="AA18" s="315"/>
      <c r="AB18" s="518"/>
      <c r="AC18" s="319">
        <f t="shared" si="12"/>
        <v>0</v>
      </c>
      <c r="AF18" s="338"/>
      <c r="AG18" s="15"/>
      <c r="AH18" s="74">
        <f>AG18*AF18</f>
        <v>0</v>
      </c>
      <c r="AI18" s="392"/>
      <c r="AJ18" s="113">
        <f>AH18</f>
        <v>0</v>
      </c>
      <c r="AK18" s="315"/>
      <c r="AL18" s="518"/>
      <c r="AM18" s="319">
        <f t="shared" si="13"/>
        <v>0</v>
      </c>
      <c r="AP18" s="338"/>
      <c r="AQ18" s="15"/>
      <c r="AR18" s="74">
        <f>AQ18*AP18</f>
        <v>0</v>
      </c>
      <c r="AS18" s="392"/>
      <c r="AT18" s="113">
        <f>AR18</f>
        <v>0</v>
      </c>
      <c r="AU18" s="315"/>
      <c r="AV18" s="518"/>
      <c r="AW18" s="319">
        <f t="shared" si="14"/>
        <v>267.70999999999998</v>
      </c>
    </row>
    <row r="19" spans="1:49" ht="15" customHeight="1" x14ac:dyDescent="0.25">
      <c r="B19" s="338">
        <v>13.62</v>
      </c>
      <c r="C19" s="15"/>
      <c r="D19" s="74">
        <f t="shared" ref="D19:D49" si="15">C19*B19</f>
        <v>0</v>
      </c>
      <c r="E19" s="392"/>
      <c r="F19" s="912">
        <f t="shared" ref="F19:F49" si="16">D19</f>
        <v>0</v>
      </c>
      <c r="G19" s="913"/>
      <c r="H19" s="914"/>
      <c r="I19" s="911">
        <f t="shared" si="10"/>
        <v>0</v>
      </c>
      <c r="L19" s="338">
        <v>13.62</v>
      </c>
      <c r="M19" s="15"/>
      <c r="N19" s="74">
        <f t="shared" ref="N19:N49" si="17">M19*L19</f>
        <v>0</v>
      </c>
      <c r="O19" s="392"/>
      <c r="P19" s="113">
        <f t="shared" ref="P19:P49" si="18">N19</f>
        <v>0</v>
      </c>
      <c r="Q19" s="315"/>
      <c r="R19" s="518"/>
      <c r="S19" s="319">
        <f t="shared" si="11"/>
        <v>5.6843418860808015E-14</v>
      </c>
      <c r="V19" s="338"/>
      <c r="W19" s="15"/>
      <c r="X19" s="74">
        <f t="shared" ref="X19:X49" si="19">W19*V19</f>
        <v>0</v>
      </c>
      <c r="Y19" s="392"/>
      <c r="Z19" s="113">
        <f t="shared" ref="Z19:Z49" si="20">X19</f>
        <v>0</v>
      </c>
      <c r="AA19" s="315"/>
      <c r="AB19" s="518"/>
      <c r="AC19" s="319">
        <f t="shared" si="12"/>
        <v>0</v>
      </c>
      <c r="AF19" s="338"/>
      <c r="AG19" s="15"/>
      <c r="AH19" s="74">
        <f t="shared" ref="AH19:AH49" si="21">AG19*AF19</f>
        <v>0</v>
      </c>
      <c r="AI19" s="392"/>
      <c r="AJ19" s="113">
        <f t="shared" ref="AJ19:AJ49" si="22">AH19</f>
        <v>0</v>
      </c>
      <c r="AK19" s="315"/>
      <c r="AL19" s="518"/>
      <c r="AM19" s="319">
        <f t="shared" si="13"/>
        <v>0</v>
      </c>
      <c r="AP19" s="338"/>
      <c r="AQ19" s="15"/>
      <c r="AR19" s="74">
        <f t="shared" ref="AR19:AR49" si="23">AQ19*AP19</f>
        <v>0</v>
      </c>
      <c r="AS19" s="392"/>
      <c r="AT19" s="113">
        <f t="shared" ref="AT19:AT49" si="24">AR19</f>
        <v>0</v>
      </c>
      <c r="AU19" s="315"/>
      <c r="AV19" s="518"/>
      <c r="AW19" s="319">
        <f t="shared" si="14"/>
        <v>267.70999999999998</v>
      </c>
    </row>
    <row r="20" spans="1:49" ht="15" customHeight="1" x14ac:dyDescent="0.25">
      <c r="B20" s="338">
        <v>13.62</v>
      </c>
      <c r="C20" s="15"/>
      <c r="D20" s="74">
        <f t="shared" si="15"/>
        <v>0</v>
      </c>
      <c r="E20" s="392"/>
      <c r="F20" s="113">
        <f t="shared" si="16"/>
        <v>0</v>
      </c>
      <c r="G20" s="315"/>
      <c r="H20" s="518"/>
      <c r="I20" s="319">
        <f t="shared" si="10"/>
        <v>0</v>
      </c>
      <c r="L20" s="338">
        <v>13.62</v>
      </c>
      <c r="M20" s="15"/>
      <c r="N20" s="74">
        <f t="shared" si="17"/>
        <v>0</v>
      </c>
      <c r="O20" s="392"/>
      <c r="P20" s="113">
        <f t="shared" si="18"/>
        <v>0</v>
      </c>
      <c r="Q20" s="315"/>
      <c r="R20" s="518"/>
      <c r="S20" s="319">
        <f t="shared" si="11"/>
        <v>5.6843418860808015E-14</v>
      </c>
      <c r="V20" s="338"/>
      <c r="W20" s="15"/>
      <c r="X20" s="74">
        <f t="shared" si="19"/>
        <v>0</v>
      </c>
      <c r="Y20" s="392"/>
      <c r="Z20" s="113">
        <f t="shared" si="20"/>
        <v>0</v>
      </c>
      <c r="AA20" s="315"/>
      <c r="AB20" s="518"/>
      <c r="AC20" s="319">
        <f t="shared" si="12"/>
        <v>0</v>
      </c>
      <c r="AF20" s="338"/>
      <c r="AG20" s="15"/>
      <c r="AH20" s="74">
        <f t="shared" si="21"/>
        <v>0</v>
      </c>
      <c r="AI20" s="392"/>
      <c r="AJ20" s="113">
        <f t="shared" si="22"/>
        <v>0</v>
      </c>
      <c r="AK20" s="315"/>
      <c r="AL20" s="518"/>
      <c r="AM20" s="319">
        <f t="shared" si="13"/>
        <v>0</v>
      </c>
      <c r="AP20" s="338"/>
      <c r="AQ20" s="15"/>
      <c r="AR20" s="74">
        <f t="shared" si="23"/>
        <v>0</v>
      </c>
      <c r="AS20" s="392"/>
      <c r="AT20" s="113">
        <f t="shared" si="24"/>
        <v>0</v>
      </c>
      <c r="AU20" s="315"/>
      <c r="AV20" s="518"/>
      <c r="AW20" s="319">
        <f t="shared" si="14"/>
        <v>267.70999999999998</v>
      </c>
    </row>
    <row r="21" spans="1:49" ht="15" customHeight="1" x14ac:dyDescent="0.25">
      <c r="B21" s="338">
        <v>13.62</v>
      </c>
      <c r="C21" s="15"/>
      <c r="D21" s="74">
        <f t="shared" si="15"/>
        <v>0</v>
      </c>
      <c r="E21" s="392"/>
      <c r="F21" s="113">
        <f t="shared" si="16"/>
        <v>0</v>
      </c>
      <c r="G21" s="315"/>
      <c r="H21" s="518"/>
      <c r="I21" s="319">
        <f t="shared" si="10"/>
        <v>0</v>
      </c>
      <c r="L21" s="338">
        <v>13.62</v>
      </c>
      <c r="M21" s="15"/>
      <c r="N21" s="74">
        <f t="shared" si="17"/>
        <v>0</v>
      </c>
      <c r="O21" s="392"/>
      <c r="P21" s="113">
        <f t="shared" si="18"/>
        <v>0</v>
      </c>
      <c r="Q21" s="315"/>
      <c r="R21" s="518"/>
      <c r="S21" s="319">
        <f t="shared" si="11"/>
        <v>5.6843418860808015E-14</v>
      </c>
      <c r="V21" s="338"/>
      <c r="W21" s="15"/>
      <c r="X21" s="74">
        <f t="shared" si="19"/>
        <v>0</v>
      </c>
      <c r="Y21" s="392"/>
      <c r="Z21" s="113">
        <f t="shared" si="20"/>
        <v>0</v>
      </c>
      <c r="AA21" s="315"/>
      <c r="AB21" s="518"/>
      <c r="AC21" s="319">
        <f t="shared" si="12"/>
        <v>0</v>
      </c>
      <c r="AF21" s="338"/>
      <c r="AG21" s="15"/>
      <c r="AH21" s="74">
        <f t="shared" si="21"/>
        <v>0</v>
      </c>
      <c r="AI21" s="392"/>
      <c r="AJ21" s="113">
        <f t="shared" si="22"/>
        <v>0</v>
      </c>
      <c r="AK21" s="315"/>
      <c r="AL21" s="518"/>
      <c r="AM21" s="319">
        <f t="shared" si="13"/>
        <v>0</v>
      </c>
      <c r="AP21" s="338"/>
      <c r="AQ21" s="15"/>
      <c r="AR21" s="74">
        <f t="shared" si="23"/>
        <v>0</v>
      </c>
      <c r="AS21" s="392"/>
      <c r="AT21" s="113">
        <f t="shared" si="24"/>
        <v>0</v>
      </c>
      <c r="AU21" s="315"/>
      <c r="AV21" s="518"/>
      <c r="AW21" s="319">
        <f t="shared" si="14"/>
        <v>267.70999999999998</v>
      </c>
    </row>
    <row r="22" spans="1:49" ht="15" customHeight="1" x14ac:dyDescent="0.25">
      <c r="B22" s="338">
        <v>13.62</v>
      </c>
      <c r="C22" s="15"/>
      <c r="D22" s="74">
        <f t="shared" si="15"/>
        <v>0</v>
      </c>
      <c r="E22" s="392"/>
      <c r="F22" s="113">
        <f t="shared" si="16"/>
        <v>0</v>
      </c>
      <c r="G22" s="75"/>
      <c r="H22" s="127"/>
      <c r="I22" s="319">
        <f t="shared" si="10"/>
        <v>0</v>
      </c>
      <c r="L22" s="338">
        <v>13.62</v>
      </c>
      <c r="M22" s="15"/>
      <c r="N22" s="74">
        <f t="shared" si="17"/>
        <v>0</v>
      </c>
      <c r="O22" s="392"/>
      <c r="P22" s="113">
        <f t="shared" si="18"/>
        <v>0</v>
      </c>
      <c r="Q22" s="75"/>
      <c r="R22" s="127"/>
      <c r="S22" s="319">
        <f t="shared" si="11"/>
        <v>5.6843418860808015E-14</v>
      </c>
      <c r="V22" s="338"/>
      <c r="W22" s="15"/>
      <c r="X22" s="74">
        <f t="shared" si="19"/>
        <v>0</v>
      </c>
      <c r="Y22" s="392"/>
      <c r="Z22" s="113">
        <f t="shared" si="20"/>
        <v>0</v>
      </c>
      <c r="AA22" s="75"/>
      <c r="AB22" s="127"/>
      <c r="AC22" s="319">
        <f t="shared" si="12"/>
        <v>0</v>
      </c>
      <c r="AF22" s="338"/>
      <c r="AG22" s="15"/>
      <c r="AH22" s="74">
        <f t="shared" si="21"/>
        <v>0</v>
      </c>
      <c r="AI22" s="392"/>
      <c r="AJ22" s="113">
        <f t="shared" si="22"/>
        <v>0</v>
      </c>
      <c r="AK22" s="75"/>
      <c r="AL22" s="127"/>
      <c r="AM22" s="319">
        <f t="shared" si="13"/>
        <v>0</v>
      </c>
      <c r="AP22" s="338"/>
      <c r="AQ22" s="15"/>
      <c r="AR22" s="74">
        <f t="shared" si="23"/>
        <v>0</v>
      </c>
      <c r="AS22" s="392"/>
      <c r="AT22" s="113">
        <f t="shared" si="24"/>
        <v>0</v>
      </c>
      <c r="AU22" s="75"/>
      <c r="AV22" s="127"/>
      <c r="AW22" s="319">
        <f t="shared" si="14"/>
        <v>267.70999999999998</v>
      </c>
    </row>
    <row r="23" spans="1:49" ht="15" customHeight="1" x14ac:dyDescent="0.25">
      <c r="B23" s="338">
        <v>13.62</v>
      </c>
      <c r="C23" s="15"/>
      <c r="D23" s="74">
        <f t="shared" si="15"/>
        <v>0</v>
      </c>
      <c r="E23" s="392"/>
      <c r="F23" s="113">
        <f t="shared" si="16"/>
        <v>0</v>
      </c>
      <c r="G23" s="75"/>
      <c r="H23" s="127"/>
      <c r="I23" s="319">
        <f t="shared" si="10"/>
        <v>0</v>
      </c>
      <c r="L23" s="338">
        <v>13.62</v>
      </c>
      <c r="M23" s="15"/>
      <c r="N23" s="74">
        <f t="shared" si="17"/>
        <v>0</v>
      </c>
      <c r="O23" s="392"/>
      <c r="P23" s="113">
        <f t="shared" si="18"/>
        <v>0</v>
      </c>
      <c r="Q23" s="75"/>
      <c r="R23" s="127"/>
      <c r="S23" s="319">
        <f t="shared" si="11"/>
        <v>5.6843418860808015E-14</v>
      </c>
      <c r="V23" s="338"/>
      <c r="W23" s="15"/>
      <c r="X23" s="74">
        <f t="shared" si="19"/>
        <v>0</v>
      </c>
      <c r="Y23" s="392"/>
      <c r="Z23" s="113">
        <f t="shared" si="20"/>
        <v>0</v>
      </c>
      <c r="AA23" s="75"/>
      <c r="AB23" s="127"/>
      <c r="AC23" s="319">
        <f t="shared" si="12"/>
        <v>0</v>
      </c>
      <c r="AF23" s="338"/>
      <c r="AG23" s="15"/>
      <c r="AH23" s="74">
        <f t="shared" si="21"/>
        <v>0</v>
      </c>
      <c r="AI23" s="392"/>
      <c r="AJ23" s="113">
        <f t="shared" si="22"/>
        <v>0</v>
      </c>
      <c r="AK23" s="75"/>
      <c r="AL23" s="127"/>
      <c r="AM23" s="319">
        <f t="shared" si="13"/>
        <v>0</v>
      </c>
      <c r="AP23" s="338"/>
      <c r="AQ23" s="15"/>
      <c r="AR23" s="74">
        <f t="shared" si="23"/>
        <v>0</v>
      </c>
      <c r="AS23" s="392"/>
      <c r="AT23" s="113">
        <f t="shared" si="24"/>
        <v>0</v>
      </c>
      <c r="AU23" s="75"/>
      <c r="AV23" s="127"/>
      <c r="AW23" s="319">
        <f t="shared" si="14"/>
        <v>267.70999999999998</v>
      </c>
    </row>
    <row r="24" spans="1:49" ht="15" customHeight="1" x14ac:dyDescent="0.25">
      <c r="B24" s="338">
        <v>13.62</v>
      </c>
      <c r="C24" s="15"/>
      <c r="D24" s="74">
        <f t="shared" si="15"/>
        <v>0</v>
      </c>
      <c r="E24" s="392"/>
      <c r="F24" s="113">
        <f t="shared" si="16"/>
        <v>0</v>
      </c>
      <c r="G24" s="75"/>
      <c r="H24" s="127"/>
      <c r="I24" s="319">
        <f t="shared" si="10"/>
        <v>0</v>
      </c>
      <c r="L24" s="338">
        <v>13.62</v>
      </c>
      <c r="M24" s="15"/>
      <c r="N24" s="74">
        <f t="shared" si="17"/>
        <v>0</v>
      </c>
      <c r="O24" s="392"/>
      <c r="P24" s="113">
        <f t="shared" si="18"/>
        <v>0</v>
      </c>
      <c r="Q24" s="75"/>
      <c r="R24" s="127"/>
      <c r="S24" s="319">
        <f t="shared" si="11"/>
        <v>5.6843418860808015E-14</v>
      </c>
      <c r="V24" s="338"/>
      <c r="W24" s="15"/>
      <c r="X24" s="74">
        <f t="shared" si="19"/>
        <v>0</v>
      </c>
      <c r="Y24" s="392"/>
      <c r="Z24" s="113">
        <f t="shared" si="20"/>
        <v>0</v>
      </c>
      <c r="AA24" s="75"/>
      <c r="AB24" s="127"/>
      <c r="AC24" s="319">
        <f t="shared" si="12"/>
        <v>0</v>
      </c>
      <c r="AF24" s="338"/>
      <c r="AG24" s="15"/>
      <c r="AH24" s="74">
        <f t="shared" si="21"/>
        <v>0</v>
      </c>
      <c r="AI24" s="392"/>
      <c r="AJ24" s="113">
        <f t="shared" si="22"/>
        <v>0</v>
      </c>
      <c r="AK24" s="75"/>
      <c r="AL24" s="127"/>
      <c r="AM24" s="319">
        <f t="shared" si="13"/>
        <v>0</v>
      </c>
      <c r="AP24" s="338"/>
      <c r="AQ24" s="15"/>
      <c r="AR24" s="74">
        <f t="shared" si="23"/>
        <v>0</v>
      </c>
      <c r="AS24" s="392"/>
      <c r="AT24" s="113">
        <f t="shared" si="24"/>
        <v>0</v>
      </c>
      <c r="AU24" s="75"/>
      <c r="AV24" s="127"/>
      <c r="AW24" s="319">
        <f t="shared" si="14"/>
        <v>267.70999999999998</v>
      </c>
    </row>
    <row r="25" spans="1:49" ht="15" customHeight="1" x14ac:dyDescent="0.25">
      <c r="B25" s="338">
        <v>13.62</v>
      </c>
      <c r="C25" s="15"/>
      <c r="D25" s="74">
        <f t="shared" si="15"/>
        <v>0</v>
      </c>
      <c r="E25" s="392"/>
      <c r="F25" s="113">
        <f t="shared" si="16"/>
        <v>0</v>
      </c>
      <c r="G25" s="75"/>
      <c r="H25" s="127"/>
      <c r="I25" s="319">
        <f t="shared" si="10"/>
        <v>0</v>
      </c>
      <c r="L25" s="338">
        <v>13.62</v>
      </c>
      <c r="M25" s="15"/>
      <c r="N25" s="74">
        <f t="shared" si="17"/>
        <v>0</v>
      </c>
      <c r="O25" s="392"/>
      <c r="P25" s="113">
        <f t="shared" si="18"/>
        <v>0</v>
      </c>
      <c r="Q25" s="75"/>
      <c r="R25" s="127"/>
      <c r="S25" s="319">
        <f t="shared" si="11"/>
        <v>5.6843418860808015E-14</v>
      </c>
      <c r="V25" s="338"/>
      <c r="W25" s="15"/>
      <c r="X25" s="74">
        <f t="shared" si="19"/>
        <v>0</v>
      </c>
      <c r="Y25" s="392"/>
      <c r="Z25" s="113">
        <f t="shared" si="20"/>
        <v>0</v>
      </c>
      <c r="AA25" s="75"/>
      <c r="AB25" s="127"/>
      <c r="AC25" s="319">
        <f t="shared" si="12"/>
        <v>0</v>
      </c>
      <c r="AF25" s="338"/>
      <c r="AG25" s="15"/>
      <c r="AH25" s="74">
        <f t="shared" si="21"/>
        <v>0</v>
      </c>
      <c r="AI25" s="392"/>
      <c r="AJ25" s="113">
        <f t="shared" si="22"/>
        <v>0</v>
      </c>
      <c r="AK25" s="75"/>
      <c r="AL25" s="127"/>
      <c r="AM25" s="319">
        <f t="shared" si="13"/>
        <v>0</v>
      </c>
      <c r="AP25" s="338"/>
      <c r="AQ25" s="15"/>
      <c r="AR25" s="74">
        <f t="shared" si="23"/>
        <v>0</v>
      </c>
      <c r="AS25" s="392"/>
      <c r="AT25" s="113">
        <f t="shared" si="24"/>
        <v>0</v>
      </c>
      <c r="AU25" s="75"/>
      <c r="AV25" s="127"/>
      <c r="AW25" s="319">
        <f t="shared" si="14"/>
        <v>267.70999999999998</v>
      </c>
    </row>
    <row r="26" spans="1:49" ht="15" customHeight="1" x14ac:dyDescent="0.25">
      <c r="B26" s="338">
        <v>13.62</v>
      </c>
      <c r="C26" s="15"/>
      <c r="D26" s="74">
        <f t="shared" si="15"/>
        <v>0</v>
      </c>
      <c r="E26" s="392"/>
      <c r="F26" s="113">
        <f t="shared" si="16"/>
        <v>0</v>
      </c>
      <c r="G26" s="75"/>
      <c r="H26" s="127"/>
      <c r="I26" s="319">
        <f t="shared" si="10"/>
        <v>0</v>
      </c>
      <c r="L26" s="338">
        <v>13.62</v>
      </c>
      <c r="M26" s="15"/>
      <c r="N26" s="74">
        <f t="shared" si="17"/>
        <v>0</v>
      </c>
      <c r="O26" s="392"/>
      <c r="P26" s="113">
        <f t="shared" si="18"/>
        <v>0</v>
      </c>
      <c r="Q26" s="75"/>
      <c r="R26" s="127"/>
      <c r="S26" s="319">
        <f t="shared" si="11"/>
        <v>5.6843418860808015E-14</v>
      </c>
      <c r="V26" s="338"/>
      <c r="W26" s="15"/>
      <c r="X26" s="74">
        <f t="shared" si="19"/>
        <v>0</v>
      </c>
      <c r="Y26" s="392"/>
      <c r="Z26" s="113">
        <f t="shared" si="20"/>
        <v>0</v>
      </c>
      <c r="AA26" s="75"/>
      <c r="AB26" s="127"/>
      <c r="AC26" s="319">
        <f t="shared" si="12"/>
        <v>0</v>
      </c>
      <c r="AF26" s="338"/>
      <c r="AG26" s="15"/>
      <c r="AH26" s="74">
        <f t="shared" si="21"/>
        <v>0</v>
      </c>
      <c r="AI26" s="392"/>
      <c r="AJ26" s="113">
        <f t="shared" si="22"/>
        <v>0</v>
      </c>
      <c r="AK26" s="75"/>
      <c r="AL26" s="127"/>
      <c r="AM26" s="319">
        <f t="shared" si="13"/>
        <v>0</v>
      </c>
      <c r="AP26" s="338"/>
      <c r="AQ26" s="15"/>
      <c r="AR26" s="74">
        <f t="shared" si="23"/>
        <v>0</v>
      </c>
      <c r="AS26" s="392"/>
      <c r="AT26" s="113">
        <f t="shared" si="24"/>
        <v>0</v>
      </c>
      <c r="AU26" s="75"/>
      <c r="AV26" s="127"/>
      <c r="AW26" s="319">
        <f t="shared" si="14"/>
        <v>267.70999999999998</v>
      </c>
    </row>
    <row r="27" spans="1:49" ht="15" customHeight="1" x14ac:dyDescent="0.25">
      <c r="B27" s="338">
        <v>13.62</v>
      </c>
      <c r="C27" s="15"/>
      <c r="D27" s="74">
        <f t="shared" si="15"/>
        <v>0</v>
      </c>
      <c r="E27" s="392"/>
      <c r="F27" s="113">
        <f t="shared" si="16"/>
        <v>0</v>
      </c>
      <c r="G27" s="75"/>
      <c r="H27" s="127"/>
      <c r="I27" s="270">
        <f t="shared" si="10"/>
        <v>0</v>
      </c>
      <c r="L27" s="338">
        <v>13.62</v>
      </c>
      <c r="M27" s="15"/>
      <c r="N27" s="74">
        <f t="shared" si="17"/>
        <v>0</v>
      </c>
      <c r="O27" s="392"/>
      <c r="P27" s="113">
        <f t="shared" si="18"/>
        <v>0</v>
      </c>
      <c r="Q27" s="75"/>
      <c r="R27" s="127"/>
      <c r="S27" s="270">
        <f t="shared" si="11"/>
        <v>5.6843418860808015E-14</v>
      </c>
      <c r="V27" s="338"/>
      <c r="W27" s="15"/>
      <c r="X27" s="74">
        <f t="shared" si="19"/>
        <v>0</v>
      </c>
      <c r="Y27" s="392"/>
      <c r="Z27" s="113">
        <f t="shared" si="20"/>
        <v>0</v>
      </c>
      <c r="AA27" s="75"/>
      <c r="AB27" s="127"/>
      <c r="AC27" s="270">
        <f t="shared" si="12"/>
        <v>0</v>
      </c>
      <c r="AF27" s="338"/>
      <c r="AG27" s="15"/>
      <c r="AH27" s="74">
        <f t="shared" si="21"/>
        <v>0</v>
      </c>
      <c r="AI27" s="392"/>
      <c r="AJ27" s="113">
        <f t="shared" si="22"/>
        <v>0</v>
      </c>
      <c r="AK27" s="75"/>
      <c r="AL27" s="127"/>
      <c r="AM27" s="270">
        <f t="shared" si="13"/>
        <v>0</v>
      </c>
      <c r="AP27" s="338"/>
      <c r="AQ27" s="15"/>
      <c r="AR27" s="74">
        <f t="shared" si="23"/>
        <v>0</v>
      </c>
      <c r="AS27" s="392"/>
      <c r="AT27" s="113">
        <f t="shared" si="24"/>
        <v>0</v>
      </c>
      <c r="AU27" s="75"/>
      <c r="AV27" s="127"/>
      <c r="AW27" s="270">
        <f t="shared" si="14"/>
        <v>267.70999999999998</v>
      </c>
    </row>
    <row r="28" spans="1:49" ht="15" customHeight="1" x14ac:dyDescent="0.25">
      <c r="A28" s="48"/>
      <c r="B28" s="338">
        <v>13.62</v>
      </c>
      <c r="C28" s="15"/>
      <c r="D28" s="74">
        <f t="shared" si="15"/>
        <v>0</v>
      </c>
      <c r="E28" s="392"/>
      <c r="F28" s="113">
        <f t="shared" si="16"/>
        <v>0</v>
      </c>
      <c r="G28" s="75"/>
      <c r="H28" s="127"/>
      <c r="I28" s="270">
        <f t="shared" si="10"/>
        <v>0</v>
      </c>
      <c r="K28" s="48"/>
      <c r="L28" s="338">
        <v>13.62</v>
      </c>
      <c r="M28" s="15"/>
      <c r="N28" s="74">
        <f t="shared" si="17"/>
        <v>0</v>
      </c>
      <c r="O28" s="392"/>
      <c r="P28" s="113">
        <f t="shared" si="18"/>
        <v>0</v>
      </c>
      <c r="Q28" s="75"/>
      <c r="R28" s="127"/>
      <c r="S28" s="270">
        <f t="shared" si="11"/>
        <v>5.6843418860808015E-14</v>
      </c>
      <c r="U28" s="48"/>
      <c r="V28" s="338"/>
      <c r="W28" s="15"/>
      <c r="X28" s="74">
        <f t="shared" si="19"/>
        <v>0</v>
      </c>
      <c r="Y28" s="392"/>
      <c r="Z28" s="113">
        <f t="shared" si="20"/>
        <v>0</v>
      </c>
      <c r="AA28" s="75"/>
      <c r="AB28" s="127"/>
      <c r="AC28" s="270">
        <f t="shared" si="12"/>
        <v>0</v>
      </c>
      <c r="AE28" s="48"/>
      <c r="AF28" s="338"/>
      <c r="AG28" s="15"/>
      <c r="AH28" s="74">
        <f t="shared" si="21"/>
        <v>0</v>
      </c>
      <c r="AI28" s="392"/>
      <c r="AJ28" s="113">
        <f t="shared" si="22"/>
        <v>0</v>
      </c>
      <c r="AK28" s="75"/>
      <c r="AL28" s="127"/>
      <c r="AM28" s="270">
        <f t="shared" si="13"/>
        <v>0</v>
      </c>
      <c r="AO28" s="48"/>
      <c r="AP28" s="338"/>
      <c r="AQ28" s="15"/>
      <c r="AR28" s="74">
        <f t="shared" si="23"/>
        <v>0</v>
      </c>
      <c r="AS28" s="392"/>
      <c r="AT28" s="113">
        <f t="shared" si="24"/>
        <v>0</v>
      </c>
      <c r="AU28" s="75"/>
      <c r="AV28" s="127"/>
      <c r="AW28" s="270">
        <f t="shared" si="14"/>
        <v>267.70999999999998</v>
      </c>
    </row>
    <row r="29" spans="1:49" ht="15" customHeight="1" x14ac:dyDescent="0.25">
      <c r="A29" s="48"/>
      <c r="B29" s="338">
        <v>13.62</v>
      </c>
      <c r="C29" s="15"/>
      <c r="D29" s="74">
        <f t="shared" si="15"/>
        <v>0</v>
      </c>
      <c r="E29" s="392"/>
      <c r="F29" s="113">
        <f t="shared" si="16"/>
        <v>0</v>
      </c>
      <c r="G29" s="315"/>
      <c r="H29" s="518"/>
      <c r="I29" s="319">
        <f t="shared" si="10"/>
        <v>0</v>
      </c>
      <c r="K29" s="48"/>
      <c r="L29" s="338">
        <v>13.62</v>
      </c>
      <c r="M29" s="15"/>
      <c r="N29" s="74">
        <f t="shared" si="17"/>
        <v>0</v>
      </c>
      <c r="O29" s="392"/>
      <c r="P29" s="113">
        <f t="shared" si="18"/>
        <v>0</v>
      </c>
      <c r="Q29" s="315"/>
      <c r="R29" s="518"/>
      <c r="S29" s="319">
        <f t="shared" si="11"/>
        <v>5.6843418860808015E-14</v>
      </c>
      <c r="U29" s="48"/>
      <c r="V29" s="338"/>
      <c r="W29" s="15"/>
      <c r="X29" s="74">
        <f t="shared" si="19"/>
        <v>0</v>
      </c>
      <c r="Y29" s="392"/>
      <c r="Z29" s="113">
        <f t="shared" si="20"/>
        <v>0</v>
      </c>
      <c r="AA29" s="315"/>
      <c r="AB29" s="518"/>
      <c r="AC29" s="319">
        <f t="shared" si="12"/>
        <v>0</v>
      </c>
      <c r="AE29" s="48"/>
      <c r="AF29" s="338"/>
      <c r="AG29" s="15"/>
      <c r="AH29" s="74">
        <f t="shared" si="21"/>
        <v>0</v>
      </c>
      <c r="AI29" s="392"/>
      <c r="AJ29" s="113">
        <f t="shared" si="22"/>
        <v>0</v>
      </c>
      <c r="AK29" s="315"/>
      <c r="AL29" s="518"/>
      <c r="AM29" s="319">
        <f t="shared" si="13"/>
        <v>0</v>
      </c>
      <c r="AO29" s="48"/>
      <c r="AP29" s="338"/>
      <c r="AQ29" s="15"/>
      <c r="AR29" s="74">
        <f t="shared" si="23"/>
        <v>0</v>
      </c>
      <c r="AS29" s="392"/>
      <c r="AT29" s="113">
        <f t="shared" si="24"/>
        <v>0</v>
      </c>
      <c r="AU29" s="315"/>
      <c r="AV29" s="518"/>
      <c r="AW29" s="319">
        <f t="shared" si="14"/>
        <v>267.70999999999998</v>
      </c>
    </row>
    <row r="30" spans="1:49" ht="15" customHeight="1" x14ac:dyDescent="0.25">
      <c r="A30" s="48"/>
      <c r="B30" s="338">
        <v>13.62</v>
      </c>
      <c r="C30" s="15"/>
      <c r="D30" s="74">
        <f t="shared" si="15"/>
        <v>0</v>
      </c>
      <c r="E30" s="392"/>
      <c r="F30" s="113">
        <f t="shared" si="16"/>
        <v>0</v>
      </c>
      <c r="G30" s="315"/>
      <c r="H30" s="518"/>
      <c r="I30" s="319">
        <f t="shared" si="10"/>
        <v>0</v>
      </c>
      <c r="K30" s="48"/>
      <c r="L30" s="338">
        <v>13.62</v>
      </c>
      <c r="M30" s="15"/>
      <c r="N30" s="74">
        <f t="shared" si="17"/>
        <v>0</v>
      </c>
      <c r="O30" s="392"/>
      <c r="P30" s="113">
        <f t="shared" si="18"/>
        <v>0</v>
      </c>
      <c r="Q30" s="315"/>
      <c r="R30" s="518"/>
      <c r="S30" s="319">
        <f t="shared" si="11"/>
        <v>5.6843418860808015E-14</v>
      </c>
      <c r="U30" s="48"/>
      <c r="V30" s="338"/>
      <c r="W30" s="15"/>
      <c r="X30" s="74">
        <f t="shared" si="19"/>
        <v>0</v>
      </c>
      <c r="Y30" s="392"/>
      <c r="Z30" s="113">
        <f t="shared" si="20"/>
        <v>0</v>
      </c>
      <c r="AA30" s="315"/>
      <c r="AB30" s="518"/>
      <c r="AC30" s="319">
        <f t="shared" si="12"/>
        <v>0</v>
      </c>
      <c r="AE30" s="48"/>
      <c r="AF30" s="338"/>
      <c r="AG30" s="15"/>
      <c r="AH30" s="74">
        <f t="shared" si="21"/>
        <v>0</v>
      </c>
      <c r="AI30" s="392"/>
      <c r="AJ30" s="113">
        <f t="shared" si="22"/>
        <v>0</v>
      </c>
      <c r="AK30" s="315"/>
      <c r="AL30" s="518"/>
      <c r="AM30" s="319">
        <f t="shared" si="13"/>
        <v>0</v>
      </c>
      <c r="AO30" s="48"/>
      <c r="AP30" s="338"/>
      <c r="AQ30" s="15"/>
      <c r="AR30" s="74">
        <f t="shared" si="23"/>
        <v>0</v>
      </c>
      <c r="AS30" s="392"/>
      <c r="AT30" s="113">
        <f t="shared" si="24"/>
        <v>0</v>
      </c>
      <c r="AU30" s="315"/>
      <c r="AV30" s="518"/>
      <c r="AW30" s="319">
        <f t="shared" si="14"/>
        <v>267.70999999999998</v>
      </c>
    </row>
    <row r="31" spans="1:49" ht="15" customHeight="1" x14ac:dyDescent="0.25">
      <c r="A31" s="48"/>
      <c r="B31" s="338">
        <v>13.62</v>
      </c>
      <c r="C31" s="15"/>
      <c r="D31" s="74">
        <f t="shared" si="15"/>
        <v>0</v>
      </c>
      <c r="E31" s="392"/>
      <c r="F31" s="113">
        <f t="shared" si="16"/>
        <v>0</v>
      </c>
      <c r="G31" s="315"/>
      <c r="H31" s="518"/>
      <c r="I31" s="319">
        <f t="shared" si="10"/>
        <v>0</v>
      </c>
      <c r="K31" s="48"/>
      <c r="L31" s="338">
        <v>13.62</v>
      </c>
      <c r="M31" s="15"/>
      <c r="N31" s="74">
        <f t="shared" si="17"/>
        <v>0</v>
      </c>
      <c r="O31" s="392"/>
      <c r="P31" s="113">
        <f t="shared" si="18"/>
        <v>0</v>
      </c>
      <c r="Q31" s="315"/>
      <c r="R31" s="518"/>
      <c r="S31" s="319">
        <f t="shared" si="11"/>
        <v>5.6843418860808015E-14</v>
      </c>
      <c r="U31" s="48"/>
      <c r="V31" s="338"/>
      <c r="W31" s="15"/>
      <c r="X31" s="74">
        <f t="shared" si="19"/>
        <v>0</v>
      </c>
      <c r="Y31" s="392"/>
      <c r="Z31" s="113">
        <f t="shared" si="20"/>
        <v>0</v>
      </c>
      <c r="AA31" s="315"/>
      <c r="AB31" s="518"/>
      <c r="AC31" s="319">
        <f t="shared" si="12"/>
        <v>0</v>
      </c>
      <c r="AE31" s="48"/>
      <c r="AF31" s="338"/>
      <c r="AG31" s="15"/>
      <c r="AH31" s="74">
        <f t="shared" si="21"/>
        <v>0</v>
      </c>
      <c r="AI31" s="392"/>
      <c r="AJ31" s="113">
        <f t="shared" si="22"/>
        <v>0</v>
      </c>
      <c r="AK31" s="315"/>
      <c r="AL31" s="518"/>
      <c r="AM31" s="319">
        <f t="shared" si="13"/>
        <v>0</v>
      </c>
      <c r="AO31" s="48"/>
      <c r="AP31" s="338"/>
      <c r="AQ31" s="15"/>
      <c r="AR31" s="74">
        <f t="shared" si="23"/>
        <v>0</v>
      </c>
      <c r="AS31" s="392"/>
      <c r="AT31" s="113">
        <f t="shared" si="24"/>
        <v>0</v>
      </c>
      <c r="AU31" s="315"/>
      <c r="AV31" s="518"/>
      <c r="AW31" s="319">
        <f t="shared" si="14"/>
        <v>267.70999999999998</v>
      </c>
    </row>
    <row r="32" spans="1:49" ht="15" customHeight="1" x14ac:dyDescent="0.25">
      <c r="A32" s="48"/>
      <c r="B32" s="338">
        <v>13.62</v>
      </c>
      <c r="C32" s="15"/>
      <c r="D32" s="74">
        <f t="shared" si="15"/>
        <v>0</v>
      </c>
      <c r="E32" s="392"/>
      <c r="F32" s="113">
        <f t="shared" si="16"/>
        <v>0</v>
      </c>
      <c r="G32" s="315"/>
      <c r="H32" s="518"/>
      <c r="I32" s="319">
        <f t="shared" si="10"/>
        <v>0</v>
      </c>
      <c r="K32" s="48"/>
      <c r="L32" s="338">
        <v>13.62</v>
      </c>
      <c r="M32" s="15"/>
      <c r="N32" s="74">
        <f t="shared" si="17"/>
        <v>0</v>
      </c>
      <c r="O32" s="392"/>
      <c r="P32" s="113">
        <f t="shared" si="18"/>
        <v>0</v>
      </c>
      <c r="Q32" s="315"/>
      <c r="R32" s="518"/>
      <c r="S32" s="319">
        <f t="shared" si="11"/>
        <v>5.6843418860808015E-14</v>
      </c>
      <c r="U32" s="48"/>
      <c r="V32" s="338"/>
      <c r="W32" s="15"/>
      <c r="X32" s="74">
        <f t="shared" si="19"/>
        <v>0</v>
      </c>
      <c r="Y32" s="392"/>
      <c r="Z32" s="113">
        <f t="shared" si="20"/>
        <v>0</v>
      </c>
      <c r="AA32" s="315"/>
      <c r="AB32" s="518"/>
      <c r="AC32" s="319">
        <f t="shared" si="12"/>
        <v>0</v>
      </c>
      <c r="AE32" s="48"/>
      <c r="AF32" s="338"/>
      <c r="AG32" s="15"/>
      <c r="AH32" s="74">
        <f t="shared" si="21"/>
        <v>0</v>
      </c>
      <c r="AI32" s="392"/>
      <c r="AJ32" s="113">
        <f t="shared" si="22"/>
        <v>0</v>
      </c>
      <c r="AK32" s="315"/>
      <c r="AL32" s="518"/>
      <c r="AM32" s="319">
        <f t="shared" si="13"/>
        <v>0</v>
      </c>
      <c r="AO32" s="48"/>
      <c r="AP32" s="338"/>
      <c r="AQ32" s="15"/>
      <c r="AR32" s="74">
        <f t="shared" si="23"/>
        <v>0</v>
      </c>
      <c r="AS32" s="392"/>
      <c r="AT32" s="113">
        <f t="shared" si="24"/>
        <v>0</v>
      </c>
      <c r="AU32" s="315"/>
      <c r="AV32" s="518"/>
      <c r="AW32" s="319">
        <f t="shared" si="14"/>
        <v>267.70999999999998</v>
      </c>
    </row>
    <row r="33" spans="1:49" ht="15" customHeight="1" x14ac:dyDescent="0.25">
      <c r="A33" s="48"/>
      <c r="B33" s="338">
        <v>13.62</v>
      </c>
      <c r="C33" s="15"/>
      <c r="D33" s="74">
        <f t="shared" si="15"/>
        <v>0</v>
      </c>
      <c r="E33" s="392"/>
      <c r="F33" s="113">
        <f t="shared" si="16"/>
        <v>0</v>
      </c>
      <c r="G33" s="315"/>
      <c r="H33" s="316"/>
      <c r="I33" s="319">
        <f t="shared" si="10"/>
        <v>0</v>
      </c>
      <c r="K33" s="48"/>
      <c r="L33" s="338">
        <v>13.62</v>
      </c>
      <c r="M33" s="15"/>
      <c r="N33" s="74">
        <f t="shared" si="17"/>
        <v>0</v>
      </c>
      <c r="O33" s="392"/>
      <c r="P33" s="113">
        <f t="shared" si="18"/>
        <v>0</v>
      </c>
      <c r="Q33" s="315"/>
      <c r="R33" s="316"/>
      <c r="S33" s="319">
        <f t="shared" si="11"/>
        <v>5.6843418860808015E-14</v>
      </c>
      <c r="U33" s="48"/>
      <c r="V33" s="338"/>
      <c r="W33" s="15"/>
      <c r="X33" s="74">
        <f t="shared" si="19"/>
        <v>0</v>
      </c>
      <c r="Y33" s="392"/>
      <c r="Z33" s="113">
        <f t="shared" si="20"/>
        <v>0</v>
      </c>
      <c r="AA33" s="315"/>
      <c r="AB33" s="316"/>
      <c r="AC33" s="319">
        <f t="shared" si="12"/>
        <v>0</v>
      </c>
      <c r="AE33" s="48"/>
      <c r="AF33" s="338"/>
      <c r="AG33" s="15"/>
      <c r="AH33" s="74">
        <f t="shared" si="21"/>
        <v>0</v>
      </c>
      <c r="AI33" s="392"/>
      <c r="AJ33" s="113">
        <f t="shared" si="22"/>
        <v>0</v>
      </c>
      <c r="AK33" s="315"/>
      <c r="AL33" s="316"/>
      <c r="AM33" s="319">
        <f t="shared" si="13"/>
        <v>0</v>
      </c>
      <c r="AO33" s="48"/>
      <c r="AP33" s="338"/>
      <c r="AQ33" s="15"/>
      <c r="AR33" s="74">
        <f t="shared" si="23"/>
        <v>0</v>
      </c>
      <c r="AS33" s="392"/>
      <c r="AT33" s="113">
        <f t="shared" si="24"/>
        <v>0</v>
      </c>
      <c r="AU33" s="315"/>
      <c r="AV33" s="316"/>
      <c r="AW33" s="319">
        <f t="shared" si="14"/>
        <v>267.70999999999998</v>
      </c>
    </row>
    <row r="34" spans="1:49" ht="15" customHeight="1" x14ac:dyDescent="0.25">
      <c r="A34" s="48"/>
      <c r="B34" s="338">
        <v>13.62</v>
      </c>
      <c r="C34" s="15"/>
      <c r="D34" s="74">
        <f t="shared" si="15"/>
        <v>0</v>
      </c>
      <c r="E34" s="392"/>
      <c r="F34" s="113">
        <f t="shared" si="16"/>
        <v>0</v>
      </c>
      <c r="G34" s="315"/>
      <c r="H34" s="316"/>
      <c r="I34" s="319">
        <f t="shared" si="10"/>
        <v>0</v>
      </c>
      <c r="K34" s="48"/>
      <c r="L34" s="338">
        <v>13.62</v>
      </c>
      <c r="M34" s="15"/>
      <c r="N34" s="74">
        <f t="shared" si="17"/>
        <v>0</v>
      </c>
      <c r="O34" s="392"/>
      <c r="P34" s="113">
        <f t="shared" si="18"/>
        <v>0</v>
      </c>
      <c r="Q34" s="315"/>
      <c r="R34" s="316"/>
      <c r="S34" s="319">
        <f t="shared" si="11"/>
        <v>5.6843418860808015E-14</v>
      </c>
      <c r="U34" s="48"/>
      <c r="V34" s="338"/>
      <c r="W34" s="15"/>
      <c r="X34" s="74">
        <f t="shared" si="19"/>
        <v>0</v>
      </c>
      <c r="Y34" s="392"/>
      <c r="Z34" s="113">
        <f t="shared" si="20"/>
        <v>0</v>
      </c>
      <c r="AA34" s="315"/>
      <c r="AB34" s="316"/>
      <c r="AC34" s="319">
        <f t="shared" si="12"/>
        <v>0</v>
      </c>
      <c r="AE34" s="48"/>
      <c r="AF34" s="338"/>
      <c r="AG34" s="15"/>
      <c r="AH34" s="74">
        <f t="shared" si="21"/>
        <v>0</v>
      </c>
      <c r="AI34" s="392"/>
      <c r="AJ34" s="113">
        <f t="shared" si="22"/>
        <v>0</v>
      </c>
      <c r="AK34" s="315"/>
      <c r="AL34" s="316"/>
      <c r="AM34" s="319">
        <f t="shared" si="13"/>
        <v>0</v>
      </c>
      <c r="AO34" s="48"/>
      <c r="AP34" s="338"/>
      <c r="AQ34" s="15"/>
      <c r="AR34" s="74">
        <f t="shared" si="23"/>
        <v>0</v>
      </c>
      <c r="AS34" s="392"/>
      <c r="AT34" s="113">
        <f t="shared" si="24"/>
        <v>0</v>
      </c>
      <c r="AU34" s="315"/>
      <c r="AV34" s="316"/>
      <c r="AW34" s="319">
        <f t="shared" si="14"/>
        <v>267.70999999999998</v>
      </c>
    </row>
    <row r="35" spans="1:49" ht="15.75" x14ac:dyDescent="0.25">
      <c r="A35" s="48"/>
      <c r="B35" s="338">
        <v>13.62</v>
      </c>
      <c r="C35" s="15"/>
      <c r="D35" s="74">
        <f t="shared" si="15"/>
        <v>0</v>
      </c>
      <c r="E35" s="392"/>
      <c r="F35" s="113">
        <f t="shared" si="16"/>
        <v>0</v>
      </c>
      <c r="G35" s="315"/>
      <c r="H35" s="316"/>
      <c r="I35" s="319">
        <f t="shared" si="10"/>
        <v>0</v>
      </c>
      <c r="K35" s="48"/>
      <c r="L35" s="338">
        <v>13.62</v>
      </c>
      <c r="M35" s="15"/>
      <c r="N35" s="74">
        <f t="shared" si="17"/>
        <v>0</v>
      </c>
      <c r="O35" s="392"/>
      <c r="P35" s="113">
        <f t="shared" si="18"/>
        <v>0</v>
      </c>
      <c r="Q35" s="315"/>
      <c r="R35" s="316"/>
      <c r="S35" s="319">
        <f t="shared" si="11"/>
        <v>5.6843418860808015E-14</v>
      </c>
      <c r="U35" s="48"/>
      <c r="V35" s="338"/>
      <c r="W35" s="15"/>
      <c r="X35" s="74">
        <f t="shared" si="19"/>
        <v>0</v>
      </c>
      <c r="Y35" s="392"/>
      <c r="Z35" s="113">
        <f t="shared" si="20"/>
        <v>0</v>
      </c>
      <c r="AA35" s="315"/>
      <c r="AB35" s="316"/>
      <c r="AC35" s="319">
        <f t="shared" si="12"/>
        <v>0</v>
      </c>
      <c r="AE35" s="48"/>
      <c r="AF35" s="338"/>
      <c r="AG35" s="15"/>
      <c r="AH35" s="74">
        <f t="shared" si="21"/>
        <v>0</v>
      </c>
      <c r="AI35" s="392"/>
      <c r="AJ35" s="113">
        <f t="shared" si="22"/>
        <v>0</v>
      </c>
      <c r="AK35" s="315"/>
      <c r="AL35" s="316"/>
      <c r="AM35" s="319">
        <f t="shared" si="13"/>
        <v>0</v>
      </c>
      <c r="AO35" s="48"/>
      <c r="AP35" s="338"/>
      <c r="AQ35" s="15"/>
      <c r="AR35" s="74">
        <f t="shared" si="23"/>
        <v>0</v>
      </c>
      <c r="AS35" s="392"/>
      <c r="AT35" s="113">
        <f t="shared" si="24"/>
        <v>0</v>
      </c>
      <c r="AU35" s="315"/>
      <c r="AV35" s="316"/>
      <c r="AW35" s="319">
        <f t="shared" si="14"/>
        <v>267.70999999999998</v>
      </c>
    </row>
    <row r="36" spans="1:49" ht="15.75" x14ac:dyDescent="0.25">
      <c r="A36" s="48"/>
      <c r="B36" s="338">
        <v>13.62</v>
      </c>
      <c r="C36" s="15"/>
      <c r="D36" s="74">
        <f t="shared" si="15"/>
        <v>0</v>
      </c>
      <c r="E36" s="392"/>
      <c r="F36" s="113">
        <f t="shared" si="16"/>
        <v>0</v>
      </c>
      <c r="G36" s="75"/>
      <c r="H36" s="76"/>
      <c r="I36" s="270">
        <f t="shared" si="10"/>
        <v>0</v>
      </c>
      <c r="K36" s="48"/>
      <c r="L36" s="338">
        <v>13.62</v>
      </c>
      <c r="M36" s="15"/>
      <c r="N36" s="74">
        <f t="shared" si="17"/>
        <v>0</v>
      </c>
      <c r="O36" s="392"/>
      <c r="P36" s="113">
        <f t="shared" si="18"/>
        <v>0</v>
      </c>
      <c r="Q36" s="75"/>
      <c r="R36" s="76"/>
      <c r="S36" s="270">
        <f t="shared" si="11"/>
        <v>5.6843418860808015E-14</v>
      </c>
      <c r="U36" s="48"/>
      <c r="V36" s="338"/>
      <c r="W36" s="15"/>
      <c r="X36" s="74">
        <f t="shared" si="19"/>
        <v>0</v>
      </c>
      <c r="Y36" s="392"/>
      <c r="Z36" s="113">
        <f t="shared" si="20"/>
        <v>0</v>
      </c>
      <c r="AA36" s="75"/>
      <c r="AB36" s="76"/>
      <c r="AC36" s="270">
        <f t="shared" si="12"/>
        <v>0</v>
      </c>
      <c r="AE36" s="48"/>
      <c r="AF36" s="338"/>
      <c r="AG36" s="15"/>
      <c r="AH36" s="74">
        <f t="shared" si="21"/>
        <v>0</v>
      </c>
      <c r="AI36" s="392"/>
      <c r="AJ36" s="113">
        <f t="shared" si="22"/>
        <v>0</v>
      </c>
      <c r="AK36" s="75"/>
      <c r="AL36" s="76"/>
      <c r="AM36" s="270">
        <f t="shared" si="13"/>
        <v>0</v>
      </c>
      <c r="AO36" s="48"/>
      <c r="AP36" s="338"/>
      <c r="AQ36" s="15"/>
      <c r="AR36" s="74">
        <f t="shared" si="23"/>
        <v>0</v>
      </c>
      <c r="AS36" s="392"/>
      <c r="AT36" s="113">
        <f t="shared" si="24"/>
        <v>0</v>
      </c>
      <c r="AU36" s="75"/>
      <c r="AV36" s="76"/>
      <c r="AW36" s="270">
        <f t="shared" si="14"/>
        <v>267.70999999999998</v>
      </c>
    </row>
    <row r="37" spans="1:49" ht="15.75" x14ac:dyDescent="0.25">
      <c r="A37" s="48"/>
      <c r="B37" s="338">
        <v>13.62</v>
      </c>
      <c r="C37" s="15"/>
      <c r="D37" s="74">
        <f t="shared" si="15"/>
        <v>0</v>
      </c>
      <c r="E37" s="392"/>
      <c r="F37" s="113">
        <f t="shared" si="16"/>
        <v>0</v>
      </c>
      <c r="G37" s="75"/>
      <c r="H37" s="76"/>
      <c r="I37" s="270">
        <f t="shared" si="10"/>
        <v>0</v>
      </c>
      <c r="K37" s="48"/>
      <c r="L37" s="338">
        <v>13.62</v>
      </c>
      <c r="M37" s="15"/>
      <c r="N37" s="74">
        <f t="shared" si="17"/>
        <v>0</v>
      </c>
      <c r="O37" s="392"/>
      <c r="P37" s="113">
        <f t="shared" si="18"/>
        <v>0</v>
      </c>
      <c r="Q37" s="75"/>
      <c r="R37" s="76"/>
      <c r="S37" s="270">
        <f t="shared" si="11"/>
        <v>5.6843418860808015E-14</v>
      </c>
      <c r="U37" s="48"/>
      <c r="V37" s="338"/>
      <c r="W37" s="15"/>
      <c r="X37" s="74">
        <f t="shared" si="19"/>
        <v>0</v>
      </c>
      <c r="Y37" s="392"/>
      <c r="Z37" s="113">
        <f t="shared" si="20"/>
        <v>0</v>
      </c>
      <c r="AA37" s="75"/>
      <c r="AB37" s="76"/>
      <c r="AC37" s="270">
        <f t="shared" si="12"/>
        <v>0</v>
      </c>
      <c r="AE37" s="48"/>
      <c r="AF37" s="338"/>
      <c r="AG37" s="15"/>
      <c r="AH37" s="74">
        <f t="shared" si="21"/>
        <v>0</v>
      </c>
      <c r="AI37" s="392"/>
      <c r="AJ37" s="113">
        <f t="shared" si="22"/>
        <v>0</v>
      </c>
      <c r="AK37" s="75"/>
      <c r="AL37" s="76"/>
      <c r="AM37" s="270">
        <f t="shared" si="13"/>
        <v>0</v>
      </c>
      <c r="AO37" s="48"/>
      <c r="AP37" s="338"/>
      <c r="AQ37" s="15"/>
      <c r="AR37" s="74">
        <f t="shared" si="23"/>
        <v>0</v>
      </c>
      <c r="AS37" s="392"/>
      <c r="AT37" s="113">
        <f t="shared" si="24"/>
        <v>0</v>
      </c>
      <c r="AU37" s="75"/>
      <c r="AV37" s="76"/>
      <c r="AW37" s="270">
        <f t="shared" si="14"/>
        <v>267.70999999999998</v>
      </c>
    </row>
    <row r="38" spans="1:49" ht="15.6" x14ac:dyDescent="0.3">
      <c r="A38" s="48"/>
      <c r="B38" s="338">
        <v>13.62</v>
      </c>
      <c r="C38" s="15"/>
      <c r="D38" s="74">
        <f t="shared" si="15"/>
        <v>0</v>
      </c>
      <c r="E38" s="392"/>
      <c r="F38" s="113">
        <f t="shared" si="16"/>
        <v>0</v>
      </c>
      <c r="G38" s="75"/>
      <c r="H38" s="76"/>
      <c r="I38" s="270">
        <f t="shared" si="10"/>
        <v>0</v>
      </c>
      <c r="K38" s="48"/>
      <c r="L38" s="338">
        <v>13.62</v>
      </c>
      <c r="M38" s="15"/>
      <c r="N38" s="74">
        <f t="shared" si="17"/>
        <v>0</v>
      </c>
      <c r="O38" s="392"/>
      <c r="P38" s="113">
        <f t="shared" si="18"/>
        <v>0</v>
      </c>
      <c r="Q38" s="75"/>
      <c r="R38" s="76"/>
      <c r="S38" s="270">
        <f t="shared" si="11"/>
        <v>5.6843418860808015E-14</v>
      </c>
      <c r="U38" s="48"/>
      <c r="V38" s="338"/>
      <c r="W38" s="15"/>
      <c r="X38" s="74">
        <f t="shared" si="19"/>
        <v>0</v>
      </c>
      <c r="Y38" s="392"/>
      <c r="Z38" s="113">
        <f t="shared" si="20"/>
        <v>0</v>
      </c>
      <c r="AA38" s="75"/>
      <c r="AB38" s="76"/>
      <c r="AC38" s="270">
        <f t="shared" si="12"/>
        <v>0</v>
      </c>
      <c r="AE38" s="48"/>
      <c r="AF38" s="338"/>
      <c r="AG38" s="15"/>
      <c r="AH38" s="74">
        <f t="shared" si="21"/>
        <v>0</v>
      </c>
      <c r="AI38" s="392"/>
      <c r="AJ38" s="113">
        <f t="shared" si="22"/>
        <v>0</v>
      </c>
      <c r="AK38" s="75"/>
      <c r="AL38" s="76"/>
      <c r="AM38" s="270">
        <f t="shared" si="13"/>
        <v>0</v>
      </c>
      <c r="AO38" s="48"/>
      <c r="AP38" s="338"/>
      <c r="AQ38" s="15"/>
      <c r="AR38" s="74">
        <f t="shared" si="23"/>
        <v>0</v>
      </c>
      <c r="AS38" s="392"/>
      <c r="AT38" s="113">
        <f t="shared" si="24"/>
        <v>0</v>
      </c>
      <c r="AU38" s="75"/>
      <c r="AV38" s="76"/>
      <c r="AW38" s="270">
        <f t="shared" si="14"/>
        <v>267.70999999999998</v>
      </c>
    </row>
    <row r="39" spans="1:49" ht="15.6" x14ac:dyDescent="0.3">
      <c r="A39" s="48"/>
      <c r="B39" s="338">
        <v>13.62</v>
      </c>
      <c r="C39" s="15"/>
      <c r="D39" s="74">
        <f t="shared" si="15"/>
        <v>0</v>
      </c>
      <c r="E39" s="392"/>
      <c r="F39" s="113">
        <f t="shared" si="16"/>
        <v>0</v>
      </c>
      <c r="G39" s="75"/>
      <c r="H39" s="76"/>
      <c r="I39" s="270">
        <f t="shared" si="10"/>
        <v>0</v>
      </c>
      <c r="K39" s="48"/>
      <c r="L39" s="338">
        <v>13.62</v>
      </c>
      <c r="M39" s="15"/>
      <c r="N39" s="74">
        <f t="shared" si="17"/>
        <v>0</v>
      </c>
      <c r="O39" s="392"/>
      <c r="P39" s="113">
        <f t="shared" si="18"/>
        <v>0</v>
      </c>
      <c r="Q39" s="75"/>
      <c r="R39" s="76"/>
      <c r="S39" s="270">
        <f t="shared" si="11"/>
        <v>5.6843418860808015E-14</v>
      </c>
      <c r="U39" s="48"/>
      <c r="V39" s="338"/>
      <c r="W39" s="15"/>
      <c r="X39" s="74">
        <f t="shared" si="19"/>
        <v>0</v>
      </c>
      <c r="Y39" s="392"/>
      <c r="Z39" s="113">
        <f t="shared" si="20"/>
        <v>0</v>
      </c>
      <c r="AA39" s="75"/>
      <c r="AB39" s="76"/>
      <c r="AC39" s="270">
        <f t="shared" si="12"/>
        <v>0</v>
      </c>
      <c r="AE39" s="48"/>
      <c r="AF39" s="338"/>
      <c r="AG39" s="15"/>
      <c r="AH39" s="74">
        <f t="shared" si="21"/>
        <v>0</v>
      </c>
      <c r="AI39" s="392"/>
      <c r="AJ39" s="113">
        <f t="shared" si="22"/>
        <v>0</v>
      </c>
      <c r="AK39" s="75"/>
      <c r="AL39" s="76"/>
      <c r="AM39" s="270">
        <f t="shared" si="13"/>
        <v>0</v>
      </c>
      <c r="AO39" s="48"/>
      <c r="AP39" s="338"/>
      <c r="AQ39" s="15"/>
      <c r="AR39" s="74">
        <f t="shared" si="23"/>
        <v>0</v>
      </c>
      <c r="AS39" s="392"/>
      <c r="AT39" s="113">
        <f t="shared" si="24"/>
        <v>0</v>
      </c>
      <c r="AU39" s="75"/>
      <c r="AV39" s="76"/>
      <c r="AW39" s="270">
        <f t="shared" si="14"/>
        <v>267.70999999999998</v>
      </c>
    </row>
    <row r="40" spans="1:49" ht="15.6" x14ac:dyDescent="0.3">
      <c r="A40" s="48"/>
      <c r="B40" s="338">
        <v>13.62</v>
      </c>
      <c r="C40" s="15"/>
      <c r="D40" s="74">
        <f t="shared" si="15"/>
        <v>0</v>
      </c>
      <c r="E40" s="392"/>
      <c r="F40" s="113">
        <f t="shared" si="16"/>
        <v>0</v>
      </c>
      <c r="G40" s="75"/>
      <c r="H40" s="76"/>
      <c r="I40" s="270">
        <f t="shared" si="10"/>
        <v>0</v>
      </c>
      <c r="K40" s="48"/>
      <c r="L40" s="338">
        <v>13.62</v>
      </c>
      <c r="M40" s="15"/>
      <c r="N40" s="74">
        <f t="shared" si="17"/>
        <v>0</v>
      </c>
      <c r="O40" s="392"/>
      <c r="P40" s="113">
        <f t="shared" si="18"/>
        <v>0</v>
      </c>
      <c r="Q40" s="75"/>
      <c r="R40" s="76"/>
      <c r="S40" s="270">
        <f t="shared" si="11"/>
        <v>5.6843418860808015E-14</v>
      </c>
      <c r="U40" s="48"/>
      <c r="V40" s="338"/>
      <c r="W40" s="15"/>
      <c r="X40" s="74">
        <f t="shared" si="19"/>
        <v>0</v>
      </c>
      <c r="Y40" s="392"/>
      <c r="Z40" s="113">
        <f t="shared" si="20"/>
        <v>0</v>
      </c>
      <c r="AA40" s="75"/>
      <c r="AB40" s="76"/>
      <c r="AC40" s="270">
        <f t="shared" si="12"/>
        <v>0</v>
      </c>
      <c r="AE40" s="48"/>
      <c r="AF40" s="338"/>
      <c r="AG40" s="15"/>
      <c r="AH40" s="74">
        <f t="shared" si="21"/>
        <v>0</v>
      </c>
      <c r="AI40" s="392"/>
      <c r="AJ40" s="113">
        <f t="shared" si="22"/>
        <v>0</v>
      </c>
      <c r="AK40" s="75"/>
      <c r="AL40" s="76"/>
      <c r="AM40" s="270">
        <f t="shared" si="13"/>
        <v>0</v>
      </c>
      <c r="AO40" s="48"/>
      <c r="AP40" s="338"/>
      <c r="AQ40" s="15"/>
      <c r="AR40" s="74">
        <f t="shared" si="23"/>
        <v>0</v>
      </c>
      <c r="AS40" s="392"/>
      <c r="AT40" s="113">
        <f t="shared" si="24"/>
        <v>0</v>
      </c>
      <c r="AU40" s="75"/>
      <c r="AV40" s="76"/>
      <c r="AW40" s="270">
        <f t="shared" si="14"/>
        <v>267.70999999999998</v>
      </c>
    </row>
    <row r="41" spans="1:49" ht="15.6" x14ac:dyDescent="0.3">
      <c r="A41" s="48"/>
      <c r="B41" s="338">
        <v>13.62</v>
      </c>
      <c r="C41" s="15"/>
      <c r="D41" s="74">
        <f t="shared" si="15"/>
        <v>0</v>
      </c>
      <c r="E41" s="392"/>
      <c r="F41" s="113">
        <f t="shared" si="16"/>
        <v>0</v>
      </c>
      <c r="G41" s="75"/>
      <c r="H41" s="76"/>
      <c r="I41" s="270">
        <f t="shared" si="10"/>
        <v>0</v>
      </c>
      <c r="K41" s="48"/>
      <c r="L41" s="338">
        <v>13.62</v>
      </c>
      <c r="M41" s="15"/>
      <c r="N41" s="74">
        <f t="shared" si="17"/>
        <v>0</v>
      </c>
      <c r="O41" s="392"/>
      <c r="P41" s="113">
        <f t="shared" si="18"/>
        <v>0</v>
      </c>
      <c r="Q41" s="75"/>
      <c r="R41" s="76"/>
      <c r="S41" s="270">
        <f t="shared" si="11"/>
        <v>5.6843418860808015E-14</v>
      </c>
      <c r="U41" s="48"/>
      <c r="V41" s="338"/>
      <c r="W41" s="15"/>
      <c r="X41" s="74">
        <f t="shared" si="19"/>
        <v>0</v>
      </c>
      <c r="Y41" s="392"/>
      <c r="Z41" s="113">
        <f t="shared" si="20"/>
        <v>0</v>
      </c>
      <c r="AA41" s="75"/>
      <c r="AB41" s="76"/>
      <c r="AC41" s="270">
        <f t="shared" si="12"/>
        <v>0</v>
      </c>
      <c r="AE41" s="48"/>
      <c r="AF41" s="338"/>
      <c r="AG41" s="15"/>
      <c r="AH41" s="74">
        <f t="shared" si="21"/>
        <v>0</v>
      </c>
      <c r="AI41" s="392"/>
      <c r="AJ41" s="113">
        <f t="shared" si="22"/>
        <v>0</v>
      </c>
      <c r="AK41" s="75"/>
      <c r="AL41" s="76"/>
      <c r="AM41" s="270">
        <f t="shared" si="13"/>
        <v>0</v>
      </c>
      <c r="AO41" s="48"/>
      <c r="AP41" s="338"/>
      <c r="AQ41" s="15"/>
      <c r="AR41" s="74">
        <f t="shared" si="23"/>
        <v>0</v>
      </c>
      <c r="AS41" s="392"/>
      <c r="AT41" s="113">
        <f t="shared" si="24"/>
        <v>0</v>
      </c>
      <c r="AU41" s="75"/>
      <c r="AV41" s="76"/>
      <c r="AW41" s="270">
        <f t="shared" si="14"/>
        <v>267.70999999999998</v>
      </c>
    </row>
    <row r="42" spans="1:49" ht="15.6" x14ac:dyDescent="0.3">
      <c r="A42" s="48"/>
      <c r="B42" s="338">
        <v>13.62</v>
      </c>
      <c r="C42" s="15"/>
      <c r="D42" s="74">
        <f t="shared" si="15"/>
        <v>0</v>
      </c>
      <c r="E42" s="392"/>
      <c r="F42" s="113">
        <f t="shared" si="16"/>
        <v>0</v>
      </c>
      <c r="G42" s="75"/>
      <c r="H42" s="76"/>
      <c r="I42" s="270">
        <f t="shared" si="10"/>
        <v>0</v>
      </c>
      <c r="K42" s="48"/>
      <c r="L42" s="338">
        <v>13.62</v>
      </c>
      <c r="M42" s="15"/>
      <c r="N42" s="74">
        <f t="shared" si="17"/>
        <v>0</v>
      </c>
      <c r="O42" s="392"/>
      <c r="P42" s="113">
        <f t="shared" si="18"/>
        <v>0</v>
      </c>
      <c r="Q42" s="75"/>
      <c r="R42" s="76"/>
      <c r="S42" s="270">
        <f t="shared" si="11"/>
        <v>5.6843418860808015E-14</v>
      </c>
      <c r="U42" s="48"/>
      <c r="V42" s="338"/>
      <c r="W42" s="15"/>
      <c r="X42" s="74">
        <f t="shared" si="19"/>
        <v>0</v>
      </c>
      <c r="Y42" s="392"/>
      <c r="Z42" s="113">
        <f t="shared" si="20"/>
        <v>0</v>
      </c>
      <c r="AA42" s="75"/>
      <c r="AB42" s="76"/>
      <c r="AC42" s="270">
        <f t="shared" si="12"/>
        <v>0</v>
      </c>
      <c r="AE42" s="48"/>
      <c r="AF42" s="338"/>
      <c r="AG42" s="15"/>
      <c r="AH42" s="74">
        <f t="shared" si="21"/>
        <v>0</v>
      </c>
      <c r="AI42" s="392"/>
      <c r="AJ42" s="113">
        <f t="shared" si="22"/>
        <v>0</v>
      </c>
      <c r="AK42" s="75"/>
      <c r="AL42" s="76"/>
      <c r="AM42" s="270">
        <f t="shared" si="13"/>
        <v>0</v>
      </c>
      <c r="AO42" s="48"/>
      <c r="AP42" s="338"/>
      <c r="AQ42" s="15"/>
      <c r="AR42" s="74">
        <f t="shared" si="23"/>
        <v>0</v>
      </c>
      <c r="AS42" s="392"/>
      <c r="AT42" s="113">
        <f t="shared" si="24"/>
        <v>0</v>
      </c>
      <c r="AU42" s="75"/>
      <c r="AV42" s="76"/>
      <c r="AW42" s="270">
        <f t="shared" si="14"/>
        <v>267.70999999999998</v>
      </c>
    </row>
    <row r="43" spans="1:49" ht="15.6" x14ac:dyDescent="0.3">
      <c r="A43" s="48"/>
      <c r="B43" s="338">
        <v>13.62</v>
      </c>
      <c r="C43" s="15"/>
      <c r="D43" s="74">
        <f t="shared" si="15"/>
        <v>0</v>
      </c>
      <c r="E43" s="86"/>
      <c r="F43" s="113">
        <f t="shared" si="16"/>
        <v>0</v>
      </c>
      <c r="G43" s="75"/>
      <c r="H43" s="76"/>
      <c r="I43" s="270">
        <f t="shared" si="10"/>
        <v>0</v>
      </c>
      <c r="K43" s="48"/>
      <c r="L43" s="338">
        <v>13.62</v>
      </c>
      <c r="M43" s="15"/>
      <c r="N43" s="74">
        <f t="shared" si="17"/>
        <v>0</v>
      </c>
      <c r="O43" s="86"/>
      <c r="P43" s="113">
        <f t="shared" si="18"/>
        <v>0</v>
      </c>
      <c r="Q43" s="75"/>
      <c r="R43" s="76"/>
      <c r="S43" s="270">
        <f t="shared" si="11"/>
        <v>5.6843418860808015E-14</v>
      </c>
      <c r="U43" s="48"/>
      <c r="V43" s="338"/>
      <c r="W43" s="15"/>
      <c r="X43" s="74">
        <f t="shared" si="19"/>
        <v>0</v>
      </c>
      <c r="Y43" s="86"/>
      <c r="Z43" s="113">
        <f t="shared" si="20"/>
        <v>0</v>
      </c>
      <c r="AA43" s="75"/>
      <c r="AB43" s="76"/>
      <c r="AC43" s="270">
        <f t="shared" si="12"/>
        <v>0</v>
      </c>
      <c r="AE43" s="48"/>
      <c r="AF43" s="338"/>
      <c r="AG43" s="15"/>
      <c r="AH43" s="74">
        <f t="shared" si="21"/>
        <v>0</v>
      </c>
      <c r="AI43" s="86"/>
      <c r="AJ43" s="113">
        <f t="shared" si="22"/>
        <v>0</v>
      </c>
      <c r="AK43" s="75"/>
      <c r="AL43" s="76"/>
      <c r="AM43" s="270">
        <f t="shared" si="13"/>
        <v>0</v>
      </c>
      <c r="AO43" s="48"/>
      <c r="AP43" s="338"/>
      <c r="AQ43" s="15"/>
      <c r="AR43" s="74">
        <f t="shared" si="23"/>
        <v>0</v>
      </c>
      <c r="AS43" s="86"/>
      <c r="AT43" s="113">
        <f t="shared" si="24"/>
        <v>0</v>
      </c>
      <c r="AU43" s="75"/>
      <c r="AV43" s="76"/>
      <c r="AW43" s="270">
        <f t="shared" si="14"/>
        <v>267.70999999999998</v>
      </c>
    </row>
    <row r="44" spans="1:49" ht="15.6" x14ac:dyDescent="0.3">
      <c r="A44" s="48"/>
      <c r="B44" s="338">
        <v>13.62</v>
      </c>
      <c r="C44" s="15"/>
      <c r="D44" s="74">
        <f t="shared" si="15"/>
        <v>0</v>
      </c>
      <c r="E44" s="86"/>
      <c r="F44" s="113">
        <f t="shared" si="16"/>
        <v>0</v>
      </c>
      <c r="G44" s="315"/>
      <c r="H44" s="316"/>
      <c r="I44" s="319">
        <f t="shared" si="10"/>
        <v>0</v>
      </c>
      <c r="K44" s="48"/>
      <c r="L44" s="338">
        <v>13.62</v>
      </c>
      <c r="M44" s="15"/>
      <c r="N44" s="74">
        <f t="shared" si="17"/>
        <v>0</v>
      </c>
      <c r="O44" s="86"/>
      <c r="P44" s="113">
        <f t="shared" si="18"/>
        <v>0</v>
      </c>
      <c r="Q44" s="315"/>
      <c r="R44" s="316"/>
      <c r="S44" s="319">
        <f t="shared" si="11"/>
        <v>5.6843418860808015E-14</v>
      </c>
      <c r="U44" s="48"/>
      <c r="V44" s="338"/>
      <c r="W44" s="15"/>
      <c r="X44" s="74">
        <f t="shared" si="19"/>
        <v>0</v>
      </c>
      <c r="Y44" s="86"/>
      <c r="Z44" s="113">
        <f t="shared" si="20"/>
        <v>0</v>
      </c>
      <c r="AA44" s="315"/>
      <c r="AB44" s="316"/>
      <c r="AC44" s="319">
        <f t="shared" si="12"/>
        <v>0</v>
      </c>
      <c r="AE44" s="48"/>
      <c r="AF44" s="338"/>
      <c r="AG44" s="15"/>
      <c r="AH44" s="74">
        <f t="shared" si="21"/>
        <v>0</v>
      </c>
      <c r="AI44" s="86"/>
      <c r="AJ44" s="113">
        <f t="shared" si="22"/>
        <v>0</v>
      </c>
      <c r="AK44" s="315"/>
      <c r="AL44" s="316"/>
      <c r="AM44" s="319">
        <f t="shared" si="13"/>
        <v>0</v>
      </c>
      <c r="AO44" s="48"/>
      <c r="AP44" s="338"/>
      <c r="AQ44" s="15"/>
      <c r="AR44" s="74">
        <f t="shared" si="23"/>
        <v>0</v>
      </c>
      <c r="AS44" s="86"/>
      <c r="AT44" s="113">
        <f t="shared" si="24"/>
        <v>0</v>
      </c>
      <c r="AU44" s="315"/>
      <c r="AV44" s="316"/>
      <c r="AW44" s="319">
        <f t="shared" si="14"/>
        <v>267.70999999999998</v>
      </c>
    </row>
    <row r="45" spans="1:49" ht="15.6" x14ac:dyDescent="0.3">
      <c r="A45" s="48"/>
      <c r="B45" s="338">
        <v>13.62</v>
      </c>
      <c r="C45" s="15"/>
      <c r="D45" s="74">
        <f t="shared" si="15"/>
        <v>0</v>
      </c>
      <c r="E45" s="86"/>
      <c r="F45" s="113">
        <f t="shared" si="16"/>
        <v>0</v>
      </c>
      <c r="G45" s="315"/>
      <c r="H45" s="316"/>
      <c r="I45" s="319">
        <f t="shared" si="10"/>
        <v>0</v>
      </c>
      <c r="K45" s="48"/>
      <c r="L45" s="338">
        <v>13.62</v>
      </c>
      <c r="M45" s="15"/>
      <c r="N45" s="74">
        <f t="shared" si="17"/>
        <v>0</v>
      </c>
      <c r="O45" s="86"/>
      <c r="P45" s="113">
        <f t="shared" si="18"/>
        <v>0</v>
      </c>
      <c r="Q45" s="315"/>
      <c r="R45" s="316"/>
      <c r="S45" s="319">
        <f t="shared" si="11"/>
        <v>5.6843418860808015E-14</v>
      </c>
      <c r="U45" s="48"/>
      <c r="V45" s="338"/>
      <c r="W45" s="15"/>
      <c r="X45" s="74">
        <f t="shared" si="19"/>
        <v>0</v>
      </c>
      <c r="Y45" s="86"/>
      <c r="Z45" s="113">
        <f t="shared" si="20"/>
        <v>0</v>
      </c>
      <c r="AA45" s="315"/>
      <c r="AB45" s="316"/>
      <c r="AC45" s="319">
        <f t="shared" si="12"/>
        <v>0</v>
      </c>
      <c r="AE45" s="48"/>
      <c r="AF45" s="338"/>
      <c r="AG45" s="15"/>
      <c r="AH45" s="74">
        <f t="shared" si="21"/>
        <v>0</v>
      </c>
      <c r="AI45" s="86"/>
      <c r="AJ45" s="113">
        <f t="shared" si="22"/>
        <v>0</v>
      </c>
      <c r="AK45" s="315"/>
      <c r="AL45" s="316"/>
      <c r="AM45" s="319">
        <f t="shared" si="13"/>
        <v>0</v>
      </c>
      <c r="AO45" s="48"/>
      <c r="AP45" s="338"/>
      <c r="AQ45" s="15"/>
      <c r="AR45" s="74">
        <f t="shared" si="23"/>
        <v>0</v>
      </c>
      <c r="AS45" s="86"/>
      <c r="AT45" s="113">
        <f t="shared" si="24"/>
        <v>0</v>
      </c>
      <c r="AU45" s="315"/>
      <c r="AV45" s="316"/>
      <c r="AW45" s="319">
        <f t="shared" si="14"/>
        <v>267.70999999999998</v>
      </c>
    </row>
    <row r="46" spans="1:49" ht="15.6" x14ac:dyDescent="0.3">
      <c r="A46" s="48"/>
      <c r="B46" s="338">
        <v>13.62</v>
      </c>
      <c r="C46" s="15"/>
      <c r="D46" s="74">
        <f t="shared" si="15"/>
        <v>0</v>
      </c>
      <c r="E46" s="86"/>
      <c r="F46" s="113">
        <f t="shared" si="16"/>
        <v>0</v>
      </c>
      <c r="G46" s="315"/>
      <c r="H46" s="316"/>
      <c r="I46" s="319">
        <f t="shared" si="10"/>
        <v>0</v>
      </c>
      <c r="K46" s="48"/>
      <c r="L46" s="338">
        <v>13.62</v>
      </c>
      <c r="M46" s="15"/>
      <c r="N46" s="74">
        <f t="shared" si="17"/>
        <v>0</v>
      </c>
      <c r="O46" s="86"/>
      <c r="P46" s="113">
        <f t="shared" si="18"/>
        <v>0</v>
      </c>
      <c r="Q46" s="315"/>
      <c r="R46" s="316"/>
      <c r="S46" s="319">
        <f t="shared" si="11"/>
        <v>5.6843418860808015E-14</v>
      </c>
      <c r="U46" s="48"/>
      <c r="V46" s="338"/>
      <c r="W46" s="15"/>
      <c r="X46" s="74">
        <f t="shared" si="19"/>
        <v>0</v>
      </c>
      <c r="Y46" s="86"/>
      <c r="Z46" s="113">
        <f t="shared" si="20"/>
        <v>0</v>
      </c>
      <c r="AA46" s="315"/>
      <c r="AB46" s="316"/>
      <c r="AC46" s="319">
        <f t="shared" si="12"/>
        <v>0</v>
      </c>
      <c r="AE46" s="48"/>
      <c r="AF46" s="338"/>
      <c r="AG46" s="15"/>
      <c r="AH46" s="74">
        <f t="shared" si="21"/>
        <v>0</v>
      </c>
      <c r="AI46" s="86"/>
      <c r="AJ46" s="113">
        <f t="shared" si="22"/>
        <v>0</v>
      </c>
      <c r="AK46" s="315"/>
      <c r="AL46" s="316"/>
      <c r="AM46" s="319">
        <f t="shared" si="13"/>
        <v>0</v>
      </c>
      <c r="AO46" s="48"/>
      <c r="AP46" s="338"/>
      <c r="AQ46" s="15"/>
      <c r="AR46" s="74">
        <f t="shared" si="23"/>
        <v>0</v>
      </c>
      <c r="AS46" s="86"/>
      <c r="AT46" s="113">
        <f t="shared" si="24"/>
        <v>0</v>
      </c>
      <c r="AU46" s="315"/>
      <c r="AV46" s="316"/>
      <c r="AW46" s="319">
        <f t="shared" si="14"/>
        <v>267.70999999999998</v>
      </c>
    </row>
    <row r="47" spans="1:49" ht="15.6" x14ac:dyDescent="0.3">
      <c r="A47" s="48"/>
      <c r="B47" s="338">
        <v>13.62</v>
      </c>
      <c r="C47" s="15"/>
      <c r="D47" s="74">
        <f t="shared" si="15"/>
        <v>0</v>
      </c>
      <c r="E47" s="86"/>
      <c r="F47" s="113">
        <f t="shared" si="16"/>
        <v>0</v>
      </c>
      <c r="G47" s="315"/>
      <c r="H47" s="316"/>
      <c r="I47" s="319">
        <f t="shared" si="10"/>
        <v>0</v>
      </c>
      <c r="K47" s="48"/>
      <c r="L47" s="338">
        <v>13.62</v>
      </c>
      <c r="M47" s="15"/>
      <c r="N47" s="74">
        <f t="shared" si="17"/>
        <v>0</v>
      </c>
      <c r="O47" s="86"/>
      <c r="P47" s="113">
        <f t="shared" si="18"/>
        <v>0</v>
      </c>
      <c r="Q47" s="315"/>
      <c r="R47" s="316"/>
      <c r="S47" s="319">
        <f t="shared" si="11"/>
        <v>5.6843418860808015E-14</v>
      </c>
      <c r="U47" s="48"/>
      <c r="V47" s="338"/>
      <c r="W47" s="15"/>
      <c r="X47" s="74">
        <f t="shared" si="19"/>
        <v>0</v>
      </c>
      <c r="Y47" s="86"/>
      <c r="Z47" s="113">
        <f t="shared" si="20"/>
        <v>0</v>
      </c>
      <c r="AA47" s="315"/>
      <c r="AB47" s="316"/>
      <c r="AC47" s="319">
        <f t="shared" si="12"/>
        <v>0</v>
      </c>
      <c r="AE47" s="48"/>
      <c r="AF47" s="338"/>
      <c r="AG47" s="15"/>
      <c r="AH47" s="74">
        <f t="shared" si="21"/>
        <v>0</v>
      </c>
      <c r="AI47" s="86"/>
      <c r="AJ47" s="113">
        <f t="shared" si="22"/>
        <v>0</v>
      </c>
      <c r="AK47" s="315"/>
      <c r="AL47" s="316"/>
      <c r="AM47" s="319">
        <f t="shared" si="13"/>
        <v>0</v>
      </c>
      <c r="AO47" s="48"/>
      <c r="AP47" s="338"/>
      <c r="AQ47" s="15"/>
      <c r="AR47" s="74">
        <f t="shared" si="23"/>
        <v>0</v>
      </c>
      <c r="AS47" s="86"/>
      <c r="AT47" s="113">
        <f t="shared" si="24"/>
        <v>0</v>
      </c>
      <c r="AU47" s="315"/>
      <c r="AV47" s="316"/>
      <c r="AW47" s="319">
        <f t="shared" si="14"/>
        <v>267.70999999999998</v>
      </c>
    </row>
    <row r="48" spans="1:49" ht="15.6" x14ac:dyDescent="0.3">
      <c r="A48" s="48"/>
      <c r="B48" s="338">
        <v>13.62</v>
      </c>
      <c r="C48" s="15"/>
      <c r="D48" s="74">
        <f t="shared" si="15"/>
        <v>0</v>
      </c>
      <c r="E48" s="86"/>
      <c r="F48" s="113">
        <f t="shared" si="16"/>
        <v>0</v>
      </c>
      <c r="G48" s="315"/>
      <c r="H48" s="316"/>
      <c r="I48" s="319">
        <f t="shared" si="10"/>
        <v>0</v>
      </c>
      <c r="K48" s="48"/>
      <c r="L48" s="338">
        <v>13.62</v>
      </c>
      <c r="M48" s="15"/>
      <c r="N48" s="74">
        <f t="shared" si="17"/>
        <v>0</v>
      </c>
      <c r="O48" s="86"/>
      <c r="P48" s="113">
        <f t="shared" si="18"/>
        <v>0</v>
      </c>
      <c r="Q48" s="315"/>
      <c r="R48" s="316"/>
      <c r="S48" s="319">
        <f t="shared" si="11"/>
        <v>5.6843418860808015E-14</v>
      </c>
      <c r="U48" s="48"/>
      <c r="V48" s="338"/>
      <c r="W48" s="15"/>
      <c r="X48" s="74">
        <f t="shared" si="19"/>
        <v>0</v>
      </c>
      <c r="Y48" s="86"/>
      <c r="Z48" s="113">
        <f t="shared" si="20"/>
        <v>0</v>
      </c>
      <c r="AA48" s="315"/>
      <c r="AB48" s="316"/>
      <c r="AC48" s="319">
        <f t="shared" si="12"/>
        <v>0</v>
      </c>
      <c r="AE48" s="48"/>
      <c r="AF48" s="338"/>
      <c r="AG48" s="15"/>
      <c r="AH48" s="74">
        <f t="shared" si="21"/>
        <v>0</v>
      </c>
      <c r="AI48" s="86"/>
      <c r="AJ48" s="113">
        <f t="shared" si="22"/>
        <v>0</v>
      </c>
      <c r="AK48" s="315"/>
      <c r="AL48" s="316"/>
      <c r="AM48" s="319">
        <f t="shared" si="13"/>
        <v>0</v>
      </c>
      <c r="AO48" s="48"/>
      <c r="AP48" s="338"/>
      <c r="AQ48" s="15"/>
      <c r="AR48" s="74">
        <f t="shared" si="23"/>
        <v>0</v>
      </c>
      <c r="AS48" s="86"/>
      <c r="AT48" s="113">
        <f t="shared" si="24"/>
        <v>0</v>
      </c>
      <c r="AU48" s="315"/>
      <c r="AV48" s="316"/>
      <c r="AW48" s="319">
        <f t="shared" si="14"/>
        <v>267.70999999999998</v>
      </c>
    </row>
    <row r="49" spans="1:49" ht="14.4" thickBot="1" x14ac:dyDescent="0.3">
      <c r="A49" s="131"/>
      <c r="B49" s="338">
        <v>13.62</v>
      </c>
      <c r="C49" s="38"/>
      <c r="D49" s="169">
        <f t="shared" si="15"/>
        <v>0</v>
      </c>
      <c r="E49" s="257"/>
      <c r="F49" s="258">
        <f t="shared" si="16"/>
        <v>0</v>
      </c>
      <c r="G49" s="152"/>
      <c r="H49" s="245"/>
      <c r="I49" s="363"/>
      <c r="K49" s="131"/>
      <c r="L49" s="338">
        <v>13.62</v>
      </c>
      <c r="M49" s="38"/>
      <c r="N49" s="169">
        <f t="shared" si="17"/>
        <v>0</v>
      </c>
      <c r="O49" s="257"/>
      <c r="P49" s="258">
        <f t="shared" si="18"/>
        <v>0</v>
      </c>
      <c r="Q49" s="152"/>
      <c r="R49" s="245"/>
      <c r="S49" s="363"/>
      <c r="U49" s="131"/>
      <c r="V49" s="338"/>
      <c r="W49" s="38"/>
      <c r="X49" s="169">
        <f t="shared" si="19"/>
        <v>0</v>
      </c>
      <c r="Y49" s="257"/>
      <c r="Z49" s="258">
        <f t="shared" si="20"/>
        <v>0</v>
      </c>
      <c r="AA49" s="152"/>
      <c r="AB49" s="245"/>
      <c r="AC49" s="363"/>
      <c r="AE49" s="131"/>
      <c r="AF49" s="338"/>
      <c r="AG49" s="38"/>
      <c r="AH49" s="169">
        <f t="shared" si="21"/>
        <v>0</v>
      </c>
      <c r="AI49" s="257"/>
      <c r="AJ49" s="258">
        <f t="shared" si="22"/>
        <v>0</v>
      </c>
      <c r="AK49" s="152"/>
      <c r="AL49" s="245"/>
      <c r="AM49" s="363"/>
      <c r="AO49" s="131"/>
      <c r="AP49" s="338"/>
      <c r="AQ49" s="38"/>
      <c r="AR49" s="169">
        <f t="shared" si="23"/>
        <v>0</v>
      </c>
      <c r="AS49" s="257"/>
      <c r="AT49" s="258">
        <f t="shared" si="24"/>
        <v>0</v>
      </c>
      <c r="AU49" s="152"/>
      <c r="AV49" s="245"/>
      <c r="AW49" s="363"/>
    </row>
    <row r="50" spans="1:49" ht="14.4" thickTop="1" x14ac:dyDescent="0.25">
      <c r="A50" s="48">
        <f>SUM(A28:A49)</f>
        <v>0</v>
      </c>
      <c r="C50" s="79">
        <f>SUM(C8:C49)</f>
        <v>30</v>
      </c>
      <c r="D50" s="113">
        <f>SUM(D8:D49)</f>
        <v>408.6</v>
      </c>
      <c r="E50" s="82"/>
      <c r="F50" s="113">
        <f>SUM(F8:F49)</f>
        <v>408.6</v>
      </c>
      <c r="K50" s="48">
        <f>SUM(K28:K49)</f>
        <v>0</v>
      </c>
      <c r="M50" s="79">
        <f>SUM(M8:M49)</f>
        <v>30</v>
      </c>
      <c r="N50" s="113">
        <f>SUM(N8:N49)</f>
        <v>408.59999999999997</v>
      </c>
      <c r="O50" s="82"/>
      <c r="P50" s="113">
        <f>SUM(P8:P49)</f>
        <v>408.59999999999997</v>
      </c>
      <c r="U50" s="48">
        <f>SUM(U28:U49)</f>
        <v>0</v>
      </c>
      <c r="W50" s="79">
        <f>SUM(W8:W49)</f>
        <v>20</v>
      </c>
      <c r="X50" s="113">
        <f>SUM(X8:X49)</f>
        <v>402.86</v>
      </c>
      <c r="Y50" s="82"/>
      <c r="Z50" s="113">
        <f>SUM(Z8:Z49)</f>
        <v>402.86</v>
      </c>
      <c r="AE50" s="48">
        <f>SUM(AE28:AE49)</f>
        <v>0</v>
      </c>
      <c r="AG50" s="79">
        <f>SUM(AG8:AG49)</f>
        <v>39</v>
      </c>
      <c r="AH50" s="113">
        <f>SUM(AH8:AH49)</f>
        <v>709.97</v>
      </c>
      <c r="AI50" s="82"/>
      <c r="AJ50" s="113">
        <f>SUM(AJ8:AJ49)</f>
        <v>709.97</v>
      </c>
      <c r="AO50" s="48">
        <f>SUM(AO28:AO49)</f>
        <v>0</v>
      </c>
      <c r="AQ50" s="79">
        <f>SUM(AQ8:AQ49)</f>
        <v>0</v>
      </c>
      <c r="AR50" s="113">
        <f>SUM(AR8:AR49)</f>
        <v>0</v>
      </c>
      <c r="AS50" s="82"/>
      <c r="AT50" s="113">
        <f>SUM(AT8:AT49)</f>
        <v>0</v>
      </c>
    </row>
    <row r="51" spans="1:49" ht="14.4" thickBot="1" x14ac:dyDescent="0.3">
      <c r="A51" s="48"/>
      <c r="K51" s="48"/>
      <c r="U51" s="48"/>
      <c r="AE51" s="48"/>
      <c r="AO51" s="48"/>
    </row>
    <row r="52" spans="1:49" x14ac:dyDescent="0.25">
      <c r="B52" s="5"/>
      <c r="D52" s="1028" t="s">
        <v>21</v>
      </c>
      <c r="E52" s="1029"/>
      <c r="F52" s="154">
        <f>E4+E5-F50+E6</f>
        <v>0</v>
      </c>
      <c r="L52" s="5"/>
      <c r="N52" s="1028" t="s">
        <v>21</v>
      </c>
      <c r="O52" s="1029"/>
      <c r="P52" s="154">
        <f>O4+O5-P50+O6</f>
        <v>5.6843418860808015E-14</v>
      </c>
      <c r="V52" s="5"/>
      <c r="X52" s="1028" t="s">
        <v>21</v>
      </c>
      <c r="Y52" s="1029"/>
      <c r="Z52" s="154">
        <f>Y4+Y5-Z50+Y6</f>
        <v>0</v>
      </c>
      <c r="AF52" s="5"/>
      <c r="AH52" s="1028" t="s">
        <v>21</v>
      </c>
      <c r="AI52" s="1029"/>
      <c r="AJ52" s="154">
        <f>AI4+AI5-AJ50+AI6</f>
        <v>0</v>
      </c>
      <c r="AP52" s="5"/>
      <c r="AR52" s="1028" t="s">
        <v>21</v>
      </c>
      <c r="AS52" s="1029"/>
      <c r="AT52" s="154">
        <f>AS4+AS5-AT50+AS6</f>
        <v>267.70999999999998</v>
      </c>
    </row>
    <row r="53" spans="1:49" ht="14.4" thickBot="1" x14ac:dyDescent="0.3">
      <c r="A53" s="135"/>
      <c r="D53" s="701" t="s">
        <v>4</v>
      </c>
      <c r="E53" s="702"/>
      <c r="F53" s="50">
        <f>F4+F5-C50+F6</f>
        <v>0</v>
      </c>
      <c r="K53" s="135"/>
      <c r="N53" s="781" t="s">
        <v>4</v>
      </c>
      <c r="O53" s="782"/>
      <c r="P53" s="50">
        <f>P4+P5-M50+P6</f>
        <v>0</v>
      </c>
      <c r="U53" s="135"/>
      <c r="X53" s="833" t="s">
        <v>4</v>
      </c>
      <c r="Y53" s="834"/>
      <c r="Z53" s="50">
        <f>Z4+Z5-W50+Z6</f>
        <v>0</v>
      </c>
      <c r="AE53" s="135"/>
      <c r="AH53" s="936" t="s">
        <v>4</v>
      </c>
      <c r="AI53" s="937"/>
      <c r="AJ53" s="50">
        <f>AJ4+AJ5-AG50+AJ6</f>
        <v>0</v>
      </c>
      <c r="AO53" s="135"/>
      <c r="AR53" s="936" t="s">
        <v>4</v>
      </c>
      <c r="AS53" s="937"/>
      <c r="AT53" s="50">
        <f>AT4+AT5-AQ50+AT6</f>
        <v>10</v>
      </c>
    </row>
    <row r="54" spans="1:49" x14ac:dyDescent="0.25">
      <c r="B54" s="5"/>
      <c r="L54" s="5"/>
      <c r="V54" s="5"/>
      <c r="AF54" s="5"/>
      <c r="AP54" s="5"/>
    </row>
  </sheetData>
  <mergeCells count="10">
    <mergeCell ref="AE1:AK1"/>
    <mergeCell ref="AH52:AI52"/>
    <mergeCell ref="AO1:AU1"/>
    <mergeCell ref="AR52:AS52"/>
    <mergeCell ref="A1:G1"/>
    <mergeCell ref="D52:E52"/>
    <mergeCell ref="K1:Q1"/>
    <mergeCell ref="N52:O52"/>
    <mergeCell ref="U1:AA1"/>
    <mergeCell ref="X52:Y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topLeftCell="F1" workbookViewId="0">
      <pane ySplit="7" topLeftCell="A8" activePane="bottomLeft" state="frozen"/>
      <selection pane="bottomLeft" activeCell="L16" sqref="L16"/>
    </sheetView>
  </sheetViews>
  <sheetFormatPr baseColWidth="10" defaultRowHeight="13.8" x14ac:dyDescent="0.25"/>
  <cols>
    <col min="1" max="1" width="32.44140625" bestFit="1" customWidth="1"/>
    <col min="2" max="2" width="17.6640625" bestFit="1" customWidth="1"/>
    <col min="3" max="3" width="13.33203125" bestFit="1" customWidth="1"/>
    <col min="4" max="4" width="11.109375" bestFit="1" customWidth="1"/>
    <col min="6" max="6" width="12" customWidth="1"/>
    <col min="9" max="9" width="11.44140625" style="82"/>
  </cols>
  <sheetData>
    <row r="1" spans="1:9" ht="40.5" x14ac:dyDescent="0.55000000000000004">
      <c r="A1" s="1034" t="s">
        <v>162</v>
      </c>
      <c r="B1" s="1034"/>
      <c r="C1" s="1034"/>
      <c r="D1" s="1034"/>
      <c r="E1" s="1034"/>
      <c r="F1" s="1034"/>
      <c r="G1" s="10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295"/>
      <c r="D4" s="168"/>
      <c r="E4" s="93"/>
      <c r="F4" s="79"/>
      <c r="G4" s="39"/>
    </row>
    <row r="5" spans="1:9" ht="14.4" x14ac:dyDescent="0.3">
      <c r="A5" s="1026" t="s">
        <v>70</v>
      </c>
      <c r="B5" s="1042" t="s">
        <v>163</v>
      </c>
      <c r="C5" s="328">
        <v>53</v>
      </c>
      <c r="D5" s="329">
        <v>44137</v>
      </c>
      <c r="E5" s="320">
        <v>322.8</v>
      </c>
      <c r="F5" s="289">
        <v>12</v>
      </c>
      <c r="G5" s="327">
        <f>F40</f>
        <v>322.8</v>
      </c>
      <c r="H5" s="7">
        <f>E5-G5+E4+E6</f>
        <v>0</v>
      </c>
    </row>
    <row r="6" spans="1:9" ht="15.75" customHeight="1" thickBot="1" x14ac:dyDescent="0.3">
      <c r="A6" s="1026"/>
      <c r="B6" s="1043"/>
      <c r="C6" s="328"/>
      <c r="D6" s="329"/>
      <c r="E6" s="320"/>
      <c r="F6" s="289"/>
      <c r="G6" s="286"/>
    </row>
    <row r="7" spans="1:9" ht="16.5" customHeight="1" thickTop="1" thickBot="1" x14ac:dyDescent="0.3">
      <c r="A7" s="530"/>
      <c r="B7" s="6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0" t="s">
        <v>32</v>
      </c>
      <c r="B8" s="96"/>
      <c r="C8" s="15">
        <v>4</v>
      </c>
      <c r="D8" s="74">
        <v>106.61</v>
      </c>
      <c r="E8" s="392">
        <v>44145</v>
      </c>
      <c r="F8" s="326">
        <f t="shared" ref="F8:F15" si="0">D8</f>
        <v>106.61</v>
      </c>
      <c r="G8" s="315" t="s">
        <v>358</v>
      </c>
      <c r="H8" s="316">
        <v>55</v>
      </c>
      <c r="I8" s="319">
        <f>E5-F8</f>
        <v>216.19</v>
      </c>
    </row>
    <row r="9" spans="1:9" ht="15.75" x14ac:dyDescent="0.25">
      <c r="B9" s="96"/>
      <c r="C9" s="15">
        <v>8</v>
      </c>
      <c r="D9" s="74">
        <v>216.19</v>
      </c>
      <c r="E9" s="392">
        <v>44160</v>
      </c>
      <c r="F9" s="326">
        <f t="shared" si="0"/>
        <v>216.19</v>
      </c>
      <c r="G9" s="315" t="s">
        <v>425</v>
      </c>
      <c r="H9" s="316">
        <v>55</v>
      </c>
      <c r="I9" s="319">
        <f>I8-F9</f>
        <v>0</v>
      </c>
    </row>
    <row r="10" spans="1:9" ht="15.75" x14ac:dyDescent="0.25">
      <c r="B10" s="96"/>
      <c r="C10" s="15"/>
      <c r="D10" s="74"/>
      <c r="E10" s="392"/>
      <c r="F10" s="912">
        <f t="shared" si="0"/>
        <v>0</v>
      </c>
      <c r="G10" s="913"/>
      <c r="H10" s="915"/>
      <c r="I10" s="911">
        <f t="shared" ref="I10:I38" si="1">I9-F10</f>
        <v>0</v>
      </c>
    </row>
    <row r="11" spans="1:9" ht="15.75" x14ac:dyDescent="0.25">
      <c r="A11" s="60" t="s">
        <v>33</v>
      </c>
      <c r="B11" s="96"/>
      <c r="C11" s="15"/>
      <c r="D11" s="74"/>
      <c r="E11" s="392"/>
      <c r="F11" s="912">
        <f t="shared" si="0"/>
        <v>0</v>
      </c>
      <c r="G11" s="913"/>
      <c r="H11" s="915"/>
      <c r="I11" s="911">
        <f t="shared" si="1"/>
        <v>0</v>
      </c>
    </row>
    <row r="12" spans="1:9" ht="15.75" x14ac:dyDescent="0.25">
      <c r="B12" s="96"/>
      <c r="C12" s="15"/>
      <c r="D12" s="74"/>
      <c r="E12" s="392"/>
      <c r="F12" s="912">
        <f t="shared" si="0"/>
        <v>0</v>
      </c>
      <c r="G12" s="913"/>
      <c r="H12" s="915"/>
      <c r="I12" s="911">
        <f t="shared" si="1"/>
        <v>0</v>
      </c>
    </row>
    <row r="13" spans="1:9" ht="15.75" x14ac:dyDescent="0.25">
      <c r="A13" s="19"/>
      <c r="B13" s="96"/>
      <c r="C13" s="55"/>
      <c r="D13" s="74"/>
      <c r="E13" s="392"/>
      <c r="F13" s="113">
        <f t="shared" si="0"/>
        <v>0</v>
      </c>
      <c r="G13" s="315"/>
      <c r="H13" s="316"/>
      <c r="I13" s="319">
        <f t="shared" si="1"/>
        <v>0</v>
      </c>
    </row>
    <row r="14" spans="1:9" ht="15.75" x14ac:dyDescent="0.25">
      <c r="B14" s="96"/>
      <c r="C14" s="15"/>
      <c r="D14" s="74"/>
      <c r="E14" s="392"/>
      <c r="F14" s="113">
        <f t="shared" si="0"/>
        <v>0</v>
      </c>
      <c r="G14" s="315"/>
      <c r="H14" s="316"/>
      <c r="I14" s="319">
        <f t="shared" si="1"/>
        <v>0</v>
      </c>
    </row>
    <row r="15" spans="1:9" ht="15.75" x14ac:dyDescent="0.25">
      <c r="B15" s="96"/>
      <c r="C15" s="15"/>
      <c r="D15" s="74"/>
      <c r="E15" s="392"/>
      <c r="F15" s="113">
        <f t="shared" si="0"/>
        <v>0</v>
      </c>
      <c r="G15" s="75"/>
      <c r="H15" s="76"/>
      <c r="I15" s="270">
        <f t="shared" si="1"/>
        <v>0</v>
      </c>
    </row>
    <row r="16" spans="1:9" ht="15.75" x14ac:dyDescent="0.25">
      <c r="B16" s="96"/>
      <c r="C16" s="15"/>
      <c r="D16" s="74"/>
      <c r="E16" s="392"/>
      <c r="F16" s="113">
        <f>D16</f>
        <v>0</v>
      </c>
      <c r="G16" s="75"/>
      <c r="H16" s="76"/>
      <c r="I16" s="270">
        <f t="shared" si="1"/>
        <v>0</v>
      </c>
    </row>
    <row r="17" spans="1:9" ht="15.75" x14ac:dyDescent="0.25">
      <c r="B17" s="96"/>
      <c r="C17" s="15"/>
      <c r="D17" s="74"/>
      <c r="E17" s="392"/>
      <c r="F17" s="113">
        <f>D17</f>
        <v>0</v>
      </c>
      <c r="G17" s="75"/>
      <c r="H17" s="76"/>
      <c r="I17" s="270">
        <f t="shared" si="1"/>
        <v>0</v>
      </c>
    </row>
    <row r="18" spans="1:9" ht="15.75" x14ac:dyDescent="0.25">
      <c r="B18" s="96"/>
      <c r="C18" s="15"/>
      <c r="D18" s="74"/>
      <c r="E18" s="392"/>
      <c r="F18" s="113">
        <f t="shared" ref="F18:F39" si="2">D18</f>
        <v>0</v>
      </c>
      <c r="G18" s="75"/>
      <c r="H18" s="76"/>
      <c r="I18" s="270">
        <f t="shared" si="1"/>
        <v>0</v>
      </c>
    </row>
    <row r="19" spans="1:9" ht="15.75" x14ac:dyDescent="0.25">
      <c r="B19" s="96"/>
      <c r="C19" s="15"/>
      <c r="D19" s="74">
        <f t="shared" ref="D19:D39" si="3">C19*B19</f>
        <v>0</v>
      </c>
      <c r="E19" s="392"/>
      <c r="F19" s="113">
        <f t="shared" si="2"/>
        <v>0</v>
      </c>
      <c r="G19" s="315"/>
      <c r="H19" s="316"/>
      <c r="I19" s="319">
        <f t="shared" si="1"/>
        <v>0</v>
      </c>
    </row>
    <row r="20" spans="1:9" ht="15.75" x14ac:dyDescent="0.25">
      <c r="B20" s="96"/>
      <c r="C20" s="15"/>
      <c r="D20" s="74">
        <f t="shared" si="3"/>
        <v>0</v>
      </c>
      <c r="E20" s="392"/>
      <c r="F20" s="113">
        <f t="shared" si="2"/>
        <v>0</v>
      </c>
      <c r="G20" s="315"/>
      <c r="H20" s="316"/>
      <c r="I20" s="319">
        <f t="shared" si="1"/>
        <v>0</v>
      </c>
    </row>
    <row r="21" spans="1:9" ht="15.75" x14ac:dyDescent="0.25">
      <c r="B21" s="96"/>
      <c r="C21" s="15"/>
      <c r="D21" s="74">
        <f t="shared" si="3"/>
        <v>0</v>
      </c>
      <c r="E21" s="392"/>
      <c r="F21" s="113">
        <f t="shared" si="2"/>
        <v>0</v>
      </c>
      <c r="G21" s="315"/>
      <c r="H21" s="316"/>
      <c r="I21" s="319">
        <f t="shared" si="1"/>
        <v>0</v>
      </c>
    </row>
    <row r="22" spans="1:9" ht="15.75" x14ac:dyDescent="0.25">
      <c r="B22" s="96"/>
      <c r="C22" s="15"/>
      <c r="D22" s="74">
        <f t="shared" si="3"/>
        <v>0</v>
      </c>
      <c r="E22" s="392"/>
      <c r="F22" s="113">
        <f t="shared" si="2"/>
        <v>0</v>
      </c>
      <c r="G22" s="315"/>
      <c r="H22" s="316"/>
      <c r="I22" s="319">
        <f t="shared" si="1"/>
        <v>0</v>
      </c>
    </row>
    <row r="23" spans="1:9" ht="15.75" x14ac:dyDescent="0.25">
      <c r="B23" s="96"/>
      <c r="C23" s="15"/>
      <c r="D23" s="74">
        <f t="shared" si="3"/>
        <v>0</v>
      </c>
      <c r="E23" s="392"/>
      <c r="F23" s="113">
        <f t="shared" si="2"/>
        <v>0</v>
      </c>
      <c r="G23" s="315"/>
      <c r="H23" s="316"/>
      <c r="I23" s="319">
        <f t="shared" si="1"/>
        <v>0</v>
      </c>
    </row>
    <row r="24" spans="1:9" ht="15.75" x14ac:dyDescent="0.25">
      <c r="B24" s="96"/>
      <c r="C24" s="15"/>
      <c r="D24" s="74">
        <f t="shared" si="3"/>
        <v>0</v>
      </c>
      <c r="E24" s="392"/>
      <c r="F24" s="113">
        <f t="shared" si="2"/>
        <v>0</v>
      </c>
      <c r="G24" s="315"/>
      <c r="H24" s="316"/>
      <c r="I24" s="319">
        <f t="shared" si="1"/>
        <v>0</v>
      </c>
    </row>
    <row r="25" spans="1:9" ht="15.75" x14ac:dyDescent="0.25">
      <c r="B25" s="96"/>
      <c r="C25" s="15"/>
      <c r="D25" s="74">
        <f t="shared" si="3"/>
        <v>0</v>
      </c>
      <c r="E25" s="392"/>
      <c r="F25" s="113">
        <f t="shared" si="2"/>
        <v>0</v>
      </c>
      <c r="G25" s="315"/>
      <c r="H25" s="316"/>
      <c r="I25" s="319">
        <f t="shared" si="1"/>
        <v>0</v>
      </c>
    </row>
    <row r="26" spans="1:9" ht="15.75" x14ac:dyDescent="0.25">
      <c r="B26" s="96"/>
      <c r="C26" s="15"/>
      <c r="D26" s="74">
        <f t="shared" si="3"/>
        <v>0</v>
      </c>
      <c r="E26" s="392"/>
      <c r="F26" s="113">
        <f t="shared" si="2"/>
        <v>0</v>
      </c>
      <c r="G26" s="75"/>
      <c r="H26" s="76"/>
      <c r="I26" s="270">
        <f t="shared" si="1"/>
        <v>0</v>
      </c>
    </row>
    <row r="27" spans="1:9" ht="15.75" x14ac:dyDescent="0.25">
      <c r="B27" s="96"/>
      <c r="C27" s="15"/>
      <c r="D27" s="268">
        <f t="shared" si="3"/>
        <v>0</v>
      </c>
      <c r="E27" s="396"/>
      <c r="F27" s="334">
        <f t="shared" si="2"/>
        <v>0</v>
      </c>
      <c r="G27" s="199"/>
      <c r="H27" s="127"/>
      <c r="I27" s="270">
        <f t="shared" si="1"/>
        <v>0</v>
      </c>
    </row>
    <row r="28" spans="1:9" ht="15.75" x14ac:dyDescent="0.25">
      <c r="B28" s="96"/>
      <c r="C28" s="15"/>
      <c r="D28" s="268">
        <f t="shared" si="3"/>
        <v>0</v>
      </c>
      <c r="E28" s="396"/>
      <c r="F28" s="334">
        <f t="shared" si="2"/>
        <v>0</v>
      </c>
      <c r="G28" s="199"/>
      <c r="H28" s="127"/>
      <c r="I28" s="270">
        <f t="shared" si="1"/>
        <v>0</v>
      </c>
    </row>
    <row r="29" spans="1:9" ht="15.75" x14ac:dyDescent="0.25">
      <c r="A29" s="48"/>
      <c r="B29" s="96"/>
      <c r="C29" s="15"/>
      <c r="D29" s="268">
        <f t="shared" si="3"/>
        <v>0</v>
      </c>
      <c r="E29" s="396"/>
      <c r="F29" s="334">
        <f t="shared" si="2"/>
        <v>0</v>
      </c>
      <c r="G29" s="199"/>
      <c r="H29" s="127"/>
      <c r="I29" s="270">
        <f t="shared" si="1"/>
        <v>0</v>
      </c>
    </row>
    <row r="30" spans="1:9" ht="15.75" x14ac:dyDescent="0.25">
      <c r="A30" s="48"/>
      <c r="B30" s="96"/>
      <c r="C30" s="15"/>
      <c r="D30" s="268">
        <f t="shared" si="3"/>
        <v>0</v>
      </c>
      <c r="E30" s="396"/>
      <c r="F30" s="334">
        <f t="shared" si="2"/>
        <v>0</v>
      </c>
      <c r="G30" s="199"/>
      <c r="H30" s="127"/>
      <c r="I30" s="270">
        <f t="shared" si="1"/>
        <v>0</v>
      </c>
    </row>
    <row r="31" spans="1:9" ht="15.75" x14ac:dyDescent="0.25">
      <c r="A31" s="48"/>
      <c r="B31" s="96"/>
      <c r="C31" s="15"/>
      <c r="D31" s="268">
        <f t="shared" si="3"/>
        <v>0</v>
      </c>
      <c r="E31" s="396"/>
      <c r="F31" s="334">
        <f t="shared" si="2"/>
        <v>0</v>
      </c>
      <c r="G31" s="199"/>
      <c r="H31" s="127"/>
      <c r="I31" s="270">
        <f t="shared" si="1"/>
        <v>0</v>
      </c>
    </row>
    <row r="32" spans="1:9" ht="15.75" x14ac:dyDescent="0.25">
      <c r="A32" s="48"/>
      <c r="B32" s="96"/>
      <c r="C32" s="15"/>
      <c r="D32" s="268">
        <f t="shared" si="3"/>
        <v>0</v>
      </c>
      <c r="E32" s="396"/>
      <c r="F32" s="334">
        <f t="shared" si="2"/>
        <v>0</v>
      </c>
      <c r="G32" s="199"/>
      <c r="H32" s="127"/>
      <c r="I32" s="270">
        <f t="shared" si="1"/>
        <v>0</v>
      </c>
    </row>
    <row r="33" spans="1:9" ht="15.75" x14ac:dyDescent="0.25">
      <c r="A33" s="48"/>
      <c r="B33" s="96"/>
      <c r="C33" s="15"/>
      <c r="D33" s="268">
        <f t="shared" si="3"/>
        <v>0</v>
      </c>
      <c r="E33" s="396"/>
      <c r="F33" s="334">
        <f t="shared" si="2"/>
        <v>0</v>
      </c>
      <c r="G33" s="199"/>
      <c r="H33" s="127"/>
      <c r="I33" s="270">
        <f t="shared" si="1"/>
        <v>0</v>
      </c>
    </row>
    <row r="34" spans="1:9" ht="15.6" x14ac:dyDescent="0.3">
      <c r="A34" s="48"/>
      <c r="B34" s="96"/>
      <c r="C34" s="15"/>
      <c r="D34" s="268">
        <f t="shared" si="3"/>
        <v>0</v>
      </c>
      <c r="E34" s="396"/>
      <c r="F34" s="334">
        <f t="shared" si="2"/>
        <v>0</v>
      </c>
      <c r="G34" s="199"/>
      <c r="H34" s="127"/>
      <c r="I34" s="270">
        <f t="shared" si="1"/>
        <v>0</v>
      </c>
    </row>
    <row r="35" spans="1:9" ht="15.6" x14ac:dyDescent="0.3">
      <c r="A35" s="48"/>
      <c r="B35" s="96"/>
      <c r="C35" s="15"/>
      <c r="D35" s="74">
        <f t="shared" si="3"/>
        <v>0</v>
      </c>
      <c r="E35" s="392"/>
      <c r="F35" s="113">
        <f t="shared" si="2"/>
        <v>0</v>
      </c>
      <c r="G35" s="75"/>
      <c r="H35" s="76"/>
      <c r="I35" s="270">
        <f t="shared" si="1"/>
        <v>0</v>
      </c>
    </row>
    <row r="36" spans="1:9" ht="15.6" x14ac:dyDescent="0.3">
      <c r="A36" s="48"/>
      <c r="B36" s="96"/>
      <c r="C36" s="15"/>
      <c r="D36" s="74">
        <f t="shared" si="3"/>
        <v>0</v>
      </c>
      <c r="E36" s="392"/>
      <c r="F36" s="113">
        <f t="shared" si="2"/>
        <v>0</v>
      </c>
      <c r="G36" s="75"/>
      <c r="H36" s="76"/>
      <c r="I36" s="270">
        <f t="shared" si="1"/>
        <v>0</v>
      </c>
    </row>
    <row r="37" spans="1:9" ht="15.6" x14ac:dyDescent="0.3">
      <c r="A37" s="48"/>
      <c r="B37" s="96"/>
      <c r="C37" s="15"/>
      <c r="D37" s="74">
        <f t="shared" si="3"/>
        <v>0</v>
      </c>
      <c r="E37" s="392"/>
      <c r="F37" s="113">
        <f t="shared" si="2"/>
        <v>0</v>
      </c>
      <c r="G37" s="75"/>
      <c r="H37" s="76"/>
      <c r="I37" s="270">
        <f t="shared" si="1"/>
        <v>0</v>
      </c>
    </row>
    <row r="38" spans="1:9" ht="15.6" x14ac:dyDescent="0.3">
      <c r="A38" s="48"/>
      <c r="B38" s="96"/>
      <c r="C38" s="15"/>
      <c r="D38" s="74">
        <f t="shared" si="3"/>
        <v>0</v>
      </c>
      <c r="E38" s="392"/>
      <c r="F38" s="113">
        <f t="shared" si="2"/>
        <v>0</v>
      </c>
      <c r="G38" s="75"/>
      <c r="H38" s="76"/>
      <c r="I38" s="270">
        <f t="shared" si="1"/>
        <v>0</v>
      </c>
    </row>
    <row r="39" spans="1:9" ht="14.4" thickBot="1" x14ac:dyDescent="0.3">
      <c r="A39" s="131"/>
      <c r="B39" s="96"/>
      <c r="C39" s="38"/>
      <c r="D39" s="74">
        <f t="shared" si="3"/>
        <v>0</v>
      </c>
      <c r="E39" s="257"/>
      <c r="F39" s="258">
        <f t="shared" si="2"/>
        <v>0</v>
      </c>
      <c r="G39" s="152"/>
      <c r="H39" s="245"/>
      <c r="I39" s="271"/>
    </row>
    <row r="40" spans="1:9" ht="14.4" thickTop="1" x14ac:dyDescent="0.25">
      <c r="A40" s="48">
        <f>SUM(A29:A39)</f>
        <v>0</v>
      </c>
      <c r="C40" s="79">
        <f>SUM(C8:C39)</f>
        <v>12</v>
      </c>
      <c r="D40" s="113">
        <f>SUM(D8:D39)</f>
        <v>322.8</v>
      </c>
      <c r="E40" s="82"/>
      <c r="F40" s="113">
        <f>SUM(F8:F39)</f>
        <v>322.8</v>
      </c>
    </row>
    <row r="41" spans="1:9" ht="14.4" thickBot="1" x14ac:dyDescent="0.3">
      <c r="A41" s="48"/>
    </row>
    <row r="42" spans="1:9" x14ac:dyDescent="0.25">
      <c r="B42" s="5"/>
      <c r="D42" s="1028" t="s">
        <v>21</v>
      </c>
      <c r="E42" s="1029"/>
      <c r="F42" s="154">
        <f>E4+E5-F40+E6</f>
        <v>0</v>
      </c>
    </row>
    <row r="43" spans="1:9" ht="14.4" thickBot="1" x14ac:dyDescent="0.3">
      <c r="A43" s="135"/>
      <c r="D43" s="526" t="s">
        <v>4</v>
      </c>
      <c r="E43" s="527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7030A0"/>
  </sheetPr>
  <dimension ref="A1:I33"/>
  <sheetViews>
    <sheetView topLeftCell="F1" workbookViewId="0">
      <selection activeCell="K15" sqref="K14:K15"/>
    </sheetView>
  </sheetViews>
  <sheetFormatPr baseColWidth="10" defaultColWidth="11.44140625" defaultRowHeight="13.8" x14ac:dyDescent="0.25"/>
  <cols>
    <col min="1" max="1" width="32.44140625" bestFit="1" customWidth="1"/>
    <col min="2" max="2" width="17.6640625" style="79" bestFit="1" customWidth="1"/>
    <col min="3" max="3" width="13.33203125" bestFit="1" customWidth="1"/>
    <col min="6" max="6" width="12" customWidth="1"/>
  </cols>
  <sheetData>
    <row r="1" spans="1:9" ht="36.75" customHeight="1" x14ac:dyDescent="0.55000000000000004">
      <c r="A1" s="1034" t="s">
        <v>161</v>
      </c>
      <c r="B1" s="1034"/>
      <c r="C1" s="1034"/>
      <c r="D1" s="1034"/>
      <c r="E1" s="1034"/>
      <c r="F1" s="1034"/>
      <c r="G1" s="1034"/>
      <c r="H1" s="11">
        <v>2</v>
      </c>
    </row>
    <row r="2" spans="1:9" ht="15.75" thickBot="1" x14ac:dyDescent="0.3"/>
    <row r="3" spans="1:9" ht="16.5" thickTop="1" thickBot="1" x14ac:dyDescent="0.3">
      <c r="A3" s="9" t="s">
        <v>0</v>
      </c>
      <c r="B3" s="7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138"/>
      <c r="D4" s="147"/>
      <c r="E4" s="224"/>
      <c r="F4" s="150"/>
      <c r="G4" s="39"/>
    </row>
    <row r="5" spans="1:9" ht="18.75" x14ac:dyDescent="0.3">
      <c r="A5" s="82" t="s">
        <v>70</v>
      </c>
      <c r="B5" s="671" t="s">
        <v>105</v>
      </c>
      <c r="C5" s="138">
        <v>50</v>
      </c>
      <c r="D5" s="147">
        <v>44137</v>
      </c>
      <c r="E5" s="224">
        <v>622.57000000000005</v>
      </c>
      <c r="F5" s="150">
        <v>28</v>
      </c>
      <c r="G5" s="95">
        <f>F29</f>
        <v>622.57000000000005</v>
      </c>
      <c r="H5" s="7">
        <f>E5-G5+E4+E6</f>
        <v>0</v>
      </c>
    </row>
    <row r="6" spans="1:9" ht="16.5" thickBot="1" x14ac:dyDescent="0.3">
      <c r="B6" s="221"/>
      <c r="C6" s="138"/>
      <c r="D6" s="147"/>
      <c r="E6" s="225"/>
      <c r="F6" s="150"/>
    </row>
    <row r="7" spans="1:9" ht="16.5" thickTop="1" thickBot="1" x14ac:dyDescent="0.3">
      <c r="B7" s="22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0" t="s">
        <v>32</v>
      </c>
      <c r="B8" s="227">
        <f>F4+F5+F6-C8</f>
        <v>0</v>
      </c>
      <c r="C8" s="15">
        <v>28</v>
      </c>
      <c r="D8" s="74">
        <v>622.57000000000005</v>
      </c>
      <c r="E8" s="147">
        <v>44169</v>
      </c>
      <c r="F8" s="113">
        <f t="shared" ref="F8:F28" si="0">D8</f>
        <v>622.57000000000005</v>
      </c>
      <c r="G8" s="75" t="s">
        <v>486</v>
      </c>
      <c r="H8" s="76">
        <v>52</v>
      </c>
      <c r="I8" s="48">
        <f>E5+E6-F8+E4</f>
        <v>0</v>
      </c>
    </row>
    <row r="9" spans="1:9" ht="15" x14ac:dyDescent="0.25">
      <c r="B9" s="227">
        <f>B8-C9</f>
        <v>0</v>
      </c>
      <c r="C9" s="15"/>
      <c r="D9" s="74">
        <v>0</v>
      </c>
      <c r="E9" s="147"/>
      <c r="F9" s="912">
        <f t="shared" si="0"/>
        <v>0</v>
      </c>
      <c r="G9" s="913"/>
      <c r="H9" s="915"/>
      <c r="I9" s="892">
        <f>I8-F9</f>
        <v>0</v>
      </c>
    </row>
    <row r="10" spans="1:9" ht="15" x14ac:dyDescent="0.25">
      <c r="B10" s="227">
        <f t="shared" ref="B10:B27" si="1">B9-C10</f>
        <v>0</v>
      </c>
      <c r="C10" s="15"/>
      <c r="D10" s="74">
        <v>0</v>
      </c>
      <c r="E10" s="147"/>
      <c r="F10" s="912">
        <f t="shared" si="0"/>
        <v>0</v>
      </c>
      <c r="G10" s="913"/>
      <c r="H10" s="915"/>
      <c r="I10" s="892">
        <f t="shared" ref="I10:I27" si="2">I9-F10</f>
        <v>0</v>
      </c>
    </row>
    <row r="11" spans="1:9" ht="15" x14ac:dyDescent="0.25">
      <c r="A11" s="60" t="s">
        <v>33</v>
      </c>
      <c r="B11" s="227">
        <f t="shared" si="1"/>
        <v>0</v>
      </c>
      <c r="C11" s="15"/>
      <c r="D11" s="74">
        <v>0</v>
      </c>
      <c r="E11" s="147"/>
      <c r="F11" s="912">
        <f t="shared" si="0"/>
        <v>0</v>
      </c>
      <c r="G11" s="913"/>
      <c r="H11" s="915"/>
      <c r="I11" s="892">
        <f t="shared" si="2"/>
        <v>0</v>
      </c>
    </row>
    <row r="12" spans="1:9" ht="15" x14ac:dyDescent="0.25">
      <c r="B12" s="227">
        <f t="shared" si="1"/>
        <v>0</v>
      </c>
      <c r="C12" s="15"/>
      <c r="D12" s="74">
        <v>0</v>
      </c>
      <c r="E12" s="147"/>
      <c r="F12" s="113">
        <f t="shared" si="0"/>
        <v>0</v>
      </c>
      <c r="G12" s="75"/>
      <c r="H12" s="76"/>
      <c r="I12" s="48">
        <f t="shared" si="2"/>
        <v>0</v>
      </c>
    </row>
    <row r="13" spans="1:9" ht="15" x14ac:dyDescent="0.25">
      <c r="A13" s="19"/>
      <c r="B13" s="227">
        <f t="shared" si="1"/>
        <v>0</v>
      </c>
      <c r="C13" s="15"/>
      <c r="D13" s="74">
        <v>0</v>
      </c>
      <c r="E13" s="147"/>
      <c r="F13" s="113">
        <f t="shared" si="0"/>
        <v>0</v>
      </c>
      <c r="G13" s="75"/>
      <c r="H13" s="76"/>
      <c r="I13" s="185">
        <f t="shared" si="2"/>
        <v>0</v>
      </c>
    </row>
    <row r="14" spans="1:9" ht="15" x14ac:dyDescent="0.25">
      <c r="A14" s="19"/>
      <c r="B14" s="227">
        <f t="shared" si="1"/>
        <v>0</v>
      </c>
      <c r="C14" s="15"/>
      <c r="D14" s="74">
        <v>0</v>
      </c>
      <c r="E14" s="147"/>
      <c r="F14" s="113">
        <f t="shared" si="0"/>
        <v>0</v>
      </c>
      <c r="G14" s="75"/>
      <c r="H14" s="76"/>
      <c r="I14" s="185">
        <f t="shared" si="2"/>
        <v>0</v>
      </c>
    </row>
    <row r="15" spans="1:9" ht="15" x14ac:dyDescent="0.25">
      <c r="A15" s="19"/>
      <c r="B15" s="227">
        <f t="shared" si="1"/>
        <v>0</v>
      </c>
      <c r="C15" s="15"/>
      <c r="D15" s="74">
        <v>0</v>
      </c>
      <c r="E15" s="147"/>
      <c r="F15" s="113">
        <f t="shared" si="0"/>
        <v>0</v>
      </c>
      <c r="G15" s="75"/>
      <c r="H15" s="76"/>
      <c r="I15" s="185">
        <f t="shared" si="2"/>
        <v>0</v>
      </c>
    </row>
    <row r="16" spans="1:9" ht="15" x14ac:dyDescent="0.25">
      <c r="A16" s="19"/>
      <c r="B16" s="227">
        <f t="shared" si="1"/>
        <v>0</v>
      </c>
      <c r="C16" s="15"/>
      <c r="D16" s="74">
        <v>0</v>
      </c>
      <c r="E16" s="147"/>
      <c r="F16" s="113">
        <f t="shared" si="0"/>
        <v>0</v>
      </c>
      <c r="G16" s="75"/>
      <c r="H16" s="76"/>
      <c r="I16" s="185">
        <f t="shared" si="2"/>
        <v>0</v>
      </c>
    </row>
    <row r="17" spans="1:9" ht="15" x14ac:dyDescent="0.25">
      <c r="A17" s="19"/>
      <c r="B17" s="227">
        <f t="shared" si="1"/>
        <v>0</v>
      </c>
      <c r="C17" s="15"/>
      <c r="D17" s="74">
        <v>0</v>
      </c>
      <c r="E17" s="147"/>
      <c r="F17" s="113">
        <f t="shared" si="0"/>
        <v>0</v>
      </c>
      <c r="G17" s="75"/>
      <c r="H17" s="76"/>
      <c r="I17" s="185">
        <f t="shared" si="2"/>
        <v>0</v>
      </c>
    </row>
    <row r="18" spans="1:9" ht="15" x14ac:dyDescent="0.25">
      <c r="A18" s="19"/>
      <c r="B18" s="227">
        <f t="shared" si="1"/>
        <v>0</v>
      </c>
      <c r="C18" s="15"/>
      <c r="D18" s="74">
        <v>0</v>
      </c>
      <c r="E18" s="147"/>
      <c r="F18" s="113">
        <f t="shared" si="0"/>
        <v>0</v>
      </c>
      <c r="G18" s="75"/>
      <c r="H18" s="76"/>
      <c r="I18" s="185">
        <f t="shared" si="2"/>
        <v>0</v>
      </c>
    </row>
    <row r="19" spans="1:9" ht="15" x14ac:dyDescent="0.25">
      <c r="A19" s="19"/>
      <c r="B19" s="227">
        <f t="shared" si="1"/>
        <v>0</v>
      </c>
      <c r="C19" s="15"/>
      <c r="D19" s="74">
        <v>0</v>
      </c>
      <c r="E19" s="147"/>
      <c r="F19" s="113">
        <f t="shared" si="0"/>
        <v>0</v>
      </c>
      <c r="G19" s="75"/>
      <c r="H19" s="76"/>
      <c r="I19" s="185">
        <f t="shared" si="2"/>
        <v>0</v>
      </c>
    </row>
    <row r="20" spans="1:9" ht="15" x14ac:dyDescent="0.25">
      <c r="A20" s="19"/>
      <c r="B20" s="227">
        <f t="shared" si="1"/>
        <v>0</v>
      </c>
      <c r="C20" s="15"/>
      <c r="D20" s="74">
        <v>0</v>
      </c>
      <c r="E20" s="147"/>
      <c r="F20" s="113">
        <f t="shared" si="0"/>
        <v>0</v>
      </c>
      <c r="G20" s="75"/>
      <c r="H20" s="76"/>
      <c r="I20" s="185">
        <f t="shared" si="2"/>
        <v>0</v>
      </c>
    </row>
    <row r="21" spans="1:9" ht="15" x14ac:dyDescent="0.25">
      <c r="A21" s="19"/>
      <c r="B21" s="227">
        <f t="shared" si="1"/>
        <v>0</v>
      </c>
      <c r="C21" s="15"/>
      <c r="D21" s="74">
        <v>0</v>
      </c>
      <c r="E21" s="147"/>
      <c r="F21" s="113">
        <f t="shared" si="0"/>
        <v>0</v>
      </c>
      <c r="G21" s="75"/>
      <c r="H21" s="76"/>
      <c r="I21" s="185">
        <f t="shared" si="2"/>
        <v>0</v>
      </c>
    </row>
    <row r="22" spans="1:9" ht="15" x14ac:dyDescent="0.25">
      <c r="A22" s="19"/>
      <c r="B22" s="227">
        <f t="shared" si="1"/>
        <v>0</v>
      </c>
      <c r="C22" s="15"/>
      <c r="D22" s="74">
        <v>0</v>
      </c>
      <c r="E22" s="147"/>
      <c r="F22" s="113">
        <f t="shared" si="0"/>
        <v>0</v>
      </c>
      <c r="G22" s="75"/>
      <c r="H22" s="76"/>
      <c r="I22" s="185">
        <f t="shared" si="2"/>
        <v>0</v>
      </c>
    </row>
    <row r="23" spans="1:9" ht="15" x14ac:dyDescent="0.25">
      <c r="A23" s="19"/>
      <c r="B23" s="227">
        <f t="shared" si="1"/>
        <v>0</v>
      </c>
      <c r="C23" s="15"/>
      <c r="D23" s="74">
        <v>0</v>
      </c>
      <c r="E23" s="147"/>
      <c r="F23" s="113">
        <f t="shared" si="0"/>
        <v>0</v>
      </c>
      <c r="G23" s="75"/>
      <c r="H23" s="76"/>
      <c r="I23" s="185">
        <f t="shared" si="2"/>
        <v>0</v>
      </c>
    </row>
    <row r="24" spans="1:9" ht="15" x14ac:dyDescent="0.25">
      <c r="A24" s="19"/>
      <c r="B24" s="227">
        <f t="shared" si="1"/>
        <v>0</v>
      </c>
      <c r="C24" s="15"/>
      <c r="D24" s="74">
        <v>0</v>
      </c>
      <c r="E24" s="147"/>
      <c r="F24" s="113">
        <f t="shared" si="0"/>
        <v>0</v>
      </c>
      <c r="G24" s="75"/>
      <c r="H24" s="76"/>
      <c r="I24" s="185">
        <f t="shared" si="2"/>
        <v>0</v>
      </c>
    </row>
    <row r="25" spans="1:9" ht="15" x14ac:dyDescent="0.25">
      <c r="A25" s="19"/>
      <c r="B25" s="227">
        <f t="shared" si="1"/>
        <v>0</v>
      </c>
      <c r="C25" s="15"/>
      <c r="D25" s="74">
        <v>0</v>
      </c>
      <c r="E25" s="147"/>
      <c r="F25" s="113">
        <f t="shared" si="0"/>
        <v>0</v>
      </c>
      <c r="G25" s="75"/>
      <c r="H25" s="76"/>
      <c r="I25" s="185">
        <f t="shared" si="2"/>
        <v>0</v>
      </c>
    </row>
    <row r="26" spans="1:9" x14ac:dyDescent="0.25">
      <c r="A26" s="19"/>
      <c r="B26" s="227">
        <f t="shared" si="1"/>
        <v>0</v>
      </c>
      <c r="C26" s="15"/>
      <c r="D26" s="74">
        <v>0</v>
      </c>
      <c r="E26" s="147"/>
      <c r="F26" s="113">
        <f t="shared" si="0"/>
        <v>0</v>
      </c>
      <c r="G26" s="75"/>
      <c r="H26" s="76"/>
      <c r="I26" s="185">
        <f t="shared" si="2"/>
        <v>0</v>
      </c>
    </row>
    <row r="27" spans="1:9" x14ac:dyDescent="0.25">
      <c r="B27" s="227">
        <f t="shared" si="1"/>
        <v>0</v>
      </c>
      <c r="C27" s="15"/>
      <c r="D27" s="74">
        <v>0</v>
      </c>
      <c r="E27" s="147"/>
      <c r="F27" s="113">
        <f t="shared" si="0"/>
        <v>0</v>
      </c>
      <c r="G27" s="75"/>
      <c r="H27" s="76"/>
      <c r="I27" s="48">
        <f t="shared" si="2"/>
        <v>0</v>
      </c>
    </row>
    <row r="28" spans="1:9" ht="14.4" thickBot="1" x14ac:dyDescent="0.3">
      <c r="A28" s="131"/>
      <c r="B28" s="228"/>
      <c r="C28" s="38"/>
      <c r="D28" s="74">
        <v>0</v>
      </c>
      <c r="E28" s="397"/>
      <c r="F28" s="258">
        <f t="shared" si="0"/>
        <v>0</v>
      </c>
      <c r="G28" s="152"/>
      <c r="H28" s="245"/>
      <c r="I28" s="171"/>
    </row>
    <row r="29" spans="1:9" ht="14.4" thickTop="1" x14ac:dyDescent="0.25">
      <c r="A29" s="48">
        <f>SUM(A28:A28)</f>
        <v>0</v>
      </c>
      <c r="C29" s="79">
        <f>SUM(C8:C28)</f>
        <v>28</v>
      </c>
      <c r="D29" s="113">
        <f>SUM(D8:D28)</f>
        <v>622.57000000000005</v>
      </c>
      <c r="E29" s="147"/>
      <c r="F29" s="113">
        <f>SUM(F8:F28)</f>
        <v>622.57000000000005</v>
      </c>
      <c r="G29" s="171"/>
      <c r="H29" s="171"/>
    </row>
    <row r="30" spans="1:9" ht="14.4" thickBot="1" x14ac:dyDescent="0.3">
      <c r="A30" s="48"/>
    </row>
    <row r="31" spans="1:9" x14ac:dyDescent="0.25">
      <c r="B31" s="229"/>
      <c r="D31" s="1028" t="s">
        <v>21</v>
      </c>
      <c r="E31" s="1029"/>
      <c r="F31" s="154">
        <f>E4+E5-F29+E6</f>
        <v>0</v>
      </c>
    </row>
    <row r="32" spans="1:9" ht="14.4" thickBot="1" x14ac:dyDescent="0.3">
      <c r="A32" s="135"/>
      <c r="D32" s="940" t="s">
        <v>4</v>
      </c>
      <c r="E32" s="941"/>
      <c r="F32" s="50">
        <f>F4+F5-C29+F6</f>
        <v>0</v>
      </c>
    </row>
    <row r="33" spans="2:2" x14ac:dyDescent="0.25">
      <c r="B33" s="229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  </vt:lpstr>
      <vt:lpstr>COSTILLA Especial Cerdo   </vt:lpstr>
      <vt:lpstr>ESPALDILLA    SH      </vt:lpstr>
      <vt:lpstr>P E C H O   Pco    </vt:lpstr>
      <vt:lpstr>CHULETA  NATURAL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FILETE  B A S A     </vt:lpstr>
      <vt:lpstr>PUNTAS DE CAÑA DE LOMO </vt:lpstr>
      <vt:lpstr>CAÑA DE LOMO      </vt:lpstr>
      <vt:lpstr>TOCINO   NACIOANL    </vt:lpstr>
      <vt:lpstr>CABEZA DE CERDO      </vt:lpstr>
      <vt:lpstr>CABEZA DE   LOMO    </vt:lpstr>
      <vt:lpstr>LENGUA  DE CERDO </vt:lpstr>
      <vt:lpstr>PIERNA   s-h</vt:lpstr>
      <vt:lpstr>P A V O S           </vt:lpstr>
      <vt:lpstr>MANITAS DE CERDO </vt:lpstr>
      <vt:lpstr>RECORTE ESPECIAL    </vt:lpstr>
      <vt:lpstr>RIBLETTS  DE CERDO     </vt:lpstr>
      <vt:lpstr>CORBATAS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2020-11-23T16:24:33Z</cp:lastPrinted>
  <dcterms:created xsi:type="dcterms:W3CDTF">2008-07-31T16:59:13Z</dcterms:created>
  <dcterms:modified xsi:type="dcterms:W3CDTF">2021-01-27T19:28:50Z</dcterms:modified>
</cp:coreProperties>
</file>