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#13 ARCHIVO  2 0 2 0\CENTRAL  # 12  DICIEMBRE 2020\"/>
    </mc:Choice>
  </mc:AlternateContent>
  <xr:revisionPtr revIDLastSave="0" documentId="13_ncr:1_{4A926D4E-C15D-44F9-998C-310C5D36AE67}" xr6:coauthVersionLast="46" xr6:coauthVersionMax="46" xr10:uidLastSave="{00000000-0000-0000-0000-000000000000}"/>
  <bookViews>
    <workbookView xWindow="9735" yWindow="840" windowWidth="19050" windowHeight="13740" firstSheet="6" activeTab="6" xr2:uid="{7F1B62A0-E866-4CCE-B5A0-56860D31642D}"/>
  </bookViews>
  <sheets>
    <sheet name="4 CARNES  ENERO 2020" sheetId="1" r:id="rId1"/>
    <sheet name="REMISIONES  ENERO  2020" sheetId="2" r:id="rId2"/>
    <sheet name="4 CARNES  FEBRERO   2020   " sheetId="3" r:id="rId3"/>
    <sheet name="REMISIONES  FEBRERO   2020    " sheetId="4" r:id="rId4"/>
    <sheet name="4 CARNES   MARZO   2020   " sheetId="5" r:id="rId5"/>
    <sheet name="REMISIONES  MARZO   2020   " sheetId="6" r:id="rId6"/>
    <sheet name="4 CARNES   ABRIL   2020   " sheetId="7" r:id="rId7"/>
    <sheet name="REMISIONES   ABRIL   2020  " sheetId="8" r:id="rId8"/>
    <sheet name="4  CARNES   MAYO   2020    " sheetId="11" r:id="rId9"/>
    <sheet name="REMISIONES    MAYO   2020   " sheetId="12" r:id="rId10"/>
    <sheet name="4 CARNES   JUNIO   2020   " sheetId="14" r:id="rId11"/>
    <sheet name="REMISIONES  JUNIO  2020" sheetId="13" r:id="rId12"/>
    <sheet name="4 CARNES  J U L I O   2020  " sheetId="16" r:id="rId13"/>
    <sheet name="REMISIONES  J U L I O    2020  " sheetId="18" r:id="rId14"/>
    <sheet name="4 CARNES  AGOSTO     2020      " sheetId="19" r:id="rId15"/>
    <sheet name="REMISIONES  AGOSTO   2020   " sheetId="17" r:id="rId16"/>
    <sheet name="ABASTO 4 CARNES SEPTIEMBRE 2020" sheetId="20" r:id="rId17"/>
    <sheet name="REMISIONES SEPTIEMBRE 2020" sheetId="15" r:id="rId18"/>
    <sheet name="ABASTO OCTUBRE  2020        " sheetId="21" r:id="rId19"/>
    <sheet name="REMISIONES  OCTUBRE  2020     " sheetId="24" r:id="rId20"/>
    <sheet name="ABASTO   NOVIEMBRE  2020    " sheetId="26" r:id="rId21"/>
    <sheet name="REMISIONES  NOVIEMBRE  2020" sheetId="25" r:id="rId22"/>
    <sheet name="ABASTO   DICIEMBRE    2020    " sheetId="23" r:id="rId23"/>
    <sheet name="REMISIONES  DICIEMBRE  2020    " sheetId="27" r:id="rId24"/>
    <sheet name="Hoja4" sheetId="28" r:id="rId25"/>
    <sheet name="Hoja3" sheetId="22" r:id="rId26"/>
    <sheet name="CANCELACIONES" sheetId="9" r:id="rId27"/>
    <sheet name="Hoja10" sheetId="10" r:id="rId2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21" l="1"/>
  <c r="C67" i="27" l="1"/>
  <c r="Q62" i="23"/>
  <c r="M64" i="23"/>
  <c r="M62" i="23"/>
  <c r="N62" i="23"/>
  <c r="F62" i="23"/>
  <c r="C62" i="23"/>
  <c r="M39" i="23" l="1"/>
  <c r="L42" i="23"/>
  <c r="M19" i="23" l="1"/>
  <c r="I62" i="23"/>
  <c r="M40" i="23" l="1"/>
  <c r="L37" i="23" l="1"/>
  <c r="P37" i="23" s="1"/>
  <c r="P40" i="23" l="1"/>
  <c r="Q40" i="23" s="1"/>
  <c r="Q41" i="23"/>
  <c r="Q42" i="23"/>
  <c r="M35" i="23" l="1"/>
  <c r="P35" i="23" s="1"/>
  <c r="Q35" i="23" s="1"/>
  <c r="P36" i="23"/>
  <c r="Q36" i="23" s="1"/>
  <c r="Q37" i="23"/>
  <c r="P38" i="23"/>
  <c r="Q38" i="23" s="1"/>
  <c r="P39" i="23"/>
  <c r="M33" i="23" l="1"/>
  <c r="P31" i="23"/>
  <c r="L30" i="23"/>
  <c r="M30" i="23"/>
  <c r="P30" i="23" s="1"/>
  <c r="L23" i="23" l="1"/>
  <c r="P23" i="23" s="1"/>
  <c r="M22" i="23" l="1"/>
  <c r="P25" i="23"/>
  <c r="P26" i="23"/>
  <c r="M21" i="23" l="1"/>
  <c r="M17" i="23" l="1"/>
  <c r="L16" i="23" l="1"/>
  <c r="M15" i="23"/>
  <c r="X73" i="23"/>
  <c r="M14" i="23"/>
  <c r="M13" i="23"/>
  <c r="M12" i="23" l="1"/>
  <c r="P12" i="23" s="1"/>
  <c r="P10" i="23" l="1"/>
  <c r="L9" i="23"/>
  <c r="L62" i="23" s="1"/>
  <c r="P7" i="23"/>
  <c r="Q7" i="23" s="1"/>
  <c r="P6" i="23"/>
  <c r="P9" i="23" l="1"/>
  <c r="K67" i="23"/>
  <c r="Q26" i="23"/>
  <c r="P20" i="23"/>
  <c r="Q20" i="23" s="1"/>
  <c r="P14" i="23"/>
  <c r="Q14" i="23" s="1"/>
  <c r="E67" i="27"/>
  <c r="F3" i="27"/>
  <c r="F4" i="27" s="1"/>
  <c r="F5" i="27" s="1"/>
  <c r="F6" i="27" s="1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AC68" i="23"/>
  <c r="P34" i="23"/>
  <c r="Q34" i="23" s="1"/>
  <c r="P33" i="23"/>
  <c r="Q33" i="23" s="1"/>
  <c r="P32" i="23"/>
  <c r="Q32" i="23" s="1"/>
  <c r="Q31" i="23"/>
  <c r="Q30" i="23"/>
  <c r="P29" i="23"/>
  <c r="Q29" i="23" s="1"/>
  <c r="P28" i="23"/>
  <c r="Q28" i="23" s="1"/>
  <c r="P27" i="23"/>
  <c r="Q27" i="23" s="1"/>
  <c r="Q25" i="23"/>
  <c r="P24" i="23"/>
  <c r="Q24" i="23" s="1"/>
  <c r="Q23" i="23"/>
  <c r="P22" i="23"/>
  <c r="Q22" i="23" s="1"/>
  <c r="P21" i="23"/>
  <c r="Q21" i="23" s="1"/>
  <c r="P19" i="23"/>
  <c r="P18" i="23"/>
  <c r="Q18" i="23" s="1"/>
  <c r="P17" i="23"/>
  <c r="Q17" i="23" s="1"/>
  <c r="P16" i="23"/>
  <c r="Q16" i="23" s="1"/>
  <c r="P15" i="23"/>
  <c r="Q15" i="23" s="1"/>
  <c r="P13" i="23"/>
  <c r="Q13" i="23" s="1"/>
  <c r="Q12" i="23"/>
  <c r="P11" i="23"/>
  <c r="Q11" i="23" s="1"/>
  <c r="Q10" i="23"/>
  <c r="Q9" i="23"/>
  <c r="P8" i="23"/>
  <c r="Q8" i="23" s="1"/>
  <c r="Q6" i="23"/>
  <c r="P5" i="23"/>
  <c r="Q5" i="23" s="1"/>
  <c r="Q19" i="23" l="1"/>
  <c r="P62" i="23"/>
  <c r="F42" i="27"/>
  <c r="F43" i="27" s="1"/>
  <c r="F44" i="27" s="1"/>
  <c r="F45" i="27" s="1"/>
  <c r="F46" i="27" s="1"/>
  <c r="F47" i="27" s="1"/>
  <c r="F48" i="27" s="1"/>
  <c r="F49" i="27" s="1"/>
  <c r="F50" i="27" s="1"/>
  <c r="F51" i="27" s="1"/>
  <c r="K64" i="23"/>
  <c r="F65" i="23" s="1"/>
  <c r="L52" i="26"/>
  <c r="F67" i="23" l="1"/>
  <c r="F52" i="27"/>
  <c r="F53" i="27" s="1"/>
  <c r="F54" i="27" s="1"/>
  <c r="F55" i="27" s="1"/>
  <c r="F56" i="27" s="1"/>
  <c r="F57" i="27" s="1"/>
  <c r="F58" i="27" s="1"/>
  <c r="F59" i="27" s="1"/>
  <c r="F60" i="27" s="1"/>
  <c r="L44" i="26"/>
  <c r="L36" i="26"/>
  <c r="K66" i="23" l="1"/>
  <c r="K69" i="23" s="1"/>
  <c r="F61" i="27"/>
  <c r="F62" i="27" s="1"/>
  <c r="F63" i="27" s="1"/>
  <c r="F64" i="27" s="1"/>
  <c r="F65" i="27" s="1"/>
  <c r="F66" i="27" s="1"/>
  <c r="F67" i="27" s="1"/>
  <c r="P65" i="23"/>
  <c r="F60" i="26" l="1"/>
  <c r="F63" i="26" l="1"/>
  <c r="M34" i="26"/>
  <c r="P34" i="26" s="1"/>
  <c r="L32" i="26" l="1"/>
  <c r="M31" i="26"/>
  <c r="M30" i="26" l="1"/>
  <c r="M29" i="26" l="1"/>
  <c r="M16" i="26"/>
  <c r="M28" i="26"/>
  <c r="L25" i="26"/>
  <c r="P25" i="26" s="1"/>
  <c r="P24" i="26" l="1"/>
  <c r="M22" i="26" l="1"/>
  <c r="M21" i="26" l="1"/>
  <c r="L18" i="26" l="1"/>
  <c r="M18" i="26"/>
  <c r="P18" i="26" s="1"/>
  <c r="M15" i="26" l="1"/>
  <c r="L39" i="21" l="1"/>
  <c r="P13" i="26" l="1"/>
  <c r="P11" i="26"/>
  <c r="M10" i="26" l="1"/>
  <c r="M7" i="26" l="1"/>
  <c r="E44" i="25"/>
  <c r="C44" i="25"/>
  <c r="F3" i="25"/>
  <c r="F4" i="25" s="1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l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AC62" i="26" l="1"/>
  <c r="X62" i="26"/>
  <c r="K62" i="26"/>
  <c r="N53" i="26"/>
  <c r="N56" i="26" s="1"/>
  <c r="I53" i="26"/>
  <c r="I56" i="26" s="1"/>
  <c r="F53" i="26"/>
  <c r="F56" i="26" s="1"/>
  <c r="C53" i="26"/>
  <c r="C56" i="26" s="1"/>
  <c r="Q34" i="26"/>
  <c r="P33" i="26"/>
  <c r="Q33" i="26" s="1"/>
  <c r="P32" i="26"/>
  <c r="Q32" i="26" s="1"/>
  <c r="P31" i="26"/>
  <c r="Q31" i="26" s="1"/>
  <c r="P30" i="26"/>
  <c r="Q30" i="26" s="1"/>
  <c r="P29" i="26"/>
  <c r="Q29" i="26" s="1"/>
  <c r="P28" i="26"/>
  <c r="Q28" i="26" s="1"/>
  <c r="P27" i="26"/>
  <c r="Q27" i="26" s="1"/>
  <c r="P26" i="26"/>
  <c r="Q26" i="26" s="1"/>
  <c r="Q25" i="26"/>
  <c r="Q24" i="26"/>
  <c r="P23" i="26"/>
  <c r="P22" i="26"/>
  <c r="Q22" i="26" s="1"/>
  <c r="P21" i="26"/>
  <c r="Q21" i="26" s="1"/>
  <c r="L53" i="26"/>
  <c r="P20" i="26"/>
  <c r="Q20" i="26" s="1"/>
  <c r="P19" i="26"/>
  <c r="Q19" i="26" s="1"/>
  <c r="S18" i="26"/>
  <c r="Q18" i="26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Q11" i="26"/>
  <c r="M53" i="26"/>
  <c r="M56" i="26" s="1"/>
  <c r="P9" i="26"/>
  <c r="Q9" i="26" s="1"/>
  <c r="P8" i="26"/>
  <c r="Q8" i="26" s="1"/>
  <c r="P7" i="26"/>
  <c r="Q7" i="26" s="1"/>
  <c r="P6" i="26"/>
  <c r="P5" i="26"/>
  <c r="Q5" i="26" s="1"/>
  <c r="L56" i="26" l="1"/>
  <c r="K58" i="26"/>
  <c r="F59" i="26" s="1"/>
  <c r="F62" i="26" s="1"/>
  <c r="K60" i="26" s="1"/>
  <c r="K64" i="26" s="1"/>
  <c r="M58" i="26"/>
  <c r="Q6" i="26"/>
  <c r="P10" i="26"/>
  <c r="Q10" i="26" s="1"/>
  <c r="L35" i="21"/>
  <c r="P35" i="21" s="1"/>
  <c r="Q35" i="21" s="1"/>
  <c r="P33" i="21"/>
  <c r="Q33" i="21" s="1"/>
  <c r="P34" i="21"/>
  <c r="Q34" i="21" s="1"/>
  <c r="Q36" i="21"/>
  <c r="Q37" i="21"/>
  <c r="M32" i="21"/>
  <c r="Q53" i="26" l="1"/>
  <c r="P53" i="26"/>
  <c r="P58" i="26" s="1"/>
  <c r="L28" i="21"/>
  <c r="M27" i="21"/>
  <c r="M26" i="21"/>
  <c r="M25" i="21" l="1"/>
  <c r="P24" i="21" l="1"/>
  <c r="M21" i="21" l="1"/>
  <c r="L21" i="21"/>
  <c r="M20" i="21" l="1"/>
  <c r="M18" i="21" l="1"/>
  <c r="M17" i="21"/>
  <c r="M16" i="21"/>
  <c r="M14" i="21"/>
  <c r="P14" i="21" s="1"/>
  <c r="L14" i="21"/>
  <c r="M11" i="21" l="1"/>
  <c r="P11" i="21" s="1"/>
  <c r="M10" i="21"/>
  <c r="L7" i="21"/>
  <c r="L53" i="21" s="1"/>
  <c r="F3" i="24" l="1"/>
  <c r="E44" i="24"/>
  <c r="C44" i="24"/>
  <c r="AC59" i="21"/>
  <c r="X59" i="21"/>
  <c r="K59" i="21"/>
  <c r="N53" i="21"/>
  <c r="I53" i="21"/>
  <c r="C53" i="21"/>
  <c r="P32" i="21"/>
  <c r="Q32" i="21" s="1"/>
  <c r="P31" i="21"/>
  <c r="Q31" i="21" s="1"/>
  <c r="P30" i="21"/>
  <c r="Q30" i="21" s="1"/>
  <c r="P29" i="21"/>
  <c r="Q29" i="21" s="1"/>
  <c r="P28" i="21"/>
  <c r="Q28" i="21" s="1"/>
  <c r="P27" i="21"/>
  <c r="Q27" i="21" s="1"/>
  <c r="P26" i="21"/>
  <c r="Q26" i="21" s="1"/>
  <c r="P25" i="21"/>
  <c r="Q25" i="21" s="1"/>
  <c r="Q24" i="21"/>
  <c r="P23" i="21"/>
  <c r="Q23" i="21" s="1"/>
  <c r="P22" i="21"/>
  <c r="Q22" i="21" s="1"/>
  <c r="P21" i="21"/>
  <c r="Q21" i="21" s="1"/>
  <c r="P20" i="21"/>
  <c r="Q20" i="21" s="1"/>
  <c r="P19" i="21"/>
  <c r="Q19" i="21" s="1"/>
  <c r="S18" i="21"/>
  <c r="P18" i="21"/>
  <c r="Q18" i="21" s="1"/>
  <c r="P17" i="21"/>
  <c r="Q17" i="21" s="1"/>
  <c r="P16" i="21"/>
  <c r="Q16" i="21" s="1"/>
  <c r="P15" i="21"/>
  <c r="Q15" i="21" s="1"/>
  <c r="Q14" i="21"/>
  <c r="P13" i="21"/>
  <c r="Q13" i="21" s="1"/>
  <c r="P12" i="21"/>
  <c r="Q12" i="21" s="1"/>
  <c r="Q11" i="21"/>
  <c r="P10" i="21"/>
  <c r="Q10" i="21" s="1"/>
  <c r="P9" i="21"/>
  <c r="P8" i="21"/>
  <c r="Q8" i="21" s="1"/>
  <c r="P7" i="21"/>
  <c r="Q7" i="21" s="1"/>
  <c r="P6" i="21"/>
  <c r="Q6" i="21" s="1"/>
  <c r="P5" i="21"/>
  <c r="F4" i="24" l="1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K55" i="21"/>
  <c r="F56" i="21" s="1"/>
  <c r="P53" i="21"/>
  <c r="Q5" i="21"/>
  <c r="Q53" i="21" s="1"/>
  <c r="M53" i="21"/>
  <c r="M55" i="21" s="1"/>
  <c r="F53" i="20"/>
  <c r="F59" i="21" l="1"/>
  <c r="K57" i="21" s="1"/>
  <c r="K61" i="21" s="1"/>
  <c r="P55" i="21"/>
  <c r="L41" i="20"/>
  <c r="L46" i="20" l="1"/>
  <c r="P32" i="20" l="1"/>
  <c r="M31" i="20"/>
  <c r="P31" i="20" s="1"/>
  <c r="L28" i="20"/>
  <c r="P28" i="20" s="1"/>
  <c r="Q28" i="20" s="1"/>
  <c r="P27" i="20"/>
  <c r="P29" i="20"/>
  <c r="P30" i="20"/>
  <c r="M25" i="20" l="1"/>
  <c r="L21" i="20"/>
  <c r="M29" i="19"/>
  <c r="M19" i="20"/>
  <c r="P19" i="20" l="1"/>
  <c r="P16" i="20"/>
  <c r="L14" i="20"/>
  <c r="M13" i="20"/>
  <c r="M7" i="20" l="1"/>
  <c r="L7" i="20"/>
  <c r="M5" i="20"/>
  <c r="E44" i="15"/>
  <c r="C44" i="15"/>
  <c r="F4" i="15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P7" i="20" l="1"/>
  <c r="AC59" i="20"/>
  <c r="X59" i="20"/>
  <c r="K59" i="20"/>
  <c r="N53" i="20"/>
  <c r="I53" i="20"/>
  <c r="Q32" i="20"/>
  <c r="Q31" i="20"/>
  <c r="Q30" i="20"/>
  <c r="Q29" i="20"/>
  <c r="Q27" i="20"/>
  <c r="C53" i="20"/>
  <c r="P26" i="20"/>
  <c r="Q26" i="20" s="1"/>
  <c r="P25" i="20"/>
  <c r="Q25" i="20" s="1"/>
  <c r="P24" i="20"/>
  <c r="Q24" i="20" s="1"/>
  <c r="P23" i="20"/>
  <c r="Q23" i="20" s="1"/>
  <c r="P22" i="20"/>
  <c r="Q22" i="20" s="1"/>
  <c r="P21" i="20"/>
  <c r="Q21" i="20" s="1"/>
  <c r="P20" i="20"/>
  <c r="Q20" i="20" s="1"/>
  <c r="Q19" i="20"/>
  <c r="S18" i="20"/>
  <c r="P18" i="20"/>
  <c r="Q18" i="20" s="1"/>
  <c r="P17" i="20"/>
  <c r="Q17" i="20" s="1"/>
  <c r="Q16" i="20"/>
  <c r="P15" i="20"/>
  <c r="Q15" i="20" s="1"/>
  <c r="P14" i="20"/>
  <c r="Q14" i="20" s="1"/>
  <c r="P13" i="20"/>
  <c r="Q13" i="20" s="1"/>
  <c r="P12" i="20"/>
  <c r="Q12" i="20" s="1"/>
  <c r="P11" i="20"/>
  <c r="Q11" i="20" s="1"/>
  <c r="M53" i="20"/>
  <c r="P10" i="20"/>
  <c r="Q10" i="20" s="1"/>
  <c r="P9" i="20"/>
  <c r="P8" i="20"/>
  <c r="Q8" i="20" s="1"/>
  <c r="Q7" i="20"/>
  <c r="P6" i="20"/>
  <c r="Q6" i="20" s="1"/>
  <c r="P5" i="20"/>
  <c r="Q5" i="20" s="1"/>
  <c r="M55" i="20" l="1"/>
  <c r="Q53" i="20"/>
  <c r="P53" i="20"/>
  <c r="L53" i="20"/>
  <c r="K55" i="20" s="1"/>
  <c r="F56" i="20" s="1"/>
  <c r="F59" i="20" s="1"/>
  <c r="K57" i="20" s="1"/>
  <c r="K61" i="20" s="1"/>
  <c r="L36" i="19"/>
  <c r="P55" i="20" l="1"/>
  <c r="M30" i="19"/>
  <c r="P32" i="19" l="1"/>
  <c r="P31" i="19"/>
  <c r="C30" i="19"/>
  <c r="P30" i="19" s="1"/>
  <c r="P29" i="19"/>
  <c r="L28" i="19"/>
  <c r="C28" i="19"/>
  <c r="C27" i="19"/>
  <c r="C50" i="19" l="1"/>
  <c r="L21" i="19" l="1"/>
  <c r="P21" i="19" s="1"/>
  <c r="M16" i="19" l="1"/>
  <c r="P15" i="19"/>
  <c r="L14" i="19"/>
  <c r="P14" i="19" s="1"/>
  <c r="L7" i="19"/>
  <c r="P7" i="19" s="1"/>
  <c r="M11" i="19" l="1"/>
  <c r="P11" i="19" s="1"/>
  <c r="P8" i="19"/>
  <c r="E44" i="17" l="1"/>
  <c r="C44" i="17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AC56" i="19"/>
  <c r="X56" i="19"/>
  <c r="K56" i="19"/>
  <c r="N50" i="19"/>
  <c r="I50" i="19"/>
  <c r="F50" i="19"/>
  <c r="Q32" i="19"/>
  <c r="Q31" i="19"/>
  <c r="Q30" i="19"/>
  <c r="Q29" i="19"/>
  <c r="P28" i="19"/>
  <c r="Q28" i="19" s="1"/>
  <c r="P27" i="19"/>
  <c r="Q27" i="19" s="1"/>
  <c r="P26" i="19"/>
  <c r="Q26" i="19" s="1"/>
  <c r="P25" i="19"/>
  <c r="Q25" i="19" s="1"/>
  <c r="P24" i="19"/>
  <c r="Q24" i="19" s="1"/>
  <c r="P23" i="19"/>
  <c r="Q23" i="19" s="1"/>
  <c r="Q21" i="19"/>
  <c r="P20" i="19"/>
  <c r="Q20" i="19" s="1"/>
  <c r="P19" i="19"/>
  <c r="Q19" i="19" s="1"/>
  <c r="S18" i="19"/>
  <c r="P18" i="19"/>
  <c r="Q18" i="19" s="1"/>
  <c r="P16" i="19"/>
  <c r="Q16" i="19" s="1"/>
  <c r="P22" i="19"/>
  <c r="Q22" i="19" s="1"/>
  <c r="Q14" i="19"/>
  <c r="Q15" i="19"/>
  <c r="P13" i="19"/>
  <c r="Q13" i="19" s="1"/>
  <c r="P12" i="19"/>
  <c r="Q12" i="19" s="1"/>
  <c r="Q11" i="19"/>
  <c r="P10" i="19"/>
  <c r="Q10" i="19" s="1"/>
  <c r="P9" i="19"/>
  <c r="Q9" i="19" s="1"/>
  <c r="M50" i="19"/>
  <c r="Q7" i="19"/>
  <c r="P6" i="19"/>
  <c r="Q6" i="19" s="1"/>
  <c r="P5" i="19"/>
  <c r="F22" i="17" l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M52" i="19"/>
  <c r="L50" i="19"/>
  <c r="K52" i="19" s="1"/>
  <c r="F53" i="19" s="1"/>
  <c r="F56" i="19" s="1"/>
  <c r="Q8" i="19"/>
  <c r="Q5" i="19"/>
  <c r="P17" i="19"/>
  <c r="Q17" i="19" s="1"/>
  <c r="P7" i="16"/>
  <c r="P39" i="16"/>
  <c r="P28" i="16"/>
  <c r="K54" i="19" l="1"/>
  <c r="K58" i="19" s="1"/>
  <c r="F33" i="17"/>
  <c r="F34" i="17" s="1"/>
  <c r="F35" i="17" s="1"/>
  <c r="F36" i="17" s="1"/>
  <c r="F37" i="17" s="1"/>
  <c r="P50" i="19"/>
  <c r="Q50" i="19"/>
  <c r="C40" i="16"/>
  <c r="F40" i="16"/>
  <c r="I40" i="16"/>
  <c r="N40" i="16"/>
  <c r="Q39" i="16"/>
  <c r="F38" i="17" l="1"/>
  <c r="F39" i="17" s="1"/>
  <c r="F40" i="17" s="1"/>
  <c r="F41" i="17" s="1"/>
  <c r="F42" i="17" s="1"/>
  <c r="F43" i="17" s="1"/>
  <c r="F44" i="17" s="1"/>
  <c r="P52" i="19"/>
  <c r="L58" i="13"/>
  <c r="P21" i="16" l="1"/>
  <c r="L15" i="16"/>
  <c r="P22" i="16" s="1"/>
  <c r="P20" i="16" l="1"/>
  <c r="M19" i="16"/>
  <c r="P19" i="16" s="1"/>
  <c r="P17" i="16" l="1"/>
  <c r="L14" i="16" l="1"/>
  <c r="P15" i="16" s="1"/>
  <c r="M13" i="16"/>
  <c r="P13" i="16" s="1"/>
  <c r="P14" i="16" l="1"/>
  <c r="P11" i="16"/>
  <c r="M8" i="16"/>
  <c r="M40" i="16" s="1"/>
  <c r="L12" i="16"/>
  <c r="P8" i="16" l="1"/>
  <c r="L40" i="16"/>
  <c r="P6" i="14"/>
  <c r="P13" i="14" l="1"/>
  <c r="P31" i="14"/>
  <c r="C53" i="13"/>
  <c r="C66" i="14"/>
  <c r="E35" i="18"/>
  <c r="C35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AC46" i="16"/>
  <c r="X46" i="16"/>
  <c r="K46" i="16"/>
  <c r="Q38" i="16"/>
  <c r="Q37" i="16"/>
  <c r="Q36" i="16"/>
  <c r="Q35" i="16"/>
  <c r="Q34" i="16"/>
  <c r="Q33" i="16"/>
  <c r="Q32" i="16"/>
  <c r="Q30" i="16"/>
  <c r="Q29" i="16"/>
  <c r="Q28" i="16"/>
  <c r="P27" i="16"/>
  <c r="Q27" i="16" s="1"/>
  <c r="P26" i="16"/>
  <c r="Q26" i="16" s="1"/>
  <c r="P25" i="16"/>
  <c r="Q25" i="16" s="1"/>
  <c r="P24" i="16"/>
  <c r="Q24" i="16" s="1"/>
  <c r="P23" i="16"/>
  <c r="Q23" i="16" s="1"/>
  <c r="Q22" i="16"/>
  <c r="Q21" i="16"/>
  <c r="Q20" i="16"/>
  <c r="Q19" i="16"/>
  <c r="Q13" i="16"/>
  <c r="P18" i="16"/>
  <c r="Q18" i="16" s="1"/>
  <c r="Q31" i="16"/>
  <c r="Q17" i="16"/>
  <c r="P16" i="16"/>
  <c r="Q16" i="16" s="1"/>
  <c r="S18" i="16"/>
  <c r="Q15" i="16"/>
  <c r="Q14" i="16"/>
  <c r="P12" i="16"/>
  <c r="Q12" i="16" s="1"/>
  <c r="Q11" i="16"/>
  <c r="P10" i="16"/>
  <c r="Q10" i="16" s="1"/>
  <c r="P9" i="16"/>
  <c r="Q9" i="16" s="1"/>
  <c r="Q7" i="16"/>
  <c r="P6" i="16"/>
  <c r="Q6" i="16" s="1"/>
  <c r="P5" i="16"/>
  <c r="Q5" i="16" l="1"/>
  <c r="Q40" i="16" s="1"/>
  <c r="P42" i="16" s="1"/>
  <c r="P40" i="16"/>
  <c r="F34" i="18"/>
  <c r="F35" i="18" s="1"/>
  <c r="Q8" i="16"/>
  <c r="K42" i="16"/>
  <c r="M42" i="16"/>
  <c r="F66" i="14"/>
  <c r="F43" i="16" l="1"/>
  <c r="F46" i="16" s="1"/>
  <c r="F49" i="16" s="1"/>
  <c r="K44" i="16" s="1"/>
  <c r="K48" i="16" s="1"/>
  <c r="P45" i="14" l="1"/>
  <c r="I8" i="14"/>
  <c r="I40" i="14" l="1"/>
  <c r="I66" i="14" s="1"/>
  <c r="P48" i="14" l="1"/>
  <c r="P49" i="14"/>
  <c r="P50" i="14"/>
  <c r="P51" i="14"/>
  <c r="Q51" i="14" s="1"/>
  <c r="P52" i="14"/>
  <c r="P53" i="14"/>
  <c r="Q53" i="14" s="1"/>
  <c r="P54" i="14"/>
  <c r="Q54" i="14" s="1"/>
  <c r="P55" i="14"/>
  <c r="Q55" i="14" s="1"/>
  <c r="P56" i="14"/>
  <c r="P57" i="14"/>
  <c r="Q57" i="14" s="1"/>
  <c r="P58" i="14"/>
  <c r="P59" i="14"/>
  <c r="Q59" i="14" s="1"/>
  <c r="P60" i="14"/>
  <c r="Q60" i="14" s="1"/>
  <c r="Q61" i="14"/>
  <c r="P65" i="14"/>
  <c r="P47" i="14"/>
  <c r="Q47" i="14" s="1"/>
  <c r="Q48" i="14"/>
  <c r="Q49" i="14"/>
  <c r="Q50" i="14"/>
  <c r="Q52" i="14"/>
  <c r="Q56" i="14"/>
  <c r="Q58" i="14"/>
  <c r="Q65" i="14"/>
  <c r="P46" i="14"/>
  <c r="Q46" i="14" s="1"/>
  <c r="N66" i="14"/>
  <c r="L25" i="14"/>
  <c r="L19" i="14" l="1"/>
  <c r="P42" i="14" s="1"/>
  <c r="Q42" i="14" s="1"/>
  <c r="P41" i="14"/>
  <c r="P43" i="14"/>
  <c r="Q43" i="14" s="1"/>
  <c r="P44" i="14"/>
  <c r="Q44" i="14" s="1"/>
  <c r="Q45" i="14"/>
  <c r="P40" i="14"/>
  <c r="Q41" i="14" l="1"/>
  <c r="P39" i="14" l="1"/>
  <c r="Q39" i="14" s="1"/>
  <c r="Q40" i="14"/>
  <c r="M35" i="14" l="1"/>
  <c r="L18" i="14"/>
  <c r="P34" i="14"/>
  <c r="P35" i="14" l="1"/>
  <c r="P30" i="14"/>
  <c r="P29" i="14"/>
  <c r="Q29" i="14" l="1"/>
  <c r="L16" i="14"/>
  <c r="P28" i="14" s="1"/>
  <c r="M27" i="14" l="1"/>
  <c r="P27" i="14" s="1"/>
  <c r="M21" i="14" l="1"/>
  <c r="L15" i="14"/>
  <c r="P21" i="14" l="1"/>
  <c r="P16" i="14"/>
  <c r="P15" i="14"/>
  <c r="P12" i="14" l="1"/>
  <c r="L13" i="14"/>
  <c r="P14" i="14" s="1"/>
  <c r="X72" i="14" l="1"/>
  <c r="P20" i="14" l="1"/>
  <c r="M8" i="14"/>
  <c r="M66" i="14" s="1"/>
  <c r="P8" i="14" l="1"/>
  <c r="M68" i="14"/>
  <c r="L12" i="14"/>
  <c r="L66" i="14" s="1"/>
  <c r="E53" i="13" l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AC72" i="14"/>
  <c r="K72" i="14"/>
  <c r="P38" i="14"/>
  <c r="Q38" i="14" s="1"/>
  <c r="P37" i="14"/>
  <c r="Q37" i="14" s="1"/>
  <c r="P36" i="14"/>
  <c r="Q36" i="14" s="1"/>
  <c r="Q35" i="14"/>
  <c r="Q34" i="14"/>
  <c r="P33" i="14"/>
  <c r="Q33" i="14" s="1"/>
  <c r="P32" i="14"/>
  <c r="Q32" i="14" s="1"/>
  <c r="Q31" i="14"/>
  <c r="Q30" i="14"/>
  <c r="Q27" i="14"/>
  <c r="P26" i="14"/>
  <c r="Q26" i="14" s="1"/>
  <c r="P25" i="14"/>
  <c r="Q25" i="14" s="1"/>
  <c r="P24" i="14"/>
  <c r="Q24" i="14" s="1"/>
  <c r="P23" i="14"/>
  <c r="Q23" i="14" s="1"/>
  <c r="P22" i="14"/>
  <c r="Q22" i="14" s="1"/>
  <c r="Q20" i="14"/>
  <c r="S18" i="14"/>
  <c r="P18" i="14"/>
  <c r="Q18" i="14" s="1"/>
  <c r="P17" i="14"/>
  <c r="Q17" i="14" s="1"/>
  <c r="Q16" i="14"/>
  <c r="Q15" i="14"/>
  <c r="Q21" i="14"/>
  <c r="Q14" i="14"/>
  <c r="Q12" i="14"/>
  <c r="P11" i="14"/>
  <c r="Q11" i="14" s="1"/>
  <c r="P10" i="14"/>
  <c r="Q10" i="14" s="1"/>
  <c r="P9" i="14"/>
  <c r="Q9" i="14" s="1"/>
  <c r="Q8" i="14"/>
  <c r="P7" i="14"/>
  <c r="Q7" i="14" s="1"/>
  <c r="Q6" i="14"/>
  <c r="P5" i="14"/>
  <c r="Q5" i="14" l="1"/>
  <c r="F50" i="13"/>
  <c r="F51" i="13" s="1"/>
  <c r="F52" i="13" s="1"/>
  <c r="F53" i="13" s="1"/>
  <c r="Q13" i="14"/>
  <c r="K68" i="14"/>
  <c r="F69" i="14" s="1"/>
  <c r="Q28" i="14"/>
  <c r="P19" i="14"/>
  <c r="Q19" i="14" s="1"/>
  <c r="L57" i="11"/>
  <c r="L66" i="11" s="1"/>
  <c r="F42" i="11"/>
  <c r="C42" i="11"/>
  <c r="I42" i="11"/>
  <c r="L28" i="11"/>
  <c r="P66" i="14" l="1"/>
  <c r="F72" i="14"/>
  <c r="F75" i="14" s="1"/>
  <c r="K70" i="14" s="1"/>
  <c r="K74" i="14" s="1"/>
  <c r="Q66" i="14"/>
  <c r="P50" i="11"/>
  <c r="P49" i="11" l="1"/>
  <c r="Q5" i="11"/>
  <c r="P5" i="11"/>
  <c r="P23" i="11"/>
  <c r="Q23" i="11" s="1"/>
  <c r="C51" i="12" l="1"/>
  <c r="M31" i="11" l="1"/>
  <c r="P29" i="11"/>
  <c r="L15" i="11" l="1"/>
  <c r="P28" i="11" s="1"/>
  <c r="P22" i="11" l="1"/>
  <c r="P21" i="11"/>
  <c r="L14" i="11"/>
  <c r="P20" i="11"/>
  <c r="M19" i="11" l="1"/>
  <c r="P19" i="11" s="1"/>
  <c r="P32" i="11"/>
  <c r="P26" i="11"/>
  <c r="P15" i="11" l="1"/>
  <c r="L13" i="11"/>
  <c r="P14" i="11" s="1"/>
  <c r="P13" i="11"/>
  <c r="N41" i="11" l="1"/>
  <c r="M43" i="11" s="1"/>
  <c r="M41" i="11"/>
  <c r="P8" i="11"/>
  <c r="L12" i="11"/>
  <c r="L42" i="11" s="1"/>
  <c r="K44" i="11" s="1"/>
  <c r="P6" i="11"/>
  <c r="P7" i="11" l="1"/>
  <c r="Q7" i="11" s="1"/>
  <c r="Q8" i="11"/>
  <c r="E51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X48" i="11"/>
  <c r="K48" i="11"/>
  <c r="P48" i="11"/>
  <c r="P38" i="11"/>
  <c r="Q38" i="11" s="1"/>
  <c r="P37" i="11"/>
  <c r="Q37" i="11" s="1"/>
  <c r="P36" i="11"/>
  <c r="Q36" i="11" s="1"/>
  <c r="P35" i="11"/>
  <c r="Q35" i="11" s="1"/>
  <c r="P34" i="11"/>
  <c r="Q34" i="11" s="1"/>
  <c r="P33" i="11"/>
  <c r="Q32" i="11"/>
  <c r="P31" i="11"/>
  <c r="Q31" i="11" s="1"/>
  <c r="P30" i="11"/>
  <c r="Q30" i="11" s="1"/>
  <c r="Q28" i="11"/>
  <c r="Q26" i="11"/>
  <c r="P25" i="11"/>
  <c r="Q25" i="11" s="1"/>
  <c r="P24" i="11"/>
  <c r="Q24" i="11" s="1"/>
  <c r="Q21" i="11"/>
  <c r="Q20" i="11"/>
  <c r="Q19" i="11"/>
  <c r="S18" i="11"/>
  <c r="P51" i="11" s="1"/>
  <c r="P18" i="11"/>
  <c r="Q18" i="11" s="1"/>
  <c r="P17" i="11"/>
  <c r="Q17" i="11" s="1"/>
  <c r="P16" i="11"/>
  <c r="Q16" i="11" s="1"/>
  <c r="Q14" i="11"/>
  <c r="Q13" i="11"/>
  <c r="Q15" i="11"/>
  <c r="P12" i="11"/>
  <c r="Q12" i="11" s="1"/>
  <c r="P11" i="11"/>
  <c r="Q11" i="11" s="1"/>
  <c r="P10" i="11"/>
  <c r="Q10" i="11" s="1"/>
  <c r="P9" i="11"/>
  <c r="Q9" i="11" s="1"/>
  <c r="Q6" i="11"/>
  <c r="Q33" i="11" l="1"/>
  <c r="Q29" i="11"/>
  <c r="P46" i="11"/>
  <c r="P53" i="11" s="1"/>
  <c r="Q22" i="11"/>
  <c r="F45" i="11"/>
  <c r="F48" i="11" s="1"/>
  <c r="F51" i="11" s="1"/>
  <c r="K46" i="11" s="1"/>
  <c r="K50" i="11" s="1"/>
  <c r="P27" i="11"/>
  <c r="Q27" i="11" s="1"/>
  <c r="I40" i="7"/>
  <c r="C40" i="7"/>
  <c r="F40" i="7"/>
  <c r="P13" i="7"/>
  <c r="P41" i="11" l="1"/>
  <c r="Q41" i="11"/>
  <c r="P51" i="7"/>
  <c r="P5" i="7"/>
  <c r="E51" i="8" l="1"/>
  <c r="C51" i="8"/>
  <c r="P38" i="7" l="1"/>
  <c r="P37" i="7"/>
  <c r="P36" i="7"/>
  <c r="M32" i="7" l="1"/>
  <c r="L16" i="7" l="1"/>
  <c r="P28" i="7" l="1"/>
  <c r="M26" i="7" l="1"/>
  <c r="P23" i="7" l="1"/>
  <c r="P20" i="7"/>
  <c r="M24" i="7" l="1"/>
  <c r="Q23" i="7"/>
  <c r="L14" i="7" l="1"/>
  <c r="P22" i="7" s="1"/>
  <c r="Q22" i="7" s="1"/>
  <c r="P17" i="7" l="1"/>
  <c r="L13" i="7"/>
  <c r="P15" i="7" s="1"/>
  <c r="M14" i="7"/>
  <c r="P14" i="7" s="1"/>
  <c r="M12" i="7" l="1"/>
  <c r="P12" i="7" s="1"/>
  <c r="L12" i="7"/>
  <c r="L40" i="7" s="1"/>
  <c r="P6" i="7"/>
  <c r="P33" i="7"/>
  <c r="P27" i="7"/>
  <c r="Q27" i="7" s="1"/>
  <c r="P8" i="7" l="1"/>
  <c r="Q8" i="7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X46" i="7"/>
  <c r="K46" i="7"/>
  <c r="N39" i="7"/>
  <c r="Q38" i="7"/>
  <c r="Q37" i="7"/>
  <c r="Q36" i="7"/>
  <c r="P35" i="7"/>
  <c r="Q35" i="7" s="1"/>
  <c r="Q33" i="7"/>
  <c r="P32" i="7"/>
  <c r="Q32" i="7" s="1"/>
  <c r="P31" i="7"/>
  <c r="Q31" i="7" s="1"/>
  <c r="P30" i="7"/>
  <c r="Q30" i="7" s="1"/>
  <c r="P29" i="7"/>
  <c r="Q29" i="7" s="1"/>
  <c r="Q28" i="7"/>
  <c r="P26" i="7"/>
  <c r="Q26" i="7" s="1"/>
  <c r="P25" i="7"/>
  <c r="Q25" i="7" s="1"/>
  <c r="P24" i="7"/>
  <c r="Q24" i="7" s="1"/>
  <c r="P21" i="7"/>
  <c r="Q21" i="7" s="1"/>
  <c r="P19" i="7"/>
  <c r="Q19" i="7" s="1"/>
  <c r="S18" i="7"/>
  <c r="P18" i="7"/>
  <c r="Q18" i="7" s="1"/>
  <c r="Q17" i="7"/>
  <c r="P34" i="7"/>
  <c r="Q34" i="7" s="1"/>
  <c r="P16" i="7"/>
  <c r="Q16" i="7" s="1"/>
  <c r="Q15" i="7"/>
  <c r="Q14" i="7"/>
  <c r="Q13" i="7"/>
  <c r="Q12" i="7"/>
  <c r="P11" i="7"/>
  <c r="Q11" i="7" s="1"/>
  <c r="P10" i="7"/>
  <c r="Q10" i="7" s="1"/>
  <c r="M39" i="7"/>
  <c r="P9" i="7"/>
  <c r="Q9" i="7" s="1"/>
  <c r="P7" i="7"/>
  <c r="Q7" i="7" s="1"/>
  <c r="Q6" i="7"/>
  <c r="Q5" i="7"/>
  <c r="P39" i="7" l="1"/>
  <c r="K42" i="7"/>
  <c r="F43" i="7" s="1"/>
  <c r="F46" i="7" s="1"/>
  <c r="F49" i="7" s="1"/>
  <c r="K44" i="7" s="1"/>
  <c r="K48" i="7" s="1"/>
  <c r="M41" i="7"/>
  <c r="Q20" i="7"/>
  <c r="Q39" i="7" s="1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C51" i="6"/>
  <c r="E51" i="6"/>
  <c r="P27" i="5" l="1"/>
  <c r="Q27" i="5" s="1"/>
  <c r="L16" i="5"/>
  <c r="P35" i="5" l="1"/>
  <c r="Q35" i="5" s="1"/>
  <c r="P30" i="5"/>
  <c r="P33" i="5"/>
  <c r="Q33" i="5" s="1"/>
  <c r="P36" i="5"/>
  <c r="Q36" i="5" s="1"/>
  <c r="P37" i="5"/>
  <c r="Q37" i="5" s="1"/>
  <c r="P38" i="5"/>
  <c r="Q38" i="5" s="1"/>
  <c r="L17" i="5"/>
  <c r="P34" i="5" s="1"/>
  <c r="Q34" i="5" s="1"/>
  <c r="P29" i="5" l="1"/>
  <c r="Q29" i="5" s="1"/>
  <c r="M26" i="5"/>
  <c r="M25" i="5"/>
  <c r="P22" i="5" l="1"/>
  <c r="L15" i="5" l="1"/>
  <c r="P20" i="5" s="1"/>
  <c r="P15" i="5" l="1"/>
  <c r="S13" i="5"/>
  <c r="S12" i="5"/>
  <c r="L14" i="5"/>
  <c r="P13" i="5" s="1"/>
  <c r="M10" i="5" l="1"/>
  <c r="L13" i="5" l="1"/>
  <c r="P6" i="5" s="1"/>
  <c r="P5" i="5" l="1"/>
  <c r="X46" i="5" l="1"/>
  <c r="K46" i="5"/>
  <c r="I40" i="5"/>
  <c r="F40" i="5"/>
  <c r="C40" i="5"/>
  <c r="N39" i="5"/>
  <c r="P32" i="5"/>
  <c r="Q32" i="5" s="1"/>
  <c r="P31" i="5"/>
  <c r="Q31" i="5" s="1"/>
  <c r="Q30" i="5"/>
  <c r="P28" i="5"/>
  <c r="Q28" i="5" s="1"/>
  <c r="P26" i="5"/>
  <c r="Q26" i="5" s="1"/>
  <c r="P25" i="5"/>
  <c r="Q25" i="5" s="1"/>
  <c r="P24" i="5"/>
  <c r="Q24" i="5" s="1"/>
  <c r="P23" i="5"/>
  <c r="Q22" i="5"/>
  <c r="P21" i="5"/>
  <c r="Q21" i="5" s="1"/>
  <c r="P19" i="5"/>
  <c r="Q19" i="5" s="1"/>
  <c r="S18" i="5"/>
  <c r="P18" i="5"/>
  <c r="Q18" i="5" s="1"/>
  <c r="P17" i="5"/>
  <c r="Q17" i="5" s="1"/>
  <c r="P16" i="5"/>
  <c r="Q16" i="5" s="1"/>
  <c r="Q15" i="5"/>
  <c r="P14" i="5"/>
  <c r="Q14" i="5" s="1"/>
  <c r="Q13" i="5"/>
  <c r="P12" i="5"/>
  <c r="Q12" i="5" s="1"/>
  <c r="L40" i="5"/>
  <c r="P11" i="5"/>
  <c r="Q11" i="5" s="1"/>
  <c r="P10" i="5"/>
  <c r="Q10" i="5" s="1"/>
  <c r="P9" i="5"/>
  <c r="Q9" i="5" s="1"/>
  <c r="M39" i="5"/>
  <c r="P7" i="5"/>
  <c r="Q7" i="5" s="1"/>
  <c r="Q6" i="5"/>
  <c r="Q5" i="5"/>
  <c r="P39" i="5" l="1"/>
  <c r="K42" i="5"/>
  <c r="F43" i="5" s="1"/>
  <c r="F46" i="5" s="1"/>
  <c r="F49" i="5" s="1"/>
  <c r="K44" i="5" s="1"/>
  <c r="K48" i="5" s="1"/>
  <c r="M41" i="5"/>
  <c r="Q20" i="5"/>
  <c r="P8" i="5"/>
  <c r="Q8" i="5" s="1"/>
  <c r="Q39" i="5" s="1"/>
  <c r="P5" i="3" l="1"/>
  <c r="P12" i="3"/>
  <c r="Q12" i="3" s="1"/>
  <c r="P11" i="3"/>
  <c r="P19" i="3" l="1"/>
  <c r="P26" i="3"/>
  <c r="P25" i="3"/>
  <c r="P22" i="3"/>
  <c r="P28" i="3"/>
  <c r="M27" i="3"/>
  <c r="L15" i="3"/>
  <c r="M24" i="3"/>
  <c r="P24" i="3" s="1"/>
  <c r="P27" i="3" l="1"/>
  <c r="P16" i="3" l="1"/>
  <c r="L14" i="3"/>
  <c r="P20" i="3" s="1"/>
  <c r="M18" i="3"/>
  <c r="P18" i="3" s="1"/>
  <c r="Q18" i="3" s="1"/>
  <c r="P17" i="3" l="1"/>
  <c r="P7" i="3" l="1"/>
  <c r="P15" i="3"/>
  <c r="M13" i="3"/>
  <c r="L13" i="3"/>
  <c r="P13" i="3" l="1"/>
  <c r="Q13" i="3" s="1"/>
  <c r="M10" i="3"/>
  <c r="P10" i="3" s="1"/>
  <c r="M8" i="3" l="1"/>
  <c r="L12" i="3" l="1"/>
  <c r="P8" i="3"/>
  <c r="P6" i="3" l="1"/>
  <c r="L42" i="3"/>
  <c r="E51" i="4"/>
  <c r="C51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K48" i="3"/>
  <c r="I42" i="3"/>
  <c r="F42" i="3"/>
  <c r="C42" i="3"/>
  <c r="N41" i="3"/>
  <c r="P32" i="3"/>
  <c r="P31" i="3"/>
  <c r="Q31" i="3" s="1"/>
  <c r="P30" i="3"/>
  <c r="Q30" i="3" s="1"/>
  <c r="P29" i="3"/>
  <c r="Q29" i="3" s="1"/>
  <c r="Q28" i="3"/>
  <c r="Q27" i="3"/>
  <c r="Q26" i="3"/>
  <c r="Q25" i="3"/>
  <c r="Q24" i="3"/>
  <c r="P23" i="3"/>
  <c r="Q22" i="3"/>
  <c r="P21" i="3"/>
  <c r="Q21" i="3" s="1"/>
  <c r="Q20" i="3"/>
  <c r="Q19" i="3"/>
  <c r="S18" i="3"/>
  <c r="Q17" i="3"/>
  <c r="X48" i="3"/>
  <c r="Q16" i="3"/>
  <c r="P14" i="3"/>
  <c r="Q14" i="3" s="1"/>
  <c r="Q15" i="3"/>
  <c r="Q11" i="3"/>
  <c r="Q10" i="3"/>
  <c r="P9" i="3"/>
  <c r="Q9" i="3" s="1"/>
  <c r="Q8" i="3"/>
  <c r="Q7" i="3"/>
  <c r="Q5" i="3"/>
  <c r="Q6" i="3" l="1"/>
  <c r="Q41" i="3" s="1"/>
  <c r="P41" i="3"/>
  <c r="K44" i="3"/>
  <c r="F45" i="3" s="1"/>
  <c r="F48" i="3" s="1"/>
  <c r="F51" i="3" s="1"/>
  <c r="K46" i="3" s="1"/>
  <c r="K50" i="3" s="1"/>
  <c r="M41" i="3"/>
  <c r="M43" i="3" s="1"/>
  <c r="K51" i="1" l="1"/>
  <c r="L15" i="1" l="1"/>
  <c r="P19" i="1"/>
  <c r="Q19" i="1" s="1"/>
  <c r="P30" i="1" l="1"/>
  <c r="Q30" i="1" s="1"/>
  <c r="P31" i="1"/>
  <c r="P32" i="1"/>
  <c r="M29" i="1"/>
  <c r="P29" i="1" s="1"/>
  <c r="L16" i="1"/>
  <c r="P28" i="1"/>
  <c r="P33" i="1"/>
  <c r="P27" i="1"/>
  <c r="Q27" i="1" s="1"/>
  <c r="M26" i="1"/>
  <c r="M22" i="1"/>
  <c r="P22" i="1" s="1"/>
  <c r="Q22" i="1" s="1"/>
  <c r="M21" i="1"/>
  <c r="P21" i="1" s="1"/>
  <c r="M18" i="1" l="1"/>
  <c r="P18" i="1" s="1"/>
  <c r="Q18" i="1" s="1"/>
  <c r="M16" i="1" l="1"/>
  <c r="P16" i="1" s="1"/>
  <c r="L13" i="1" l="1"/>
  <c r="P15" i="1" s="1"/>
  <c r="M14" i="1"/>
  <c r="P14" i="1" s="1"/>
  <c r="M13" i="1"/>
  <c r="M12" i="1"/>
  <c r="P12" i="1" s="1"/>
  <c r="M11" i="1"/>
  <c r="M10" i="1"/>
  <c r="M8" i="1"/>
  <c r="P8" i="1" s="1"/>
  <c r="L12" i="1"/>
  <c r="P5" i="1" s="1"/>
  <c r="M7" i="1"/>
  <c r="Q5" i="1" l="1"/>
  <c r="M6" i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I45" i="1" l="1"/>
  <c r="F45" i="1"/>
  <c r="C45" i="1"/>
  <c r="N44" i="1"/>
  <c r="P35" i="1"/>
  <c r="Q35" i="1" s="1"/>
  <c r="P34" i="1"/>
  <c r="Q34" i="1" s="1"/>
  <c r="Q33" i="1"/>
  <c r="Q31" i="1"/>
  <c r="Q29" i="1"/>
  <c r="Q28" i="1"/>
  <c r="P26" i="1"/>
  <c r="Q26" i="1" s="1"/>
  <c r="P25" i="1"/>
  <c r="Q25" i="1" s="1"/>
  <c r="P24" i="1"/>
  <c r="Q24" i="1" s="1"/>
  <c r="P23" i="1"/>
  <c r="Q21" i="1"/>
  <c r="P20" i="1"/>
  <c r="Q20" i="1" s="1"/>
  <c r="S18" i="1"/>
  <c r="P17" i="1"/>
  <c r="Q17" i="1" s="1"/>
  <c r="W16" i="1"/>
  <c r="Q16" i="1"/>
  <c r="Q15" i="1"/>
  <c r="Q14" i="1"/>
  <c r="L45" i="1"/>
  <c r="P13" i="1"/>
  <c r="Q13" i="1" s="1"/>
  <c r="Q12" i="1"/>
  <c r="P11" i="1"/>
  <c r="Q11" i="1" s="1"/>
  <c r="P10" i="1"/>
  <c r="Q10" i="1" s="1"/>
  <c r="P9" i="1"/>
  <c r="Q9" i="1" s="1"/>
  <c r="Q8" i="1"/>
  <c r="P7" i="1"/>
  <c r="Q7" i="1" s="1"/>
  <c r="M44" i="1"/>
  <c r="M46" i="1" l="1"/>
  <c r="K47" i="1"/>
  <c r="F48" i="1" s="1"/>
  <c r="P6" i="1"/>
  <c r="Q6" i="1" l="1"/>
  <c r="Q44" i="1" s="1"/>
  <c r="P44" i="1"/>
  <c r="F51" i="1"/>
  <c r="F54" i="1" s="1"/>
  <c r="K49" i="1" s="1"/>
  <c r="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Z4" authorId="0" shapeId="0" xr:uid="{F2E1BC74-6D8A-412F-AE2A-E19DC30434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0D06ED1B-67FD-4DC7-A19E-E5E09A37FBF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1BD736DF-21AB-44BA-A109-AACADB8E921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3D33624-97F6-490F-B5CA-7D795BC24E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D55216-B33C-4E9F-890F-7D075743B0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5060DF9E-B016-4DFB-8A87-D73B60B73E7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A3C6E770-64C1-4D19-B4DC-D7E8EE9AFC4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F8FE042D-29B7-40DD-8944-8EEDE75FA10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9FEEE34-A7B5-44F1-B329-C0731BD37CA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2FA295E-CE97-4721-A42A-F2B5F3D566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985DD043-7DE3-4A83-B8F9-A66EEBF56B0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3CCA4F5C-D29D-4462-B1C0-1955193E225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07C164A6-848D-460C-B68F-331876BF21B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DA8B8508-1AFF-4D8E-9E0B-8AC98E4C2A4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1C9F0CA-E022-4F2C-83AE-C96EAEF4C6B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928FC6EC-7A56-4F77-AE67-E913E517A72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4A709E9E-613B-49DF-B8E0-2DE6015E4D6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E6515F1C-85BD-4D85-B5E0-2F8B1873C59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AB06E7FD-5B49-41C1-9720-A7E79514D1F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B8E63DE-5B52-421B-9173-2F56E1AAE19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2167A61B-EC12-42DF-958C-8A1F071CBB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1BEE02C4-3C1E-487F-A513-8886842B97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5646CA1A-5BED-4D75-820F-B34E1DB44D2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025D3EF-0E3C-43FD-8AF1-FFDAFE723F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742376E-CC76-4F43-AF3D-5AAB81C18F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6E2F614-9569-40C0-A3D2-ACF819698A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88C4AE8-8DDA-4742-BFA7-F690177AF1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A7F7F39B-1F98-4D94-86C7-0C54A2334CE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1A69AA89-EF4C-46F4-9923-0A20E56B2BE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B538A6D-D2D0-4D21-B109-241E62D4CF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4D922E9-E8B1-4FDC-BE54-78F7ECB062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D331EB4-3164-46C0-BF81-E3BF5D6B632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455A1B0E-3999-4F90-BA63-E4503941665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5DFFFE8-9DC6-4138-B4A0-C296EEE789B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63463C3-D541-4582-B7DD-4B3C8E06D3C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0DB0764B-7D94-44E0-9C7E-DC403A60A2A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68ECDA5-4808-4ABC-A7BB-00340FCDF6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84C30779-28B7-4569-B145-4538478130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5983A61-208D-4346-B6D4-E5715B87FDE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27EED1-9E8E-4815-A8DD-734B600568C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75E0FB9F-94DB-4C5D-8B25-F4008780A05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C385B205-54F0-40B3-B22F-616A0CE638C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466CC55-3F9C-48F9-B816-F38ADD9FAB9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839D73C3-413E-44AE-8F72-38B33F498C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05207A8-5937-4A85-AFCF-CBB7A85AA4E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003F9320-4804-4A77-846B-7E3F0481613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3302E5FC-001F-4B42-9F5A-5E08CDC098E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2F43D04-D568-4D2E-B198-9DEAAB9591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0ECDC7F-3B89-4F08-A205-9DC4B9226F8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D7523AA-0931-46ED-838E-CC74F157C8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38292AA5-C3D3-4A7E-9043-DEF147ACA43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1AA71923-0D14-48B8-B747-0E2EA6A6CB8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78891B1E-2F3D-4EC5-9BD8-8390994B40D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67B6CC58-C8CA-44B2-AA74-8856D6B2088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A397437-AD9B-42E6-AA6B-52C690D19F1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5A217391-9B67-424B-B71B-46A3EAD9BA4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61AD8CA8-8082-4850-8773-EB7C63F5DD1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76CDAB06-0FCC-4201-9221-A1752A72F96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E793D40-9048-427D-9D2B-96FCE967EF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D315DF10-4C58-489F-BEE1-DA8C9C8E0A7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<sst xmlns="http://schemas.openxmlformats.org/spreadsheetml/2006/main" count="3198" uniqueCount="865">
  <si>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</si>
  <si>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</si>
  <si>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</si>
  <si>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</si>
  <si>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RETIROS DE 4 CARNES</t>
  </si>
  <si>
    <t>INVENTARIO INICIAL</t>
  </si>
  <si>
    <t xml:space="preserve">VENTAS  </t>
  </si>
  <si>
    <t>GASTOS</t>
  </si>
  <si>
    <t>BANCO</t>
  </si>
  <si>
    <t>TARJETAS</t>
  </si>
  <si>
    <t>PEPE</t>
  </si>
  <si>
    <t>ELIAS</t>
  </si>
  <si>
    <t xml:space="preserve"> </t>
  </si>
  <si>
    <t>TELMEX</t>
  </si>
  <si>
    <t xml:space="preserve">LUZ  </t>
  </si>
  <si>
    <t>RENTA</t>
  </si>
  <si>
    <t>TOTAL</t>
  </si>
  <si>
    <t>.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</si>
  <si>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</si>
  <si>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</si>
  <si>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</si>
  <si>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</si>
  <si>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</si>
  <si>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</si>
  <si>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</si>
  <si>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</si>
  <si>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</si>
  <si>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Sub Total 2 </t>
  </si>
  <si>
    <t>NOMINA 02</t>
  </si>
  <si>
    <t>NOMINA 03</t>
  </si>
  <si>
    <t>NOMINA 04</t>
  </si>
  <si>
    <t>NOMINA 05</t>
  </si>
  <si>
    <t>NOMINA 06</t>
  </si>
  <si>
    <t>NOMINA 07</t>
  </si>
  <si>
    <t>CANCELACION DE TIKETS</t>
  </si>
  <si>
    <t xml:space="preserve">Cambio x </t>
  </si>
  <si>
    <t xml:space="preserve">#  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</si>
  <si>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</si>
  <si>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</si>
  <si>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</si>
  <si>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</si>
  <si>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</si>
  <si>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</si>
  <si>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COBROS DE CONTADOR   2 0 2 0</t>
  </si>
  <si>
    <t xml:space="preserve">GASOLINA </t>
  </si>
  <si>
    <t>VALES 4 CARNES   Manuel Atlatenco</t>
  </si>
  <si>
    <t>QUESO-CHORIZO-TOSTADAS</t>
  </si>
  <si>
    <t>RES-POLLO</t>
  </si>
  <si>
    <t>POLLO-CHORIZO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</si>
  <si>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</si>
  <si>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</si>
  <si>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</si>
  <si>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</si>
  <si>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</si>
  <si>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</si>
  <si>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</si>
  <si>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</si>
  <si>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</si>
  <si>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</si>
  <si>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</si>
  <si>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</si>
  <si>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</si>
  <si>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</si>
  <si>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</si>
  <si>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</si>
  <si>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</si>
  <si>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</si>
  <si>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</si>
  <si>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POLLO  </t>
  </si>
  <si>
    <t>POLLO-QUESOS</t>
  </si>
  <si>
    <t>RES-POLLO-TOCINETA-QUESOS</t>
  </si>
  <si>
    <t>POLLO-CHORIZO--</t>
  </si>
  <si>
    <t>POLLO</t>
  </si>
  <si>
    <t>POLLO-TOSTADAS</t>
  </si>
  <si>
    <t>Multas Moto</t>
  </si>
  <si>
    <t>RES-POLLO-MAIZ</t>
  </si>
  <si>
    <t>POLLO-CHORIZO-QUESOS</t>
  </si>
  <si>
    <t>MAIZ</t>
  </si>
  <si>
    <t>POLLO-QUESOS-SALSAS</t>
  </si>
  <si>
    <t>SAT  S.H.C.P</t>
  </si>
  <si>
    <t>RES</t>
  </si>
  <si>
    <t>POLLO-QUESOS-TOCINETA</t>
  </si>
  <si>
    <t>CHORIZO</t>
  </si>
  <si>
    <t>POLLO-MAIZ</t>
  </si>
  <si>
    <t>POLLO-CHORIZO-TOSTADAS-SALSAS</t>
  </si>
  <si>
    <t>POLLO-QUESOS-CHORIZO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</si>
  <si>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</si>
  <si>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</si>
  <si>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</si>
  <si>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</si>
  <si>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</si>
  <si>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</si>
  <si>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</si>
  <si>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</si>
  <si>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</si>
  <si>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</si>
  <si>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</si>
  <si>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</si>
  <si>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</si>
  <si>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</si>
  <si>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</si>
  <si>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</si>
  <si>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</si>
  <si>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</si>
  <si>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</si>
  <si>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</si>
  <si>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</si>
  <si>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</si>
  <si>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</si>
  <si>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</si>
  <si>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</si>
  <si>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</si>
  <si>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</si>
  <si>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</si>
  <si>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</si>
  <si>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</si>
  <si>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</si>
  <si>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</si>
  <si>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</si>
  <si>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</si>
  <si>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POLLO-VERDURAS</t>
  </si>
  <si>
    <t>POLLO-MAIZ-TOSTADAS</t>
  </si>
  <si>
    <t>,03285</t>
  </si>
  <si>
    <t>,03378</t>
  </si>
  <si>
    <t>,03459</t>
  </si>
  <si>
    <t>,03548</t>
  </si>
  <si>
    <t>,03813</t>
  </si>
  <si>
    <t>,03877</t>
  </si>
  <si>
    <t>,03878</t>
  </si>
  <si>
    <t xml:space="preserve">GANANCIA </t>
  </si>
  <si>
    <t xml:space="preserve">COMISIONES BANCARIAS </t>
  </si>
  <si>
    <t>ENERO.,2020</t>
  </si>
  <si>
    <t>CELULARES  5</t>
  </si>
  <si>
    <t>GASOLINERA</t>
  </si>
  <si>
    <t>Impuestos Federales</t>
  </si>
  <si>
    <t>ADT</t>
  </si>
  <si>
    <t>BALANCE      ABASTO 4 CARNES   FEBRERO      2 0 2 0</t>
  </si>
  <si>
    <t>NOMINA 08</t>
  </si>
  <si>
    <t>NOMINA 09</t>
  </si>
  <si>
    <t>NOMINA 10</t>
  </si>
  <si>
    <t xml:space="preserve">NOMINA </t>
  </si>
  <si>
    <t>NOMINA 11</t>
  </si>
  <si>
    <t>QUESOS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</si>
  <si>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</si>
  <si>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</si>
  <si>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</si>
  <si>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</si>
  <si>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</si>
  <si>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</si>
  <si>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</si>
  <si>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</si>
  <si>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</si>
  <si>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</si>
  <si>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</si>
  <si>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</si>
  <si>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</si>
  <si>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</si>
  <si>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</si>
  <si>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</si>
  <si>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</si>
  <si>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</si>
  <si>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</si>
  <si>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</si>
  <si>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</si>
  <si>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</si>
  <si>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</si>
  <si>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</si>
  <si>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</si>
  <si>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POLLO--ZASONADOR</t>
  </si>
  <si>
    <t>POLLO-QUESOS-CHORIZO-SALSAS</t>
  </si>
  <si>
    <t>#  05  xxxxx</t>
  </si>
  <si>
    <t xml:space="preserve">POLLO-QUESOS  </t>
  </si>
  <si>
    <t>POLLO-CHORIZOS</t>
  </si>
  <si>
    <t>POLLO-QUESOS--MAIZ</t>
  </si>
  <si>
    <t>POLLO--MAIZ</t>
  </si>
  <si>
    <t>POLLO--TOCINETA-QUESOS</t>
  </si>
  <si>
    <t>POLLO-TOSTADAS---QUESOS</t>
  </si>
  <si>
    <t>POLLO-SALSAS, JUGO</t>
  </si>
  <si>
    <t>POLLO--CHORIZO-BONAFINA</t>
  </si>
  <si>
    <t>POLLO-CHORIZOS-QUESOS-</t>
  </si>
  <si>
    <t>POLLO-JUGO</t>
  </si>
  <si>
    <t xml:space="preserve">CAMARAS </t>
  </si>
  <si>
    <t>REFRIGERACION</t>
  </si>
  <si>
    <t>Vigilancia</t>
  </si>
  <si>
    <t>FEBRE.,2020</t>
  </si>
  <si>
    <t>Prod de limpieza</t>
  </si>
  <si>
    <t xml:space="preserve">CELULARES  </t>
  </si>
  <si>
    <t>FAMSA  Delantales</t>
  </si>
  <si>
    <t>tablas para carne</t>
  </si>
  <si>
    <t>IMSS --FINANZAS</t>
  </si>
  <si>
    <t>MANUEL ATLATENCO</t>
  </si>
  <si>
    <t>con fecha 07 Enero   de  2019</t>
  </si>
  <si>
    <t>REMISIONES  ABASTO 4 CARNES       2 0 2 0</t>
  </si>
  <si>
    <t>NOMINA 12</t>
  </si>
  <si>
    <t>NOMINA 13</t>
  </si>
  <si>
    <t>NOMINA 14</t>
  </si>
  <si>
    <t>SAT</t>
  </si>
  <si>
    <t>NOMINA  14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</si>
  <si>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</si>
  <si>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</si>
  <si>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</si>
  <si>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</si>
  <si>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</si>
  <si>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</si>
  <si>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POLLO-MAIZ-CHORIZO</t>
  </si>
  <si>
    <t>RES-POLLO-CHORIZO</t>
  </si>
  <si>
    <t xml:space="preserve">POLLO-MAIZ   </t>
  </si>
  <si>
    <t>POLLO-QUESOS-</t>
  </si>
  <si>
    <t>RES-QUESOS-VERDURAS</t>
  </si>
  <si>
    <t>POLLO--TOSTADAS</t>
  </si>
  <si>
    <t>POLLO--CHORIZO</t>
  </si>
  <si>
    <t>POLLO-QUESOS CONDIMENTOS</t>
  </si>
  <si>
    <t>CHISTORRA-QUESO -POLLO</t>
  </si>
  <si>
    <t>POLLO-MAIZ-QUESOS VERDURA</t>
  </si>
  <si>
    <t>SEMANA 12 Y 13</t>
  </si>
  <si>
    <t>SEMANA 31</t>
  </si>
  <si>
    <t>SEMANA 32</t>
  </si>
  <si>
    <t>SEMANA 33</t>
  </si>
  <si>
    <t>RES-POLLO--CHORIZO</t>
  </si>
  <si>
    <t>RES-POLLO-TOSTADAS</t>
  </si>
  <si>
    <t>Transfer</t>
  </si>
  <si>
    <t>QUESOS--POLLO-MAIZ</t>
  </si>
  <si>
    <t>RES-SALSAS</t>
  </si>
  <si>
    <t>MARZO.,2020</t>
  </si>
  <si>
    <t>GASOLINA</t>
  </si>
  <si>
    <t>MATERIAL LIMPIEZA</t>
  </si>
  <si>
    <t>VIGILANTE</t>
  </si>
  <si>
    <t>OFFICE DEPOT cintas</t>
  </si>
  <si>
    <t>COMISIONES BANCARIAS</t>
  </si>
  <si>
    <t>CELULARES 4  equipos</t>
  </si>
  <si>
    <t>CAMARAS Tienda</t>
  </si>
  <si>
    <t>IMSS--INFONAVIT-</t>
  </si>
  <si>
    <t>Seguro Anual  Moto</t>
  </si>
  <si>
    <t>Seguro Resp civil</t>
  </si>
  <si>
    <t>Bolsas y desechables</t>
  </si>
  <si>
    <t>SIN LUZ</t>
  </si>
  <si>
    <t>BALANCE      ABASTO 4 CARNES   ABRIL       2 0 2 0</t>
  </si>
  <si>
    <t>BALANCE      ABASTO 4 CARNES   MARZO      2 0 2 0</t>
  </si>
  <si>
    <t>NOMINA 15</t>
  </si>
  <si>
    <t>NOMINA 16</t>
  </si>
  <si>
    <t>NOMINA 17</t>
  </si>
  <si>
    <t>NOMINA 18</t>
  </si>
  <si>
    <t>NOMINA 19</t>
  </si>
  <si>
    <t>FUMIGACION</t>
  </si>
  <si>
    <t>RES-QUESOS-CHISTORRA-SALSAS-POLLO-TOSTADAS</t>
  </si>
  <si>
    <t>NO ABRIO</t>
  </si>
  <si>
    <t>POLLO--RES</t>
  </si>
  <si>
    <t>CHORIZO-JUGO</t>
  </si>
  <si>
    <t>Tranfer y Dep</t>
  </si>
  <si>
    <t>POLLO--MAIZ-QUESO</t>
  </si>
  <si>
    <t xml:space="preserve">Transfer </t>
  </si>
  <si>
    <t>RES-POLLO-CHORIZO-JUGO</t>
  </si>
  <si>
    <t>POLLO-QUESOS-VERDURA</t>
  </si>
  <si>
    <t>RES-MAIZ</t>
  </si>
  <si>
    <t>NOMINA  19</t>
  </si>
  <si>
    <t>TOSTADAS--SALSAS</t>
  </si>
  <si>
    <t>PATA-POLLO</t>
  </si>
  <si>
    <t>RES-QUESOS-POLLO</t>
  </si>
  <si>
    <t>RES-VERDURAS</t>
  </si>
  <si>
    <t>TOCINETA-QUESOS-POLLO-TOSTADAS-CHORIZO</t>
  </si>
  <si>
    <t>RES-POLLO-SALSAS</t>
  </si>
  <si>
    <t>RES--POLLO--VINAGRE</t>
  </si>
  <si>
    <t>OBRADOR</t>
  </si>
  <si>
    <t>QUESOS-MAIZ</t>
  </si>
  <si>
    <t>ABRIL.,2020</t>
  </si>
  <si>
    <t>IMPUESTOS FED</t>
  </si>
  <si>
    <t>POLICIA AUX</t>
  </si>
  <si>
    <t>Art de limpieza</t>
  </si>
  <si>
    <t xml:space="preserve">PAPELERIA </t>
  </si>
  <si>
    <t>BOMBA P/Fumigar</t>
  </si>
  <si>
    <t>Tenencia MOTO</t>
  </si>
  <si>
    <t xml:space="preserve">VIGILANCIA </t>
  </si>
  <si>
    <t>LLANTA MOTO</t>
  </si>
  <si>
    <t>FONACOT</t>
  </si>
  <si>
    <t>CELULARES-INTERNET</t>
  </si>
  <si>
    <t>ADT-SECURITY</t>
  </si>
  <si>
    <t>Material empaques</t>
  </si>
  <si>
    <t>Motores Vitrinas</t>
  </si>
  <si>
    <t>COMISIONES BANCO</t>
  </si>
  <si>
    <t>I.M.S.S  MARZO</t>
  </si>
  <si>
    <t>BALANCE      ABASTO 4 CARNES   MAYO       2 0 2 0</t>
  </si>
  <si>
    <t>NOMINA 20</t>
  </si>
  <si>
    <t>NOMINA 21</t>
  </si>
  <si>
    <t>NOMINA  22</t>
  </si>
  <si>
    <t xml:space="preserve">NOMINA  </t>
  </si>
  <si>
    <t>NOMINA 22</t>
  </si>
  <si>
    <t>CREDITOS ANT</t>
  </si>
  <si>
    <t>Caja de Rollos</t>
  </si>
  <si>
    <t>MAIZ-POLLO-JUGO</t>
  </si>
  <si>
    <t>POLLO-QUESOS-CHORIZO-VERDURAS</t>
  </si>
  <si>
    <t>SAT--S.H.C.P</t>
  </si>
  <si>
    <t>TOCINETA</t>
  </si>
  <si>
    <t>56.00obrad</t>
  </si>
  <si>
    <t>PROTECCION CIVIL</t>
  </si>
  <si>
    <t>QUESOS --POLLO-MAIZ-TOSTADAS</t>
  </si>
  <si>
    <t>POLLO-QUESOS-MAIZ-TOSTADAS</t>
  </si>
  <si>
    <t>MAIZ-QUESO-JUGO</t>
  </si>
  <si>
    <t>QUESOS--POLLO</t>
  </si>
  <si>
    <t>POLLO-SALSAS-TOSTADAS</t>
  </si>
  <si>
    <t>POLLO-CHORIZO-SAZONADOR</t>
  </si>
  <si>
    <t>gastos</t>
  </si>
  <si>
    <t>compras</t>
  </si>
  <si>
    <t>gastos 1</t>
  </si>
  <si>
    <t>TOTAL 1</t>
  </si>
  <si>
    <t>TOTAL  2</t>
  </si>
  <si>
    <t>bancos</t>
  </si>
  <si>
    <t>May.,2020</t>
  </si>
  <si>
    <t>VIGILANCIA</t>
  </si>
  <si>
    <t>CELULARES</t>
  </si>
  <si>
    <t>COMISIONES</t>
  </si>
  <si>
    <t>DESECHABLES</t>
  </si>
  <si>
    <t>IMSS-INFONAVIT</t>
  </si>
  <si>
    <t>Manto BASCULA Torrey</t>
  </si>
  <si>
    <t>ARQUITECTO Pisos</t>
  </si>
  <si>
    <t>NOMINA 23</t>
  </si>
  <si>
    <t>NOMINA 24</t>
  </si>
  <si>
    <t>NOMINA 25</t>
  </si>
  <si>
    <t>BALANCE      ABASTO 4 CARNES   JUNIO        2 0 2 0</t>
  </si>
  <si>
    <t>NOMINA 26</t>
  </si>
  <si>
    <t>MAIZ-POLLO-ARABE</t>
  </si>
  <si>
    <t>POLLO-QUESOS-ARABE</t>
  </si>
  <si>
    <t>RES  Facturado</t>
  </si>
  <si>
    <t>SALDO 1</t>
  </si>
  <si>
    <t>TOTAL   1</t>
  </si>
  <si>
    <t>MAIZ-TOSTADAS</t>
  </si>
  <si>
    <t>POLLO-PAPAS</t>
  </si>
  <si>
    <t>QUESO-SALCHICHA-TOCINETA-POLLO</t>
  </si>
  <si>
    <t>NOMINA  25</t>
  </si>
  <si>
    <t>JAMON-MAIZ-POLLO</t>
  </si>
  <si>
    <t>QUESOS-POLLO-CHORIZO-PAPAS</t>
  </si>
  <si>
    <t>POLLO-MAIZ-QUESOS-ARABE</t>
  </si>
  <si>
    <t>SALCHICHA, CHISTORRA</t>
  </si>
  <si>
    <t>POLLO-LONGANIZA-CHORIZO</t>
  </si>
  <si>
    <t>QUESO-POLLO-PAPAS</t>
  </si>
  <si>
    <t>POLLO-SALSAS-CECINA</t>
  </si>
  <si>
    <t xml:space="preserve">POLLO-LONGANIZA  </t>
  </si>
  <si>
    <t>TOSTADAS-MAIZ-VINAGRE</t>
  </si>
  <si>
    <t>QUESOS-POLLO-SABROSITO</t>
  </si>
  <si>
    <t>SALSAS</t>
  </si>
  <si>
    <t>LONGANIZAS-TOSTADAS</t>
  </si>
  <si>
    <t xml:space="preserve">POLLO-MAIZ </t>
  </si>
  <si>
    <t>QUESOS-POLLO</t>
  </si>
  <si>
    <t>LONGANIZAS--MAIZ</t>
  </si>
  <si>
    <t>NOMINA 27</t>
  </si>
  <si>
    <t>QUESO-TOCINETA-VERDURA</t>
  </si>
  <si>
    <t>QUESOS -POLLO</t>
  </si>
  <si>
    <t>pollo-chorizo</t>
  </si>
  <si>
    <t>pollo-tostadas</t>
  </si>
  <si>
    <t>Quesos</t>
  </si>
  <si>
    <t>Rem-ASO</t>
  </si>
  <si>
    <t>Marco Nuevo</t>
  </si>
  <si>
    <t>RENTA  3-Jul-2020</t>
  </si>
  <si>
    <t>QUESOS POLLO</t>
  </si>
  <si>
    <t>NOMINA 28</t>
  </si>
  <si>
    <t>PAPAS</t>
  </si>
  <si>
    <t>sin sistema</t>
  </si>
  <si>
    <t>Licencia de facturacion</t>
  </si>
  <si>
    <t>Junio.,2020</t>
  </si>
  <si>
    <t>CAMARAS</t>
  </si>
  <si>
    <t>LONGANIZAS</t>
  </si>
  <si>
    <t>quesos,jamon-pollo-salsas-</t>
  </si>
  <si>
    <t>COMISIONES BANC</t>
  </si>
  <si>
    <t>SANITIZACION</t>
  </si>
  <si>
    <t>URSULA MATADAMAS</t>
  </si>
  <si>
    <t>AMAZON</t>
  </si>
  <si>
    <t>RENTAS JUNIO,JULIO</t>
  </si>
  <si>
    <t>Mandiles</t>
  </si>
  <si>
    <t xml:space="preserve"> I M S S </t>
  </si>
  <si>
    <t>CONTRAS RES</t>
  </si>
  <si>
    <t>RES f-132</t>
  </si>
  <si>
    <t>RES f--133</t>
  </si>
  <si>
    <t>RES f-141</t>
  </si>
  <si>
    <t>RES f-150</t>
  </si>
  <si>
    <t>RES f-159</t>
  </si>
  <si>
    <t>RES f-163</t>
  </si>
  <si>
    <t>RES f-144</t>
  </si>
  <si>
    <t>SUKARNE</t>
  </si>
  <si>
    <t>TELCEL  Celular</t>
  </si>
  <si>
    <t>AFORES</t>
  </si>
  <si>
    <t xml:space="preserve">RENTA </t>
  </si>
  <si>
    <t>NOMINA 29</t>
  </si>
  <si>
    <t>NOMINA 30</t>
  </si>
  <si>
    <t>NOMINA 31</t>
  </si>
  <si>
    <t>NOMINA 33</t>
  </si>
  <si>
    <t>RES  f</t>
  </si>
  <si>
    <t>Julio.,2020</t>
  </si>
  <si>
    <t>NOMINA 32</t>
  </si>
  <si>
    <t>POLLO-LONGANIZAS-QUESOS</t>
  </si>
  <si>
    <t>Longaniza-pollo-maiz</t>
  </si>
  <si>
    <t>NOMINA 34</t>
  </si>
  <si>
    <t>NOMINA 35</t>
  </si>
  <si>
    <t>SALCHICHA</t>
  </si>
  <si>
    <t>LONGANIZA-PAPA-POLLO</t>
  </si>
  <si>
    <t>QUESOS-CHORIZOS-CECINA-LONGANIZA</t>
  </si>
  <si>
    <t>PAPAS-POLLO</t>
  </si>
  <si>
    <t>POLLO--CREMA-QUESOS</t>
  </si>
  <si>
    <t>MAIZ--POLLO</t>
  </si>
  <si>
    <t>POLLO-CONDIMENTOS</t>
  </si>
  <si>
    <t>POLLO-CHORIZO-TOSTADAS</t>
  </si>
  <si>
    <t>POLLO-CECINA-LONGANIZAS-QUESOS</t>
  </si>
  <si>
    <t>NLP</t>
  </si>
  <si>
    <t>POLLO-SALCHICHA-QUESOS-MAIZ</t>
  </si>
  <si>
    <t>POLLO-QUESOS VERDURA</t>
  </si>
  <si>
    <t>POLLO-ENCHILADA-CHORIZO-</t>
  </si>
  <si>
    <t>julio.,2020</t>
  </si>
  <si>
    <t>VIGILANTES</t>
  </si>
  <si>
    <t>NOMINA  31</t>
  </si>
  <si>
    <t>BALANCE      ABASTO 4 CARNES   JULIO        2 0 2 0</t>
  </si>
  <si>
    <t>BALANCE      ABASTO 4 CARNES   A G O S T O        2 0 2 0</t>
  </si>
  <si>
    <t>QUESOS-POLLO-PAPA-TOSTADA</t>
  </si>
  <si>
    <t>LONGANIZAS-POLLO-VERDURAS</t>
  </si>
  <si>
    <t>POLLO-PAPAS-Tostadas-QUESOS</t>
  </si>
  <si>
    <t>POLLO-CONDIMENTOS-JUGO</t>
  </si>
  <si>
    <t>POLLO-ENCHILADA-CHORIZO</t>
  </si>
  <si>
    <t>RES--f 174</t>
  </si>
  <si>
    <t>RES--f 173</t>
  </si>
  <si>
    <t>RES--f 175</t>
  </si>
  <si>
    <t>Longanizas-papas-pollo-verdura</t>
  </si>
  <si>
    <t>QUESOS-POLLO-CHORIZO</t>
  </si>
  <si>
    <t>LONGANIZA-POLLO</t>
  </si>
  <si>
    <t>JAMONES-CHORIZO-POLLO-JUGO</t>
  </si>
  <si>
    <t>RES f-1189</t>
  </si>
  <si>
    <t>RES f-1195</t>
  </si>
  <si>
    <t>RES f-1220</t>
  </si>
  <si>
    <t>RES f-1235</t>
  </si>
  <si>
    <t>RES f-1241</t>
  </si>
  <si>
    <t>RES f-1234</t>
  </si>
  <si>
    <t>A 00001</t>
  </si>
  <si>
    <t>A 00009</t>
  </si>
  <si>
    <t>A 00202</t>
  </si>
  <si>
    <t>A 00401</t>
  </si>
  <si>
    <t>A 00447</t>
  </si>
  <si>
    <t>A 00507</t>
  </si>
  <si>
    <t>A 00681</t>
  </si>
  <si>
    <t>A 00855</t>
  </si>
  <si>
    <t>A 00927</t>
  </si>
  <si>
    <t>A 00973</t>
  </si>
  <si>
    <t>A 01161</t>
  </si>
  <si>
    <t>A 01163</t>
  </si>
  <si>
    <t>A 01287</t>
  </si>
  <si>
    <t>A 01316</t>
  </si>
  <si>
    <t>A 01524</t>
  </si>
  <si>
    <t>A 01531</t>
  </si>
  <si>
    <t>A 01573</t>
  </si>
  <si>
    <t>SERVICIO DE NISSAN</t>
  </si>
  <si>
    <t>QUESO-MAIZ-POLLO-TOSTADA</t>
  </si>
  <si>
    <t>POLLO-SALSAS</t>
  </si>
  <si>
    <t>Longanizas-POLLO-SAZONADORES</t>
  </si>
  <si>
    <t>TOCINO-JAMON-ENCJILADA-MAIZ-</t>
  </si>
  <si>
    <t>NOMINA 36</t>
  </si>
  <si>
    <t>CHORIZO-POLLO</t>
  </si>
  <si>
    <t>F-1247</t>
  </si>
  <si>
    <t>F-1249</t>
  </si>
  <si>
    <t>F-1257</t>
  </si>
  <si>
    <t>F-1267</t>
  </si>
  <si>
    <t>F-1300</t>
  </si>
  <si>
    <t>F-1275</t>
  </si>
  <si>
    <t>F-1289</t>
  </si>
  <si>
    <t>F-</t>
  </si>
  <si>
    <t>Longaniza--POLLO-,MAIZ</t>
  </si>
  <si>
    <t>QUESOS-TOSTADAS-POLLO-VERDURA</t>
  </si>
  <si>
    <t>POLLO-MAIZ-LONGANIZAS</t>
  </si>
  <si>
    <t>POLLO-CHORIZO-SALSA</t>
  </si>
  <si>
    <t>POLLO-LONGANIZA</t>
  </si>
  <si>
    <t>QUESOS-POLLO-MAIZ</t>
  </si>
  <si>
    <t xml:space="preserve">saldo a favor </t>
  </si>
  <si>
    <t>A 01696</t>
  </si>
  <si>
    <t>A 01734</t>
  </si>
  <si>
    <t>A 01837</t>
  </si>
  <si>
    <t>A 02053</t>
  </si>
  <si>
    <t>A 02126</t>
  </si>
  <si>
    <t>A 02189</t>
  </si>
  <si>
    <t>A 02255</t>
  </si>
  <si>
    <t>A 02395</t>
  </si>
  <si>
    <t>A 02456</t>
  </si>
  <si>
    <t>A 02522</t>
  </si>
  <si>
    <t>A 02545</t>
  </si>
  <si>
    <t>A 02651</t>
  </si>
  <si>
    <t>A 02828</t>
  </si>
  <si>
    <t>A 02885</t>
  </si>
  <si>
    <t>A 3019</t>
  </si>
  <si>
    <t>Agosto</t>
  </si>
  <si>
    <t>Art LIMPIEZA</t>
  </si>
  <si>
    <t>CALENDARIOS</t>
  </si>
  <si>
    <t>BATAS</t>
  </si>
  <si>
    <t>Rollos Termicos</t>
  </si>
  <si>
    <t>BOLSA</t>
  </si>
  <si>
    <t>CELULAR</t>
  </si>
  <si>
    <r>
      <t xml:space="preserve">TELMEX                      </t>
    </r>
    <r>
      <rPr>
        <b/>
        <sz val="12"/>
        <color rgb="FF990099"/>
        <rFont val="Calibri"/>
        <family val="2"/>
        <scheme val="minor"/>
      </rPr>
      <t>22-24-09-76-64</t>
    </r>
  </si>
  <si>
    <t>BASCULAS</t>
  </si>
  <si>
    <r>
      <rPr>
        <b/>
        <sz val="10"/>
        <color rgb="FF0000FF"/>
        <rFont val="Calibri"/>
        <family val="2"/>
        <scheme val="minor"/>
      </rPr>
      <t xml:space="preserve">Agosto </t>
    </r>
    <r>
      <rPr>
        <b/>
        <sz val="10"/>
        <color theme="1"/>
        <rFont val="Calibri"/>
        <family val="2"/>
        <scheme val="minor"/>
      </rPr>
      <t xml:space="preserve">    COMISIONES BANCARIAS</t>
    </r>
  </si>
  <si>
    <t xml:space="preserve">Limpia  PAPSA </t>
  </si>
  <si>
    <t>IMSS</t>
  </si>
  <si>
    <t>FINANZAS</t>
  </si>
  <si>
    <t>SEGUROS AXXA</t>
  </si>
  <si>
    <t xml:space="preserve">AGOSTO </t>
  </si>
  <si>
    <t xml:space="preserve">COMPRAS EXTRAS </t>
  </si>
  <si>
    <t>BALANCE      ABASTO 4 CARNES   SEPTIEMBRE         2 0 2 0</t>
  </si>
  <si>
    <t>QUESO-POLLO-PAPAS-TOSTADAS</t>
  </si>
  <si>
    <t>LONGANIZAS-POLLO-VERDURA</t>
  </si>
  <si>
    <t>MAIZ-QUESO-POLLO</t>
  </si>
  <si>
    <t>NOMINA  36</t>
  </si>
  <si>
    <t>LONGANIZAS-TOCINETA--POLLO</t>
  </si>
  <si>
    <t xml:space="preserve">   </t>
  </si>
  <si>
    <t>MAIZ-POLLO-LONGANIZAS</t>
  </si>
  <si>
    <t>LONGANIZAS-POLLO-CHORIZO</t>
  </si>
  <si>
    <t>QUESOS-LONGANIZAS-PAPA-POLLO</t>
  </si>
  <si>
    <t>QUESO --POLLO</t>
  </si>
  <si>
    <t>LONGANIZA-JAMON-CHORIZO</t>
  </si>
  <si>
    <t>SALSA INGLESA</t>
  </si>
  <si>
    <t>QUESOS-PEREJIL</t>
  </si>
  <si>
    <t>POLLO-LONGANIZAS</t>
  </si>
  <si>
    <r>
      <t xml:space="preserve">TELMEX                      </t>
    </r>
    <r>
      <rPr>
        <b/>
        <sz val="9"/>
        <color rgb="FF990099"/>
        <rFont val="Calibri"/>
        <family val="2"/>
        <scheme val="minor"/>
      </rPr>
      <t>22-24-09-76-64</t>
    </r>
  </si>
  <si>
    <t>A-4829</t>
  </si>
  <si>
    <t>A-5153</t>
  </si>
  <si>
    <t>A-4987</t>
  </si>
  <si>
    <t>A-5170</t>
  </si>
  <si>
    <t>A-5405</t>
  </si>
  <si>
    <t>RES Fact 12 M H</t>
  </si>
  <si>
    <t>RES Fact 13  MH</t>
  </si>
  <si>
    <t>RES  F-183 Truck 28-Jul-20</t>
  </si>
  <si>
    <t xml:space="preserve">RES F-200  Truck  26-Ago-2020  </t>
  </si>
  <si>
    <t>RES F-201 Truck 26-Ago-2020</t>
  </si>
  <si>
    <t>RES  F-212 Truck 4-Sept-2020</t>
  </si>
  <si>
    <t>RES F-214   Truck 4-Sept-2020</t>
  </si>
  <si>
    <t>RES F-216  Truck  8-Sept-2020</t>
  </si>
  <si>
    <t>RES F-220  Truck  10-Sept-2020</t>
  </si>
  <si>
    <t xml:space="preserve">RES  Fact 8  M H </t>
  </si>
  <si>
    <t xml:space="preserve"> RES  F-199  Truck   24-Ago-20</t>
  </si>
  <si>
    <t>RES  F-207 Truck 4-Sept-2020</t>
  </si>
  <si>
    <t>RES  F-209  Truck 4-Sept-2020</t>
  </si>
  <si>
    <t>RES  F-206 Truck 4-Sept-2020</t>
  </si>
  <si>
    <t>SEMANA 48</t>
  </si>
  <si>
    <t>SEMANA 49</t>
  </si>
  <si>
    <t>SEMANA 50</t>
  </si>
  <si>
    <t>SEMANA 51</t>
  </si>
  <si>
    <t>SEMANA 52</t>
  </si>
  <si>
    <t>SEMANA 53</t>
  </si>
  <si>
    <t>NOMINA 38</t>
  </si>
  <si>
    <t>NOMINA 37</t>
  </si>
  <si>
    <t>POLLO-LONGANIZA-TOTOPOS</t>
  </si>
  <si>
    <t>POLLO-ENCHILADA-MAIZ</t>
  </si>
  <si>
    <t>LONGANIZA-QUESO-POLLO</t>
  </si>
  <si>
    <t>POLLO-PAPA-MAIZ-VERDURA</t>
  </si>
  <si>
    <t>NOMINA 39</t>
  </si>
  <si>
    <t>LONGANIZAS--POLLO</t>
  </si>
  <si>
    <t>POLLO-HUEVO</t>
  </si>
  <si>
    <t>LONGANIZAS-´POLLO</t>
  </si>
  <si>
    <t>RES  F-016  M H</t>
  </si>
  <si>
    <t xml:space="preserve">RES  F-21  M H </t>
  </si>
  <si>
    <t xml:space="preserve">SALDO A FAVOR </t>
  </si>
  <si>
    <t>A-3330</t>
  </si>
  <si>
    <t>A-3134</t>
  </si>
  <si>
    <t>A-3284</t>
  </si>
  <si>
    <t>A-3404</t>
  </si>
  <si>
    <t>A-3529</t>
  </si>
  <si>
    <t>A-3531</t>
  </si>
  <si>
    <t>A-3682</t>
  </si>
  <si>
    <t>A-3826</t>
  </si>
  <si>
    <t>A-3982</t>
  </si>
  <si>
    <t>A-3983</t>
  </si>
  <si>
    <t>A-4140</t>
  </si>
  <si>
    <t>A-4176</t>
  </si>
  <si>
    <t>A-4280</t>
  </si>
  <si>
    <t>A-4509</t>
  </si>
  <si>
    <t>A-4514</t>
  </si>
  <si>
    <t>A-4581</t>
  </si>
  <si>
    <t>A-4636</t>
  </si>
  <si>
    <t>A-4701</t>
  </si>
  <si>
    <t>A-5609</t>
  </si>
  <si>
    <t>A-5653</t>
  </si>
  <si>
    <t>A-5730</t>
  </si>
  <si>
    <t>A-5827</t>
  </si>
  <si>
    <t>A-5899</t>
  </si>
  <si>
    <t>A-5927</t>
  </si>
  <si>
    <t>A-6162</t>
  </si>
  <si>
    <t>A-6219</t>
  </si>
  <si>
    <t>SEPTIEMBRE</t>
  </si>
  <si>
    <t>Material Limpieza</t>
  </si>
  <si>
    <t>BOLSA CANASTA</t>
  </si>
  <si>
    <t>CAMARA DE COMER</t>
  </si>
  <si>
    <t>EQUIPO</t>
  </si>
  <si>
    <t>PERDIDA</t>
  </si>
  <si>
    <t>NO DEDUCIBLE CORTES FINOS+ Amazon</t>
  </si>
  <si>
    <t>Manto BASCULAS</t>
  </si>
  <si>
    <t>IMSS + 3% S/nomina</t>
  </si>
  <si>
    <t>BATERIA MOTO</t>
  </si>
  <si>
    <t>RES  F???</t>
  </si>
  <si>
    <t>RES  F-18</t>
  </si>
  <si>
    <t>NOMINA 40</t>
  </si>
  <si>
    <t>NOMINA 41</t>
  </si>
  <si>
    <t>NOMINA 42</t>
  </si>
  <si>
    <t>NOMINA 43</t>
  </si>
  <si>
    <t>NOMINA 44</t>
  </si>
  <si>
    <t>BALANCE      ABASTO 4 CARNES   OCTUBRE         2 0 2 0</t>
  </si>
  <si>
    <t>RES  37</t>
  </si>
  <si>
    <t>RES  38</t>
  </si>
  <si>
    <t>POLLO-MAIZ-QUESOS</t>
  </si>
  <si>
    <t>POLLO-TOCINETA-QUESOS</t>
  </si>
  <si>
    <t>LONGANIZAS-QUESOS-PAPA</t>
  </si>
  <si>
    <t>POLLO-CHORIZO-MAIZ</t>
  </si>
  <si>
    <t>POLLO--CARNES FRIAS</t>
  </si>
  <si>
    <t>ENCHILADA-POLLO</t>
  </si>
  <si>
    <t>ENCHILADA-QUESOS-POLLO-MAIZ</t>
  </si>
  <si>
    <t>POLLO--LONGANIZA</t>
  </si>
  <si>
    <t>RES  F 47</t>
  </si>
  <si>
    <t>RES  F 59</t>
  </si>
  <si>
    <t>RES  F 62</t>
  </si>
  <si>
    <t>RES  F 63</t>
  </si>
  <si>
    <t>RES  45</t>
  </si>
  <si>
    <r>
      <t>RES  44-</t>
    </r>
    <r>
      <rPr>
        <b/>
        <sz val="12"/>
        <color rgb="FFFF0000"/>
        <rFont val="Calibri"/>
        <family val="2"/>
        <scheme val="minor"/>
      </rPr>
      <t>-40</t>
    </r>
  </si>
  <si>
    <r>
      <t xml:space="preserve">RES </t>
    </r>
    <r>
      <rPr>
        <b/>
        <sz val="12"/>
        <color rgb="FFFF0000"/>
        <rFont val="Calibri"/>
        <family val="2"/>
        <scheme val="minor"/>
      </rPr>
      <t xml:space="preserve"> 29-</t>
    </r>
    <r>
      <rPr>
        <b/>
        <sz val="11"/>
        <color rgb="FF0000FF"/>
        <rFont val="Calibri"/>
        <family val="2"/>
        <scheme val="minor"/>
      </rPr>
      <t>--31</t>
    </r>
  </si>
  <si>
    <r>
      <t>RES  F-</t>
    </r>
    <r>
      <rPr>
        <b/>
        <sz val="12"/>
        <color rgb="FFFF0000"/>
        <rFont val="Calibri"/>
        <family val="2"/>
        <scheme val="minor"/>
      </rPr>
      <t>27--</t>
    </r>
    <r>
      <rPr>
        <b/>
        <sz val="12"/>
        <color rgb="FF0000FF"/>
        <rFont val="Calibri"/>
        <family val="2"/>
        <scheme val="minor"/>
      </rPr>
      <t xml:space="preserve">30  </t>
    </r>
    <r>
      <rPr>
        <b/>
        <sz val="11"/>
        <color rgb="FF0000FF"/>
        <rFont val="Calibri"/>
        <family val="2"/>
        <scheme val="minor"/>
      </rPr>
      <t xml:space="preserve"> M H </t>
    </r>
  </si>
  <si>
    <t>pagada</t>
  </si>
  <si>
    <t>POLLO-JUGO-CHORIZO</t>
  </si>
  <si>
    <t>POLLO-TOSTADAS-MAIZ</t>
  </si>
  <si>
    <t>QUESOS,POLLO-CHISTORRA-TOCINETA</t>
  </si>
  <si>
    <t>POLLO-ENCHILADA-SALSAS</t>
  </si>
  <si>
    <t>VACACIONES Manuel</t>
  </si>
  <si>
    <t>LONGANIZAS-MAIZ</t>
  </si>
  <si>
    <t>SALSAS QUESOS POLLO</t>
  </si>
  <si>
    <t>CHORIZO-MAIZ-POLLO</t>
  </si>
  <si>
    <t>ENCHILADA</t>
  </si>
  <si>
    <t>POLLO-MARINADOR</t>
  </si>
  <si>
    <t>LONGANIZA-POLLO-TOSTADAS-CHORIZO</t>
  </si>
  <si>
    <t>CHORIZOS--QUESOS-PAPA</t>
  </si>
  <si>
    <t>A-6382</t>
  </si>
  <si>
    <t>A-6375</t>
  </si>
  <si>
    <t>A-6534</t>
  </si>
  <si>
    <t>A-6686</t>
  </si>
  <si>
    <t>A-6967</t>
  </si>
  <si>
    <t>A-6700</t>
  </si>
  <si>
    <t>A-7079</t>
  </si>
  <si>
    <t>A-7109</t>
  </si>
  <si>
    <t>A-7202</t>
  </si>
  <si>
    <t>A-7215</t>
  </si>
  <si>
    <t>A-7370</t>
  </si>
  <si>
    <t>A-7586</t>
  </si>
  <si>
    <t>A-7787</t>
  </si>
  <si>
    <t>A-7855</t>
  </si>
  <si>
    <t>A-7903</t>
  </si>
  <si>
    <t>A-8192</t>
  </si>
  <si>
    <t>A-8256</t>
  </si>
  <si>
    <t>A-8375</t>
  </si>
  <si>
    <t>A-8379</t>
  </si>
  <si>
    <t>A-8609</t>
  </si>
  <si>
    <t>A-8693</t>
  </si>
  <si>
    <t>A-8949</t>
  </si>
  <si>
    <t>A-9086</t>
  </si>
  <si>
    <t>A-9224</t>
  </si>
  <si>
    <t>A-9234</t>
  </si>
  <si>
    <t>A-9239</t>
  </si>
  <si>
    <t>A-9585</t>
  </si>
  <si>
    <t>A-9845</t>
  </si>
  <si>
    <t>A-9956</t>
  </si>
  <si>
    <t>A-9984</t>
  </si>
  <si>
    <t>A-10164</t>
  </si>
  <si>
    <t>A-10180</t>
  </si>
  <si>
    <t>A-10298</t>
  </si>
  <si>
    <t>A-10326</t>
  </si>
  <si>
    <t>A-10483</t>
  </si>
  <si>
    <t>A-10487</t>
  </si>
  <si>
    <t>A-10622</t>
  </si>
  <si>
    <t>A-10721</t>
  </si>
  <si>
    <t>BALANCE      ABASTO 4 CARNES   NOVIEMBRE         2 0 2 0</t>
  </si>
  <si>
    <t>TOCINETA-SALCHICHA-QUESOS-POLLO</t>
  </si>
  <si>
    <t>LONGANIZA--POLLO</t>
  </si>
  <si>
    <t>POLLO-QUESOS-LONGANIZA</t>
  </si>
  <si>
    <t>QUESOS-LONGANIZA</t>
  </si>
  <si>
    <t>POLLO-CHORIZO-ENCHILADA</t>
  </si>
  <si>
    <t>NOMINA   45</t>
  </si>
  <si>
    <t>VACACIONES ISMAEL</t>
  </si>
  <si>
    <r>
      <rPr>
        <b/>
        <sz val="10"/>
        <color theme="9" tint="-0.249977111117893"/>
        <rFont val="Calibri"/>
        <family val="2"/>
        <scheme val="minor"/>
      </rPr>
      <t>RENTA</t>
    </r>
    <r>
      <rPr>
        <b/>
        <sz val="10"/>
        <color theme="1"/>
        <rFont val="Calibri"/>
        <family val="2"/>
        <scheme val="minor"/>
      </rPr>
      <t xml:space="preserve"> + NOMINA 44</t>
    </r>
  </si>
  <si>
    <t>DELANTALES</t>
  </si>
  <si>
    <t>Manto CAMARAS</t>
  </si>
  <si>
    <t>IMPUESTO FED</t>
  </si>
  <si>
    <t>COMPUTADORA</t>
  </si>
  <si>
    <t>Impuesto S/Nomina</t>
  </si>
  <si>
    <t xml:space="preserve">POLIZA  SEGURO </t>
  </si>
  <si>
    <t>No DeducIbles PEPE</t>
  </si>
  <si>
    <t>POLLO-LONGANIZA-PAPA-QIESOS</t>
  </si>
  <si>
    <t>POLLO-ENCHILADA-TOCINETA -VERDURA</t>
  </si>
  <si>
    <t>POLLO-CHORIZO-CONDIMENTOS</t>
  </si>
  <si>
    <t>POLLO-SALSAS-ESPECIES</t>
  </si>
  <si>
    <t>ENCHILADA-POLLO-QUESOS-TOSTADAS</t>
  </si>
  <si>
    <t>NOMINA  46</t>
  </si>
  <si>
    <t>NOMINA 45</t>
  </si>
  <si>
    <t>NOMINA 46</t>
  </si>
  <si>
    <t>NOMINA 47</t>
  </si>
  <si>
    <t>NOMINA 48</t>
  </si>
  <si>
    <t>NOMINA 49</t>
  </si>
  <si>
    <t>TOCINETA--POLLO--ENCHILADA-CHORIZO</t>
  </si>
  <si>
    <t>POLLO--PAVO--CHORIZO</t>
  </si>
  <si>
    <t>POLLO-QUESO-PAPA</t>
  </si>
  <si>
    <t>POLLO-PAPA-QUESO</t>
  </si>
  <si>
    <t>POLLO-LONGANIZA-ESPECIES</t>
  </si>
  <si>
    <t>POLLO-MAIZ-ENCHILADA</t>
  </si>
  <si>
    <t>POLLO-TOCINETA-QUESO</t>
  </si>
  <si>
    <t>POLLO-ENCHILADA-SALSAS-CHORIZO</t>
  </si>
  <si>
    <t>POLLO-CHORIZO-MAIZ-LONGANIZAS</t>
  </si>
  <si>
    <t>QUESOS-PAPA-POLLO</t>
  </si>
  <si>
    <t>LONGANIZA-POLLO-MAIZ</t>
  </si>
  <si>
    <t>NOMINA  48</t>
  </si>
  <si>
    <t xml:space="preserve">LONGANIZA-POLLO  </t>
  </si>
  <si>
    <t>OCTUBRE</t>
  </si>
  <si>
    <t>VARIOS</t>
  </si>
  <si>
    <t>MES OCTUBRE</t>
  </si>
  <si>
    <t>A-10861</t>
  </si>
  <si>
    <t>A-10871</t>
  </si>
  <si>
    <t>A-10931</t>
  </si>
  <si>
    <t>A-11164</t>
  </si>
  <si>
    <t>A-11220</t>
  </si>
  <si>
    <t>A-11221</t>
  </si>
  <si>
    <t>A-11452</t>
  </si>
  <si>
    <t>A-11699</t>
  </si>
  <si>
    <t>A-11722</t>
  </si>
  <si>
    <t>A-11895</t>
  </si>
  <si>
    <t>A-12015</t>
  </si>
  <si>
    <t>A-12043</t>
  </si>
  <si>
    <t>A-12110</t>
  </si>
  <si>
    <t>A-12159</t>
  </si>
  <si>
    <t>A-12219</t>
  </si>
  <si>
    <t>A-12230</t>
  </si>
  <si>
    <t>A-12469</t>
  </si>
  <si>
    <t>A-12471</t>
  </si>
  <si>
    <t>A-12473</t>
  </si>
  <si>
    <t>A-12686</t>
  </si>
  <si>
    <t>A-12771</t>
  </si>
  <si>
    <t>A-12773</t>
  </si>
  <si>
    <t>A-12823</t>
  </si>
  <si>
    <t>A-12935</t>
  </si>
  <si>
    <t>A-12985</t>
  </si>
  <si>
    <t>A-12986</t>
  </si>
  <si>
    <t>A-13223</t>
  </si>
  <si>
    <t>A-13296</t>
  </si>
  <si>
    <t>A-13298</t>
  </si>
  <si>
    <t>A-13412</t>
  </si>
  <si>
    <t>Gran Total</t>
  </si>
  <si>
    <t xml:space="preserve">Gran Total </t>
  </si>
  <si>
    <t>Noviembre</t>
  </si>
  <si>
    <t>BOLSAS CANASTA</t>
  </si>
  <si>
    <t>REDES SOCIALES</t>
  </si>
  <si>
    <t>CELULARES E INTERNET</t>
  </si>
  <si>
    <t>DEPARTAMENTO</t>
  </si>
  <si>
    <t>IMPUESTOS</t>
  </si>
  <si>
    <t>BALANCE      ABASTO 4 CARNES   DICIEMBRE         2 0 2 0</t>
  </si>
  <si>
    <t>QUESOS-LONGANIZA-POLLO-MAIZ</t>
  </si>
  <si>
    <t xml:space="preserve">S A T </t>
  </si>
  <si>
    <t>QUESOS-TOCINETA-SALCHICHA-ENCHILADA</t>
  </si>
  <si>
    <t>NOMINA Angelica</t>
  </si>
  <si>
    <t>RES    145</t>
  </si>
  <si>
    <t>RES    144</t>
  </si>
  <si>
    <t>RES    148</t>
  </si>
  <si>
    <t>RES    157</t>
  </si>
  <si>
    <t>VALE  Manuel</t>
  </si>
  <si>
    <t>RES   F 75</t>
  </si>
  <si>
    <t>RES   F 77</t>
  </si>
  <si>
    <t>RES   F 79</t>
  </si>
  <si>
    <t>RES F--87</t>
  </si>
  <si>
    <t>RES F--91</t>
  </si>
  <si>
    <t>RES F--101</t>
  </si>
  <si>
    <t>RES F--102</t>
  </si>
  <si>
    <t>RES F--106</t>
  </si>
  <si>
    <t>RES F--109</t>
  </si>
  <si>
    <t>RES F--113</t>
  </si>
  <si>
    <t>RES F--119</t>
  </si>
  <si>
    <t>RES F--123</t>
  </si>
  <si>
    <t>RES F--133</t>
  </si>
  <si>
    <t>RES F--136</t>
  </si>
  <si>
    <t>RES F--146</t>
  </si>
  <si>
    <t>QUESOS--POLLO-VEREDURAS</t>
  </si>
  <si>
    <t>LONGANIZA-ENCHILADA-PAPA-QUESOS-POLLO-MAIZ</t>
  </si>
  <si>
    <t>LONGANIZA-CONDIMENTOS</t>
  </si>
  <si>
    <t>NOMINA 50</t>
  </si>
  <si>
    <t>TOCINETA-POLLO-QUESOS-ENCHILADA-CEBOLLA</t>
  </si>
  <si>
    <t>LONGANIZA--POLLO-CECINA-ESPECIES</t>
  </si>
  <si>
    <t>LONGANIZA-ENCHILADA-QUESOS-POLLO-MAIZ</t>
  </si>
  <si>
    <t>NOMINA 51 Aguinaldos</t>
  </si>
  <si>
    <t>QUESOS-CHISTORRA-TOCINETA-LONGANIZA-POLLO</t>
  </si>
  <si>
    <t>ENCHILADA-TOSTADAS-POLLO</t>
  </si>
  <si>
    <t>NOMINA 52</t>
  </si>
  <si>
    <t>LONGANIZA-POLLO-QUESOS-PAPA</t>
  </si>
  <si>
    <t>POLLO-LONGANIZA-MAIZ-CHORIZO</t>
  </si>
  <si>
    <t>LONGANIZA-POLLO-TOSTADAS</t>
  </si>
  <si>
    <t>13588 A</t>
  </si>
  <si>
    <t>13765 A</t>
  </si>
  <si>
    <t>13935 A</t>
  </si>
  <si>
    <t>13871 A</t>
  </si>
  <si>
    <t>14073 A</t>
  </si>
  <si>
    <t>14087 A</t>
  </si>
  <si>
    <t>14163 A</t>
  </si>
  <si>
    <t>14273 A</t>
  </si>
  <si>
    <t>14287 A</t>
  </si>
  <si>
    <t>14358 A</t>
  </si>
  <si>
    <t>14451 A</t>
  </si>
  <si>
    <t>14551 A</t>
  </si>
  <si>
    <t>14679 A</t>
  </si>
  <si>
    <t>14718 A</t>
  </si>
  <si>
    <t>14806 A</t>
  </si>
  <si>
    <t>14829 A</t>
  </si>
  <si>
    <t>14890 A</t>
  </si>
  <si>
    <t>14928 A</t>
  </si>
  <si>
    <t>14929 A</t>
  </si>
  <si>
    <t>15029 A</t>
  </si>
  <si>
    <t>15058 A</t>
  </si>
  <si>
    <t>15227 A</t>
  </si>
  <si>
    <t>15332 A</t>
  </si>
  <si>
    <t>15372 A</t>
  </si>
  <si>
    <t>15436 A</t>
  </si>
  <si>
    <t>15526 A</t>
  </si>
  <si>
    <t>15598 A</t>
  </si>
  <si>
    <t>15716 A</t>
  </si>
  <si>
    <t>15717 A</t>
  </si>
  <si>
    <t>15762 A</t>
  </si>
  <si>
    <t>15844 A</t>
  </si>
  <si>
    <t>15941 A</t>
  </si>
  <si>
    <t>16097 A</t>
  </si>
  <si>
    <t>16125 A</t>
  </si>
  <si>
    <t>16146 A</t>
  </si>
  <si>
    <t>16165 A</t>
  </si>
  <si>
    <t>16268 A</t>
  </si>
  <si>
    <t>16289 A</t>
  </si>
  <si>
    <t>16444 A</t>
  </si>
  <si>
    <t>16453 A</t>
  </si>
  <si>
    <t>16454 A</t>
  </si>
  <si>
    <t>16457 A</t>
  </si>
  <si>
    <t>16458 A</t>
  </si>
  <si>
    <t>16477 A</t>
  </si>
  <si>
    <t>16583 A</t>
  </si>
  <si>
    <t>16655 A</t>
  </si>
  <si>
    <t>16737 A</t>
  </si>
  <si>
    <t>16895 A</t>
  </si>
  <si>
    <t>17037 A</t>
  </si>
  <si>
    <t>17080 A</t>
  </si>
  <si>
    <t>17105 A</t>
  </si>
  <si>
    <t>17292 A</t>
  </si>
  <si>
    <t>17328 A</t>
  </si>
  <si>
    <t>17469 A</t>
  </si>
  <si>
    <t>17530 A</t>
  </si>
  <si>
    <t>17561 A</t>
  </si>
  <si>
    <t>17698 A</t>
  </si>
  <si>
    <t>17745 A</t>
  </si>
  <si>
    <t>17759 A</t>
  </si>
  <si>
    <r>
      <t>166--</t>
    </r>
    <r>
      <rPr>
        <b/>
        <sz val="14"/>
        <color rgb="FFFF0000"/>
        <rFont val="Calibri"/>
        <family val="2"/>
        <scheme val="minor"/>
      </rPr>
      <t>178</t>
    </r>
  </si>
  <si>
    <r>
      <t>170--</t>
    </r>
    <r>
      <rPr>
        <b/>
        <sz val="14"/>
        <color rgb="FFFF0000"/>
        <rFont val="Calibri"/>
        <family val="2"/>
        <scheme val="minor"/>
      </rPr>
      <t>179</t>
    </r>
  </si>
  <si>
    <t xml:space="preserve">LONGANIZA-POLLO-QUESOS  </t>
  </si>
  <si>
    <t>RENTA + NOMINA 01</t>
  </si>
  <si>
    <t>LONGANIZA-QUESO-POLLO-SALCHICHA-PAPA</t>
  </si>
  <si>
    <t>#  220556</t>
  </si>
  <si>
    <t>#  220557</t>
  </si>
  <si>
    <t>#  220592</t>
  </si>
  <si>
    <t>#  220593</t>
  </si>
  <si>
    <t>policia AUX</t>
  </si>
  <si>
    <t>RENTA   PEPE</t>
  </si>
  <si>
    <t>TELCEL</t>
  </si>
  <si>
    <t>Pgo a cta Departamento</t>
  </si>
  <si>
    <t>impuesto federal</t>
  </si>
  <si>
    <t>ATT MOVIL</t>
  </si>
  <si>
    <t xml:space="preserve">Redes Sociales </t>
  </si>
  <si>
    <t>Gasolina</t>
  </si>
  <si>
    <t>fumigacion</t>
  </si>
  <si>
    <t>celulares</t>
  </si>
  <si>
    <t>comisiones Banco</t>
  </si>
  <si>
    <t>estacion el sazon</t>
  </si>
  <si>
    <t>V.SANTO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</si>
</sst>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"/>
    <numFmt numFmtId="168" formatCode="[$$-80A]#,##0.00;\-[$$-80A]#,##0.00"/>
    <numFmt numFmtId="169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rgb="FFFF0000"/>
      <name val="Calibri"/>
      <family val="2"/>
    </font>
    <font>
      <b/>
      <i/>
      <u/>
      <sz val="14"/>
      <color theme="1"/>
      <name val="Calibri"/>
      <family val="2"/>
      <scheme val="minor"/>
    </font>
    <font>
      <b/>
      <sz val="14"/>
      <color rgb="FF0000FF"/>
      <name val="Calibri Light"/>
      <family val="1"/>
      <scheme val="major"/>
    </font>
    <font>
      <b/>
      <sz val="9"/>
      <color rgb="FF990099"/>
      <name val="Calibri"/>
      <family val="2"/>
      <scheme val="minor"/>
    </font>
    <font>
      <b/>
      <sz val="14"/>
      <color rgb="FFFF0000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9" tint="-0.249977111117893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6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1" fillId="0" borderId="0" xfId="1" applyFont="1" applyFill="1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44" fontId="2" fillId="0" borderId="6" xfId="1" applyFont="1" applyBorder="1" applyAlignment="1">
      <alignment horizontal="right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0" fontId="14" fillId="0" borderId="13" xfId="0" applyFont="1" applyBorder="1"/>
    <xf numFmtId="44" fontId="15" fillId="4" borderId="0" xfId="1" applyFont="1" applyFill="1" applyAlignment="1">
      <alignment horizontal="center"/>
    </xf>
    <xf numFmtId="44" fontId="15" fillId="4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16" fontId="0" fillId="0" borderId="0" xfId="0" applyNumberFormat="1"/>
    <xf numFmtId="44" fontId="2" fillId="0" borderId="1" xfId="1" applyFont="1" applyFill="1" applyBorder="1"/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0" xfId="1" applyFont="1" applyFill="1" applyBorder="1"/>
    <xf numFmtId="44" fontId="0" fillId="0" borderId="0" xfId="0" applyNumberFormat="1"/>
    <xf numFmtId="0" fontId="2" fillId="0" borderId="23" xfId="0" applyFont="1" applyBorder="1"/>
    <xf numFmtId="44" fontId="2" fillId="0" borderId="24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5" xfId="0" applyBorder="1"/>
    <xf numFmtId="44" fontId="2" fillId="0" borderId="25" xfId="1" applyFont="1" applyBorder="1"/>
    <xf numFmtId="165" fontId="2" fillId="0" borderId="0" xfId="0" applyNumberFormat="1" applyFont="1" applyAlignment="1">
      <alignment wrapText="1"/>
    </xf>
    <xf numFmtId="0" fontId="12" fillId="0" borderId="23" xfId="0" applyFont="1" applyBorder="1"/>
    <xf numFmtId="15" fontId="2" fillId="0" borderId="0" xfId="1" applyNumberFormat="1" applyFont="1" applyFill="1"/>
    <xf numFmtId="0" fontId="8" fillId="0" borderId="5" xfId="0" applyFont="1" applyBorder="1" applyAlignment="1">
      <alignment horizontal="center"/>
    </xf>
    <xf numFmtId="166" fontId="2" fillId="0" borderId="25" xfId="0" applyNumberFormat="1" applyFont="1" applyBorder="1"/>
    <xf numFmtId="165" fontId="2" fillId="0" borderId="0" xfId="1" applyNumberFormat="1" applyFont="1"/>
    <xf numFmtId="0" fontId="2" fillId="5" borderId="0" xfId="0" applyFont="1" applyFill="1"/>
    <xf numFmtId="166" fontId="2" fillId="0" borderId="0" xfId="0" applyNumberFormat="1" applyFont="1"/>
    <xf numFmtId="15" fontId="9" fillId="0" borderId="0" xfId="1" applyNumberFormat="1" applyFont="1" applyFill="1"/>
    <xf numFmtId="166" fontId="2" fillId="6" borderId="25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5" xfId="0" applyFont="1" applyBorder="1"/>
    <xf numFmtId="44" fontId="2" fillId="0" borderId="25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5" xfId="0" applyNumberFormat="1" applyFont="1" applyBorder="1"/>
    <xf numFmtId="44" fontId="2" fillId="3" borderId="26" xfId="1" applyFont="1" applyFill="1" applyBorder="1"/>
    <xf numFmtId="0" fontId="2" fillId="0" borderId="0" xfId="0" applyFont="1"/>
    <xf numFmtId="165" fontId="12" fillId="0" borderId="0" xfId="1" applyNumberFormat="1" applyFont="1" applyFill="1" applyAlignment="1">
      <alignment horizontal="center"/>
    </xf>
    <xf numFmtId="0" fontId="12" fillId="0" borderId="0" xfId="0" applyFont="1"/>
    <xf numFmtId="44" fontId="2" fillId="0" borderId="5" xfId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44" fontId="2" fillId="0" borderId="5" xfId="1" applyFont="1" applyBorder="1"/>
    <xf numFmtId="44" fontId="8" fillId="0" borderId="0" xfId="1" applyFont="1" applyAlignment="1">
      <alignment horizontal="right"/>
    </xf>
    <xf numFmtId="44" fontId="5" fillId="0" borderId="14" xfId="1" applyFont="1" applyBorder="1" applyAlignment="1">
      <alignment horizontal="right"/>
    </xf>
    <xf numFmtId="165" fontId="12" fillId="0" borderId="0" xfId="1" applyNumberFormat="1" applyFont="1" applyAlignment="1">
      <alignment horizontal="center"/>
    </xf>
    <xf numFmtId="44" fontId="2" fillId="0" borderId="25" xfId="1" applyFont="1" applyFill="1" applyBorder="1" applyAlignment="1">
      <alignment horizontal="right"/>
    </xf>
    <xf numFmtId="0" fontId="20" fillId="0" borderId="0" xfId="0" applyFont="1"/>
    <xf numFmtId="44" fontId="2" fillId="0" borderId="0" xfId="1" applyFont="1" applyAlignment="1">
      <alignment horizontal="right"/>
    </xf>
    <xf numFmtId="16" fontId="2" fillId="0" borderId="4" xfId="0" applyNumberFormat="1" applyFont="1" applyBorder="1"/>
    <xf numFmtId="0" fontId="2" fillId="0" borderId="28" xfId="0" applyFont="1" applyBorder="1"/>
    <xf numFmtId="44" fontId="2" fillId="0" borderId="29" xfId="1" applyFont="1" applyFill="1" applyBorder="1"/>
    <xf numFmtId="16" fontId="8" fillId="0" borderId="4" xfId="0" applyNumberFormat="1" applyFont="1" applyBorder="1"/>
    <xf numFmtId="44" fontId="2" fillId="3" borderId="27" xfId="1" applyFont="1" applyFill="1" applyBorder="1" applyAlignment="1">
      <alignment horizontal="right"/>
    </xf>
    <xf numFmtId="165" fontId="2" fillId="0" borderId="0" xfId="1" applyNumberFormat="1" applyFont="1" applyAlignment="1">
      <alignment horizontal="center"/>
    </xf>
    <xf numFmtId="44" fontId="2" fillId="0" borderId="29" xfId="1" applyFont="1" applyFill="1" applyBorder="1" applyAlignment="1">
      <alignment horizontal="right"/>
    </xf>
    <xf numFmtId="44" fontId="2" fillId="3" borderId="5" xfId="1" applyFont="1" applyFill="1" applyBorder="1" applyAlignment="1">
      <alignment horizontal="right"/>
    </xf>
    <xf numFmtId="165" fontId="2" fillId="0" borderId="19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2" fillId="0" borderId="4" xfId="0" applyFont="1" applyBorder="1"/>
    <xf numFmtId="44" fontId="2" fillId="0" borderId="16" xfId="1" applyFont="1" applyFill="1" applyBorder="1" applyAlignment="1">
      <alignment horizontal="right"/>
    </xf>
    <xf numFmtId="165" fontId="13" fillId="0" borderId="19" xfId="1" applyNumberFormat="1" applyFont="1" applyBorder="1" applyAlignment="1">
      <alignment horizontal="left"/>
    </xf>
    <xf numFmtId="0" fontId="16" fillId="0" borderId="5" xfId="0" applyFont="1" applyBorder="1"/>
    <xf numFmtId="16" fontId="2" fillId="0" borderId="4" xfId="0" applyNumberFormat="1" applyFont="1" applyBorder="1" applyAlignment="1">
      <alignment horizontal="center"/>
    </xf>
    <xf numFmtId="44" fontId="2" fillId="0" borderId="0" xfId="1" applyFont="1" applyFill="1" applyAlignment="1"/>
    <xf numFmtId="165" fontId="13" fillId="0" borderId="0" xfId="1" applyNumberFormat="1" applyFont="1" applyBorder="1" applyAlignment="1">
      <alignment horizontal="left"/>
    </xf>
    <xf numFmtId="0" fontId="16" fillId="0" borderId="27" xfId="0" applyFont="1" applyBorder="1"/>
    <xf numFmtId="16" fontId="0" fillId="0" borderId="5" xfId="0" applyNumberFormat="1" applyBorder="1"/>
    <xf numFmtId="0" fontId="16" fillId="0" borderId="5" xfId="0" applyFont="1" applyBorder="1" applyAlignment="1">
      <alignment horizontal="right"/>
    </xf>
    <xf numFmtId="44" fontId="2" fillId="0" borderId="32" xfId="1" applyFont="1" applyFill="1" applyBorder="1"/>
    <xf numFmtId="44" fontId="2" fillId="0" borderId="8" xfId="1" applyFont="1" applyFill="1" applyBorder="1"/>
    <xf numFmtId="44" fontId="2" fillId="0" borderId="0" xfId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0" fillId="0" borderId="33" xfId="0" applyBorder="1"/>
    <xf numFmtId="44" fontId="2" fillId="0" borderId="36" xfId="1" applyFont="1" applyFill="1" applyBorder="1"/>
    <xf numFmtId="15" fontId="2" fillId="0" borderId="0" xfId="0" applyNumberFormat="1" applyFont="1"/>
    <xf numFmtId="44" fontId="2" fillId="0" borderId="37" xfId="1" applyFont="1" applyFill="1" applyBorder="1"/>
    <xf numFmtId="44" fontId="0" fillId="0" borderId="0" xfId="1" applyFont="1" applyBorder="1"/>
    <xf numFmtId="165" fontId="9" fillId="0" borderId="5" xfId="1" applyNumberFormat="1" applyFont="1" applyFill="1" applyBorder="1" applyAlignment="1">
      <alignment horizontal="left"/>
    </xf>
    <xf numFmtId="44" fontId="12" fillId="0" borderId="5" xfId="1" applyFont="1" applyFill="1" applyBorder="1" applyAlignment="1">
      <alignment horizontal="right"/>
    </xf>
    <xf numFmtId="165" fontId="9" fillId="0" borderId="39" xfId="1" applyNumberFormat="1" applyFont="1" applyFill="1" applyBorder="1" applyAlignment="1">
      <alignment horizontal="left"/>
    </xf>
    <xf numFmtId="44" fontId="2" fillId="0" borderId="30" xfId="1" applyFont="1" applyFill="1" applyBorder="1"/>
    <xf numFmtId="0" fontId="13" fillId="0" borderId="0" xfId="0" applyFont="1"/>
    <xf numFmtId="164" fontId="2" fillId="0" borderId="40" xfId="0" applyNumberFormat="1" applyFont="1" applyBorder="1" applyAlignment="1">
      <alignment horizontal="center"/>
    </xf>
    <xf numFmtId="44" fontId="2" fillId="0" borderId="41" xfId="1" applyFont="1" applyBorder="1"/>
    <xf numFmtId="15" fontId="2" fillId="0" borderId="41" xfId="0" applyNumberFormat="1" applyFont="1" applyBorder="1"/>
    <xf numFmtId="44" fontId="1" fillId="0" borderId="41" xfId="1" applyBorder="1"/>
    <xf numFmtId="0" fontId="0" fillId="0" borderId="41" xfId="0" applyBorder="1"/>
    <xf numFmtId="44" fontId="1" fillId="0" borderId="30" xfId="1" applyBorder="1"/>
    <xf numFmtId="44" fontId="8" fillId="7" borderId="42" xfId="1" applyFont="1" applyFill="1" applyBorder="1" applyAlignment="1">
      <alignment horizontal="center"/>
    </xf>
    <xf numFmtId="44" fontId="8" fillId="7" borderId="32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32" xfId="0" applyNumberFormat="1" applyFont="1" applyBorder="1"/>
    <xf numFmtId="168" fontId="5" fillId="0" borderId="0" xfId="1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right"/>
    </xf>
    <xf numFmtId="44" fontId="2" fillId="0" borderId="0" xfId="0" applyNumberFormat="1" applyFont="1"/>
    <xf numFmtId="44" fontId="8" fillId="0" borderId="5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30" xfId="0" applyFont="1" applyBorder="1"/>
    <xf numFmtId="0" fontId="24" fillId="0" borderId="30" xfId="0" applyFont="1" applyBorder="1" applyAlignment="1">
      <alignment horizontal="right"/>
    </xf>
    <xf numFmtId="44" fontId="2" fillId="0" borderId="30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5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5" xfId="1" applyFont="1" applyFill="1" applyBorder="1"/>
    <xf numFmtId="165" fontId="25" fillId="0" borderId="25" xfId="1" applyNumberFormat="1" applyFont="1" applyBorder="1"/>
    <xf numFmtId="44" fontId="26" fillId="0" borderId="41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164" fontId="2" fillId="0" borderId="4" xfId="0" applyNumberFormat="1" applyFont="1" applyFill="1" applyBorder="1" applyAlignment="1">
      <alignment horizontal="center"/>
    </xf>
    <xf numFmtId="166" fontId="16" fillId="0" borderId="0" xfId="0" applyNumberFormat="1" applyFont="1" applyFill="1" applyAlignment="1">
      <alignment horizontal="left"/>
    </xf>
    <xf numFmtId="15" fontId="2" fillId="0" borderId="17" xfId="0" applyNumberFormat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166" fontId="17" fillId="0" borderId="0" xfId="0" applyNumberFormat="1" applyFont="1" applyFill="1"/>
    <xf numFmtId="166" fontId="19" fillId="0" borderId="0" xfId="0" applyNumberFormat="1" applyFont="1" applyFill="1"/>
    <xf numFmtId="166" fontId="16" fillId="0" borderId="0" xfId="0" applyNumberFormat="1" applyFont="1" applyFill="1"/>
    <xf numFmtId="166" fontId="12" fillId="0" borderId="0" xfId="0" applyNumberFormat="1" applyFont="1" applyFill="1"/>
    <xf numFmtId="44" fontId="2" fillId="0" borderId="31" xfId="1" applyFont="1" applyFill="1" applyBorder="1"/>
    <xf numFmtId="165" fontId="8" fillId="0" borderId="5" xfId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44" fontId="2" fillId="0" borderId="5" xfId="1" applyFont="1" applyFill="1" applyBorder="1" applyAlignment="1">
      <alignment horizontal="right"/>
    </xf>
    <xf numFmtId="166" fontId="2" fillId="0" borderId="0" xfId="0" applyNumberFormat="1" applyFont="1" applyFill="1"/>
    <xf numFmtId="0" fontId="12" fillId="0" borderId="5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44" fontId="18" fillId="0" borderId="4" xfId="1" applyFont="1" applyFill="1" applyBorder="1" applyAlignment="1">
      <alignment horizontal="left"/>
    </xf>
    <xf numFmtId="165" fontId="2" fillId="0" borderId="5" xfId="0" applyNumberFormat="1" applyFont="1" applyBorder="1"/>
    <xf numFmtId="44" fontId="12" fillId="0" borderId="5" xfId="1" applyFont="1" applyBorder="1"/>
    <xf numFmtId="0" fontId="8" fillId="0" borderId="41" xfId="0" applyFont="1" applyBorder="1" applyAlignment="1">
      <alignment horizontal="center"/>
    </xf>
    <xf numFmtId="44" fontId="8" fillId="0" borderId="41" xfId="1" applyFont="1" applyBorder="1" applyAlignment="1">
      <alignment horizontal="center"/>
    </xf>
    <xf numFmtId="164" fontId="31" fillId="0" borderId="38" xfId="0" applyNumberFormat="1" applyFont="1" applyBorder="1" applyAlignment="1">
      <alignment horizontal="center"/>
    </xf>
    <xf numFmtId="1" fontId="32" fillId="0" borderId="38" xfId="0" applyNumberFormat="1" applyFont="1" applyBorder="1" applyAlignment="1">
      <alignment horizontal="center"/>
    </xf>
    <xf numFmtId="44" fontId="33" fillId="0" borderId="50" xfId="1" applyFont="1" applyBorder="1"/>
    <xf numFmtId="164" fontId="31" fillId="0" borderId="5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164" fontId="31" fillId="0" borderId="51" xfId="0" applyNumberFormat="1" applyFont="1" applyBorder="1" applyAlignment="1">
      <alignment horizontal="center"/>
    </xf>
    <xf numFmtId="1" fontId="32" fillId="0" borderId="51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44" fontId="34" fillId="3" borderId="50" xfId="1" applyFont="1" applyFill="1" applyBorder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35" fillId="8" borderId="0" xfId="0" applyFont="1" applyFill="1"/>
    <xf numFmtId="0" fontId="2" fillId="0" borderId="0" xfId="0" applyFont="1" applyFill="1"/>
    <xf numFmtId="44" fontId="2" fillId="3" borderId="52" xfId="1" applyFont="1" applyFill="1" applyBorder="1"/>
    <xf numFmtId="0" fontId="12" fillId="0" borderId="3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55" xfId="0" applyBorder="1"/>
    <xf numFmtId="0" fontId="2" fillId="0" borderId="27" xfId="0" applyFont="1" applyBorder="1"/>
    <xf numFmtId="0" fontId="8" fillId="0" borderId="0" xfId="0" applyFont="1" applyAlignment="1">
      <alignment horizontal="center"/>
    </xf>
    <xf numFmtId="44" fontId="2" fillId="3" borderId="25" xfId="1" applyFont="1" applyFill="1" applyBorder="1" applyAlignment="1">
      <alignment horizontal="right"/>
    </xf>
    <xf numFmtId="165" fontId="0" fillId="0" borderId="5" xfId="0" applyNumberFormat="1" applyBorder="1"/>
    <xf numFmtId="44" fontId="2" fillId="5" borderId="0" xfId="1" applyFont="1" applyFill="1"/>
    <xf numFmtId="0" fontId="12" fillId="0" borderId="15" xfId="0" applyFont="1" applyBorder="1"/>
    <xf numFmtId="16" fontId="2" fillId="0" borderId="5" xfId="0" applyNumberFormat="1" applyFont="1" applyBorder="1"/>
    <xf numFmtId="44" fontId="2" fillId="3" borderId="0" xfId="1" applyFont="1" applyFill="1"/>
    <xf numFmtId="165" fontId="2" fillId="3" borderId="4" xfId="0" applyNumberFormat="1" applyFont="1" applyFill="1" applyBorder="1" applyAlignment="1">
      <alignment horizontal="left"/>
    </xf>
    <xf numFmtId="16" fontId="8" fillId="0" borderId="0" xfId="1" applyNumberFormat="1" applyFont="1" applyFill="1" applyAlignment="1">
      <alignment horizontal="center"/>
    </xf>
    <xf numFmtId="166" fontId="36" fillId="0" borderId="41" xfId="0" applyNumberFormat="1" applyFont="1" applyBorder="1"/>
    <xf numFmtId="164" fontId="2" fillId="0" borderId="58" xfId="0" applyNumberFormat="1" applyFont="1" applyBorder="1" applyAlignment="1">
      <alignment horizontal="center"/>
    </xf>
    <xf numFmtId="44" fontId="2" fillId="0" borderId="59" xfId="1" applyFont="1" applyFill="1" applyBorder="1"/>
    <xf numFmtId="166" fontId="17" fillId="0" borderId="0" xfId="0" applyNumberFormat="1" applyFont="1" applyBorder="1"/>
    <xf numFmtId="164" fontId="2" fillId="0" borderId="60" xfId="0" applyNumberFormat="1" applyFont="1" applyBorder="1" applyAlignment="1">
      <alignment horizontal="center"/>
    </xf>
    <xf numFmtId="166" fontId="9" fillId="0" borderId="1" xfId="0" applyNumberFormat="1" applyFont="1" applyBorder="1"/>
    <xf numFmtId="166" fontId="9" fillId="0" borderId="6" xfId="0" applyNumberFormat="1" applyFont="1" applyBorder="1"/>
    <xf numFmtId="164" fontId="2" fillId="0" borderId="62" xfId="0" applyNumberFormat="1" applyFont="1" applyBorder="1" applyAlignment="1">
      <alignment horizontal="center"/>
    </xf>
    <xf numFmtId="44" fontId="2" fillId="0" borderId="63" xfId="1" applyFont="1" applyFill="1" applyBorder="1"/>
    <xf numFmtId="166" fontId="9" fillId="0" borderId="64" xfId="0" applyNumberFormat="1" applyFont="1" applyBorder="1"/>
    <xf numFmtId="164" fontId="37" fillId="0" borderId="0" xfId="1" applyNumberFormat="1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44" fontId="9" fillId="0" borderId="3" xfId="1" applyFont="1" applyBorder="1"/>
    <xf numFmtId="165" fontId="19" fillId="0" borderId="5" xfId="1" applyNumberFormat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/>
    </xf>
    <xf numFmtId="166" fontId="9" fillId="0" borderId="48" xfId="0" applyNumberFormat="1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left"/>
    </xf>
    <xf numFmtId="0" fontId="12" fillId="0" borderId="0" xfId="0" applyFont="1" applyBorder="1"/>
    <xf numFmtId="165" fontId="0" fillId="0" borderId="0" xfId="0" applyNumberFormat="1"/>
    <xf numFmtId="0" fontId="20" fillId="11" borderId="0" xfId="0" applyFont="1" applyFill="1" applyAlignment="1">
      <alignment horizontal="center"/>
    </xf>
    <xf numFmtId="44" fontId="2" fillId="12" borderId="0" xfId="1" applyFont="1" applyFill="1"/>
    <xf numFmtId="16" fontId="8" fillId="0" borderId="0" xfId="0" applyNumberFormat="1" applyFont="1"/>
    <xf numFmtId="44" fontId="2" fillId="3" borderId="5" xfId="1" applyFont="1" applyFill="1" applyBorder="1"/>
    <xf numFmtId="44" fontId="2" fillId="3" borderId="61" xfId="1" applyFont="1" applyFill="1" applyBorder="1"/>
    <xf numFmtId="165" fontId="13" fillId="0" borderId="5" xfId="1" applyNumberFormat="1" applyFont="1" applyFill="1" applyBorder="1" applyAlignment="1">
      <alignment horizontal="left"/>
    </xf>
    <xf numFmtId="0" fontId="12" fillId="0" borderId="6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9" fontId="25" fillId="0" borderId="25" xfId="1" applyNumberFormat="1" applyFont="1" applyBorder="1"/>
    <xf numFmtId="166" fontId="9" fillId="0" borderId="48" xfId="0" applyNumberFormat="1" applyFont="1" applyBorder="1" applyAlignment="1">
      <alignment horizontal="center" vertical="center" wrapText="1"/>
    </xf>
    <xf numFmtId="0" fontId="5" fillId="0" borderId="0" xfId="0" applyFont="1" applyFill="1"/>
    <xf numFmtId="44" fontId="8" fillId="14" borderId="0" xfId="1" applyFont="1" applyFill="1"/>
    <xf numFmtId="44" fontId="1" fillId="14" borderId="0" xfId="1" applyFill="1"/>
    <xf numFmtId="0" fontId="8" fillId="14" borderId="0" xfId="0" applyFont="1" applyFill="1"/>
    <xf numFmtId="44" fontId="2" fillId="0" borderId="66" xfId="1" applyFont="1" applyFill="1" applyBorder="1"/>
    <xf numFmtId="44" fontId="2" fillId="0" borderId="67" xfId="1" applyFont="1" applyFill="1" applyBorder="1"/>
    <xf numFmtId="15" fontId="2" fillId="0" borderId="47" xfId="0" applyNumberFormat="1" applyFont="1" applyFill="1" applyBorder="1"/>
    <xf numFmtId="15" fontId="2" fillId="0" borderId="8" xfId="0" applyNumberFormat="1" applyFont="1" applyFill="1" applyBorder="1"/>
    <xf numFmtId="166" fontId="17" fillId="0" borderId="69" xfId="0" applyNumberFormat="1" applyFont="1" applyFill="1" applyBorder="1"/>
    <xf numFmtId="44" fontId="2" fillId="0" borderId="70" xfId="1" applyFont="1" applyFill="1" applyBorder="1"/>
    <xf numFmtId="166" fontId="17" fillId="0" borderId="71" xfId="0" applyNumberFormat="1" applyFont="1" applyFill="1" applyBorder="1"/>
    <xf numFmtId="44" fontId="2" fillId="0" borderId="72" xfId="1" applyFont="1" applyFill="1" applyBorder="1"/>
    <xf numFmtId="17" fontId="0" fillId="0" borderId="0" xfId="0" applyNumberFormat="1"/>
    <xf numFmtId="44" fontId="39" fillId="0" borderId="0" xfId="1" applyFont="1" applyFill="1"/>
    <xf numFmtId="44" fontId="2" fillId="15" borderId="0" xfId="1" applyFont="1" applyFill="1"/>
    <xf numFmtId="44" fontId="2" fillId="16" borderId="1" xfId="1" applyFont="1" applyFill="1" applyBorder="1"/>
    <xf numFmtId="44" fontId="2" fillId="16" borderId="18" xfId="1" applyFont="1" applyFill="1" applyBorder="1"/>
    <xf numFmtId="44" fontId="2" fillId="16" borderId="24" xfId="1" applyFont="1" applyFill="1" applyBorder="1"/>
    <xf numFmtId="44" fontId="2" fillId="16" borderId="21" xfId="1" applyFont="1" applyFill="1" applyBorder="1"/>
    <xf numFmtId="44" fontId="2" fillId="16" borderId="22" xfId="1" applyFont="1" applyFill="1" applyBorder="1"/>
    <xf numFmtId="44" fontId="2" fillId="16" borderId="0" xfId="1" applyFont="1" applyFill="1" applyBorder="1"/>
    <xf numFmtId="166" fontId="19" fillId="0" borderId="71" xfId="0" applyNumberFormat="1" applyFont="1" applyFill="1" applyBorder="1"/>
    <xf numFmtId="166" fontId="16" fillId="0" borderId="71" xfId="0" applyNumberFormat="1" applyFont="1" applyFill="1" applyBorder="1"/>
    <xf numFmtId="44" fontId="40" fillId="0" borderId="0" xfId="1" applyFont="1" applyFill="1" applyBorder="1"/>
    <xf numFmtId="44" fontId="40" fillId="0" borderId="0" xfId="1" applyFont="1" applyFill="1" applyBorder="1" applyAlignment="1">
      <alignment horizontal="center"/>
    </xf>
    <xf numFmtId="44" fontId="40" fillId="0" borderId="21" xfId="1" applyFont="1" applyFill="1" applyBorder="1"/>
    <xf numFmtId="166" fontId="12" fillId="0" borderId="71" xfId="0" applyNumberFormat="1" applyFont="1" applyFill="1" applyBorder="1"/>
    <xf numFmtId="0" fontId="19" fillId="0" borderId="38" xfId="0" applyFont="1" applyFill="1" applyBorder="1" applyAlignment="1">
      <alignment horizontal="left"/>
    </xf>
    <xf numFmtId="44" fontId="2" fillId="17" borderId="5" xfId="1" applyFont="1" applyFill="1" applyBorder="1"/>
    <xf numFmtId="44" fontId="2" fillId="17" borderId="63" xfId="1" applyFont="1" applyFill="1" applyBorder="1"/>
    <xf numFmtId="165" fontId="8" fillId="3" borderId="0" xfId="0" applyNumberFormat="1" applyFont="1" applyFill="1" applyAlignment="1">
      <alignment horizontal="left"/>
    </xf>
    <xf numFmtId="1" fontId="32" fillId="17" borderId="5" xfId="0" applyNumberFormat="1" applyFont="1" applyFill="1" applyBorder="1" applyAlignment="1">
      <alignment horizontal="center"/>
    </xf>
    <xf numFmtId="0" fontId="19" fillId="0" borderId="65" xfId="0" applyFont="1" applyFill="1" applyBorder="1" applyAlignment="1">
      <alignment horizontal="left"/>
    </xf>
    <xf numFmtId="166" fontId="9" fillId="11" borderId="0" xfId="0" applyNumberFormat="1" applyFont="1" applyFill="1"/>
    <xf numFmtId="164" fontId="2" fillId="3" borderId="4" xfId="0" applyNumberFormat="1" applyFont="1" applyFill="1" applyBorder="1" applyAlignment="1">
      <alignment horizontal="center"/>
    </xf>
    <xf numFmtId="44" fontId="2" fillId="3" borderId="68" xfId="1" applyFont="1" applyFill="1" applyBorder="1"/>
    <xf numFmtId="166" fontId="9" fillId="0" borderId="48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4" fontId="31" fillId="0" borderId="5" xfId="0" applyNumberFormat="1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44" fontId="2" fillId="0" borderId="68" xfId="1" applyFont="1" applyFill="1" applyBorder="1"/>
    <xf numFmtId="166" fontId="19" fillId="16" borderId="0" xfId="0" applyNumberFormat="1" applyFont="1" applyFill="1"/>
    <xf numFmtId="44" fontId="40" fillId="0" borderId="0" xfId="1" applyFont="1" applyFill="1" applyBorder="1" applyAlignment="1">
      <alignment horizontal="right"/>
    </xf>
    <xf numFmtId="44" fontId="42" fillId="0" borderId="0" xfId="1" applyFont="1" applyFill="1" applyBorder="1" applyAlignment="1">
      <alignment horizontal="right"/>
    </xf>
    <xf numFmtId="44" fontId="40" fillId="0" borderId="0" xfId="1" applyFont="1" applyFill="1" applyAlignment="1">
      <alignment horizontal="right"/>
    </xf>
    <xf numFmtId="168" fontId="43" fillId="0" borderId="0" xfId="1" applyNumberFormat="1" applyFont="1" applyFill="1" applyBorder="1" applyAlignment="1">
      <alignment horizontal="right" vertical="center" wrapText="1"/>
    </xf>
    <xf numFmtId="44" fontId="39" fillId="10" borderId="0" xfId="1" applyFont="1" applyFill="1"/>
    <xf numFmtId="44" fontId="2" fillId="10" borderId="0" xfId="1" applyFont="1" applyFill="1"/>
    <xf numFmtId="166" fontId="44" fillId="0" borderId="0" xfId="0" applyNumberFormat="1" applyFont="1" applyFill="1"/>
    <xf numFmtId="44" fontId="2" fillId="17" borderId="0" xfId="1" applyFont="1" applyFill="1"/>
    <xf numFmtId="165" fontId="12" fillId="0" borderId="19" xfId="1" applyNumberFormat="1" applyFont="1" applyBorder="1" applyAlignment="1">
      <alignment horizontal="center"/>
    </xf>
    <xf numFmtId="44" fontId="12" fillId="0" borderId="25" xfId="1" applyFont="1" applyFill="1" applyBorder="1" applyAlignment="1">
      <alignment horizontal="right"/>
    </xf>
    <xf numFmtId="165" fontId="12" fillId="0" borderId="7" xfId="0" applyNumberFormat="1" applyFont="1" applyBorder="1" applyAlignment="1">
      <alignment horizontal="center"/>
    </xf>
    <xf numFmtId="165" fontId="19" fillId="0" borderId="19" xfId="1" applyNumberFormat="1" applyFont="1" applyBorder="1" applyAlignment="1">
      <alignment horizontal="left"/>
    </xf>
    <xf numFmtId="44" fontId="12" fillId="0" borderId="29" xfId="1" applyFont="1" applyFill="1" applyBorder="1" applyAlignment="1">
      <alignment horizontal="right"/>
    </xf>
    <xf numFmtId="0" fontId="39" fillId="0" borderId="4" xfId="0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44" fontId="12" fillId="0" borderId="16" xfId="1" applyFont="1" applyBorder="1" applyAlignment="1">
      <alignment horizontal="right"/>
    </xf>
    <xf numFmtId="166" fontId="12" fillId="0" borderId="5" xfId="0" applyNumberFormat="1" applyFont="1" applyFill="1" applyBorder="1"/>
    <xf numFmtId="44" fontId="12" fillId="0" borderId="0" xfId="1" applyFont="1" applyFill="1" applyBorder="1"/>
    <xf numFmtId="44" fontId="16" fillId="0" borderId="5" xfId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16" fontId="12" fillId="0" borderId="38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44" fontId="41" fillId="0" borderId="0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44" fontId="2" fillId="0" borderId="73" xfId="1" applyFont="1" applyFill="1" applyBorder="1" applyAlignment="1">
      <alignment horizontal="right"/>
    </xf>
    <xf numFmtId="44" fontId="2" fillId="0" borderId="73" xfId="1" applyFont="1" applyFill="1" applyBorder="1"/>
    <xf numFmtId="44" fontId="2" fillId="0" borderId="74" xfId="1" applyFont="1" applyFill="1" applyBorder="1"/>
    <xf numFmtId="0" fontId="40" fillId="0" borderId="45" xfId="0" applyFont="1" applyBorder="1" applyAlignment="1">
      <alignment horizontal="center"/>
    </xf>
    <xf numFmtId="44" fontId="42" fillId="0" borderId="45" xfId="1" applyFont="1" applyBorder="1"/>
    <xf numFmtId="168" fontId="2" fillId="0" borderId="26" xfId="1" applyNumberFormat="1" applyFont="1" applyFill="1" applyBorder="1" applyAlignment="1">
      <alignment horizontal="right"/>
    </xf>
    <xf numFmtId="166" fontId="2" fillId="0" borderId="73" xfId="1" applyNumberFormat="1" applyFont="1" applyFill="1" applyBorder="1" applyAlignment="1">
      <alignment horizontal="right"/>
    </xf>
    <xf numFmtId="44" fontId="9" fillId="0" borderId="13" xfId="1" applyFont="1" applyBorder="1"/>
    <xf numFmtId="165" fontId="8" fillId="3" borderId="75" xfId="0" applyNumberFormat="1" applyFont="1" applyFill="1" applyBorder="1" applyAlignment="1">
      <alignment horizontal="left"/>
    </xf>
    <xf numFmtId="166" fontId="16" fillId="0" borderId="75" xfId="0" applyNumberFormat="1" applyFont="1" applyFill="1" applyBorder="1" applyAlignment="1">
      <alignment horizontal="left"/>
    </xf>
    <xf numFmtId="166" fontId="17" fillId="0" borderId="75" xfId="0" applyNumberFormat="1" applyFont="1" applyFill="1" applyBorder="1"/>
    <xf numFmtId="166" fontId="19" fillId="0" borderId="75" xfId="0" applyNumberFormat="1" applyFont="1" applyFill="1" applyBorder="1"/>
    <xf numFmtId="166" fontId="16" fillId="0" borderId="75" xfId="0" applyNumberFormat="1" applyFont="1" applyFill="1" applyBorder="1"/>
    <xf numFmtId="166" fontId="12" fillId="0" borderId="75" xfId="0" applyNumberFormat="1" applyFont="1" applyFill="1" applyBorder="1"/>
    <xf numFmtId="166" fontId="44" fillId="0" borderId="75" xfId="0" applyNumberFormat="1" applyFont="1" applyFill="1" applyBorder="1"/>
    <xf numFmtId="166" fontId="17" fillId="0" borderId="76" xfId="0" applyNumberFormat="1" applyFont="1" applyFill="1" applyBorder="1"/>
    <xf numFmtId="166" fontId="16" fillId="0" borderId="76" xfId="0" applyNumberFormat="1" applyFont="1" applyFill="1" applyBorder="1"/>
    <xf numFmtId="166" fontId="19" fillId="0" borderId="76" xfId="0" applyNumberFormat="1" applyFont="1" applyFill="1" applyBorder="1"/>
    <xf numFmtId="166" fontId="12" fillId="0" borderId="76" xfId="0" applyNumberFormat="1" applyFont="1" applyFill="1" applyBorder="1"/>
    <xf numFmtId="164" fontId="2" fillId="0" borderId="78" xfId="0" applyNumberFormat="1" applyFont="1" applyFill="1" applyBorder="1" applyAlignment="1">
      <alignment horizontal="center"/>
    </xf>
    <xf numFmtId="44" fontId="2" fillId="0" borderId="79" xfId="1" applyFont="1" applyFill="1" applyBorder="1"/>
    <xf numFmtId="44" fontId="2" fillId="0" borderId="77" xfId="1" applyFont="1" applyFill="1" applyBorder="1"/>
    <xf numFmtId="44" fontId="2" fillId="0" borderId="80" xfId="1" applyFont="1" applyFill="1" applyBorder="1"/>
    <xf numFmtId="44" fontId="2" fillId="0" borderId="81" xfId="1" applyFont="1" applyBorder="1"/>
    <xf numFmtId="165" fontId="1" fillId="0" borderId="0" xfId="1" applyNumberFormat="1" applyFill="1"/>
    <xf numFmtId="165" fontId="1" fillId="14" borderId="0" xfId="1" applyNumberFormat="1" applyFill="1"/>
    <xf numFmtId="165" fontId="14" fillId="0" borderId="13" xfId="0" applyNumberFormat="1" applyFont="1" applyBorder="1"/>
    <xf numFmtId="165" fontId="1" fillId="0" borderId="0" xfId="1" applyNumberFormat="1"/>
    <xf numFmtId="165" fontId="2" fillId="0" borderId="0" xfId="1" applyNumberFormat="1" applyFont="1" applyFill="1"/>
    <xf numFmtId="165" fontId="9" fillId="0" borderId="0" xfId="1" applyNumberFormat="1" applyFont="1" applyFill="1"/>
    <xf numFmtId="165" fontId="13" fillId="0" borderId="0" xfId="1" applyNumberFormat="1" applyFont="1" applyFill="1" applyAlignment="1">
      <alignment horizontal="left"/>
    </xf>
    <xf numFmtId="165" fontId="19" fillId="0" borderId="0" xfId="1" applyNumberFormat="1" applyFont="1" applyFill="1" applyAlignment="1">
      <alignment horizontal="center"/>
    </xf>
    <xf numFmtId="165" fontId="2" fillId="0" borderId="0" xfId="1" applyNumberFormat="1" applyFont="1" applyBorder="1"/>
    <xf numFmtId="165" fontId="9" fillId="0" borderId="48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39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0" fontId="2" fillId="0" borderId="27" xfId="0" applyFont="1" applyBorder="1" applyAlignment="1">
      <alignment horizontal="center"/>
    </xf>
    <xf numFmtId="44" fontId="2" fillId="0" borderId="27" xfId="1" applyFont="1" applyBorder="1"/>
    <xf numFmtId="44" fontId="12" fillId="0" borderId="27" xfId="1" applyFont="1" applyBorder="1"/>
    <xf numFmtId="0" fontId="12" fillId="0" borderId="27" xfId="0" applyFont="1" applyBorder="1"/>
    <xf numFmtId="0" fontId="2" fillId="0" borderId="5" xfId="0" applyFont="1" applyFill="1" applyBorder="1"/>
    <xf numFmtId="166" fontId="2" fillId="0" borderId="25" xfId="0" applyNumberFormat="1" applyFont="1" applyFill="1" applyBorder="1"/>
    <xf numFmtId="44" fontId="2" fillId="0" borderId="41" xfId="1" applyFont="1" applyFill="1" applyBorder="1"/>
    <xf numFmtId="166" fontId="19" fillId="18" borderId="76" xfId="0" applyNumberFormat="1" applyFont="1" applyFill="1" applyBorder="1"/>
    <xf numFmtId="166" fontId="12" fillId="18" borderId="76" xfId="0" applyNumberFormat="1" applyFont="1" applyFill="1" applyBorder="1"/>
    <xf numFmtId="164" fontId="2" fillId="18" borderId="78" xfId="0" applyNumberFormat="1" applyFont="1" applyFill="1" applyBorder="1" applyAlignment="1">
      <alignment horizontal="center"/>
    </xf>
    <xf numFmtId="44" fontId="2" fillId="18" borderId="77" xfId="1" applyFont="1" applyFill="1" applyBorder="1"/>
    <xf numFmtId="44" fontId="2" fillId="18" borderId="80" xfId="1" applyFont="1" applyFill="1" applyBorder="1"/>
    <xf numFmtId="44" fontId="2" fillId="18" borderId="81" xfId="1" applyFont="1" applyFill="1" applyBorder="1"/>
    <xf numFmtId="44" fontId="2" fillId="18" borderId="25" xfId="1" applyFont="1" applyFill="1" applyBorder="1" applyAlignment="1">
      <alignment horizontal="right"/>
    </xf>
    <xf numFmtId="15" fontId="2" fillId="3" borderId="17" xfId="0" applyNumberFormat="1" applyFont="1" applyFill="1" applyBorder="1"/>
    <xf numFmtId="44" fontId="2" fillId="18" borderId="21" xfId="1" applyFont="1" applyFill="1" applyBorder="1"/>
    <xf numFmtId="44" fontId="2" fillId="18" borderId="22" xfId="1" applyFont="1" applyFill="1" applyBorder="1"/>
    <xf numFmtId="44" fontId="2" fillId="18" borderId="79" xfId="1" applyFont="1" applyFill="1" applyBorder="1"/>
    <xf numFmtId="44" fontId="2" fillId="18" borderId="18" xfId="1" applyFont="1" applyFill="1" applyBorder="1"/>
    <xf numFmtId="166" fontId="12" fillId="0" borderId="0" xfId="0" applyNumberFormat="1" applyFont="1" applyFill="1" applyBorder="1"/>
    <xf numFmtId="15" fontId="2" fillId="0" borderId="0" xfId="0" applyNumberFormat="1" applyFont="1" applyFill="1" applyBorder="1"/>
    <xf numFmtId="0" fontId="19" fillId="0" borderId="28" xfId="0" applyFont="1" applyFill="1" applyBorder="1" applyAlignment="1">
      <alignment horizontal="left"/>
    </xf>
    <xf numFmtId="44" fontId="2" fillId="0" borderId="82" xfId="1" applyFont="1" applyFill="1" applyBorder="1"/>
    <xf numFmtId="15" fontId="2" fillId="0" borderId="84" xfId="0" applyNumberFormat="1" applyFont="1" applyFill="1" applyBorder="1"/>
    <xf numFmtId="15" fontId="2" fillId="0" borderId="34" xfId="0" applyNumberFormat="1" applyFont="1" applyFill="1" applyBorder="1"/>
    <xf numFmtId="0" fontId="0" fillId="0" borderId="86" xfId="0" applyFill="1" applyBorder="1"/>
    <xf numFmtId="0" fontId="0" fillId="0" borderId="85" xfId="0" applyBorder="1"/>
    <xf numFmtId="165" fontId="13" fillId="0" borderId="63" xfId="1" applyNumberFormat="1" applyFont="1" applyFill="1" applyBorder="1" applyAlignment="1">
      <alignment horizontal="left"/>
    </xf>
    <xf numFmtId="165" fontId="13" fillId="0" borderId="4" xfId="0" applyNumberFormat="1" applyFont="1" applyFill="1" applyBorder="1" applyAlignment="1">
      <alignment horizontal="left"/>
    </xf>
    <xf numFmtId="165" fontId="19" fillId="17" borderId="0" xfId="1" applyNumberFormat="1" applyFont="1" applyFill="1"/>
    <xf numFmtId="165" fontId="19" fillId="17" borderId="5" xfId="1" applyNumberFormat="1" applyFont="1" applyFill="1" applyBorder="1" applyAlignment="1">
      <alignment horizontal="left"/>
    </xf>
    <xf numFmtId="44" fontId="2" fillId="17" borderId="0" xfId="1" applyFont="1" applyFill="1" applyBorder="1"/>
    <xf numFmtId="44" fontId="2" fillId="0" borderId="33" xfId="1" applyFont="1" applyBorder="1"/>
    <xf numFmtId="166" fontId="12" fillId="0" borderId="83" xfId="0" applyNumberFormat="1" applyFont="1" applyBorder="1"/>
    <xf numFmtId="166" fontId="12" fillId="0" borderId="0" xfId="0" applyNumberFormat="1" applyFont="1" applyBorder="1"/>
    <xf numFmtId="44" fontId="2" fillId="3" borderId="0" xfId="1" applyFont="1" applyFill="1" applyBorder="1"/>
    <xf numFmtId="0" fontId="38" fillId="0" borderId="41" xfId="0" applyFont="1" applyFill="1" applyBorder="1" applyAlignment="1">
      <alignment vertical="center" wrapText="1"/>
    </xf>
    <xf numFmtId="44" fontId="2" fillId="18" borderId="24" xfId="1" applyFont="1" applyFill="1" applyBorder="1"/>
    <xf numFmtId="165" fontId="2" fillId="18" borderId="0" xfId="1" applyNumberFormat="1" applyFont="1" applyFill="1" applyAlignment="1">
      <alignment horizontal="center"/>
    </xf>
    <xf numFmtId="0" fontId="8" fillId="0" borderId="0" xfId="0" applyFont="1" applyFill="1"/>
    <xf numFmtId="0" fontId="2" fillId="5" borderId="0" xfId="0" applyFont="1" applyFill="1" applyAlignment="1">
      <alignment horizontal="center"/>
    </xf>
    <xf numFmtId="15" fontId="2" fillId="18" borderId="17" xfId="0" applyNumberFormat="1" applyFont="1" applyFill="1" applyBorder="1"/>
    <xf numFmtId="164" fontId="2" fillId="3" borderId="78" xfId="0" applyNumberFormat="1" applyFont="1" applyFill="1" applyBorder="1" applyAlignment="1">
      <alignment horizontal="center"/>
    </xf>
    <xf numFmtId="164" fontId="2" fillId="11" borderId="78" xfId="0" applyNumberFormat="1" applyFont="1" applyFill="1" applyBorder="1" applyAlignment="1">
      <alignment horizontal="center"/>
    </xf>
    <xf numFmtId="0" fontId="0" fillId="0" borderId="0" xfId="0" applyBorder="1"/>
    <xf numFmtId="165" fontId="13" fillId="0" borderId="0" xfId="1" applyNumberFormat="1" applyFont="1" applyFill="1" applyBorder="1" applyAlignment="1">
      <alignment horizontal="left"/>
    </xf>
    <xf numFmtId="164" fontId="2" fillId="0" borderId="88" xfId="0" applyNumberFormat="1" applyFont="1" applyFill="1" applyBorder="1" applyAlignment="1">
      <alignment horizontal="center"/>
    </xf>
    <xf numFmtId="164" fontId="12" fillId="0" borderId="89" xfId="0" applyNumberFormat="1" applyFont="1" applyBorder="1" applyAlignment="1">
      <alignment horizontal="center"/>
    </xf>
    <xf numFmtId="44" fontId="9" fillId="0" borderId="91" xfId="1" applyFont="1" applyBorder="1"/>
    <xf numFmtId="44" fontId="2" fillId="0" borderId="92" xfId="1" applyFont="1" applyFill="1" applyBorder="1"/>
    <xf numFmtId="44" fontId="2" fillId="0" borderId="93" xfId="1" applyFont="1" applyFill="1" applyBorder="1"/>
    <xf numFmtId="44" fontId="2" fillId="0" borderId="94" xfId="1" applyFont="1" applyFill="1" applyBorder="1"/>
    <xf numFmtId="164" fontId="2" fillId="10" borderId="78" xfId="0" applyNumberFormat="1" applyFont="1" applyFill="1" applyBorder="1" applyAlignment="1">
      <alignment horizontal="center"/>
    </xf>
    <xf numFmtId="164" fontId="2" fillId="0" borderId="92" xfId="0" applyNumberFormat="1" applyFont="1" applyFill="1" applyBorder="1" applyAlignment="1">
      <alignment horizontal="center"/>
    </xf>
    <xf numFmtId="44" fontId="15" fillId="0" borderId="0" xfId="1" applyFont="1" applyBorder="1"/>
    <xf numFmtId="164" fontId="2" fillId="0" borderId="0" xfId="0" applyNumberFormat="1" applyFont="1" applyBorder="1" applyAlignment="1">
      <alignment horizontal="center"/>
    </xf>
    <xf numFmtId="0" fontId="19" fillId="3" borderId="5" xfId="0" applyFont="1" applyFill="1" applyBorder="1" applyAlignment="1">
      <alignment horizontal="left"/>
    </xf>
    <xf numFmtId="44" fontId="12" fillId="0" borderId="0" xfId="1" applyFont="1" applyFill="1" applyBorder="1" applyAlignment="1">
      <alignment horizontal="right"/>
    </xf>
    <xf numFmtId="44" fontId="0" fillId="0" borderId="0" xfId="0" applyNumberFormat="1" applyBorder="1"/>
    <xf numFmtId="0" fontId="19" fillId="0" borderId="4" xfId="0" applyFont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44" fontId="2" fillId="0" borderId="38" xfId="1" applyFont="1" applyFill="1" applyBorder="1"/>
    <xf numFmtId="16" fontId="13" fillId="0" borderId="0" xfId="0" applyNumberFormat="1" applyFont="1"/>
    <xf numFmtId="44" fontId="2" fillId="19" borderId="94" xfId="1" applyFont="1" applyFill="1" applyBorder="1"/>
    <xf numFmtId="44" fontId="2" fillId="19" borderId="92" xfId="1" applyFont="1" applyFill="1" applyBorder="1"/>
    <xf numFmtId="15" fontId="16" fillId="0" borderId="0" xfId="0" applyNumberFormat="1" applyFont="1" applyFill="1" applyBorder="1" applyAlignment="1">
      <alignment horizontal="center" wrapText="1"/>
    </xf>
    <xf numFmtId="44" fontId="2" fillId="0" borderId="0" xfId="0" applyNumberFormat="1" applyFont="1" applyFill="1" applyBorder="1"/>
    <xf numFmtId="168" fontId="2" fillId="0" borderId="0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44" fontId="2" fillId="3" borderId="18" xfId="1" applyFont="1" applyFill="1" applyBorder="1"/>
    <xf numFmtId="44" fontId="2" fillId="3" borderId="79" xfId="1" applyFont="1" applyFill="1" applyBorder="1"/>
    <xf numFmtId="44" fontId="2" fillId="3" borderId="24" xfId="1" applyFont="1" applyFill="1" applyBorder="1"/>
    <xf numFmtId="164" fontId="2" fillId="0" borderId="0" xfId="0" applyNumberFormat="1" applyFont="1" applyFill="1" applyBorder="1" applyAlignment="1">
      <alignment horizontal="center"/>
    </xf>
    <xf numFmtId="1" fontId="32" fillId="0" borderId="51" xfId="0" applyNumberFormat="1" applyFont="1" applyFill="1" applyBorder="1" applyAlignment="1">
      <alignment horizontal="center"/>
    </xf>
    <xf numFmtId="44" fontId="2" fillId="0" borderId="33" xfId="1" applyFont="1" applyFill="1" applyBorder="1"/>
    <xf numFmtId="0" fontId="0" fillId="0" borderId="85" xfId="0" applyFill="1" applyBorder="1"/>
    <xf numFmtId="165" fontId="19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165" fontId="12" fillId="0" borderId="7" xfId="0" applyNumberFormat="1" applyFont="1" applyFill="1" applyBorder="1" applyAlignment="1">
      <alignment horizontal="center"/>
    </xf>
    <xf numFmtId="44" fontId="12" fillId="0" borderId="16" xfId="1" applyFont="1" applyFill="1" applyBorder="1" applyAlignment="1">
      <alignment horizontal="right"/>
    </xf>
    <xf numFmtId="165" fontId="19" fillId="0" borderId="19" xfId="1" applyNumberFormat="1" applyFont="1" applyFill="1" applyBorder="1" applyAlignment="1">
      <alignment horizontal="left"/>
    </xf>
    <xf numFmtId="16" fontId="12" fillId="0" borderId="38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left"/>
    </xf>
    <xf numFmtId="44" fontId="15" fillId="0" borderId="0" xfId="1" applyFont="1" applyFill="1" applyBorder="1"/>
    <xf numFmtId="15" fontId="16" fillId="0" borderId="0" xfId="0" applyNumberFormat="1" applyFont="1" applyFill="1" applyBorder="1" applyAlignment="1">
      <alignment wrapText="1"/>
    </xf>
    <xf numFmtId="44" fontId="12" fillId="0" borderId="5" xfId="1" applyFont="1" applyFill="1" applyBorder="1" applyAlignment="1">
      <alignment horizontal="left" vertical="center"/>
    </xf>
    <xf numFmtId="165" fontId="2" fillId="0" borderId="5" xfId="1" applyNumberFormat="1" applyFont="1" applyFill="1" applyBorder="1" applyAlignment="1">
      <alignment horizontal="left"/>
    </xf>
    <xf numFmtId="164" fontId="2" fillId="18" borderId="90" xfId="0" applyNumberFormat="1" applyFont="1" applyFill="1" applyBorder="1" applyAlignment="1">
      <alignment horizontal="center"/>
    </xf>
    <xf numFmtId="44" fontId="2" fillId="18" borderId="92" xfId="1" applyFont="1" applyFill="1" applyBorder="1"/>
    <xf numFmtId="166" fontId="12" fillId="18" borderId="0" xfId="0" applyNumberFormat="1" applyFont="1" applyFill="1" applyBorder="1"/>
    <xf numFmtId="15" fontId="2" fillId="18" borderId="87" xfId="0" applyNumberFormat="1" applyFont="1" applyFill="1" applyBorder="1"/>
    <xf numFmtId="44" fontId="2" fillId="18" borderId="0" xfId="1" applyFont="1" applyFill="1" applyBorder="1"/>
    <xf numFmtId="15" fontId="0" fillId="0" borderId="0" xfId="0" applyNumberFormat="1"/>
    <xf numFmtId="164" fontId="8" fillId="0" borderId="0" xfId="0" applyNumberFormat="1" applyFont="1"/>
    <xf numFmtId="164" fontId="2" fillId="0" borderId="0" xfId="0" applyNumberFormat="1" applyFont="1"/>
    <xf numFmtId="44" fontId="40" fillId="0" borderId="0" xfId="1" applyFont="1" applyFill="1" applyBorder="1" applyAlignment="1">
      <alignment horizontal="left"/>
    </xf>
    <xf numFmtId="44" fontId="12" fillId="3" borderId="21" xfId="1" applyFont="1" applyFill="1" applyBorder="1"/>
    <xf numFmtId="44" fontId="33" fillId="3" borderId="50" xfId="1" applyFont="1" applyFill="1" applyBorder="1"/>
    <xf numFmtId="166" fontId="9" fillId="0" borderId="76" xfId="0" applyNumberFormat="1" applyFont="1" applyFill="1" applyBorder="1"/>
    <xf numFmtId="166" fontId="9" fillId="0" borderId="83" xfId="0" applyNumberFormat="1" applyFont="1" applyFill="1" applyBorder="1"/>
    <xf numFmtId="44" fontId="2" fillId="0" borderId="65" xfId="1" applyFont="1" applyFill="1" applyBorder="1"/>
    <xf numFmtId="44" fontId="5" fillId="0" borderId="0" xfId="0" applyNumberFormat="1" applyFont="1"/>
    <xf numFmtId="166" fontId="46" fillId="0" borderId="76" xfId="0" applyNumberFormat="1" applyFont="1" applyFill="1" applyBorder="1"/>
    <xf numFmtId="164" fontId="2" fillId="3" borderId="0" xfId="0" applyNumberFormat="1" applyFont="1" applyFill="1" applyBorder="1" applyAlignment="1">
      <alignment horizontal="center"/>
    </xf>
    <xf numFmtId="44" fontId="33" fillId="0" borderId="50" xfId="1" applyFont="1" applyFill="1" applyBorder="1"/>
    <xf numFmtId="0" fontId="8" fillId="0" borderId="5" xfId="0" applyFont="1" applyFill="1" applyBorder="1" applyAlignment="1">
      <alignment horizontal="center"/>
    </xf>
    <xf numFmtId="44" fontId="47" fillId="0" borderId="50" xfId="1" applyFont="1" applyFill="1" applyBorder="1"/>
    <xf numFmtId="44" fontId="2" fillId="0" borderId="95" xfId="1" applyFont="1" applyFill="1" applyBorder="1"/>
    <xf numFmtId="166" fontId="2" fillId="0" borderId="5" xfId="0" applyNumberFormat="1" applyFont="1" applyFill="1" applyBorder="1"/>
    <xf numFmtId="165" fontId="8" fillId="0" borderId="5" xfId="0" applyNumberFormat="1" applyFont="1" applyBorder="1"/>
    <xf numFmtId="0" fontId="9" fillId="0" borderId="5" xfId="0" applyFont="1" applyBorder="1" applyAlignment="1">
      <alignment horizontal="left"/>
    </xf>
    <xf numFmtId="16" fontId="2" fillId="0" borderId="38" xfId="0" applyNumberFormat="1" applyFont="1" applyFill="1" applyBorder="1" applyAlignment="1">
      <alignment horizontal="left"/>
    </xf>
    <xf numFmtId="44" fontId="2" fillId="0" borderId="0" xfId="1" applyFont="1" applyFill="1" applyAlignment="1">
      <alignment horizontal="left"/>
    </xf>
    <xf numFmtId="0" fontId="14" fillId="0" borderId="0" xfId="0" applyFont="1"/>
    <xf numFmtId="0" fontId="8" fillId="0" borderId="38" xfId="0" applyFont="1" applyBorder="1" applyAlignment="1">
      <alignment wrapText="1"/>
    </xf>
    <xf numFmtId="166" fontId="2" fillId="0" borderId="96" xfId="0" applyNumberFormat="1" applyFont="1" applyBorder="1" applyAlignment="1">
      <alignment wrapText="1"/>
    </xf>
    <xf numFmtId="166" fontId="2" fillId="0" borderId="5" xfId="0" applyNumberFormat="1" applyFont="1" applyBorder="1" applyAlignment="1">
      <alignment wrapText="1"/>
    </xf>
    <xf numFmtId="44" fontId="2" fillId="0" borderId="97" xfId="1" applyFont="1" applyFill="1" applyBorder="1"/>
    <xf numFmtId="15" fontId="2" fillId="0" borderId="98" xfId="0" applyNumberFormat="1" applyFont="1" applyFill="1" applyBorder="1"/>
    <xf numFmtId="0" fontId="2" fillId="0" borderId="5" xfId="0" applyFont="1" applyFill="1" applyBorder="1" applyAlignment="1">
      <alignment horizontal="left"/>
    </xf>
    <xf numFmtId="166" fontId="9" fillId="0" borderId="0" xfId="0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0" fontId="2" fillId="0" borderId="65" xfId="0" applyFont="1" applyFill="1" applyBorder="1" applyAlignment="1">
      <alignment horizontal="left"/>
    </xf>
    <xf numFmtId="164" fontId="48" fillId="2" borderId="5" xfId="0" applyNumberFormat="1" applyFont="1" applyFill="1" applyBorder="1" applyAlignment="1">
      <alignment horizontal="center"/>
    </xf>
    <xf numFmtId="44" fontId="5" fillId="2" borderId="5" xfId="1" applyFont="1" applyFill="1" applyBorder="1"/>
    <xf numFmtId="165" fontId="8" fillId="0" borderId="5" xfId="0" applyNumberFormat="1" applyFont="1" applyFill="1" applyBorder="1"/>
    <xf numFmtId="0" fontId="18" fillId="0" borderId="38" xfId="0" applyFont="1" applyBorder="1" applyAlignment="1">
      <alignment horizontal="center" wrapText="1"/>
    </xf>
    <xf numFmtId="44" fontId="8" fillId="20" borderId="5" xfId="1" applyFont="1" applyFill="1" applyBorder="1"/>
    <xf numFmtId="0" fontId="9" fillId="20" borderId="5" xfId="0" applyFont="1" applyFill="1" applyBorder="1" applyAlignment="1">
      <alignment horizontal="left"/>
    </xf>
    <xf numFmtId="0" fontId="12" fillId="20" borderId="5" xfId="0" applyFont="1" applyFill="1" applyBorder="1" applyAlignment="1">
      <alignment horizontal="left"/>
    </xf>
    <xf numFmtId="166" fontId="12" fillId="0" borderId="76" xfId="0" applyNumberFormat="1" applyFont="1" applyFill="1" applyBorder="1" applyAlignment="1">
      <alignment horizontal="left"/>
    </xf>
    <xf numFmtId="166" fontId="12" fillId="0" borderId="0" xfId="0" applyNumberFormat="1" applyFont="1" applyFill="1" applyBorder="1" applyAlignment="1">
      <alignment horizontal="left"/>
    </xf>
    <xf numFmtId="44" fontId="8" fillId="17" borderId="5" xfId="1" applyFont="1" applyFill="1" applyBorder="1"/>
    <xf numFmtId="164" fontId="2" fillId="17" borderId="78" xfId="0" applyNumberFormat="1" applyFont="1" applyFill="1" applyBorder="1" applyAlignment="1">
      <alignment horizontal="center"/>
    </xf>
    <xf numFmtId="44" fontId="2" fillId="17" borderId="77" xfId="1" applyFont="1" applyFill="1" applyBorder="1"/>
    <xf numFmtId="166" fontId="46" fillId="17" borderId="76" xfId="0" applyNumberFormat="1" applyFont="1" applyFill="1" applyBorder="1"/>
    <xf numFmtId="15" fontId="2" fillId="17" borderId="17" xfId="0" applyNumberFormat="1" applyFont="1" applyFill="1" applyBorder="1"/>
    <xf numFmtId="0" fontId="9" fillId="17" borderId="5" xfId="0" applyFont="1" applyFill="1" applyBorder="1" applyAlignment="1">
      <alignment horizontal="left"/>
    </xf>
    <xf numFmtId="164" fontId="2" fillId="17" borderId="88" xfId="0" applyNumberFormat="1" applyFont="1" applyFill="1" applyBorder="1" applyAlignment="1">
      <alignment horizontal="center"/>
    </xf>
    <xf numFmtId="44" fontId="2" fillId="17" borderId="94" xfId="1" applyFont="1" applyFill="1" applyBorder="1"/>
    <xf numFmtId="166" fontId="12" fillId="17" borderId="0" xfId="0" applyNumberFormat="1" applyFont="1" applyFill="1" applyBorder="1"/>
    <xf numFmtId="15" fontId="2" fillId="17" borderId="0" xfId="0" applyNumberFormat="1" applyFont="1" applyFill="1" applyBorder="1"/>
    <xf numFmtId="166" fontId="9" fillId="17" borderId="76" xfId="0" applyNumberFormat="1" applyFont="1" applyFill="1" applyBorder="1" applyAlignment="1">
      <alignment horizontal="left"/>
    </xf>
    <xf numFmtId="164" fontId="2" fillId="0" borderId="78" xfId="0" applyNumberFormat="1" applyFont="1" applyFill="1" applyBorder="1" applyAlignment="1">
      <alignment horizontal="right"/>
    </xf>
    <xf numFmtId="44" fontId="51" fillId="0" borderId="50" xfId="1" applyFont="1" applyBorder="1"/>
    <xf numFmtId="44" fontId="52" fillId="0" borderId="50" xfId="1" applyFont="1" applyFill="1" applyBorder="1"/>
    <xf numFmtId="0" fontId="2" fillId="3" borderId="5" xfId="0" applyFont="1" applyFill="1" applyBorder="1"/>
    <xf numFmtId="165" fontId="19" fillId="21" borderId="5" xfId="1" applyNumberFormat="1" applyFont="1" applyFill="1" applyBorder="1" applyAlignment="1">
      <alignment horizontal="left"/>
    </xf>
    <xf numFmtId="0" fontId="2" fillId="21" borderId="65" xfId="0" applyFont="1" applyFill="1" applyBorder="1" applyAlignment="1">
      <alignment horizontal="left"/>
    </xf>
    <xf numFmtId="44" fontId="2" fillId="21" borderId="29" xfId="1" applyFont="1" applyFill="1" applyBorder="1" applyAlignment="1">
      <alignment horizontal="right"/>
    </xf>
    <xf numFmtId="44" fontId="54" fillId="0" borderId="50" xfId="1" applyFont="1" applyBorder="1"/>
    <xf numFmtId="44" fontId="55" fillId="0" borderId="50" xfId="1" applyFont="1" applyFill="1" applyBorder="1"/>
    <xf numFmtId="44" fontId="55" fillId="0" borderId="50" xfId="1" applyFont="1" applyBorder="1"/>
    <xf numFmtId="44" fontId="54" fillId="3" borderId="50" xfId="1" applyFont="1" applyFill="1" applyBorder="1"/>
    <xf numFmtId="0" fontId="0" fillId="0" borderId="0" xfId="0" applyFont="1"/>
    <xf numFmtId="166" fontId="16" fillId="3" borderId="75" xfId="0" applyNumberFormat="1" applyFont="1" applyFill="1" applyBorder="1" applyAlignment="1">
      <alignment horizontal="left"/>
    </xf>
    <xf numFmtId="0" fontId="0" fillId="3" borderId="0" xfId="0" applyFill="1"/>
    <xf numFmtId="15" fontId="2" fillId="3" borderId="19" xfId="0" applyNumberFormat="1" applyFont="1" applyFill="1" applyBorder="1"/>
    <xf numFmtId="44" fontId="2" fillId="3" borderId="20" xfId="1" applyFont="1" applyFill="1" applyBorder="1"/>
    <xf numFmtId="44" fontId="2" fillId="3" borderId="21" xfId="1" applyFont="1" applyFill="1" applyBorder="1"/>
    <xf numFmtId="44" fontId="2" fillId="3" borderId="22" xfId="1" applyFont="1" applyFill="1" applyBorder="1"/>
    <xf numFmtId="44" fontId="2" fillId="22" borderId="0" xfId="1" applyFont="1" applyFill="1"/>
    <xf numFmtId="164" fontId="2" fillId="0" borderId="5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13" fillId="0" borderId="0" xfId="0" applyFont="1" applyBorder="1" applyAlignment="1"/>
    <xf numFmtId="166" fontId="9" fillId="0" borderId="0" xfId="0" applyNumberFormat="1" applyFont="1" applyBorder="1" applyAlignment="1">
      <alignment horizontal="left"/>
    </xf>
    <xf numFmtId="0" fontId="2" fillId="0" borderId="0" xfId="0" applyFont="1" applyFill="1" applyAlignment="1">
      <alignment horizontal="center"/>
    </xf>
    <xf numFmtId="44" fontId="8" fillId="0" borderId="77" xfId="1" applyFont="1" applyFill="1" applyBorder="1"/>
    <xf numFmtId="166" fontId="9" fillId="0" borderId="5" xfId="0" applyNumberFormat="1" applyFont="1" applyFill="1" applyBorder="1"/>
    <xf numFmtId="164" fontId="2" fillId="0" borderId="5" xfId="0" applyNumberFormat="1" applyFont="1" applyFill="1" applyBorder="1" applyAlignment="1">
      <alignment horizontal="left"/>
    </xf>
    <xf numFmtId="0" fontId="13" fillId="0" borderId="5" xfId="0" applyFont="1" applyBorder="1"/>
    <xf numFmtId="0" fontId="53" fillId="0" borderId="5" xfId="0" applyFont="1" applyFill="1" applyBorder="1" applyAlignment="1"/>
    <xf numFmtId="0" fontId="13" fillId="0" borderId="27" xfId="0" applyFont="1" applyFill="1" applyBorder="1" applyAlignment="1"/>
    <xf numFmtId="166" fontId="2" fillId="0" borderId="5" xfId="0" applyNumberFormat="1" applyFont="1" applyBorder="1"/>
    <xf numFmtId="166" fontId="2" fillId="11" borderId="0" xfId="0" applyNumberFormat="1" applyFont="1" applyFill="1"/>
    <xf numFmtId="0" fontId="2" fillId="20" borderId="5" xfId="0" applyFont="1" applyFill="1" applyBorder="1" applyAlignment="1">
      <alignment horizontal="left"/>
    </xf>
    <xf numFmtId="44" fontId="2" fillId="20" borderId="5" xfId="1" applyFont="1" applyFill="1" applyBorder="1" applyAlignment="1">
      <alignment horizontal="right"/>
    </xf>
    <xf numFmtId="0" fontId="13" fillId="11" borderId="0" xfId="0" applyFont="1" applyFill="1" applyAlignment="1">
      <alignment horizontal="left"/>
    </xf>
    <xf numFmtId="164" fontId="2" fillId="0" borderId="78" xfId="0" applyNumberFormat="1" applyFont="1" applyBorder="1" applyAlignment="1">
      <alignment horizontal="left"/>
    </xf>
    <xf numFmtId="165" fontId="2" fillId="0" borderId="5" xfId="0" applyNumberFormat="1" applyFont="1" applyBorder="1" applyAlignment="1">
      <alignment horizontal="left"/>
    </xf>
    <xf numFmtId="165" fontId="2" fillId="0" borderId="74" xfId="0" applyNumberFormat="1" applyFont="1" applyBorder="1" applyAlignment="1">
      <alignment horizontal="left"/>
    </xf>
    <xf numFmtId="166" fontId="9" fillId="0" borderId="5" xfId="0" applyNumberFormat="1" applyFont="1" applyBorder="1"/>
    <xf numFmtId="165" fontId="2" fillId="0" borderId="74" xfId="0" applyNumberFormat="1" applyFont="1" applyFill="1" applyBorder="1" applyAlignment="1">
      <alignment horizontal="left"/>
    </xf>
    <xf numFmtId="166" fontId="9" fillId="0" borderId="74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44" fontId="8" fillId="10" borderId="5" xfId="1" applyFont="1" applyFill="1" applyBorder="1"/>
    <xf numFmtId="0" fontId="12" fillId="10" borderId="5" xfId="0" applyFont="1" applyFill="1" applyBorder="1" applyAlignment="1">
      <alignment horizontal="left"/>
    </xf>
    <xf numFmtId="15" fontId="2" fillId="10" borderId="17" xfId="0" applyNumberFormat="1" applyFont="1" applyFill="1" applyBorder="1"/>
    <xf numFmtId="44" fontId="2" fillId="10" borderId="5" xfId="1" applyFont="1" applyFill="1" applyBorder="1"/>
    <xf numFmtId="0" fontId="0" fillId="10" borderId="0" xfId="0" applyFill="1"/>
    <xf numFmtId="15" fontId="2" fillId="10" borderId="19" xfId="0" applyNumberFormat="1" applyFont="1" applyFill="1" applyBorder="1"/>
    <xf numFmtId="44" fontId="2" fillId="10" borderId="72" xfId="1" applyFont="1" applyFill="1" applyBorder="1"/>
    <xf numFmtId="165" fontId="19" fillId="10" borderId="5" xfId="1" applyNumberFormat="1" applyFont="1" applyFill="1" applyBorder="1" applyAlignment="1">
      <alignment horizontal="left"/>
    </xf>
    <xf numFmtId="0" fontId="2" fillId="10" borderId="5" xfId="0" applyFont="1" applyFill="1" applyBorder="1"/>
    <xf numFmtId="166" fontId="2" fillId="10" borderId="5" xfId="0" applyNumberFormat="1" applyFont="1" applyFill="1" applyBorder="1"/>
    <xf numFmtId="44" fontId="2" fillId="10" borderId="21" xfId="1" applyFont="1" applyFill="1" applyBorder="1"/>
    <xf numFmtId="44" fontId="2" fillId="10" borderId="22" xfId="1" applyFont="1" applyFill="1" applyBorder="1"/>
    <xf numFmtId="0" fontId="2" fillId="10" borderId="65" xfId="0" applyFont="1" applyFill="1" applyBorder="1" applyAlignment="1">
      <alignment horizontal="left"/>
    </xf>
    <xf numFmtId="44" fontId="9" fillId="0" borderId="0" xfId="1" applyFont="1" applyBorder="1"/>
    <xf numFmtId="44" fontId="2" fillId="0" borderId="99" xfId="1" applyFont="1" applyFill="1" applyBorder="1"/>
    <xf numFmtId="0" fontId="2" fillId="0" borderId="38" xfId="0" applyFont="1" applyFill="1" applyBorder="1" applyAlignment="1">
      <alignment horizontal="left"/>
    </xf>
    <xf numFmtId="44" fontId="2" fillId="0" borderId="38" xfId="1" applyFont="1" applyFill="1" applyBorder="1" applyAlignment="1">
      <alignment horizontal="right"/>
    </xf>
    <xf numFmtId="166" fontId="2" fillId="0" borderId="7" xfId="0" applyNumberFormat="1" applyFont="1" applyBorder="1" applyAlignment="1">
      <alignment horizontal="center"/>
    </xf>
    <xf numFmtId="166" fontId="8" fillId="0" borderId="47" xfId="0" applyNumberFormat="1" applyFont="1" applyBorder="1"/>
    <xf numFmtId="0" fontId="2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44" fontId="42" fillId="0" borderId="47" xfId="1" applyFont="1" applyBorder="1"/>
    <xf numFmtId="164" fontId="2" fillId="10" borderId="38" xfId="0" applyNumberFormat="1" applyFont="1" applyFill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44" fontId="8" fillId="0" borderId="47" xfId="1" applyFont="1" applyFill="1" applyBorder="1"/>
    <xf numFmtId="44" fontId="8" fillId="0" borderId="47" xfId="1" applyFont="1" applyBorder="1"/>
    <xf numFmtId="44" fontId="2" fillId="0" borderId="100" xfId="1" applyFont="1" applyFill="1" applyBorder="1"/>
    <xf numFmtId="44" fontId="2" fillId="0" borderId="101" xfId="1" applyFont="1" applyFill="1" applyBorder="1"/>
    <xf numFmtId="44" fontId="8" fillId="0" borderId="7" xfId="1" applyFont="1" applyBorder="1" applyAlignment="1">
      <alignment horizontal="right"/>
    </xf>
    <xf numFmtId="44" fontId="2" fillId="0" borderId="102" xfId="1" applyFont="1" applyFill="1" applyBorder="1"/>
    <xf numFmtId="164" fontId="2" fillId="10" borderId="27" xfId="0" applyNumberFormat="1" applyFont="1" applyFill="1" applyBorder="1" applyAlignment="1">
      <alignment horizontal="center"/>
    </xf>
    <xf numFmtId="44" fontId="2" fillId="0" borderId="27" xfId="1" applyFont="1" applyFill="1" applyBorder="1"/>
    <xf numFmtId="164" fontId="12" fillId="0" borderId="103" xfId="0" applyNumberFormat="1" applyFont="1" applyBorder="1" applyAlignment="1">
      <alignment horizontal="center"/>
    </xf>
    <xf numFmtId="44" fontId="9" fillId="0" borderId="104" xfId="1" applyFont="1" applyBorder="1"/>
    <xf numFmtId="0" fontId="2" fillId="0" borderId="38" xfId="0" applyFont="1" applyFill="1" applyBorder="1" applyAlignment="1">
      <alignment wrapText="1"/>
    </xf>
    <xf numFmtId="0" fontId="8" fillId="0" borderId="27" xfId="0" applyFont="1" applyFill="1" applyBorder="1" applyAlignment="1">
      <alignment wrapText="1"/>
    </xf>
    <xf numFmtId="0" fontId="18" fillId="0" borderId="0" xfId="0" applyFont="1" applyFill="1" applyAlignment="1">
      <alignment horizontal="center"/>
    </xf>
    <xf numFmtId="16" fontId="2" fillId="0" borderId="5" xfId="0" applyNumberFormat="1" applyFont="1" applyFill="1" applyBorder="1"/>
    <xf numFmtId="16" fontId="13" fillId="0" borderId="5" xfId="0" applyNumberFormat="1" applyFont="1" applyFill="1" applyBorder="1"/>
    <xf numFmtId="0" fontId="13" fillId="0" borderId="5" xfId="0" applyFont="1" applyFill="1" applyBorder="1"/>
    <xf numFmtId="16" fontId="2" fillId="0" borderId="4" xfId="0" applyNumberFormat="1" applyFont="1" applyFill="1" applyBorder="1"/>
    <xf numFmtId="0" fontId="18" fillId="0" borderId="38" xfId="0" applyFont="1" applyFill="1" applyBorder="1" applyAlignment="1">
      <alignment horizontal="center" wrapText="1"/>
    </xf>
    <xf numFmtId="165" fontId="12" fillId="0" borderId="19" xfId="1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44" fontId="2" fillId="0" borderId="85" xfId="1" applyFont="1" applyFill="1" applyBorder="1"/>
    <xf numFmtId="44" fontId="2" fillId="0" borderId="105" xfId="1" applyFont="1" applyFill="1" applyBorder="1"/>
    <xf numFmtId="15" fontId="2" fillId="0" borderId="5" xfId="0" applyNumberFormat="1" applyFont="1" applyFill="1" applyBorder="1"/>
    <xf numFmtId="165" fontId="0" fillId="0" borderId="0" xfId="1" applyNumberFormat="1" applyFont="1" applyFill="1"/>
    <xf numFmtId="44" fontId="0" fillId="0" borderId="0" xfId="1" applyFont="1" applyFill="1"/>
    <xf numFmtId="44" fontId="14" fillId="0" borderId="13" xfId="1" applyFont="1" applyBorder="1"/>
    <xf numFmtId="44" fontId="40" fillId="5" borderId="0" xfId="1" applyFont="1" applyFill="1" applyBorder="1" applyAlignment="1">
      <alignment horizontal="right"/>
    </xf>
    <xf numFmtId="165" fontId="2" fillId="3" borderId="5" xfId="0" applyNumberFormat="1" applyFont="1" applyFill="1" applyBorder="1" applyAlignment="1">
      <alignment horizontal="left"/>
    </xf>
    <xf numFmtId="166" fontId="9" fillId="3" borderId="73" xfId="0" applyNumberFormat="1" applyFont="1" applyFill="1" applyBorder="1"/>
    <xf numFmtId="166" fontId="9" fillId="3" borderId="107" xfId="0" applyNumberFormat="1" applyFont="1" applyFill="1" applyBorder="1"/>
    <xf numFmtId="44" fontId="2" fillId="0" borderId="39" xfId="1" applyFont="1" applyFill="1" applyBorder="1"/>
    <xf numFmtId="15" fontId="2" fillId="0" borderId="77" xfId="0" applyNumberFormat="1" applyFont="1" applyFill="1" applyBorder="1"/>
    <xf numFmtId="164" fontId="2" fillId="0" borderId="77" xfId="0" applyNumberFormat="1" applyFont="1" applyFill="1" applyBorder="1" applyAlignment="1">
      <alignment horizontal="left"/>
    </xf>
    <xf numFmtId="16" fontId="2" fillId="0" borderId="0" xfId="1" applyNumberFormat="1" applyFont="1"/>
    <xf numFmtId="44" fontId="18" fillId="0" borderId="0" xfId="1" applyFont="1"/>
    <xf numFmtId="44" fontId="18" fillId="0" borderId="0" xfId="1" applyFont="1" applyFill="1"/>
    <xf numFmtId="44" fontId="18" fillId="0" borderId="0" xfId="1" applyFont="1" applyFill="1" applyBorder="1" applyAlignment="1">
      <alignment horizontal="center"/>
    </xf>
    <xf numFmtId="44" fontId="18" fillId="0" borderId="0" xfId="1" applyFont="1" applyFill="1" applyBorder="1"/>
    <xf numFmtId="44" fontId="50" fillId="0" borderId="0" xfId="1" applyFont="1" applyFill="1" applyBorder="1" applyAlignment="1">
      <alignment horizontal="right"/>
    </xf>
    <xf numFmtId="44" fontId="18" fillId="0" borderId="0" xfId="1" applyFont="1" applyFill="1" applyBorder="1" applyAlignment="1">
      <alignment horizontal="right"/>
    </xf>
    <xf numFmtId="44" fontId="50" fillId="0" borderId="0" xfId="1" applyFont="1" applyFill="1" applyBorder="1" applyAlignment="1">
      <alignment horizontal="center"/>
    </xf>
    <xf numFmtId="44" fontId="50" fillId="0" borderId="0" xfId="1" applyFont="1" applyFill="1" applyBorder="1" applyAlignment="1">
      <alignment horizontal="left"/>
    </xf>
    <xf numFmtId="44" fontId="50" fillId="0" borderId="0" xfId="1" applyFont="1" applyFill="1" applyAlignment="1">
      <alignment horizontal="right"/>
    </xf>
    <xf numFmtId="168" fontId="50" fillId="0" borderId="0" xfId="1" applyNumberFormat="1" applyFont="1" applyFill="1" applyBorder="1" applyAlignment="1">
      <alignment horizontal="right" vertical="center" wrapText="1"/>
    </xf>
    <xf numFmtId="0" fontId="18" fillId="0" borderId="0" xfId="0" applyFont="1"/>
    <xf numFmtId="166" fontId="9" fillId="0" borderId="76" xfId="0" applyNumberFormat="1" applyFont="1" applyFill="1" applyBorder="1" applyAlignment="1">
      <alignment horizontal="left"/>
    </xf>
    <xf numFmtId="44" fontId="8" fillId="0" borderId="0" xfId="0" applyNumberFormat="1" applyFont="1"/>
    <xf numFmtId="0" fontId="8" fillId="0" borderId="0" xfId="0" applyFont="1" applyAlignment="1">
      <alignment horizontal="right"/>
    </xf>
    <xf numFmtId="0" fontId="18" fillId="0" borderId="4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44" fontId="57" fillId="0" borderId="0" xfId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/>
    </xf>
    <xf numFmtId="44" fontId="13" fillId="0" borderId="0" xfId="1" applyFont="1" applyAlignment="1">
      <alignment horizontal="center"/>
    </xf>
    <xf numFmtId="44" fontId="13" fillId="0" borderId="0" xfId="1" applyFont="1" applyFill="1" applyAlignment="1">
      <alignment horizontal="center"/>
    </xf>
    <xf numFmtId="44" fontId="57" fillId="0" borderId="0" xfId="1" applyFont="1" applyFill="1" applyAlignment="1">
      <alignment horizontal="center"/>
    </xf>
    <xf numFmtId="168" fontId="57" fillId="0" borderId="0" xfId="1" applyNumberFormat="1" applyFont="1" applyFill="1" applyBorder="1" applyAlignment="1">
      <alignment horizontal="center" vertical="center" wrapText="1"/>
    </xf>
    <xf numFmtId="44" fontId="2" fillId="16" borderId="79" xfId="1" applyFont="1" applyFill="1" applyBorder="1"/>
    <xf numFmtId="166" fontId="19" fillId="16" borderId="76" xfId="0" applyNumberFormat="1" applyFont="1" applyFill="1" applyBorder="1"/>
    <xf numFmtId="15" fontId="2" fillId="16" borderId="17" xfId="0" applyNumberFormat="1" applyFont="1" applyFill="1" applyBorder="1"/>
    <xf numFmtId="0" fontId="0" fillId="16" borderId="0" xfId="0" applyFill="1"/>
    <xf numFmtId="15" fontId="2" fillId="16" borderId="5" xfId="0" applyNumberFormat="1" applyFont="1" applyFill="1" applyBorder="1"/>
    <xf numFmtId="164" fontId="31" fillId="0" borderId="65" xfId="0" applyNumberFormat="1" applyFont="1" applyFill="1" applyBorder="1" applyAlignment="1">
      <alignment horizontal="center"/>
    </xf>
    <xf numFmtId="1" fontId="32" fillId="0" borderId="65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44" fontId="2" fillId="23" borderId="5" xfId="1" applyFont="1" applyFill="1" applyBorder="1"/>
    <xf numFmtId="44" fontId="2" fillId="23" borderId="38" xfId="1" applyFont="1" applyFill="1" applyBorder="1"/>
    <xf numFmtId="0" fontId="8" fillId="2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23" borderId="38" xfId="0" applyFont="1" applyFill="1" applyBorder="1" applyAlignment="1">
      <alignment horizontal="center"/>
    </xf>
    <xf numFmtId="0" fontId="12" fillId="16" borderId="5" xfId="0" applyFont="1" applyFill="1" applyBorder="1" applyAlignment="1">
      <alignment horizontal="left"/>
    </xf>
    <xf numFmtId="44" fontId="2" fillId="16" borderId="5" xfId="1" applyFont="1" applyFill="1" applyBorder="1"/>
    <xf numFmtId="44" fontId="2" fillId="16" borderId="72" xfId="1" applyFont="1" applyFill="1" applyBorder="1"/>
    <xf numFmtId="44" fontId="2" fillId="16" borderId="0" xfId="1" applyFont="1" applyFill="1"/>
    <xf numFmtId="0" fontId="13" fillId="11" borderId="5" xfId="0" applyFont="1" applyFill="1" applyBorder="1" applyAlignment="1">
      <alignment horizontal="center" wrapText="1"/>
    </xf>
    <xf numFmtId="165" fontId="19" fillId="11" borderId="5" xfId="1" applyNumberFormat="1" applyFont="1" applyFill="1" applyBorder="1" applyAlignment="1">
      <alignment horizontal="left"/>
    </xf>
    <xf numFmtId="0" fontId="2" fillId="11" borderId="0" xfId="0" applyFont="1" applyFill="1" applyAlignment="1">
      <alignment horizontal="right"/>
    </xf>
    <xf numFmtId="44" fontId="2" fillId="0" borderId="32" xfId="1" applyFont="1" applyBorder="1"/>
    <xf numFmtId="0" fontId="8" fillId="3" borderId="0" xfId="0" applyFont="1" applyFill="1" applyAlignment="1">
      <alignment horizontal="center" vertical="center"/>
    </xf>
    <xf numFmtId="44" fontId="8" fillId="0" borderId="108" xfId="1" applyFont="1" applyBorder="1"/>
    <xf numFmtId="44" fontId="14" fillId="0" borderId="25" xfId="1" applyFont="1" applyBorder="1" applyAlignment="1">
      <alignment horizontal="center"/>
    </xf>
    <xf numFmtId="44" fontId="14" fillId="0" borderId="39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44" fontId="5" fillId="10" borderId="11" xfId="1" applyFont="1" applyFill="1" applyBorder="1" applyAlignment="1">
      <alignment horizontal="center"/>
    </xf>
    <xf numFmtId="44" fontId="5" fillId="10" borderId="49" xfId="1" applyFont="1" applyFill="1" applyBorder="1" applyAlignment="1">
      <alignment horizontal="center"/>
    </xf>
    <xf numFmtId="166" fontId="5" fillId="10" borderId="49" xfId="1" applyNumberFormat="1" applyFont="1" applyFill="1" applyBorder="1" applyAlignment="1">
      <alignment horizontal="center"/>
    </xf>
    <xf numFmtId="166" fontId="5" fillId="10" borderId="12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168" fontId="5" fillId="3" borderId="7" xfId="1" applyNumberFormat="1" applyFont="1" applyFill="1" applyBorder="1" applyAlignment="1">
      <alignment horizontal="center" vertical="center" wrapText="1"/>
    </xf>
    <xf numFmtId="168" fontId="5" fillId="3" borderId="47" xfId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0" fontId="5" fillId="0" borderId="55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57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8" fillId="9" borderId="53" xfId="0" applyNumberFormat="1" applyFont="1" applyFill="1" applyBorder="1" applyAlignment="1">
      <alignment horizontal="center"/>
    </xf>
    <xf numFmtId="164" fontId="8" fillId="9" borderId="36" xfId="0" applyNumberFormat="1" applyFont="1" applyFill="1" applyBorder="1" applyAlignment="1">
      <alignment horizontal="center"/>
    </xf>
    <xf numFmtId="164" fontId="8" fillId="9" borderId="54" xfId="0" applyNumberFormat="1" applyFont="1" applyFill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44" fontId="9" fillId="0" borderId="25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38" fillId="13" borderId="0" xfId="0" applyFont="1" applyFill="1" applyAlignment="1">
      <alignment horizontal="center" vertical="center" wrapText="1"/>
    </xf>
    <xf numFmtId="0" fontId="38" fillId="13" borderId="41" xfId="0" applyFont="1" applyFill="1" applyBorder="1" applyAlignment="1">
      <alignment horizontal="center" vertical="center" wrapText="1"/>
    </xf>
    <xf numFmtId="0" fontId="45" fillId="13" borderId="30" xfId="0" applyFont="1" applyFill="1" applyBorder="1" applyAlignment="1">
      <alignment horizontal="center" vertical="center" wrapText="1"/>
    </xf>
    <xf numFmtId="44" fontId="5" fillId="0" borderId="7" xfId="1" applyFont="1" applyFill="1" applyBorder="1" applyAlignment="1">
      <alignment vertical="center" wrapText="1"/>
    </xf>
    <xf numFmtId="44" fontId="5" fillId="0" borderId="47" xfId="1" applyFont="1" applyFill="1" applyBorder="1" applyAlignment="1">
      <alignment vertical="center" wrapText="1"/>
    </xf>
    <xf numFmtId="0" fontId="13" fillId="0" borderId="25" xfId="0" applyFont="1" applyFill="1" applyBorder="1" applyAlignment="1">
      <alignment horizontal="center"/>
    </xf>
    <xf numFmtId="0" fontId="13" fillId="0" borderId="48" xfId="0" applyFont="1" applyFill="1" applyBorder="1" applyAlignment="1">
      <alignment horizontal="center"/>
    </xf>
    <xf numFmtId="1" fontId="49" fillId="2" borderId="38" xfId="0" applyNumberFormat="1" applyFont="1" applyFill="1" applyBorder="1" applyAlignment="1">
      <alignment horizontal="center" wrapText="1"/>
    </xf>
    <xf numFmtId="1" fontId="49" fillId="2" borderId="27" xfId="0" applyNumberFormat="1" applyFont="1" applyFill="1" applyBorder="1" applyAlignment="1">
      <alignment horizontal="center" wrapText="1"/>
    </xf>
    <xf numFmtId="44" fontId="5" fillId="16" borderId="11" xfId="1" applyFont="1" applyFill="1" applyBorder="1" applyAlignment="1">
      <alignment horizontal="center"/>
    </xf>
    <xf numFmtId="44" fontId="5" fillId="16" borderId="49" xfId="1" applyFont="1" applyFill="1" applyBorder="1" applyAlignment="1">
      <alignment horizontal="center"/>
    </xf>
    <xf numFmtId="166" fontId="5" fillId="16" borderId="49" xfId="1" applyNumberFormat="1" applyFont="1" applyFill="1" applyBorder="1" applyAlignment="1">
      <alignment horizontal="center"/>
    </xf>
    <xf numFmtId="166" fontId="5" fillId="16" borderId="12" xfId="1" applyNumberFormat="1" applyFont="1" applyFill="1" applyBorder="1" applyAlignment="1">
      <alignment horizontal="center"/>
    </xf>
    <xf numFmtId="0" fontId="53" fillId="20" borderId="38" xfId="0" applyFont="1" applyFill="1" applyBorder="1" applyAlignment="1">
      <alignment horizontal="center" wrapText="1"/>
    </xf>
    <xf numFmtId="0" fontId="53" fillId="20" borderId="27" xfId="0" applyFont="1" applyFill="1" applyBorder="1" applyAlignment="1">
      <alignment horizontal="center" wrapText="1"/>
    </xf>
    <xf numFmtId="44" fontId="5" fillId="4" borderId="11" xfId="1" applyFont="1" applyFill="1" applyBorder="1" applyAlignment="1">
      <alignment horizontal="center"/>
    </xf>
    <xf numFmtId="44" fontId="5" fillId="4" borderId="49" xfId="1" applyFont="1" applyFill="1" applyBorder="1" applyAlignment="1">
      <alignment horizontal="center"/>
    </xf>
    <xf numFmtId="166" fontId="5" fillId="4" borderId="49" xfId="1" applyNumberFormat="1" applyFont="1" applyFill="1" applyBorder="1" applyAlignment="1">
      <alignment horizontal="center"/>
    </xf>
    <xf numFmtId="166" fontId="5" fillId="4" borderId="12" xfId="1" applyNumberFormat="1" applyFont="1" applyFill="1" applyBorder="1" applyAlignment="1">
      <alignment horizontal="center"/>
    </xf>
    <xf numFmtId="44" fontId="5" fillId="3" borderId="11" xfId="1" applyFont="1" applyFill="1" applyBorder="1" applyAlignment="1">
      <alignment horizontal="center"/>
    </xf>
    <xf numFmtId="44" fontId="5" fillId="3" borderId="49" xfId="1" applyFont="1" applyFill="1" applyBorder="1" applyAlignment="1">
      <alignment horizontal="center"/>
    </xf>
    <xf numFmtId="166" fontId="5" fillId="3" borderId="49" xfId="1" applyNumberFormat="1" applyFont="1" applyFill="1" applyBorder="1" applyAlignment="1">
      <alignment horizontal="center"/>
    </xf>
    <xf numFmtId="166" fontId="5" fillId="3" borderId="12" xfId="1" applyNumberFormat="1" applyFont="1" applyFill="1" applyBorder="1" applyAlignment="1">
      <alignment horizontal="center"/>
    </xf>
    <xf numFmtId="44" fontId="5" fillId="0" borderId="0" xfId="1" applyFont="1" applyFill="1" applyBorder="1" applyAlignment="1">
      <alignment vertical="center" wrapText="1"/>
    </xf>
    <xf numFmtId="0" fontId="14" fillId="0" borderId="10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44" fontId="39" fillId="0" borderId="0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00"/>
      <color rgb="FF99CCFF"/>
      <color rgb="FF0000FF"/>
      <color rgb="FFCC99FF"/>
      <color rgb="FF990099"/>
      <color rgb="FFFF9900"/>
      <color rgb="FFFFCC99"/>
      <color rgb="FF66FFFF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0933BFC-14B6-46F7-809B-45DFE2824433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665D7BD-CEE8-4624-A8E6-0DC9988821ED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392CBB0-7751-4127-BD3C-B01FF9922246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0825DB3-565F-4B1D-954C-5BAF91B08179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96B67E-C446-4B0E-A74A-A6EB022C5AC4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925B3E4-AC0B-4692-8C5E-4777B5BBD51B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CADF349-2E47-43B9-A9C9-97EDBFBC25A9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89073EB-8BC2-4299-8A0A-DCA52E5770A8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31C8590-E77D-4457-8D08-CFA1A192BD92}"/>
            </a:ext>
          </a:extLst>
        </xdr:cNvPr>
        <xdr:cNvSpPr/>
      </xdr:nvSpPr>
      <xdr:spPr>
        <a:xfrm rot="18916712">
          <a:off x="9048604" y="10669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53</xdr:row>
      <xdr:rowOff>19050</xdr:rowOff>
    </xdr:from>
    <xdr:to>
      <xdr:col>6</xdr:col>
      <xdr:colOff>295275</xdr:colOff>
      <xdr:row>53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32B3EA9F-255A-44C4-9C17-A72790A2916E}"/>
            </a:ext>
          </a:extLst>
        </xdr:cNvPr>
        <xdr:cNvCxnSpPr/>
      </xdr:nvCxnSpPr>
      <xdr:spPr>
        <a:xfrm>
          <a:off x="5124450" y="109918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B7BFEB1-CE4A-4AB2-B2D8-AA2327BCAE6B}"/>
            </a:ext>
          </a:extLst>
        </xdr:cNvPr>
        <xdr:cNvCxnSpPr/>
      </xdr:nvCxnSpPr>
      <xdr:spPr>
        <a:xfrm rot="10800000" flipV="1">
          <a:off x="5105400" y="11391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0</xdr:colOff>
      <xdr:row>53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11B9BB7-2AB8-4B6B-A881-11B84C930BE5}"/>
            </a:ext>
          </a:extLst>
        </xdr:cNvPr>
        <xdr:cNvCxnSpPr/>
      </xdr:nvCxnSpPr>
      <xdr:spPr>
        <a:xfrm>
          <a:off x="5019675" y="1088707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D6005F1-2794-4F00-AC03-00987BEF19E7}"/>
            </a:ext>
          </a:extLst>
        </xdr:cNvPr>
        <xdr:cNvCxnSpPr/>
      </xdr:nvCxnSpPr>
      <xdr:spPr>
        <a:xfrm rot="10800000" flipV="1">
          <a:off x="5105400" y="11391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101A427-CD2C-4234-98E3-9A6EAA7D9F10}"/>
            </a:ext>
          </a:extLst>
        </xdr:cNvPr>
        <xdr:cNvCxnSpPr/>
      </xdr:nvCxnSpPr>
      <xdr:spPr>
        <a:xfrm>
          <a:off x="2181225" y="1086802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53</xdr:row>
      <xdr:rowOff>47626</xdr:rowOff>
    </xdr:from>
    <xdr:to>
      <xdr:col>13</xdr:col>
      <xdr:colOff>180974</xdr:colOff>
      <xdr:row>53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53E5C4E2-5833-46AA-B054-E3B7E91E2138}"/>
            </a:ext>
          </a:extLst>
        </xdr:cNvPr>
        <xdr:cNvSpPr/>
      </xdr:nvSpPr>
      <xdr:spPr>
        <a:xfrm rot="5400000">
          <a:off x="10944223" y="108299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5F93DD8-244E-4A44-BE4E-09C624E32A4D}"/>
            </a:ext>
          </a:extLst>
        </xdr:cNvPr>
        <xdr:cNvSpPr/>
      </xdr:nvSpPr>
      <xdr:spPr>
        <a:xfrm rot="16200000">
          <a:off x="7772401" y="990599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58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4501BEF-D4BE-4431-812F-5BB282BF01E5}"/>
            </a:ext>
          </a:extLst>
        </xdr:cNvPr>
        <xdr:cNvSpPr/>
      </xdr:nvSpPr>
      <xdr:spPr>
        <a:xfrm rot="18916712">
          <a:off x="9686779" y="120795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FEE78420-71C0-400D-997A-270409E8F5DC}"/>
            </a:ext>
          </a:extLst>
        </xdr:cNvPr>
        <xdr:cNvCxnSpPr/>
      </xdr:nvCxnSpPr>
      <xdr:spPr>
        <a:xfrm flipV="1">
          <a:off x="5029200" y="1172527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56</xdr:row>
      <xdr:rowOff>19050</xdr:rowOff>
    </xdr:from>
    <xdr:to>
      <xdr:col>6</xdr:col>
      <xdr:colOff>295275</xdr:colOff>
      <xdr:row>56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FED630F5-885F-495B-B45F-585BF5EDABED}"/>
            </a:ext>
          </a:extLst>
        </xdr:cNvPr>
        <xdr:cNvCxnSpPr/>
      </xdr:nvCxnSpPr>
      <xdr:spPr>
        <a:xfrm>
          <a:off x="5124450" y="10906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E37F88C-70D9-4E36-A535-F7E1C8BC35E4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1133475</xdr:colOff>
      <xdr:row>55</xdr:row>
      <xdr:rowOff>47625</xdr:rowOff>
    </xdr:from>
    <xdr:to>
      <xdr:col>7</xdr:col>
      <xdr:colOff>0</xdr:colOff>
      <xdr:row>56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B32D66CD-F5B1-4C42-8F20-9321006EF3BB}"/>
            </a:ext>
          </a:extLst>
        </xdr:cNvPr>
        <xdr:cNvCxnSpPr/>
      </xdr:nvCxnSpPr>
      <xdr:spPr>
        <a:xfrm>
          <a:off x="5010150" y="11363325"/>
          <a:ext cx="24765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9FC44A62-BADA-4E99-B20D-B60783403CD1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1076325</xdr:colOff>
      <xdr:row>55</xdr:row>
      <xdr:rowOff>152400</xdr:rowOff>
    </xdr:from>
    <xdr:to>
      <xdr:col>5</xdr:col>
      <xdr:colOff>85725</xdr:colOff>
      <xdr:row>57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FFE5904A-473A-4657-83AF-370D5481CD6E}"/>
            </a:ext>
          </a:extLst>
        </xdr:cNvPr>
        <xdr:cNvCxnSpPr/>
      </xdr:nvCxnSpPr>
      <xdr:spPr>
        <a:xfrm>
          <a:off x="2076450" y="11468100"/>
          <a:ext cx="1885950" cy="400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56</xdr:row>
      <xdr:rowOff>47626</xdr:rowOff>
    </xdr:from>
    <xdr:to>
      <xdr:col>13</xdr:col>
      <xdr:colOff>180974</xdr:colOff>
      <xdr:row>56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0FA7599-8BBD-4C9E-85BB-EBFE7B352DFB}"/>
            </a:ext>
          </a:extLst>
        </xdr:cNvPr>
        <xdr:cNvSpPr/>
      </xdr:nvSpPr>
      <xdr:spPr>
        <a:xfrm rot="5400000">
          <a:off x="10944223" y="107442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55</xdr:row>
      <xdr:rowOff>180974</xdr:rowOff>
    </xdr:from>
    <xdr:to>
      <xdr:col>11</xdr:col>
      <xdr:colOff>133352</xdr:colOff>
      <xdr:row>56</xdr:row>
      <xdr:rowOff>190498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656C72A2-EE6B-4704-8E9E-1D67DA7DEA57}"/>
            </a:ext>
          </a:extLst>
        </xdr:cNvPr>
        <xdr:cNvSpPr/>
      </xdr:nvSpPr>
      <xdr:spPr>
        <a:xfrm rot="16200000">
          <a:off x="7767639" y="10244135"/>
          <a:ext cx="209549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A34F687-F1D8-4B42-8FC6-8FE1413FC367}"/>
            </a:ext>
          </a:extLst>
        </xdr:cNvPr>
        <xdr:cNvSpPr/>
      </xdr:nvSpPr>
      <xdr:spPr>
        <a:xfrm rot="18916712">
          <a:off x="9686779" y="11993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9EDB879-9C49-4382-AA84-4590FD91E946}"/>
            </a:ext>
          </a:extLst>
        </xdr:cNvPr>
        <xdr:cNvCxnSpPr/>
      </xdr:nvCxnSpPr>
      <xdr:spPr>
        <a:xfrm flipV="1">
          <a:off x="5029200" y="11639550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F46E88A2-17CA-4F9B-B4D1-A18338FA65C0}"/>
            </a:ext>
          </a:extLst>
        </xdr:cNvPr>
        <xdr:cNvSpPr/>
      </xdr:nvSpPr>
      <xdr:spPr>
        <a:xfrm rot="5400000">
          <a:off x="10991848" y="99345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788AEF17-1354-4D8F-8B44-37635E05F70F}"/>
            </a:ext>
          </a:extLst>
        </xdr:cNvPr>
        <xdr:cNvSpPr/>
      </xdr:nvSpPr>
      <xdr:spPr>
        <a:xfrm rot="18916712">
          <a:off x="9686779" y="118319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21" name="2 Conector recto de flecha">
          <a:extLst>
            <a:ext uri="{FF2B5EF4-FFF2-40B4-BE49-F238E27FC236}">
              <a16:creationId xmlns:a16="http://schemas.microsoft.com/office/drawing/2014/main" id="{D22C0107-3CCC-400A-86DF-70B96B115F93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22" name="1 Conector recto de flecha">
          <a:extLst>
            <a:ext uri="{FF2B5EF4-FFF2-40B4-BE49-F238E27FC236}">
              <a16:creationId xmlns:a16="http://schemas.microsoft.com/office/drawing/2014/main" id="{39E49E9C-03B3-4A68-9116-F60952CFF91F}"/>
            </a:ext>
          </a:extLst>
        </xdr:cNvPr>
        <xdr:cNvCxnSpPr/>
      </xdr:nvCxnSpPr>
      <xdr:spPr>
        <a:xfrm>
          <a:off x="5019675" y="99726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23" name="2 Conector recto de flecha">
          <a:extLst>
            <a:ext uri="{FF2B5EF4-FFF2-40B4-BE49-F238E27FC236}">
              <a16:creationId xmlns:a16="http://schemas.microsoft.com/office/drawing/2014/main" id="{DDB31DFB-7B4A-4B72-9E72-9D06755AC85E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94A9E2B5-1874-41EF-AD5C-3EB9A82EFB9E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26" name="Abrir llave 25">
          <a:extLst>
            <a:ext uri="{FF2B5EF4-FFF2-40B4-BE49-F238E27FC236}">
              <a16:creationId xmlns:a16="http://schemas.microsoft.com/office/drawing/2014/main" id="{6C27FFE2-2F4E-48F2-9547-168EC6E67693}"/>
            </a:ext>
          </a:extLst>
        </xdr:cNvPr>
        <xdr:cNvSpPr/>
      </xdr:nvSpPr>
      <xdr:spPr>
        <a:xfrm rot="16200000">
          <a:off x="7772401" y="9820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813289</xdr:colOff>
      <xdr:row>66</xdr:row>
      <xdr:rowOff>144757</xdr:rowOff>
    </xdr:from>
    <xdr:ext cx="2599476" cy="370071"/>
    <xdr:sp macro="" textlink="">
      <xdr:nvSpPr>
        <xdr:cNvPr id="27" name="Rectángulo 26">
          <a:extLst>
            <a:ext uri="{FF2B5EF4-FFF2-40B4-BE49-F238E27FC236}">
              <a16:creationId xmlns:a16="http://schemas.microsoft.com/office/drawing/2014/main" id="{C29F497C-EE5A-4896-9145-6B7F4AEC62BB}"/>
            </a:ext>
          </a:extLst>
        </xdr:cNvPr>
        <xdr:cNvSpPr/>
      </xdr:nvSpPr>
      <xdr:spPr>
        <a:xfrm rot="18916712">
          <a:off x="9987769" y="1341117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600A3E91-6B39-47A6-BC21-4FA621EBB368}"/>
            </a:ext>
          </a:extLst>
        </xdr:cNvPr>
        <xdr:cNvCxnSpPr/>
      </xdr:nvCxnSpPr>
      <xdr:spPr>
        <a:xfrm flipV="1">
          <a:off x="5029200" y="11639550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99267-C4E8-4C6B-933F-248AF97620CC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53C9AAC-3FFD-4429-ABEE-57D095C0C410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9E9CBD8-88FD-4111-98EF-29A772AB228F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59F95CD-428D-4D75-8F7F-F29F21E601C6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4C4997-9812-46E9-AD55-E20A26A2D8F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30C0F04-8E0F-4606-8006-ADC93A17955B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767931-934B-47F4-B87A-A00BB634C274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2B3F50D-7160-4F90-B0CE-6B53C1BA3DF3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5A6C5C-B6FD-4AED-97E1-9EFEF2E9B512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260A0BB-B2B3-4AF6-B3D4-BFDF6A5C6368}"/>
            </a:ext>
          </a:extLst>
        </xdr:cNvPr>
        <xdr:cNvCxnSpPr/>
      </xdr:nvCxnSpPr>
      <xdr:spPr>
        <a:xfrm>
          <a:off x="5124450" y="8686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8FF4F4D-8B0B-42A6-86AB-8294B0BFA006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9A1B217-BAD8-458F-9E94-9A28CF2D6724}"/>
            </a:ext>
          </a:extLst>
        </xdr:cNvPr>
        <xdr:cNvCxnSpPr/>
      </xdr:nvCxnSpPr>
      <xdr:spPr>
        <a:xfrm>
          <a:off x="5019675" y="8582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9136AD3-488A-42FA-B1DF-33EF4ACE0E3C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BBD2BE3-100B-4DE1-881B-14F54A604B6B}"/>
            </a:ext>
          </a:extLst>
        </xdr:cNvPr>
        <xdr:cNvCxnSpPr/>
      </xdr:nvCxnSpPr>
      <xdr:spPr>
        <a:xfrm>
          <a:off x="2181225" y="85629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95FFC483-AFF3-4A27-9CE9-F896872D9216}"/>
            </a:ext>
          </a:extLst>
        </xdr:cNvPr>
        <xdr:cNvSpPr/>
      </xdr:nvSpPr>
      <xdr:spPr>
        <a:xfrm rot="5400000">
          <a:off x="10829923" y="83058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D50314A-C3DC-469F-B346-C144368F9A0D}"/>
            </a:ext>
          </a:extLst>
        </xdr:cNvPr>
        <xdr:cNvCxnSpPr/>
      </xdr:nvCxnSpPr>
      <xdr:spPr>
        <a:xfrm flipV="1">
          <a:off x="5029200" y="9420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2341657-F491-49A9-80DD-C82F88D83345}"/>
            </a:ext>
          </a:extLst>
        </xdr:cNvPr>
        <xdr:cNvSpPr/>
      </xdr:nvSpPr>
      <xdr:spPr>
        <a:xfrm rot="16200000">
          <a:off x="7705726" y="76676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AF3BD20-B5D7-48C3-A9CE-7D88127EB49A}"/>
            </a:ext>
          </a:extLst>
        </xdr:cNvPr>
        <xdr:cNvSpPr/>
      </xdr:nvSpPr>
      <xdr:spPr>
        <a:xfrm rot="18916712">
          <a:off x="9553429" y="9765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C108338-9351-44A1-B64E-AA46A3B9BB6A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249BADA-3158-4C6F-B880-55377AE0C2A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DE08E1-7568-4731-ACE1-418A51CF7812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385D16A-D35A-49DD-8B50-381F01C08AE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4A80AE4-5262-4455-88FE-C3C2A2D7DFCB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9A81256-14B1-4692-A0FB-CFCF33E7AD20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2C78645-AC0E-49F1-A15D-22A6DC94C08C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D7B180D-1F77-4B40-A21D-FB52B8F4EDE9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3159D79-19E0-4F9D-89A8-C54DC8E7313F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5035AEA-FF87-43EC-81E8-22822231A0D3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CCB900D-E570-47F9-B78A-798FA6768596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50850F-F1E4-47BB-AF61-2E029B09EB85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5C88857B-6E53-4A6F-AAC7-203FDBCCB9FE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D67E6F6-1845-4AAB-AC43-885D5CB8F10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B502EB9-A484-41B7-9EFB-04179B2C95EF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8FCB4C-7343-4CC0-9844-6C3C4BA26E8A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29D11A4-E962-4779-BED1-22B548194B53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1E057BB-65D2-43FE-BA4D-1191CA8ABD06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2B8581F-A382-4DCF-9EF6-F0CF9DB5699E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9485F9D-F0D0-4E79-8155-BAE6EFE1B52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AA607C-6525-4545-B022-9995274C691E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334619-6684-4039-B00E-0909D7DBC110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75263B5-7FB9-4C0C-8F0D-9EDFE811EFF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51C7660-6400-4CC9-945E-47ED5C7D4EFD}"/>
            </a:ext>
          </a:extLst>
        </xdr:cNvPr>
        <xdr:cNvSpPr/>
      </xdr:nvSpPr>
      <xdr:spPr>
        <a:xfrm rot="5400000">
          <a:off x="10944223" y="93249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17F6BA1-3936-4533-8BBB-D5823F8AAD6F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7E4EB25-84C2-45AC-8946-E5DFF652473B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295D869-13F3-4A48-B5B0-0A8434C5CEBA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9E0607B-D060-4308-B9D8-3283825385EA}"/>
            </a:ext>
          </a:extLst>
        </xdr:cNvPr>
        <xdr:cNvCxnSpPr/>
      </xdr:nvCxnSpPr>
      <xdr:spPr>
        <a:xfrm>
          <a:off x="5124450" y="13639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C9B193F5-454B-4560-9D24-F2312ECBEA81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2146B166-838F-44DF-87F5-3CB6C534EB82}"/>
            </a:ext>
          </a:extLst>
        </xdr:cNvPr>
        <xdr:cNvCxnSpPr/>
      </xdr:nvCxnSpPr>
      <xdr:spPr>
        <a:xfrm>
          <a:off x="5019675" y="13535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843EB802-FBE2-4681-BE00-320090051CC9}"/>
            </a:ext>
          </a:extLst>
        </xdr:cNvPr>
        <xdr:cNvCxnSpPr/>
      </xdr:nvCxnSpPr>
      <xdr:spPr>
        <a:xfrm rot="10800000" flipV="1">
          <a:off x="5105400" y="140398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8CA14EA-3F0B-4176-B27A-174FDC6A8A25}"/>
            </a:ext>
          </a:extLst>
        </xdr:cNvPr>
        <xdr:cNvCxnSpPr/>
      </xdr:nvCxnSpPr>
      <xdr:spPr>
        <a:xfrm>
          <a:off x="2181225" y="13515975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40</xdr:row>
      <xdr:rowOff>47626</xdr:rowOff>
    </xdr:from>
    <xdr:to>
      <xdr:col>13</xdr:col>
      <xdr:colOff>180974</xdr:colOff>
      <xdr:row>40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16A7FB80-EEAD-45D6-AA1C-4F5E956983E0}"/>
            </a:ext>
          </a:extLst>
        </xdr:cNvPr>
        <xdr:cNvSpPr/>
      </xdr:nvSpPr>
      <xdr:spPr>
        <a:xfrm rot="5400000">
          <a:off x="10944223" y="134778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38B2876-5B85-41F9-BDE7-4BAC06E9D078}"/>
            </a:ext>
          </a:extLst>
        </xdr:cNvPr>
        <xdr:cNvCxnSpPr/>
      </xdr:nvCxnSpPr>
      <xdr:spPr>
        <a:xfrm flipV="1">
          <a:off x="5029200" y="14382750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22D3B927-4CDB-4673-A799-0C74D83F970F}"/>
            </a:ext>
          </a:extLst>
        </xdr:cNvPr>
        <xdr:cNvSpPr/>
      </xdr:nvSpPr>
      <xdr:spPr>
        <a:xfrm rot="16200000">
          <a:off x="7772401" y="125539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9FE208C9-F33B-4778-9A6A-DE164D4CE6B8}"/>
            </a:ext>
          </a:extLst>
        </xdr:cNvPr>
        <xdr:cNvSpPr/>
      </xdr:nvSpPr>
      <xdr:spPr>
        <a:xfrm rot="18916712">
          <a:off x="9686779" y="1472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50</xdr:row>
      <xdr:rowOff>19050</xdr:rowOff>
    </xdr:from>
    <xdr:to>
      <xdr:col>6</xdr:col>
      <xdr:colOff>295275</xdr:colOff>
      <xdr:row>50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2841142-72A0-4FB7-A6B8-A54D31C4918A}"/>
            </a:ext>
          </a:extLst>
        </xdr:cNvPr>
        <xdr:cNvCxnSpPr/>
      </xdr:nvCxnSpPr>
      <xdr:spPr>
        <a:xfrm>
          <a:off x="5124450" y="82962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3F6AB13-A167-4AE2-880F-5044941EDC4D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0</xdr:colOff>
      <xdr:row>50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1211E211-AA30-4960-BD5F-977E00A861D6}"/>
            </a:ext>
          </a:extLst>
        </xdr:cNvPr>
        <xdr:cNvCxnSpPr/>
      </xdr:nvCxnSpPr>
      <xdr:spPr>
        <a:xfrm>
          <a:off x="5019675" y="81915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8D8B9ED-D015-4D6B-B9CF-B583830A3A73}"/>
            </a:ext>
          </a:extLst>
        </xdr:cNvPr>
        <xdr:cNvCxnSpPr/>
      </xdr:nvCxnSpPr>
      <xdr:spPr>
        <a:xfrm rot="10800000" flipV="1">
          <a:off x="5105400" y="86963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C6DB135-E57D-47F4-AEC6-78A0E4D827A5}"/>
            </a:ext>
          </a:extLst>
        </xdr:cNvPr>
        <xdr:cNvCxnSpPr/>
      </xdr:nvCxnSpPr>
      <xdr:spPr>
        <a:xfrm>
          <a:off x="2181225" y="81724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50</xdr:row>
      <xdr:rowOff>47626</xdr:rowOff>
    </xdr:from>
    <xdr:to>
      <xdr:col>13</xdr:col>
      <xdr:colOff>180974</xdr:colOff>
      <xdr:row>50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B840A24C-1990-4B1A-8C05-A65655131500}"/>
            </a:ext>
          </a:extLst>
        </xdr:cNvPr>
        <xdr:cNvSpPr/>
      </xdr:nvSpPr>
      <xdr:spPr>
        <a:xfrm rot="5400000">
          <a:off x="10944223" y="81343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14EEFD18-D944-4A8C-BA7C-CCFE3520B61B}"/>
            </a:ext>
          </a:extLst>
        </xdr:cNvPr>
        <xdr:cNvSpPr/>
      </xdr:nvSpPr>
      <xdr:spPr>
        <a:xfrm rot="16200000">
          <a:off x="7772401" y="72104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3D3B9AD6-7B6E-484B-A4A3-33C222FFDD62}"/>
            </a:ext>
          </a:extLst>
        </xdr:cNvPr>
        <xdr:cNvSpPr/>
      </xdr:nvSpPr>
      <xdr:spPr>
        <a:xfrm rot="18916712">
          <a:off x="9686779" y="9384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EE4E3DE8-33D2-46D8-9C7A-AF7F012B90A3}"/>
            </a:ext>
          </a:extLst>
        </xdr:cNvPr>
        <xdr:cNvCxnSpPr/>
      </xdr:nvCxnSpPr>
      <xdr:spPr>
        <a:xfrm flipV="1">
          <a:off x="5029200" y="11306175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53</xdr:row>
      <xdr:rowOff>19050</xdr:rowOff>
    </xdr:from>
    <xdr:to>
      <xdr:col>6</xdr:col>
      <xdr:colOff>295275</xdr:colOff>
      <xdr:row>53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2BE93DE6-9B8C-44E9-87D0-7309BBBE6430}"/>
            </a:ext>
          </a:extLst>
        </xdr:cNvPr>
        <xdr:cNvCxnSpPr/>
      </xdr:nvCxnSpPr>
      <xdr:spPr>
        <a:xfrm>
          <a:off x="5124450" y="105632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5C31D81-80E9-4E34-ADC3-A2168E774E9D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0</xdr:colOff>
      <xdr:row>53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4CBE049-F955-4834-91C5-424B146944C1}"/>
            </a:ext>
          </a:extLst>
        </xdr:cNvPr>
        <xdr:cNvCxnSpPr/>
      </xdr:nvCxnSpPr>
      <xdr:spPr>
        <a:xfrm>
          <a:off x="5019675" y="104584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B1A888F3-2ECC-4BFD-97B1-ABAC52287D5D}"/>
            </a:ext>
          </a:extLst>
        </xdr:cNvPr>
        <xdr:cNvCxnSpPr/>
      </xdr:nvCxnSpPr>
      <xdr:spPr>
        <a:xfrm rot="10800000" flipV="1">
          <a:off x="5105400" y="109632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5B1A090-556C-458D-897D-0E18DFEF9B5E}"/>
            </a:ext>
          </a:extLst>
        </xdr:cNvPr>
        <xdr:cNvCxnSpPr/>
      </xdr:nvCxnSpPr>
      <xdr:spPr>
        <a:xfrm>
          <a:off x="2181225" y="104394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53</xdr:row>
      <xdr:rowOff>47626</xdr:rowOff>
    </xdr:from>
    <xdr:to>
      <xdr:col>13</xdr:col>
      <xdr:colOff>180974</xdr:colOff>
      <xdr:row>53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74FC088F-6AE1-44E4-BF96-D94726F167B8}"/>
            </a:ext>
          </a:extLst>
        </xdr:cNvPr>
        <xdr:cNvSpPr/>
      </xdr:nvSpPr>
      <xdr:spPr>
        <a:xfrm rot="5400000">
          <a:off x="10944223" y="104013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60475B4B-78F2-43FB-8ACF-1033CD9EFF4A}"/>
            </a:ext>
          </a:extLst>
        </xdr:cNvPr>
        <xdr:cNvSpPr/>
      </xdr:nvSpPr>
      <xdr:spPr>
        <a:xfrm rot="16200000">
          <a:off x="7772401" y="94773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58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054FE44-155C-4ED2-BB1D-4033BABEA215}"/>
            </a:ext>
          </a:extLst>
        </xdr:cNvPr>
        <xdr:cNvSpPr/>
      </xdr:nvSpPr>
      <xdr:spPr>
        <a:xfrm rot="18916712">
          <a:off x="9686779" y="116509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7E0E762F-C9F5-4EEA-AE1B-F872AA555DF7}"/>
            </a:ext>
          </a:extLst>
        </xdr:cNvPr>
        <xdr:cNvCxnSpPr/>
      </xdr:nvCxnSpPr>
      <xdr:spPr>
        <a:xfrm flipV="1">
          <a:off x="5029200" y="11296650"/>
          <a:ext cx="923925" cy="8572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64-9536-4D24-93FD-06C3872B32EB}">
  <sheetPr>
    <tabColor theme="5" tint="-0.499984740745262"/>
  </sheetPr>
  <dimension ref="A1:AF83"/>
  <sheetViews>
    <sheetView topLeftCell="F19" workbookViewId="0">
      <selection activeCell="P44" sqref="P44:Q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32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13.85546875" customWidth="1"/>
    <col min="23" max="23" width="15.85546875" bestFit="1" customWidth="1"/>
    <col min="24" max="24" width="14.85546875" customWidth="1"/>
    <col min="25" max="25" width="15.140625" customWidth="1"/>
    <col min="26" max="26" width="18.5703125" style="7" customWidth="1"/>
    <col min="28" max="28" width="14.7109375" customWidth="1"/>
    <col min="29" max="29" width="11.42578125" style="152"/>
    <col min="30" max="30" width="10.5703125" customWidth="1"/>
    <col min="31" max="31" width="17.140625" bestFit="1" customWidth="1"/>
    <col min="32" max="32" width="13.42578125" customWidth="1"/>
  </cols>
  <sheetData>
    <row r="1" spans="1:32" ht="20.25" customHeight="1" thickBot="1" x14ac:dyDescent="0.4">
      <c r="C1" s="660" t="s">
        <v>42</v>
      </c>
      <c r="D1" s="660"/>
      <c r="E1" s="660"/>
      <c r="F1" s="660"/>
      <c r="G1" s="660"/>
      <c r="H1" s="660"/>
      <c r="I1" s="660"/>
      <c r="J1" s="660"/>
      <c r="K1" s="660"/>
      <c r="L1" s="2"/>
      <c r="M1" s="3"/>
      <c r="AE1" s="643" t="s">
        <v>45</v>
      </c>
      <c r="AF1" s="644"/>
    </row>
    <row r="2" spans="1:32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V2" s="651" t="s">
        <v>4</v>
      </c>
      <c r="W2" s="652"/>
      <c r="Z2" s="648" t="s">
        <v>43</v>
      </c>
      <c r="AA2" s="649"/>
      <c r="AB2" s="650"/>
      <c r="AD2" s="193" t="s">
        <v>44</v>
      </c>
      <c r="AE2" s="645"/>
      <c r="AF2" s="646"/>
    </row>
    <row r="3" spans="1:32" ht="14.25" customHeight="1" thickBot="1" x14ac:dyDescent="0.35">
      <c r="B3" s="661" t="s">
        <v>1</v>
      </c>
      <c r="C3" s="662"/>
      <c r="D3" s="15"/>
      <c r="I3" s="17" t="s">
        <v>2</v>
      </c>
      <c r="J3" s="12"/>
      <c r="K3" s="18" t="s">
        <v>3</v>
      </c>
      <c r="L3" s="18"/>
      <c r="V3" s="653"/>
      <c r="W3" s="654"/>
      <c r="X3" s="195" t="s">
        <v>37</v>
      </c>
      <c r="Z3" s="19" t="s">
        <v>49</v>
      </c>
      <c r="AA3" s="200">
        <v>43840</v>
      </c>
      <c r="AB3" s="21">
        <v>2000</v>
      </c>
      <c r="AD3" s="89"/>
      <c r="AE3" s="194"/>
      <c r="AF3" s="75">
        <v>0</v>
      </c>
    </row>
    <row r="4" spans="1:32" ht="20.25" thickTop="1" thickBot="1" x14ac:dyDescent="0.35">
      <c r="A4" s="22" t="s">
        <v>5</v>
      </c>
      <c r="B4" s="23"/>
      <c r="C4" s="216">
        <v>273391.58</v>
      </c>
      <c r="D4" s="215">
        <v>43837</v>
      </c>
      <c r="E4" s="663" t="s">
        <v>6</v>
      </c>
      <c r="F4" s="664"/>
      <c r="H4" s="665" t="s">
        <v>7</v>
      </c>
      <c r="I4" s="666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U4" s="29">
        <v>43840</v>
      </c>
      <c r="V4" s="199" t="s">
        <v>11</v>
      </c>
      <c r="W4" s="196">
        <v>5010</v>
      </c>
      <c r="X4" s="197"/>
      <c r="Z4" s="19" t="s">
        <v>50</v>
      </c>
      <c r="AA4" s="200">
        <v>43844</v>
      </c>
      <c r="AB4" s="21">
        <v>2000</v>
      </c>
      <c r="AD4" s="89"/>
      <c r="AE4" s="20"/>
      <c r="AF4" s="78">
        <v>0</v>
      </c>
    </row>
    <row r="5" spans="1:32" ht="15.75" thickBot="1" x14ac:dyDescent="0.3">
      <c r="A5" s="30" t="s">
        <v>12</v>
      </c>
      <c r="B5" s="149">
        <v>43838</v>
      </c>
      <c r="C5" s="31">
        <v>2390</v>
      </c>
      <c r="D5" s="150" t="s">
        <v>46</v>
      </c>
      <c r="E5" s="151">
        <v>43838</v>
      </c>
      <c r="F5" s="32">
        <v>60353</v>
      </c>
      <c r="G5" s="152"/>
      <c r="H5" s="153">
        <v>43838</v>
      </c>
      <c r="I5" s="33">
        <v>0</v>
      </c>
      <c r="M5" s="34">
        <v>62504</v>
      </c>
      <c r="N5" s="35">
        <v>790</v>
      </c>
      <c r="O5" s="36"/>
      <c r="P5" s="36">
        <f>C5+I5+M5+N5+L30+L12</f>
        <v>83392.52</v>
      </c>
      <c r="Q5" s="198">
        <f>P5-F5</f>
        <v>23039.520000000004</v>
      </c>
      <c r="T5" s="37"/>
      <c r="U5" s="29">
        <v>43840</v>
      </c>
      <c r="V5" s="38" t="s">
        <v>10</v>
      </c>
      <c r="W5" s="196">
        <v>5010</v>
      </c>
      <c r="X5" s="197"/>
      <c r="Z5" s="19" t="s">
        <v>51</v>
      </c>
      <c r="AA5" s="200">
        <v>43854</v>
      </c>
      <c r="AB5" s="21">
        <v>2000</v>
      </c>
      <c r="AD5" s="89"/>
      <c r="AE5" s="20"/>
      <c r="AF5" s="78">
        <v>0</v>
      </c>
    </row>
    <row r="6" spans="1:32" ht="15.75" thickBot="1" x14ac:dyDescent="0.3">
      <c r="A6" s="30"/>
      <c r="B6" s="149">
        <v>43839</v>
      </c>
      <c r="C6" s="31">
        <v>18916</v>
      </c>
      <c r="D6" s="154" t="s">
        <v>47</v>
      </c>
      <c r="E6" s="151">
        <v>43839</v>
      </c>
      <c r="F6" s="32">
        <v>76615</v>
      </c>
      <c r="G6" s="152"/>
      <c r="H6" s="153">
        <v>43839</v>
      </c>
      <c r="I6" s="39">
        <v>1005</v>
      </c>
      <c r="J6" s="40"/>
      <c r="K6" s="41"/>
      <c r="L6" s="42"/>
      <c r="M6" s="34">
        <f>50363+5634.3</f>
        <v>55997.3</v>
      </c>
      <c r="N6" s="35">
        <v>697</v>
      </c>
      <c r="O6" s="36" t="s">
        <v>12</v>
      </c>
      <c r="P6" s="36">
        <f>C6+I6+M6+N6</f>
        <v>76615.3</v>
      </c>
      <c r="Q6" s="5">
        <f t="shared" ref="Q6:Q11" si="0">P6-F6</f>
        <v>0.30000000000291038</v>
      </c>
      <c r="T6" s="37"/>
      <c r="U6" s="43">
        <v>43847</v>
      </c>
      <c r="V6" s="44" t="s">
        <v>11</v>
      </c>
      <c r="W6" s="196">
        <v>5010</v>
      </c>
      <c r="X6" s="197"/>
      <c r="Z6" s="19" t="s">
        <v>52</v>
      </c>
      <c r="AA6" s="200">
        <v>43860</v>
      </c>
      <c r="AB6" s="21">
        <v>2000</v>
      </c>
      <c r="AD6" s="89"/>
      <c r="AE6" s="20"/>
      <c r="AF6" s="78">
        <v>0</v>
      </c>
    </row>
    <row r="7" spans="1:32" ht="16.5" thickBot="1" x14ac:dyDescent="0.3">
      <c r="A7" s="30"/>
      <c r="B7" s="149">
        <v>43840</v>
      </c>
      <c r="C7" s="31">
        <v>2600</v>
      </c>
      <c r="D7" s="155" t="s">
        <v>48</v>
      </c>
      <c r="E7" s="151">
        <v>43840</v>
      </c>
      <c r="F7" s="32">
        <v>130274</v>
      </c>
      <c r="G7" s="152"/>
      <c r="H7" s="153">
        <v>43840</v>
      </c>
      <c r="I7" s="39">
        <v>12096</v>
      </c>
      <c r="J7" s="45"/>
      <c r="K7" s="46" t="s">
        <v>13</v>
      </c>
      <c r="L7" s="47">
        <v>0</v>
      </c>
      <c r="M7" s="34">
        <f>114354+10504</f>
        <v>124858</v>
      </c>
      <c r="N7" s="35">
        <v>1224</v>
      </c>
      <c r="O7" s="36"/>
      <c r="P7" s="36">
        <f>C7+I7+M7+N7+L13+L26</f>
        <v>157832.87</v>
      </c>
      <c r="Q7" s="198">
        <f t="shared" si="0"/>
        <v>27558.869999999995</v>
      </c>
      <c r="S7" s="5"/>
      <c r="T7" s="4"/>
      <c r="U7" s="48">
        <v>43847</v>
      </c>
      <c r="V7" s="38" t="s">
        <v>10</v>
      </c>
      <c r="W7" s="196">
        <v>5010</v>
      </c>
      <c r="X7" s="197"/>
      <c r="Z7" s="19" t="s">
        <v>53</v>
      </c>
      <c r="AA7" s="20"/>
      <c r="AB7" s="21">
        <v>0</v>
      </c>
      <c r="AD7" s="89"/>
      <c r="AE7" s="20"/>
      <c r="AF7" s="78">
        <v>0</v>
      </c>
    </row>
    <row r="8" spans="1:32" ht="16.5" thickBot="1" x14ac:dyDescent="0.3">
      <c r="A8" s="30"/>
      <c r="B8" s="149">
        <v>43841</v>
      </c>
      <c r="C8" s="31">
        <v>1022</v>
      </c>
      <c r="D8" s="156" t="s">
        <v>68</v>
      </c>
      <c r="E8" s="151">
        <v>43841</v>
      </c>
      <c r="F8" s="32">
        <v>148006</v>
      </c>
      <c r="G8" s="152"/>
      <c r="H8" s="153">
        <v>43841</v>
      </c>
      <c r="I8" s="39">
        <v>483.8</v>
      </c>
      <c r="J8" s="203">
        <v>43834</v>
      </c>
      <c r="K8" s="49" t="s">
        <v>14</v>
      </c>
      <c r="L8" s="50">
        <v>21637</v>
      </c>
      <c r="M8" s="34">
        <f>113000+21521</f>
        <v>134521</v>
      </c>
      <c r="N8" s="35">
        <v>5341</v>
      </c>
      <c r="O8" s="36"/>
      <c r="P8" s="36">
        <f>C8+I8+M8+N8+L12</f>
        <v>159076.31999999998</v>
      </c>
      <c r="Q8" s="201">
        <f t="shared" si="0"/>
        <v>11070.319999999978</v>
      </c>
      <c r="S8" s="5"/>
      <c r="T8" s="4"/>
      <c r="U8" s="29">
        <v>43854</v>
      </c>
      <c r="V8" s="44" t="s">
        <v>11</v>
      </c>
      <c r="W8" s="196">
        <v>5010</v>
      </c>
      <c r="X8" s="197"/>
      <c r="Z8" s="19" t="s">
        <v>54</v>
      </c>
      <c r="AA8" s="20"/>
      <c r="AB8" s="21">
        <v>0</v>
      </c>
      <c r="AD8" s="89"/>
      <c r="AE8" s="20"/>
      <c r="AF8" s="78">
        <v>0</v>
      </c>
    </row>
    <row r="9" spans="1:32" ht="16.5" thickBot="1" x14ac:dyDescent="0.3">
      <c r="A9" s="30"/>
      <c r="B9" s="149">
        <v>43842</v>
      </c>
      <c r="C9" s="31">
        <v>3138</v>
      </c>
      <c r="D9" s="157" t="s">
        <v>69</v>
      </c>
      <c r="E9" s="151">
        <v>43842</v>
      </c>
      <c r="F9" s="32">
        <v>121720</v>
      </c>
      <c r="G9" s="152"/>
      <c r="H9" s="153">
        <v>43842</v>
      </c>
      <c r="I9" s="39">
        <v>0</v>
      </c>
      <c r="J9" s="51">
        <v>43861</v>
      </c>
      <c r="K9" s="20" t="s">
        <v>15</v>
      </c>
      <c r="L9" s="52">
        <v>20000</v>
      </c>
      <c r="M9" s="34">
        <v>113363</v>
      </c>
      <c r="N9" s="35">
        <v>5219</v>
      </c>
      <c r="O9" s="36"/>
      <c r="P9" s="36">
        <f>C9+I9+M9+N9</f>
        <v>121720</v>
      </c>
      <c r="Q9" s="5">
        <f t="shared" si="0"/>
        <v>0</v>
      </c>
      <c r="R9" s="5" t="s">
        <v>12</v>
      </c>
      <c r="S9" s="5"/>
      <c r="T9" s="4"/>
      <c r="U9" s="48">
        <v>43854</v>
      </c>
      <c r="V9" s="38" t="s">
        <v>10</v>
      </c>
      <c r="W9" s="196">
        <v>5010</v>
      </c>
      <c r="X9" s="197"/>
      <c r="Z9" s="19" t="s">
        <v>55</v>
      </c>
      <c r="AA9" s="20"/>
      <c r="AB9" s="21">
        <v>0</v>
      </c>
      <c r="AD9" s="89"/>
      <c r="AE9" s="20"/>
      <c r="AF9" s="78">
        <v>0</v>
      </c>
    </row>
    <row r="10" spans="1:32" ht="16.5" thickBot="1" x14ac:dyDescent="0.3">
      <c r="A10" s="30"/>
      <c r="B10" s="149">
        <v>43843</v>
      </c>
      <c r="C10" s="31">
        <v>17388</v>
      </c>
      <c r="D10" s="154" t="s">
        <v>70</v>
      </c>
      <c r="E10" s="151">
        <v>43843</v>
      </c>
      <c r="F10" s="32">
        <v>122133</v>
      </c>
      <c r="G10" s="152"/>
      <c r="H10" s="153">
        <v>43843</v>
      </c>
      <c r="I10" s="39">
        <v>0</v>
      </c>
      <c r="J10" s="53"/>
      <c r="K10" s="54"/>
      <c r="L10" s="55"/>
      <c r="M10" s="34">
        <f>70271+33504+2784.18</f>
        <v>106559.18</v>
      </c>
      <c r="N10" s="35">
        <v>970</v>
      </c>
      <c r="O10" s="36"/>
      <c r="P10" s="36">
        <f>C10+I10+M10+N10+L11</f>
        <v>124917.18</v>
      </c>
      <c r="Q10" s="198">
        <f t="shared" si="0"/>
        <v>2784.179999999993</v>
      </c>
      <c r="T10" s="37"/>
      <c r="U10" s="29">
        <v>43861</v>
      </c>
      <c r="V10" s="44" t="s">
        <v>11</v>
      </c>
      <c r="W10" s="196">
        <v>5010</v>
      </c>
      <c r="X10" s="197"/>
      <c r="Z10" s="19" t="s">
        <v>56</v>
      </c>
      <c r="AA10" s="20"/>
      <c r="AB10" s="21">
        <v>0</v>
      </c>
      <c r="AD10" s="89"/>
      <c r="AE10" s="20"/>
      <c r="AF10" s="78">
        <v>0</v>
      </c>
    </row>
    <row r="11" spans="1:32" ht="15.75" thickBot="1" x14ac:dyDescent="0.3">
      <c r="A11" s="30"/>
      <c r="B11" s="149">
        <v>43844</v>
      </c>
      <c r="C11" s="31">
        <v>2143</v>
      </c>
      <c r="D11" s="154" t="s">
        <v>71</v>
      </c>
      <c r="E11" s="151">
        <v>43844</v>
      </c>
      <c r="F11" s="32">
        <v>59180</v>
      </c>
      <c r="G11" s="152"/>
      <c r="H11" s="153">
        <v>43844</v>
      </c>
      <c r="I11" s="39">
        <v>17</v>
      </c>
      <c r="J11" s="56"/>
      <c r="K11" s="57"/>
      <c r="L11" s="55"/>
      <c r="M11" s="34">
        <f>54960+210</f>
        <v>55170</v>
      </c>
      <c r="N11" s="35">
        <v>1850</v>
      </c>
      <c r="O11" s="36"/>
      <c r="P11" s="36">
        <f>C11+I11+M11+N11+L31</f>
        <v>59180</v>
      </c>
      <c r="Q11" s="5">
        <f t="shared" si="0"/>
        <v>0</v>
      </c>
      <c r="S11" s="58">
        <v>0</v>
      </c>
      <c r="T11" s="37"/>
      <c r="U11" s="29">
        <v>43861</v>
      </c>
      <c r="V11" s="38" t="s">
        <v>10</v>
      </c>
      <c r="W11" s="196">
        <v>5010</v>
      </c>
      <c r="X11" s="197"/>
      <c r="Z11" s="19" t="s">
        <v>57</v>
      </c>
      <c r="AA11" s="59"/>
      <c r="AB11" s="21">
        <v>0</v>
      </c>
      <c r="AD11" s="89"/>
      <c r="AE11" s="20"/>
      <c r="AF11" s="78">
        <v>0</v>
      </c>
    </row>
    <row r="12" spans="1:32" ht="15.75" thickBot="1" x14ac:dyDescent="0.3">
      <c r="A12" s="30"/>
      <c r="B12" s="149">
        <v>43845</v>
      </c>
      <c r="C12" s="31">
        <v>852</v>
      </c>
      <c r="D12" s="154" t="s">
        <v>72</v>
      </c>
      <c r="E12" s="151">
        <v>43845</v>
      </c>
      <c r="F12" s="32">
        <v>83150</v>
      </c>
      <c r="G12" s="152"/>
      <c r="H12" s="153">
        <v>43845</v>
      </c>
      <c r="I12" s="39">
        <v>0</v>
      </c>
      <c r="J12" s="60">
        <v>43841</v>
      </c>
      <c r="K12" s="20" t="s">
        <v>28</v>
      </c>
      <c r="L12" s="55">
        <f>13708.52+4000</f>
        <v>17708.52</v>
      </c>
      <c r="M12" s="34">
        <f>72439+5205.9</f>
        <v>77644.899999999994</v>
      </c>
      <c r="N12" s="35">
        <v>4653</v>
      </c>
      <c r="O12" s="36"/>
      <c r="P12" s="36">
        <f>C12+I12+M12+N12</f>
        <v>83149.899999999994</v>
      </c>
      <c r="Q12" s="5">
        <f>P12-F12+L32</f>
        <v>-0.10000000000582077</v>
      </c>
      <c r="S12" s="58">
        <v>11070.42</v>
      </c>
      <c r="T12" s="61" t="s">
        <v>28</v>
      </c>
      <c r="U12" s="29"/>
      <c r="V12" s="44" t="s">
        <v>11</v>
      </c>
      <c r="W12" s="196">
        <v>0</v>
      </c>
      <c r="X12" s="197"/>
      <c r="Z12" s="19" t="s">
        <v>58</v>
      </c>
      <c r="AA12" s="20"/>
      <c r="AB12" s="21">
        <v>0</v>
      </c>
      <c r="AD12" s="41"/>
      <c r="AE12" s="20"/>
      <c r="AF12" s="78">
        <v>0</v>
      </c>
    </row>
    <row r="13" spans="1:32" ht="15.75" thickBot="1" x14ac:dyDescent="0.3">
      <c r="A13" s="30"/>
      <c r="B13" s="149">
        <v>43846</v>
      </c>
      <c r="C13" s="31">
        <v>15857.72</v>
      </c>
      <c r="D13" s="156" t="s">
        <v>47</v>
      </c>
      <c r="E13" s="151">
        <v>43846</v>
      </c>
      <c r="F13" s="32">
        <v>117604</v>
      </c>
      <c r="G13" s="152"/>
      <c r="H13" s="153">
        <v>43846</v>
      </c>
      <c r="I13" s="39">
        <v>250</v>
      </c>
      <c r="J13" s="60">
        <v>43848</v>
      </c>
      <c r="K13" s="20" t="s">
        <v>29</v>
      </c>
      <c r="L13" s="55">
        <f>12600.87+4000+454</f>
        <v>17054.870000000003</v>
      </c>
      <c r="M13" s="34">
        <f>33402+65630</f>
        <v>99032</v>
      </c>
      <c r="N13" s="35">
        <v>2464</v>
      </c>
      <c r="O13" s="36"/>
      <c r="P13" s="36">
        <f>C13+I13+M13+N13</f>
        <v>117603.72</v>
      </c>
      <c r="Q13" s="5">
        <f>P13-F13+L33</f>
        <v>-0.27999999999883585</v>
      </c>
      <c r="S13" s="58">
        <v>10619.87</v>
      </c>
      <c r="T13" s="61" t="s">
        <v>29</v>
      </c>
      <c r="U13" s="29"/>
      <c r="V13" s="38" t="s">
        <v>10</v>
      </c>
      <c r="W13" s="196">
        <v>0</v>
      </c>
      <c r="X13" s="197"/>
      <c r="Z13" s="19" t="s">
        <v>59</v>
      </c>
      <c r="AA13" s="20"/>
      <c r="AB13" s="21">
        <v>0</v>
      </c>
    </row>
    <row r="14" spans="1:32" ht="15.75" thickBot="1" x14ac:dyDescent="0.3">
      <c r="A14" s="30"/>
      <c r="B14" s="149">
        <v>43847</v>
      </c>
      <c r="C14" s="31">
        <v>1562</v>
      </c>
      <c r="D14" s="155" t="s">
        <v>73</v>
      </c>
      <c r="E14" s="151">
        <v>43847</v>
      </c>
      <c r="F14" s="32">
        <v>159779</v>
      </c>
      <c r="G14" s="152"/>
      <c r="H14" s="153">
        <v>43847</v>
      </c>
      <c r="I14" s="39">
        <v>12058</v>
      </c>
      <c r="J14" s="60">
        <v>43849</v>
      </c>
      <c r="K14" s="20" t="s">
        <v>30</v>
      </c>
      <c r="L14" s="55">
        <v>400</v>
      </c>
      <c r="M14" s="34">
        <f>120000+20672+2105</f>
        <v>142777</v>
      </c>
      <c r="N14" s="35">
        <v>4112</v>
      </c>
      <c r="O14" s="36"/>
      <c r="P14" s="36">
        <f>C14+I14+M14+N14+L20</f>
        <v>161883.88</v>
      </c>
      <c r="Q14" s="198">
        <f>P14-F14+L15</f>
        <v>20649.580000000005</v>
      </c>
      <c r="S14" s="58">
        <v>10215.700000000001</v>
      </c>
      <c r="T14" s="61" t="s">
        <v>30</v>
      </c>
      <c r="U14" s="29"/>
      <c r="V14" s="44" t="s">
        <v>11</v>
      </c>
      <c r="W14" s="196">
        <v>0</v>
      </c>
      <c r="X14" s="197"/>
      <c r="Z14" s="19" t="s">
        <v>60</v>
      </c>
      <c r="AA14" s="20"/>
      <c r="AB14" s="21">
        <v>0</v>
      </c>
    </row>
    <row r="15" spans="1:32" ht="15.75" thickBot="1" x14ac:dyDescent="0.3">
      <c r="A15" s="30"/>
      <c r="B15" s="149">
        <v>43848</v>
      </c>
      <c r="C15" s="31">
        <v>20611</v>
      </c>
      <c r="D15" s="154" t="s">
        <v>75</v>
      </c>
      <c r="E15" s="151">
        <v>43848</v>
      </c>
      <c r="F15" s="32">
        <v>157439</v>
      </c>
      <c r="G15" s="152"/>
      <c r="H15" s="153">
        <v>43848</v>
      </c>
      <c r="I15" s="39">
        <v>150</v>
      </c>
      <c r="J15" s="60">
        <v>43855</v>
      </c>
      <c r="K15" s="20" t="s">
        <v>30</v>
      </c>
      <c r="L15" s="55">
        <f>400+14144.7+4000</f>
        <v>18544.7</v>
      </c>
      <c r="M15" s="34">
        <v>124928</v>
      </c>
      <c r="N15" s="35">
        <v>5315</v>
      </c>
      <c r="O15" s="36"/>
      <c r="P15" s="36">
        <f>C15+I15+M15+N15+L13</f>
        <v>168058.87</v>
      </c>
      <c r="Q15" s="201">
        <f t="shared" ref="Q15:Q31" si="1">P15-F15</f>
        <v>10619.869999999995</v>
      </c>
      <c r="S15" s="58">
        <v>10216.41</v>
      </c>
      <c r="T15" s="61" t="s">
        <v>31</v>
      </c>
      <c r="U15" s="29"/>
      <c r="V15" s="38" t="s">
        <v>10</v>
      </c>
      <c r="W15" s="196">
        <v>0</v>
      </c>
      <c r="X15" s="197"/>
      <c r="Z15" s="19" t="s">
        <v>61</v>
      </c>
      <c r="AA15" s="20"/>
      <c r="AB15" s="21">
        <v>0</v>
      </c>
    </row>
    <row r="16" spans="1:32" ht="19.5" thickBot="1" x14ac:dyDescent="0.35">
      <c r="A16" s="30"/>
      <c r="B16" s="149">
        <v>43849</v>
      </c>
      <c r="C16" s="31">
        <v>4674</v>
      </c>
      <c r="D16" s="154" t="s">
        <v>76</v>
      </c>
      <c r="E16" s="151">
        <v>43849</v>
      </c>
      <c r="F16" s="32">
        <v>89220</v>
      </c>
      <c r="G16" s="152"/>
      <c r="H16" s="153">
        <v>43849</v>
      </c>
      <c r="I16" s="39">
        <v>229</v>
      </c>
      <c r="J16" s="60">
        <v>43862</v>
      </c>
      <c r="K16" s="20" t="s">
        <v>31</v>
      </c>
      <c r="L16" s="5">
        <f>400+14230.41+4000</f>
        <v>18630.41</v>
      </c>
      <c r="M16" s="34">
        <f>72650+6650.5+75</f>
        <v>79375.5</v>
      </c>
      <c r="N16" s="35">
        <v>4544</v>
      </c>
      <c r="O16" s="36"/>
      <c r="P16" s="36">
        <f>C16+I16+M16+N16+L14</f>
        <v>89222.5</v>
      </c>
      <c r="Q16" s="5">
        <f t="shared" si="1"/>
        <v>2.5</v>
      </c>
      <c r="S16" s="58">
        <v>0</v>
      </c>
      <c r="T16" s="61" t="s">
        <v>32</v>
      </c>
      <c r="V16" s="65" t="s">
        <v>16</v>
      </c>
      <c r="W16" s="66">
        <f>SUM(W4:W14)</f>
        <v>40080</v>
      </c>
      <c r="Z16" s="19" t="s">
        <v>62</v>
      </c>
      <c r="AA16" s="59"/>
      <c r="AB16" s="21">
        <v>0</v>
      </c>
    </row>
    <row r="17" spans="1:28" ht="16.5" thickBot="1" x14ac:dyDescent="0.3">
      <c r="A17" s="30"/>
      <c r="B17" s="149">
        <v>43850</v>
      </c>
      <c r="C17" s="31">
        <v>689</v>
      </c>
      <c r="D17" s="156" t="s">
        <v>72</v>
      </c>
      <c r="E17" s="151">
        <v>43850</v>
      </c>
      <c r="F17" s="32">
        <v>90073</v>
      </c>
      <c r="G17" s="152"/>
      <c r="H17" s="153">
        <v>43850</v>
      </c>
      <c r="I17" s="39">
        <v>0</v>
      </c>
      <c r="J17" s="67"/>
      <c r="K17" s="20" t="s">
        <v>33</v>
      </c>
      <c r="L17" s="68"/>
      <c r="M17" s="34">
        <v>89063</v>
      </c>
      <c r="N17" s="35">
        <v>321</v>
      </c>
      <c r="O17" s="36"/>
      <c r="P17" s="36">
        <f t="shared" ref="P17:P23" si="2">C17+I17+M17+N17</f>
        <v>90073</v>
      </c>
      <c r="Q17" s="5">
        <f t="shared" si="1"/>
        <v>0</v>
      </c>
      <c r="S17" s="187">
        <v>0</v>
      </c>
      <c r="T17" s="188" t="s">
        <v>33</v>
      </c>
      <c r="U17" s="69"/>
      <c r="V17" s="59"/>
      <c r="W17" s="70"/>
      <c r="Z17" s="19" t="s">
        <v>63</v>
      </c>
      <c r="AA17" s="20"/>
      <c r="AB17" s="21">
        <v>0</v>
      </c>
    </row>
    <row r="18" spans="1:28" ht="15.75" thickBot="1" x14ac:dyDescent="0.3">
      <c r="A18" s="30"/>
      <c r="B18" s="149">
        <v>43851</v>
      </c>
      <c r="C18" s="31">
        <v>1137</v>
      </c>
      <c r="D18" s="154" t="s">
        <v>48</v>
      </c>
      <c r="E18" s="151">
        <v>43851</v>
      </c>
      <c r="F18" s="32">
        <v>85811</v>
      </c>
      <c r="G18" s="152"/>
      <c r="H18" s="153">
        <v>43851</v>
      </c>
      <c r="I18" s="39">
        <v>0</v>
      </c>
      <c r="J18" s="67"/>
      <c r="K18" s="71"/>
      <c r="L18" s="55"/>
      <c r="M18" s="34">
        <f>75693+8002.5+200</f>
        <v>83895.5</v>
      </c>
      <c r="N18" s="35">
        <v>778</v>
      </c>
      <c r="O18" s="36"/>
      <c r="P18" s="36">
        <f>C18+I18+M18+N18+L34</f>
        <v>85810.5</v>
      </c>
      <c r="Q18" s="5">
        <f>P18-F18</f>
        <v>-0.5</v>
      </c>
      <c r="S18" s="5">
        <f>SUM(S11:S17)</f>
        <v>42122.400000000001</v>
      </c>
      <c r="T18" s="37" t="s">
        <v>17</v>
      </c>
      <c r="V18" s="59"/>
      <c r="W18" s="4"/>
      <c r="Z18" s="19" t="s">
        <v>64</v>
      </c>
      <c r="AA18" s="20"/>
      <c r="AB18" s="21">
        <v>0</v>
      </c>
    </row>
    <row r="19" spans="1:28" ht="15.75" thickBot="1" x14ac:dyDescent="0.3">
      <c r="A19" s="30"/>
      <c r="B19" s="149">
        <v>43852</v>
      </c>
      <c r="C19" s="31">
        <v>848</v>
      </c>
      <c r="D19" s="154" t="s">
        <v>77</v>
      </c>
      <c r="E19" s="151">
        <v>43852</v>
      </c>
      <c r="F19" s="32">
        <v>59210</v>
      </c>
      <c r="G19" s="152"/>
      <c r="H19" s="153">
        <v>43852</v>
      </c>
      <c r="I19" s="39">
        <v>0</v>
      </c>
      <c r="J19" s="67"/>
      <c r="K19" s="72"/>
      <c r="L19" s="73"/>
      <c r="M19" s="34">
        <v>54134</v>
      </c>
      <c r="N19" s="35">
        <v>4228</v>
      </c>
      <c r="O19" s="36" t="s">
        <v>12</v>
      </c>
      <c r="P19" s="36">
        <f>C19+I19+M19+N19</f>
        <v>59210</v>
      </c>
      <c r="Q19" s="5">
        <f t="shared" si="1"/>
        <v>0</v>
      </c>
      <c r="T19" s="8"/>
      <c r="V19" s="189"/>
      <c r="W19" s="190"/>
      <c r="Z19" s="19" t="s">
        <v>65</v>
      </c>
      <c r="AA19" s="59"/>
      <c r="AB19" s="21">
        <v>0</v>
      </c>
    </row>
    <row r="20" spans="1:28" ht="19.5" thickBot="1" x14ac:dyDescent="0.35">
      <c r="A20" s="30"/>
      <c r="B20" s="149">
        <v>43853</v>
      </c>
      <c r="C20" s="31">
        <v>3277</v>
      </c>
      <c r="D20" s="154" t="s">
        <v>78</v>
      </c>
      <c r="E20" s="151">
        <v>43853</v>
      </c>
      <c r="F20" s="32">
        <v>104143</v>
      </c>
      <c r="G20" s="152"/>
      <c r="H20" s="153">
        <v>43853</v>
      </c>
      <c r="I20" s="39">
        <v>190</v>
      </c>
      <c r="J20" s="67">
        <v>43847</v>
      </c>
      <c r="K20" s="202" t="s">
        <v>74</v>
      </c>
      <c r="L20" s="196">
        <v>1374.88</v>
      </c>
      <c r="M20" s="34">
        <v>99234</v>
      </c>
      <c r="N20" s="35">
        <v>1442</v>
      </c>
      <c r="O20" s="36"/>
      <c r="P20" s="36">
        <f>C20+I20+M20+N20</f>
        <v>104143</v>
      </c>
      <c r="Q20" s="5">
        <f t="shared" si="1"/>
        <v>0</v>
      </c>
      <c r="T20" s="8"/>
      <c r="V20" s="647"/>
      <c r="W20" s="647"/>
      <c r="Z20" s="19" t="s">
        <v>66</v>
      </c>
      <c r="AA20" s="20"/>
      <c r="AB20" s="21">
        <v>0</v>
      </c>
    </row>
    <row r="21" spans="1:28" ht="16.5" thickBot="1" x14ac:dyDescent="0.3">
      <c r="A21" s="30"/>
      <c r="B21" s="149">
        <v>43854</v>
      </c>
      <c r="C21" s="31">
        <v>1513</v>
      </c>
      <c r="D21" s="154" t="s">
        <v>72</v>
      </c>
      <c r="E21" s="151">
        <v>43854</v>
      </c>
      <c r="F21" s="32">
        <v>103378</v>
      </c>
      <c r="G21" s="152"/>
      <c r="H21" s="153">
        <v>43854</v>
      </c>
      <c r="I21" s="39">
        <v>12058</v>
      </c>
      <c r="J21" s="67"/>
      <c r="K21" s="74" t="s">
        <v>79</v>
      </c>
      <c r="L21" s="68">
        <v>4042</v>
      </c>
      <c r="M21" s="34">
        <f>81812+650</f>
        <v>82462</v>
      </c>
      <c r="N21" s="35">
        <v>3303</v>
      </c>
      <c r="O21" s="36"/>
      <c r="P21" s="36">
        <f>C21+I21+M21+N21+L21</f>
        <v>103378</v>
      </c>
      <c r="Q21" s="5">
        <f t="shared" si="1"/>
        <v>0</v>
      </c>
      <c r="T21" s="8"/>
      <c r="U21" s="29"/>
      <c r="V21" s="191"/>
      <c r="W21" s="127"/>
      <c r="Z21" s="19" t="s">
        <v>67</v>
      </c>
      <c r="AA21" s="20"/>
      <c r="AB21" s="21">
        <v>0</v>
      </c>
    </row>
    <row r="22" spans="1:28" ht="15.75" thickBot="1" x14ac:dyDescent="0.3">
      <c r="A22" s="30"/>
      <c r="B22" s="149">
        <v>43855</v>
      </c>
      <c r="C22" s="31">
        <v>1203</v>
      </c>
      <c r="D22" s="154" t="s">
        <v>72</v>
      </c>
      <c r="E22" s="151">
        <v>43855</v>
      </c>
      <c r="F22" s="32">
        <v>144095</v>
      </c>
      <c r="G22" s="152"/>
      <c r="H22" s="153">
        <v>43855</v>
      </c>
      <c r="I22" s="39">
        <v>345</v>
      </c>
      <c r="J22" s="76"/>
      <c r="K22" s="59"/>
      <c r="L22" s="77"/>
      <c r="M22" s="34">
        <f>111000+18968</f>
        <v>129968</v>
      </c>
      <c r="N22" s="35">
        <v>4250</v>
      </c>
      <c r="O22" s="36"/>
      <c r="P22" s="36">
        <f>C22+I22+M22+N22+L15</f>
        <v>154310.70000000001</v>
      </c>
      <c r="Q22" s="201">
        <f>P22-F22</f>
        <v>10215.700000000012</v>
      </c>
      <c r="T22" s="8"/>
      <c r="U22" s="29"/>
      <c r="V22" s="191"/>
      <c r="W22" s="127"/>
    </row>
    <row r="23" spans="1:28" ht="15.75" thickBot="1" x14ac:dyDescent="0.3">
      <c r="A23" s="30"/>
      <c r="B23" s="149">
        <v>43856</v>
      </c>
      <c r="C23" s="31">
        <v>7336</v>
      </c>
      <c r="D23" s="154" t="s">
        <v>81</v>
      </c>
      <c r="E23" s="151">
        <v>43856</v>
      </c>
      <c r="F23" s="32">
        <v>82376</v>
      </c>
      <c r="G23" s="152"/>
      <c r="H23" s="153">
        <v>43856</v>
      </c>
      <c r="I23" s="39">
        <v>0</v>
      </c>
      <c r="J23" s="79"/>
      <c r="K23" s="166"/>
      <c r="L23" s="68"/>
      <c r="M23" s="34">
        <v>72580</v>
      </c>
      <c r="N23" s="35">
        <v>2460</v>
      </c>
      <c r="O23" s="36"/>
      <c r="P23" s="36">
        <f t="shared" si="2"/>
        <v>82376</v>
      </c>
      <c r="Q23" s="5">
        <v>0</v>
      </c>
      <c r="T23" s="8"/>
      <c r="U23" s="29"/>
      <c r="V23" s="191"/>
      <c r="W23" s="127"/>
    </row>
    <row r="24" spans="1:28" ht="15.75" thickBot="1" x14ac:dyDescent="0.3">
      <c r="A24" s="30"/>
      <c r="B24" s="149">
        <v>43857</v>
      </c>
      <c r="C24" s="31">
        <v>312</v>
      </c>
      <c r="D24" s="154" t="s">
        <v>72</v>
      </c>
      <c r="E24" s="151">
        <v>43857</v>
      </c>
      <c r="F24" s="32">
        <v>76937</v>
      </c>
      <c r="G24" s="152"/>
      <c r="H24" s="153">
        <v>43857</v>
      </c>
      <c r="I24" s="39">
        <v>0</v>
      </c>
      <c r="J24" s="80"/>
      <c r="K24" s="81"/>
      <c r="L24" s="82"/>
      <c r="M24" s="34">
        <v>76125</v>
      </c>
      <c r="N24" s="35">
        <v>500</v>
      </c>
      <c r="O24" s="36"/>
      <c r="P24" s="36">
        <f>C24+I24+M24+N24</f>
        <v>76937</v>
      </c>
      <c r="Q24" s="5">
        <f t="shared" si="1"/>
        <v>0</v>
      </c>
      <c r="T24" s="8"/>
      <c r="U24" s="29"/>
      <c r="V24" s="191"/>
      <c r="W24" s="36"/>
      <c r="Y24" t="s">
        <v>12</v>
      </c>
    </row>
    <row r="25" spans="1:28" ht="15.75" thickBot="1" x14ac:dyDescent="0.3">
      <c r="A25" s="30"/>
      <c r="B25" s="149">
        <v>43858</v>
      </c>
      <c r="C25" s="31">
        <v>1475</v>
      </c>
      <c r="D25" s="154" t="s">
        <v>82</v>
      </c>
      <c r="E25" s="151">
        <v>43858</v>
      </c>
      <c r="F25" s="32">
        <v>75250</v>
      </c>
      <c r="G25" s="152"/>
      <c r="H25" s="153">
        <v>43858</v>
      </c>
      <c r="I25" s="39">
        <v>0</v>
      </c>
      <c r="J25" s="83"/>
      <c r="K25" s="84"/>
      <c r="L25" s="62"/>
      <c r="M25" s="34">
        <v>72530</v>
      </c>
      <c r="N25" s="35">
        <v>1245</v>
      </c>
      <c r="O25" s="36" t="s">
        <v>12</v>
      </c>
      <c r="P25" s="36">
        <f>C25+I25+M25+N25+L35</f>
        <v>75250</v>
      </c>
      <c r="Q25" s="5">
        <f t="shared" si="1"/>
        <v>0</v>
      </c>
      <c r="U25" s="29"/>
      <c r="V25" s="191"/>
      <c r="W25" s="36"/>
    </row>
    <row r="26" spans="1:28" ht="15.75" thickBot="1" x14ac:dyDescent="0.3">
      <c r="A26" s="30"/>
      <c r="B26" s="149">
        <v>43859</v>
      </c>
      <c r="C26" s="31">
        <v>1577</v>
      </c>
      <c r="D26" s="154" t="s">
        <v>83</v>
      </c>
      <c r="E26" s="151">
        <v>43859</v>
      </c>
      <c r="F26" s="32">
        <v>69335</v>
      </c>
      <c r="G26" s="152"/>
      <c r="H26" s="153">
        <v>43859</v>
      </c>
      <c r="I26" s="39">
        <v>0</v>
      </c>
      <c r="J26" s="67"/>
      <c r="K26" s="85"/>
      <c r="L26" s="55"/>
      <c r="M26" s="34">
        <f>59200+7065.6</f>
        <v>66265.600000000006</v>
      </c>
      <c r="N26" s="35">
        <v>1494</v>
      </c>
      <c r="O26" s="36"/>
      <c r="P26" s="36">
        <f>C26+I26+M26+N26++L19</f>
        <v>69336.600000000006</v>
      </c>
      <c r="Q26" s="5">
        <f t="shared" si="1"/>
        <v>1.6000000000058208</v>
      </c>
      <c r="S26" s="86"/>
      <c r="T26" s="86"/>
      <c r="U26" s="29"/>
      <c r="V26" s="192"/>
      <c r="W26" s="192"/>
    </row>
    <row r="27" spans="1:28" ht="15.75" thickBot="1" x14ac:dyDescent="0.3">
      <c r="A27" s="30"/>
      <c r="B27" s="149">
        <v>43860</v>
      </c>
      <c r="C27" s="31">
        <v>3793.5</v>
      </c>
      <c r="D27" s="154" t="s">
        <v>84</v>
      </c>
      <c r="E27" s="151">
        <v>43860</v>
      </c>
      <c r="F27" s="32">
        <v>64007</v>
      </c>
      <c r="G27" s="152"/>
      <c r="H27" s="153">
        <v>43860</v>
      </c>
      <c r="I27" s="39">
        <v>2000</v>
      </c>
      <c r="J27" s="87"/>
      <c r="K27" s="88"/>
      <c r="L27" s="62"/>
      <c r="M27" s="34">
        <v>52578</v>
      </c>
      <c r="N27" s="35">
        <v>5635</v>
      </c>
      <c r="O27" s="36"/>
      <c r="P27" s="36">
        <f>C27+I27+M27+N27+L35</f>
        <v>64006.5</v>
      </c>
      <c r="Q27" s="5">
        <f t="shared" si="1"/>
        <v>-0.5</v>
      </c>
      <c r="U27" s="29"/>
    </row>
    <row r="28" spans="1:28" ht="15.75" thickBot="1" x14ac:dyDescent="0.3">
      <c r="A28" s="30"/>
      <c r="B28" s="149">
        <v>43861</v>
      </c>
      <c r="C28" s="31">
        <v>2354</v>
      </c>
      <c r="D28" s="154" t="s">
        <v>69</v>
      </c>
      <c r="E28" s="151">
        <v>43861</v>
      </c>
      <c r="F28" s="32">
        <v>124945</v>
      </c>
      <c r="G28" s="152"/>
      <c r="H28" s="153">
        <v>43861</v>
      </c>
      <c r="I28" s="39">
        <v>10096</v>
      </c>
      <c r="J28" s="87"/>
      <c r="K28" s="90"/>
      <c r="L28" s="62"/>
      <c r="M28" s="34">
        <v>88114</v>
      </c>
      <c r="N28" s="35">
        <v>4381</v>
      </c>
      <c r="O28" s="36"/>
      <c r="P28" s="36">
        <f>C28+I28+M28+N28+L9</f>
        <v>124945</v>
      </c>
      <c r="Q28" s="5">
        <f t="shared" si="1"/>
        <v>0</v>
      </c>
      <c r="U28" s="29"/>
    </row>
    <row r="29" spans="1:28" ht="15.75" thickBot="1" x14ac:dyDescent="0.3">
      <c r="A29" s="30"/>
      <c r="B29" s="149">
        <v>43862</v>
      </c>
      <c r="C29" s="31">
        <v>2318</v>
      </c>
      <c r="D29" s="154" t="s">
        <v>83</v>
      </c>
      <c r="E29" s="151">
        <v>43862</v>
      </c>
      <c r="F29" s="32">
        <v>129574</v>
      </c>
      <c r="G29" s="152"/>
      <c r="H29" s="153">
        <v>43862</v>
      </c>
      <c r="I29" s="39">
        <v>0</v>
      </c>
      <c r="J29" s="87"/>
      <c r="K29" s="84"/>
      <c r="L29" s="62"/>
      <c r="M29" s="34">
        <f>109270+4378+90</f>
        <v>113738</v>
      </c>
      <c r="N29" s="35">
        <v>5104</v>
      </c>
      <c r="O29" s="36"/>
      <c r="P29" s="36">
        <f>C29+I29+M29+N29+L16</f>
        <v>139790.41</v>
      </c>
      <c r="Q29" s="201">
        <f t="shared" si="1"/>
        <v>10216.410000000003</v>
      </c>
      <c r="S29" s="6" t="s">
        <v>12</v>
      </c>
      <c r="U29" s="29"/>
    </row>
    <row r="30" spans="1:28" ht="16.5" thickBot="1" x14ac:dyDescent="0.3">
      <c r="A30" s="30"/>
      <c r="B30" s="149">
        <v>43863</v>
      </c>
      <c r="C30" s="31">
        <v>0</v>
      </c>
      <c r="D30" s="154"/>
      <c r="E30" s="151">
        <v>43863</v>
      </c>
      <c r="F30" s="32">
        <v>103824</v>
      </c>
      <c r="G30" s="152"/>
      <c r="H30" s="153">
        <v>43863</v>
      </c>
      <c r="I30" s="158">
        <v>250</v>
      </c>
      <c r="J30" s="159"/>
      <c r="K30" s="160"/>
      <c r="L30" s="161"/>
      <c r="M30" s="34">
        <v>98355</v>
      </c>
      <c r="N30" s="35">
        <v>5219</v>
      </c>
      <c r="O30" s="36"/>
      <c r="P30" s="36">
        <f t="shared" ref="P30:P32" si="3">C30+I30+M30+N30+L17</f>
        <v>103824</v>
      </c>
      <c r="Q30" s="5">
        <f t="shared" si="1"/>
        <v>0</v>
      </c>
      <c r="U30" s="29"/>
    </row>
    <row r="31" spans="1:28" ht="16.5" thickBot="1" x14ac:dyDescent="0.3">
      <c r="A31" s="30"/>
      <c r="B31" s="149">
        <v>43864</v>
      </c>
      <c r="C31" s="91">
        <v>5858</v>
      </c>
      <c r="D31" s="154" t="s">
        <v>85</v>
      </c>
      <c r="E31" s="151">
        <v>43864</v>
      </c>
      <c r="F31" s="32">
        <v>75502</v>
      </c>
      <c r="G31" s="152"/>
      <c r="H31" s="153">
        <v>43864</v>
      </c>
      <c r="I31" s="92">
        <v>0</v>
      </c>
      <c r="J31" s="159"/>
      <c r="K31" s="160"/>
      <c r="L31" s="161"/>
      <c r="M31" s="34">
        <v>66714</v>
      </c>
      <c r="N31" s="35">
        <v>2930</v>
      </c>
      <c r="O31" s="36"/>
      <c r="P31" s="36">
        <f t="shared" si="3"/>
        <v>75502</v>
      </c>
      <c r="Q31" s="5">
        <f t="shared" si="1"/>
        <v>0</v>
      </c>
      <c r="U31" s="29"/>
    </row>
    <row r="32" spans="1:28" ht="16.5" thickBot="1" x14ac:dyDescent="0.3">
      <c r="A32" s="30"/>
      <c r="B32" s="149">
        <v>43865</v>
      </c>
      <c r="C32" s="91">
        <v>1406</v>
      </c>
      <c r="D32" s="154" t="s">
        <v>120</v>
      </c>
      <c r="E32" s="151">
        <v>43865</v>
      </c>
      <c r="F32" s="32">
        <v>62785</v>
      </c>
      <c r="G32" s="152"/>
      <c r="H32" s="153">
        <v>43865</v>
      </c>
      <c r="I32" s="92">
        <v>60</v>
      </c>
      <c r="J32" s="159"/>
      <c r="K32" s="160"/>
      <c r="L32" s="161"/>
      <c r="M32" s="34">
        <v>60121</v>
      </c>
      <c r="N32" s="35">
        <v>1198</v>
      </c>
      <c r="O32" s="36"/>
      <c r="P32" s="36">
        <f t="shared" si="3"/>
        <v>62785</v>
      </c>
      <c r="Q32" s="5">
        <v>0</v>
      </c>
      <c r="U32" s="29"/>
      <c r="V32" s="59"/>
      <c r="W32" s="93"/>
    </row>
    <row r="33" spans="1:27" ht="16.5" thickBot="1" x14ac:dyDescent="0.3">
      <c r="A33" s="30"/>
      <c r="B33" s="149">
        <v>43866</v>
      </c>
      <c r="C33" s="91">
        <v>1811</v>
      </c>
      <c r="D33" s="154" t="s">
        <v>121</v>
      </c>
      <c r="E33" s="151">
        <v>43866</v>
      </c>
      <c r="F33" s="32">
        <v>52515</v>
      </c>
      <c r="G33" s="152"/>
      <c r="H33" s="153">
        <v>43866</v>
      </c>
      <c r="I33" s="92">
        <v>0</v>
      </c>
      <c r="J33" s="159"/>
      <c r="K33" s="160"/>
      <c r="L33" s="161"/>
      <c r="M33" s="34">
        <v>50204</v>
      </c>
      <c r="N33" s="35">
        <v>500</v>
      </c>
      <c r="O33" s="36"/>
      <c r="P33" s="36">
        <f>C33+I33+M33+N33+L23</f>
        <v>52515</v>
      </c>
      <c r="Q33" s="5">
        <f t="shared" ref="Q33:Q35" si="4">P33-F33</f>
        <v>0</v>
      </c>
      <c r="U33" s="29"/>
      <c r="V33" s="59"/>
      <c r="W33" s="93"/>
    </row>
    <row r="34" spans="1:27" ht="16.5" thickBot="1" x14ac:dyDescent="0.3">
      <c r="A34" s="30"/>
      <c r="B34" s="149">
        <v>43867</v>
      </c>
      <c r="C34" s="91">
        <v>918</v>
      </c>
      <c r="D34" s="154" t="s">
        <v>72</v>
      </c>
      <c r="E34" s="151">
        <v>43867</v>
      </c>
      <c r="F34" s="32">
        <v>79823</v>
      </c>
      <c r="G34" s="152"/>
      <c r="H34" s="153">
        <v>43867</v>
      </c>
      <c r="I34" s="92">
        <v>600</v>
      </c>
      <c r="J34" s="159"/>
      <c r="K34" s="160"/>
      <c r="L34" s="161"/>
      <c r="M34" s="34">
        <v>76876</v>
      </c>
      <c r="N34" s="35">
        <v>1429</v>
      </c>
      <c r="O34" s="36"/>
      <c r="P34" s="36">
        <f>C34+I34+M34+N34+L22</f>
        <v>79823</v>
      </c>
      <c r="Q34" s="5">
        <f t="shared" si="4"/>
        <v>0</v>
      </c>
      <c r="U34" s="29"/>
      <c r="V34" s="59"/>
      <c r="W34" s="93"/>
    </row>
    <row r="35" spans="1:27" ht="16.5" thickBot="1" x14ac:dyDescent="0.3">
      <c r="A35" s="30"/>
      <c r="B35" s="205"/>
      <c r="C35" s="206"/>
      <c r="D35" s="207"/>
      <c r="E35" s="94"/>
      <c r="F35" s="95"/>
      <c r="G35" s="96"/>
      <c r="H35" s="153"/>
      <c r="I35" s="97"/>
      <c r="J35" s="159"/>
      <c r="K35" s="160"/>
      <c r="L35" s="161"/>
      <c r="M35" s="34">
        <v>0</v>
      </c>
      <c r="N35" s="35">
        <v>0</v>
      </c>
      <c r="O35" s="36"/>
      <c r="P35" s="36">
        <f>C35+I35+M35+N35</f>
        <v>0</v>
      </c>
      <c r="Q35" s="36">
        <f t="shared" si="4"/>
        <v>0</v>
      </c>
      <c r="R35" s="36"/>
      <c r="U35" s="29"/>
      <c r="V35" s="59"/>
      <c r="W35" s="93"/>
    </row>
    <row r="36" spans="1:27" ht="15.75" x14ac:dyDescent="0.25">
      <c r="A36" s="30"/>
      <c r="B36" s="208">
        <v>43852</v>
      </c>
      <c r="C36" s="227">
        <v>13264.76</v>
      </c>
      <c r="D36" s="209" t="s">
        <v>80</v>
      </c>
      <c r="E36" s="98"/>
      <c r="F36" s="36"/>
      <c r="H36" s="153"/>
      <c r="I36" s="99"/>
      <c r="J36" s="217" t="s">
        <v>131</v>
      </c>
      <c r="K36" s="218" t="s">
        <v>130</v>
      </c>
      <c r="L36" s="162">
        <v>3750.22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U36" s="29"/>
      <c r="V36" s="59"/>
      <c r="W36" s="93"/>
      <c r="Z36" s="59"/>
      <c r="AA36" s="100"/>
    </row>
    <row r="37" spans="1:27" ht="15.75" x14ac:dyDescent="0.25">
      <c r="A37" s="30"/>
      <c r="B37" s="19">
        <v>43854</v>
      </c>
      <c r="C37" s="226">
        <v>37192.32</v>
      </c>
      <c r="D37" s="210" t="s">
        <v>80</v>
      </c>
      <c r="E37" s="98"/>
      <c r="F37" s="36"/>
      <c r="H37" s="153"/>
      <c r="I37" s="36"/>
      <c r="J37" s="217" t="s">
        <v>131</v>
      </c>
      <c r="K37" s="163" t="s">
        <v>132</v>
      </c>
      <c r="L37" s="161">
        <v>1999.74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U37" s="29"/>
      <c r="V37" s="59"/>
      <c r="W37" s="93"/>
      <c r="Z37" s="59"/>
      <c r="AA37" s="100"/>
    </row>
    <row r="38" spans="1:27" ht="15.75" x14ac:dyDescent="0.25">
      <c r="A38" s="30"/>
      <c r="B38" s="19">
        <v>43858</v>
      </c>
      <c r="C38" s="226">
        <v>10018</v>
      </c>
      <c r="D38" s="210" t="s">
        <v>80</v>
      </c>
      <c r="E38" s="98"/>
      <c r="F38" s="36"/>
      <c r="H38" s="153"/>
      <c r="I38" s="36"/>
      <c r="J38" s="217" t="s">
        <v>131</v>
      </c>
      <c r="K38" s="163" t="s">
        <v>133</v>
      </c>
      <c r="L38" s="161">
        <v>10381.799999999999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U38" s="29"/>
      <c r="V38" s="59"/>
      <c r="W38" s="93"/>
      <c r="Z38" s="59"/>
      <c r="AA38" s="100"/>
    </row>
    <row r="39" spans="1:27" ht="15.75" x14ac:dyDescent="0.25">
      <c r="A39" s="30"/>
      <c r="B39" s="19">
        <v>43860</v>
      </c>
      <c r="C39" s="226">
        <v>11866</v>
      </c>
      <c r="D39" s="210" t="s">
        <v>80</v>
      </c>
      <c r="E39" s="98"/>
      <c r="F39" s="36"/>
      <c r="H39" s="153"/>
      <c r="I39" s="36"/>
      <c r="J39" s="217" t="s">
        <v>131</v>
      </c>
      <c r="K39" s="164" t="s">
        <v>134</v>
      </c>
      <c r="L39" s="161">
        <v>29047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U39" s="29"/>
      <c r="V39" s="59"/>
      <c r="W39" s="93"/>
      <c r="Z39" s="59"/>
      <c r="AA39" s="100"/>
    </row>
    <row r="40" spans="1:27" ht="15.75" x14ac:dyDescent="0.25">
      <c r="A40" s="30"/>
      <c r="B40" s="19">
        <v>43864</v>
      </c>
      <c r="C40" s="226">
        <v>10826.96</v>
      </c>
      <c r="D40" s="210" t="s">
        <v>80</v>
      </c>
      <c r="E40" s="98"/>
      <c r="F40" s="36"/>
      <c r="H40" s="153"/>
      <c r="I40" s="36"/>
      <c r="J40" s="217" t="s">
        <v>131</v>
      </c>
      <c r="K40" s="163" t="s">
        <v>135</v>
      </c>
      <c r="L40" s="161">
        <v>1315.86</v>
      </c>
      <c r="M40" s="34">
        <v>0</v>
      </c>
      <c r="N40" s="35">
        <v>0</v>
      </c>
      <c r="O40" s="36"/>
      <c r="P40" s="36">
        <v>0</v>
      </c>
      <c r="Q40" s="36">
        <v>0</v>
      </c>
      <c r="R40" s="36"/>
      <c r="U40" s="29"/>
      <c r="V40" s="59"/>
      <c r="W40" s="93"/>
      <c r="Z40" s="59"/>
      <c r="AA40" s="100"/>
    </row>
    <row r="41" spans="1:27" ht="15.75" x14ac:dyDescent="0.25">
      <c r="A41" s="30"/>
      <c r="B41" s="19">
        <v>43867</v>
      </c>
      <c r="C41" s="226">
        <v>15199.8</v>
      </c>
      <c r="D41" s="210" t="s">
        <v>80</v>
      </c>
      <c r="E41" s="98"/>
      <c r="F41" s="36"/>
      <c r="H41" s="153"/>
      <c r="I41" s="36"/>
      <c r="J41" s="103"/>
      <c r="K41" s="163"/>
      <c r="L41" s="102"/>
      <c r="M41" s="34">
        <v>0</v>
      </c>
      <c r="N41" s="35">
        <v>0</v>
      </c>
      <c r="O41" s="36"/>
      <c r="P41" s="36">
        <v>0</v>
      </c>
      <c r="Q41" s="36">
        <v>0</v>
      </c>
      <c r="R41" s="36"/>
      <c r="U41" s="29"/>
      <c r="V41" s="59"/>
      <c r="W41" s="93"/>
      <c r="Z41" s="59"/>
      <c r="AA41" s="100"/>
    </row>
    <row r="42" spans="1:27" ht="15.75" x14ac:dyDescent="0.25">
      <c r="A42" s="30"/>
      <c r="B42" s="19"/>
      <c r="C42" s="176"/>
      <c r="D42" s="210"/>
      <c r="E42" s="98"/>
      <c r="F42" s="36"/>
      <c r="H42" s="153"/>
      <c r="I42" s="36"/>
      <c r="J42" s="103"/>
      <c r="K42" s="163"/>
      <c r="L42" s="102"/>
      <c r="M42" s="34">
        <v>0</v>
      </c>
      <c r="N42" s="35">
        <v>0</v>
      </c>
      <c r="O42" s="36"/>
      <c r="P42" s="36">
        <v>0</v>
      </c>
      <c r="Q42" s="36">
        <v>0</v>
      </c>
      <c r="R42" s="36"/>
      <c r="U42" s="29"/>
      <c r="V42" s="59"/>
      <c r="W42" s="93"/>
      <c r="Z42" s="59"/>
      <c r="AA42" s="100"/>
    </row>
    <row r="43" spans="1:27" ht="16.5" thickBot="1" x14ac:dyDescent="0.3">
      <c r="A43" s="30"/>
      <c r="B43" s="211"/>
      <c r="C43" s="212"/>
      <c r="D43" s="213"/>
      <c r="E43" s="98"/>
      <c r="F43" s="36"/>
      <c r="H43" s="153"/>
      <c r="I43" s="36"/>
      <c r="J43" s="101"/>
      <c r="K43" s="165"/>
      <c r="L43" s="102"/>
      <c r="M43" s="36"/>
      <c r="N43" s="36"/>
      <c r="O43" s="36"/>
      <c r="P43" s="104">
        <v>0</v>
      </c>
      <c r="Q43" s="104">
        <v>0</v>
      </c>
      <c r="R43" s="36"/>
      <c r="U43" s="29"/>
      <c r="V43" s="59"/>
      <c r="W43" s="93"/>
      <c r="Z43" s="59"/>
      <c r="AA43" s="100"/>
    </row>
    <row r="44" spans="1:27" ht="16.5" thickBot="1" x14ac:dyDescent="0.3">
      <c r="A44" s="105"/>
      <c r="B44" s="106"/>
      <c r="C44" s="107"/>
      <c r="D44" s="204"/>
      <c r="E44" s="108"/>
      <c r="F44" s="109"/>
      <c r="G44" s="110"/>
      <c r="H44" s="153"/>
      <c r="I44" s="109"/>
      <c r="J44" s="111"/>
      <c r="M44" s="112">
        <f>SUM(M5:M43)</f>
        <v>2609686.98</v>
      </c>
      <c r="N44" s="113">
        <f>SUM(N5:N43)</f>
        <v>83596</v>
      </c>
      <c r="O44" s="114"/>
      <c r="P44" s="114">
        <f>SUM(P5:P43)</f>
        <v>3006668.77</v>
      </c>
      <c r="Q44" s="114">
        <f>SUM(Q5:Q43)</f>
        <v>116157.46999999999</v>
      </c>
      <c r="R44" s="114"/>
      <c r="Z44" s="7" t="s">
        <v>17</v>
      </c>
    </row>
    <row r="45" spans="1:27" ht="16.5" thickBot="1" x14ac:dyDescent="0.3">
      <c r="B45" s="115" t="s">
        <v>16</v>
      </c>
      <c r="C45" s="116">
        <f>SUM(C5:C44)</f>
        <v>227347.06</v>
      </c>
      <c r="D45" s="117"/>
      <c r="E45" s="118" t="s">
        <v>16</v>
      </c>
      <c r="F45" s="119">
        <f>SUM(F5:F44)</f>
        <v>2909056</v>
      </c>
      <c r="G45" s="117"/>
      <c r="H45" s="120" t="s">
        <v>16</v>
      </c>
      <c r="I45" s="121">
        <f>SUM(I5:I44)</f>
        <v>51887.8</v>
      </c>
      <c r="J45" s="93"/>
      <c r="K45" s="122" t="s">
        <v>16</v>
      </c>
      <c r="L45" s="123">
        <f>SUM(L6:L43)</f>
        <v>165887</v>
      </c>
      <c r="O45" s="5"/>
      <c r="P45" s="36"/>
      <c r="Q45" s="36"/>
      <c r="R45" s="36"/>
      <c r="U45" s="8"/>
    </row>
    <row r="46" spans="1:27" ht="20.25" thickTop="1" thickBot="1" x14ac:dyDescent="0.3">
      <c r="C46" s="8" t="s">
        <v>12</v>
      </c>
      <c r="M46" s="636">
        <f>N44+M44</f>
        <v>2693282.98</v>
      </c>
      <c r="N46" s="637"/>
      <c r="O46" s="124"/>
      <c r="P46" s="124"/>
      <c r="U46" s="8"/>
    </row>
    <row r="47" spans="1:27" ht="15.75" x14ac:dyDescent="0.25">
      <c r="A47" s="59"/>
      <c r="B47" s="125"/>
      <c r="C47" s="4"/>
      <c r="H47" s="638" t="s">
        <v>18</v>
      </c>
      <c r="I47" s="639"/>
      <c r="J47" s="126"/>
      <c r="K47" s="640">
        <f>I45+L45</f>
        <v>217774.8</v>
      </c>
      <c r="L47" s="641"/>
      <c r="P47" s="127"/>
      <c r="S47" s="5"/>
      <c r="T47" s="128"/>
      <c r="U47" s="8"/>
    </row>
    <row r="48" spans="1:27" ht="15.75" x14ac:dyDescent="0.25">
      <c r="D48" s="642" t="s">
        <v>19</v>
      </c>
      <c r="E48" s="642"/>
      <c r="F48" s="129">
        <f>F45-K47-C45</f>
        <v>2463934.14</v>
      </c>
      <c r="I48" s="130"/>
      <c r="J48" s="130"/>
      <c r="P48" s="127"/>
      <c r="U48" s="8"/>
    </row>
    <row r="49" spans="2:21" ht="18.75" x14ac:dyDescent="0.3">
      <c r="D49" s="655" t="s">
        <v>20</v>
      </c>
      <c r="E49" s="655"/>
      <c r="F49" s="131">
        <v>-2518468.4500000002</v>
      </c>
      <c r="I49" s="656" t="s">
        <v>21</v>
      </c>
      <c r="J49" s="657"/>
      <c r="K49" s="658">
        <f>F54</f>
        <v>333404.95999999996</v>
      </c>
      <c r="L49" s="659"/>
      <c r="P49" s="127"/>
      <c r="U49" s="8"/>
    </row>
    <row r="50" spans="2:21" ht="4.5" customHeight="1" thickBot="1" x14ac:dyDescent="0.35">
      <c r="D50" s="132"/>
      <c r="E50" s="133"/>
      <c r="F50" s="134" t="s">
        <v>12</v>
      </c>
      <c r="I50" s="135"/>
      <c r="J50" s="135"/>
      <c r="K50" s="136"/>
      <c r="L50" s="136"/>
      <c r="P50" s="127"/>
      <c r="U50" s="8"/>
    </row>
    <row r="51" spans="2:21" ht="19.5" thickTop="1" x14ac:dyDescent="0.3">
      <c r="C51" s="16" t="s">
        <v>12</v>
      </c>
      <c r="E51" s="59" t="s">
        <v>22</v>
      </c>
      <c r="F51" s="131">
        <f>SUM(F48:F50)</f>
        <v>-54534.310000000056</v>
      </c>
      <c r="H51" s="30"/>
      <c r="I51" s="137" t="s">
        <v>23</v>
      </c>
      <c r="J51" s="138"/>
      <c r="K51" s="627">
        <f>-C4</f>
        <v>-273391.58</v>
      </c>
      <c r="L51" s="628"/>
      <c r="M51" s="214"/>
      <c r="P51" s="127"/>
      <c r="U51" s="8"/>
    </row>
    <row r="52" spans="2:21" ht="16.5" thickBot="1" x14ac:dyDescent="0.3">
      <c r="D52" s="139" t="s">
        <v>24</v>
      </c>
      <c r="E52" s="59" t="s">
        <v>25</v>
      </c>
      <c r="F52" s="140">
        <v>32730</v>
      </c>
      <c r="P52" s="127"/>
      <c r="U52" s="8"/>
    </row>
    <row r="53" spans="2:21" ht="20.25" thickTop="1" thickBot="1" x14ac:dyDescent="0.35">
      <c r="C53" s="141">
        <v>43867</v>
      </c>
      <c r="D53" s="629" t="s">
        <v>26</v>
      </c>
      <c r="E53" s="630"/>
      <c r="F53" s="142">
        <v>355209.27</v>
      </c>
      <c r="I53" s="631" t="s">
        <v>129</v>
      </c>
      <c r="J53" s="632"/>
      <c r="K53" s="633">
        <f>K49+K51</f>
        <v>60013.379999999946</v>
      </c>
      <c r="L53" s="634"/>
      <c r="P53" s="127"/>
    </row>
    <row r="54" spans="2:21" ht="18.75" x14ac:dyDescent="0.3">
      <c r="C54" s="143"/>
      <c r="D54" s="144"/>
      <c r="E54" s="61" t="s">
        <v>27</v>
      </c>
      <c r="F54" s="145">
        <f>F51+F52+F53</f>
        <v>333404.95999999996</v>
      </c>
      <c r="J54" s="9"/>
      <c r="M54" s="146"/>
      <c r="P54" s="36"/>
    </row>
    <row r="55" spans="2:21" x14ac:dyDescent="0.25">
      <c r="P55" s="36"/>
    </row>
    <row r="56" spans="2:21" x14ac:dyDescent="0.25">
      <c r="B56"/>
      <c r="C56"/>
      <c r="D56" s="635"/>
      <c r="E56" s="635"/>
      <c r="M56" s="147"/>
      <c r="N56" s="59"/>
      <c r="O56" s="59"/>
      <c r="P56" s="128"/>
      <c r="Q56" s="186"/>
      <c r="R56" s="186"/>
    </row>
    <row r="57" spans="2:21" x14ac:dyDescent="0.25">
      <c r="B57"/>
      <c r="C57"/>
      <c r="M57" s="147"/>
      <c r="N57" s="59"/>
      <c r="O57" s="59"/>
      <c r="P57" s="59"/>
      <c r="Q57" s="186"/>
      <c r="R57" s="186"/>
    </row>
    <row r="58" spans="2:21" x14ac:dyDescent="0.25">
      <c r="B58"/>
      <c r="C58"/>
      <c r="N58" s="59"/>
      <c r="O58" s="59"/>
      <c r="P58" s="59"/>
      <c r="Q58" s="186"/>
      <c r="R58" s="186"/>
    </row>
    <row r="59" spans="2:21" x14ac:dyDescent="0.25">
      <c r="B59"/>
      <c r="C59"/>
      <c r="F59"/>
      <c r="I59"/>
      <c r="J59"/>
      <c r="M59"/>
      <c r="N59" s="59"/>
      <c r="O59" s="59"/>
      <c r="P59" s="59"/>
      <c r="Q59" s="186"/>
      <c r="R59" s="186"/>
    </row>
    <row r="60" spans="2:21" x14ac:dyDescent="0.25">
      <c r="B60"/>
      <c r="C60"/>
      <c r="F60" s="148"/>
      <c r="N60" s="59"/>
      <c r="O60" s="59"/>
      <c r="P60" s="59"/>
      <c r="Q60" s="186"/>
      <c r="R60" s="186"/>
    </row>
    <row r="61" spans="2:21" x14ac:dyDescent="0.25">
      <c r="F61" s="36"/>
      <c r="M61" s="4"/>
      <c r="N61" s="59"/>
      <c r="O61" s="59"/>
      <c r="P61" s="59"/>
      <c r="Q61" s="186"/>
      <c r="R61" s="186"/>
    </row>
    <row r="62" spans="2:21" x14ac:dyDescent="0.25">
      <c r="F62" s="36"/>
      <c r="M62" s="4"/>
      <c r="N62" s="59"/>
      <c r="O62" s="59"/>
      <c r="P62" s="59"/>
      <c r="Q62" s="186"/>
      <c r="R62" s="186"/>
    </row>
    <row r="63" spans="2:21" x14ac:dyDescent="0.25">
      <c r="F63" s="36"/>
      <c r="M63" s="4"/>
      <c r="N63" s="59"/>
      <c r="O63" s="59"/>
      <c r="P63" s="59"/>
      <c r="Q63" s="186"/>
      <c r="R63" s="186"/>
    </row>
    <row r="64" spans="2:21" x14ac:dyDescent="0.25">
      <c r="F64" s="36"/>
      <c r="M64" s="4"/>
      <c r="N64" s="59"/>
      <c r="O64" s="59"/>
      <c r="P64" s="59"/>
      <c r="Q64" s="186"/>
      <c r="R64" s="186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36"/>
      <c r="M67" s="4"/>
    </row>
    <row r="68" spans="6:13" x14ac:dyDescent="0.25">
      <c r="F68" s="36"/>
      <c r="M68" s="4"/>
    </row>
    <row r="69" spans="6:13" x14ac:dyDescent="0.25">
      <c r="F69" s="36"/>
      <c r="M69" s="4"/>
    </row>
    <row r="70" spans="6:13" x14ac:dyDescent="0.25">
      <c r="F70" s="148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sortState xmlns:xlrd2="http://schemas.microsoft.com/office/spreadsheetml/2017/richdata2" ref="V4:V5">
    <sortCondition ref="V4:V5"/>
  </sortState>
  <mergeCells count="20">
    <mergeCell ref="D49:E49"/>
    <mergeCell ref="I49:J49"/>
    <mergeCell ref="K49:L49"/>
    <mergeCell ref="C1:K1"/>
    <mergeCell ref="B3:C3"/>
    <mergeCell ref="E4:F4"/>
    <mergeCell ref="H4:I4"/>
    <mergeCell ref="M46:N46"/>
    <mergeCell ref="H47:I47"/>
    <mergeCell ref="K47:L47"/>
    <mergeCell ref="D48:E48"/>
    <mergeCell ref="AE1:AF2"/>
    <mergeCell ref="V20:W20"/>
    <mergeCell ref="Z2:AB2"/>
    <mergeCell ref="V2:W3"/>
    <mergeCell ref="K51:L51"/>
    <mergeCell ref="D53:E53"/>
    <mergeCell ref="I53:J53"/>
    <mergeCell ref="K53:L53"/>
    <mergeCell ref="D56:E56"/>
  </mergeCells>
  <phoneticPr fontId="30" type="noConversion"/>
  <pageMargins left="0.7" right="0.15748031496062992" top="0.31496062992125984" bottom="0.31" header="0.31496062992125984" footer="0.31496062992125984"/>
  <pageSetup scale="6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5937-C61B-488F-A6DD-D38E3DB1A739}">
  <sheetPr>
    <tabColor rgb="FF7030A0"/>
  </sheetPr>
  <dimension ref="A1:F87"/>
  <sheetViews>
    <sheetView topLeftCell="A28" workbookViewId="0">
      <selection activeCell="K49" sqref="K49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43958</v>
      </c>
      <c r="B3" s="272">
        <v>14095</v>
      </c>
      <c r="C3" s="176">
        <v>79581.399999999994</v>
      </c>
      <c r="D3" s="270"/>
      <c r="E3" s="5"/>
      <c r="F3" s="173">
        <f>C3-E3</f>
        <v>79581.399999999994</v>
      </c>
    </row>
    <row r="4" spans="1:6" x14ac:dyDescent="0.25">
      <c r="A4" s="271">
        <v>43959</v>
      </c>
      <c r="B4" s="272">
        <v>14233</v>
      </c>
      <c r="C4" s="176">
        <v>3666</v>
      </c>
      <c r="D4" s="273">
        <v>43959</v>
      </c>
      <c r="E4" s="176">
        <v>83247.399999999994</v>
      </c>
      <c r="F4" s="173">
        <f>F3+C4-E4</f>
        <v>0</v>
      </c>
    </row>
    <row r="5" spans="1:6" x14ac:dyDescent="0.25">
      <c r="A5" s="273">
        <v>43960</v>
      </c>
      <c r="B5" s="272">
        <v>14387</v>
      </c>
      <c r="C5" s="176">
        <v>133106</v>
      </c>
      <c r="D5" s="273"/>
      <c r="E5" s="176"/>
      <c r="F5" s="173">
        <f t="shared" ref="F5:F50" si="0">F4+C5-E5</f>
        <v>133106</v>
      </c>
    </row>
    <row r="6" spans="1:6" x14ac:dyDescent="0.25">
      <c r="A6" s="273">
        <v>43960</v>
      </c>
      <c r="B6" s="272">
        <v>14388</v>
      </c>
      <c r="C6" s="176">
        <v>79782.67</v>
      </c>
      <c r="D6" s="273"/>
      <c r="E6" s="176"/>
      <c r="F6" s="173">
        <f t="shared" si="0"/>
        <v>212888.66999999998</v>
      </c>
    </row>
    <row r="7" spans="1:6" x14ac:dyDescent="0.25">
      <c r="A7" s="273">
        <v>43960</v>
      </c>
      <c r="B7" s="272">
        <v>14390</v>
      </c>
      <c r="C7" s="176">
        <v>28090.400000000001</v>
      </c>
      <c r="D7" s="273"/>
      <c r="E7" s="176"/>
      <c r="F7" s="173">
        <f t="shared" si="0"/>
        <v>240979.06999999998</v>
      </c>
    </row>
    <row r="8" spans="1:6" x14ac:dyDescent="0.25">
      <c r="A8" s="273">
        <v>43961</v>
      </c>
      <c r="B8" s="272">
        <v>14487</v>
      </c>
      <c r="C8" s="176">
        <v>25851.5</v>
      </c>
      <c r="D8" s="273"/>
      <c r="E8" s="176"/>
      <c r="F8" s="173">
        <f t="shared" si="0"/>
        <v>266830.56999999995</v>
      </c>
    </row>
    <row r="9" spans="1:6" x14ac:dyDescent="0.25">
      <c r="A9" s="273">
        <v>43962</v>
      </c>
      <c r="B9" s="272">
        <v>14648</v>
      </c>
      <c r="C9" s="176">
        <v>84770.49</v>
      </c>
      <c r="D9" s="273"/>
      <c r="E9" s="176"/>
      <c r="F9" s="173">
        <f t="shared" si="0"/>
        <v>351601.05999999994</v>
      </c>
    </row>
    <row r="10" spans="1:6" x14ac:dyDescent="0.25">
      <c r="A10" s="273">
        <v>43963</v>
      </c>
      <c r="B10" s="272">
        <v>14766</v>
      </c>
      <c r="C10" s="176">
        <v>3075.79</v>
      </c>
      <c r="D10" s="273"/>
      <c r="E10" s="176"/>
      <c r="F10" s="173">
        <f t="shared" si="0"/>
        <v>354676.84999999992</v>
      </c>
    </row>
    <row r="11" spans="1:6" x14ac:dyDescent="0.25">
      <c r="A11" s="271">
        <v>43964</v>
      </c>
      <c r="B11" s="272">
        <v>14779</v>
      </c>
      <c r="C11" s="176">
        <v>103355</v>
      </c>
      <c r="D11" s="273"/>
      <c r="E11" s="176"/>
      <c r="F11" s="173">
        <f t="shared" si="0"/>
        <v>458031.84999999992</v>
      </c>
    </row>
    <row r="12" spans="1:6" x14ac:dyDescent="0.25">
      <c r="A12" s="273">
        <v>43964</v>
      </c>
      <c r="B12" s="272">
        <v>14872</v>
      </c>
      <c r="C12" s="176">
        <v>77501.89</v>
      </c>
      <c r="D12" s="273"/>
      <c r="E12" s="176"/>
      <c r="F12" s="173">
        <f t="shared" si="0"/>
        <v>535533.73999999987</v>
      </c>
    </row>
    <row r="13" spans="1:6" x14ac:dyDescent="0.25">
      <c r="A13" s="273">
        <v>43965</v>
      </c>
      <c r="B13" s="272">
        <v>14894</v>
      </c>
      <c r="C13" s="176">
        <v>1261.5</v>
      </c>
      <c r="D13" s="273">
        <v>43966</v>
      </c>
      <c r="E13" s="176">
        <v>536795.24</v>
      </c>
      <c r="F13" s="173">
        <f t="shared" si="0"/>
        <v>0</v>
      </c>
    </row>
    <row r="14" spans="1:6" x14ac:dyDescent="0.25">
      <c r="A14" s="273">
        <v>43967</v>
      </c>
      <c r="B14" s="272">
        <v>15178</v>
      </c>
      <c r="C14" s="176">
        <v>12104</v>
      </c>
      <c r="D14" s="273"/>
      <c r="E14" s="176"/>
      <c r="F14" s="173">
        <f t="shared" si="0"/>
        <v>12104</v>
      </c>
    </row>
    <row r="15" spans="1:6" x14ac:dyDescent="0.25">
      <c r="A15" s="273">
        <v>43967</v>
      </c>
      <c r="B15" s="272">
        <v>15258</v>
      </c>
      <c r="C15" s="176">
        <v>37598.54</v>
      </c>
      <c r="D15" s="273"/>
      <c r="E15" s="176"/>
      <c r="F15" s="173">
        <f t="shared" si="0"/>
        <v>49702.54</v>
      </c>
    </row>
    <row r="16" spans="1:6" x14ac:dyDescent="0.25">
      <c r="A16" s="273">
        <v>43968</v>
      </c>
      <c r="B16" s="272">
        <v>15278</v>
      </c>
      <c r="C16" s="176">
        <v>1428</v>
      </c>
      <c r="D16" s="273"/>
      <c r="E16" s="176"/>
      <c r="F16" s="173">
        <f t="shared" si="0"/>
        <v>51130.54</v>
      </c>
    </row>
    <row r="17" spans="1:6" x14ac:dyDescent="0.25">
      <c r="A17" s="273">
        <v>43969</v>
      </c>
      <c r="B17" s="272">
        <v>15364</v>
      </c>
      <c r="C17" s="176">
        <v>34928.9</v>
      </c>
      <c r="D17" s="273"/>
      <c r="E17" s="176"/>
      <c r="F17" s="173">
        <f t="shared" si="0"/>
        <v>86059.44</v>
      </c>
    </row>
    <row r="18" spans="1:6" x14ac:dyDescent="0.25">
      <c r="A18" s="273">
        <v>43970</v>
      </c>
      <c r="B18" s="272">
        <v>15498</v>
      </c>
      <c r="C18" s="176">
        <v>12930.6</v>
      </c>
      <c r="D18" s="273"/>
      <c r="E18" s="176"/>
      <c r="F18" s="173">
        <f t="shared" si="0"/>
        <v>98990.040000000008</v>
      </c>
    </row>
    <row r="19" spans="1:6" x14ac:dyDescent="0.25">
      <c r="A19" s="273">
        <v>43971</v>
      </c>
      <c r="B19" s="272">
        <v>15635</v>
      </c>
      <c r="C19" s="176">
        <v>36627.279999999999</v>
      </c>
      <c r="D19" s="273"/>
      <c r="E19" s="176"/>
      <c r="F19" s="173">
        <f t="shared" si="0"/>
        <v>135617.32</v>
      </c>
    </row>
    <row r="20" spans="1:6" x14ac:dyDescent="0.25">
      <c r="A20" s="273">
        <v>43971</v>
      </c>
      <c r="B20" s="272">
        <v>15638</v>
      </c>
      <c r="C20" s="176">
        <v>14591.08</v>
      </c>
      <c r="D20" s="273"/>
      <c r="E20" s="176"/>
      <c r="F20" s="173">
        <f t="shared" si="0"/>
        <v>150208.4</v>
      </c>
    </row>
    <row r="21" spans="1:6" x14ac:dyDescent="0.25">
      <c r="A21" s="273">
        <v>43971</v>
      </c>
      <c r="B21" s="272">
        <v>15708</v>
      </c>
      <c r="C21" s="176">
        <v>4401.3999999999996</v>
      </c>
      <c r="D21" s="273"/>
      <c r="E21" s="176"/>
      <c r="F21" s="173">
        <f t="shared" si="0"/>
        <v>154609.79999999999</v>
      </c>
    </row>
    <row r="22" spans="1:6" x14ac:dyDescent="0.25">
      <c r="A22" s="273">
        <v>43971</v>
      </c>
      <c r="B22" s="272">
        <v>15711</v>
      </c>
      <c r="C22" s="176">
        <v>4428</v>
      </c>
      <c r="D22" s="273"/>
      <c r="E22" s="176"/>
      <c r="F22" s="173">
        <f t="shared" si="0"/>
        <v>159037.79999999999</v>
      </c>
    </row>
    <row r="23" spans="1:6" x14ac:dyDescent="0.25">
      <c r="A23" s="273">
        <v>43972</v>
      </c>
      <c r="B23" s="272">
        <v>15845</v>
      </c>
      <c r="C23" s="176">
        <v>75141.94</v>
      </c>
      <c r="D23" s="273"/>
      <c r="E23" s="176"/>
      <c r="F23" s="173">
        <f t="shared" si="0"/>
        <v>234179.74</v>
      </c>
    </row>
    <row r="24" spans="1:6" x14ac:dyDescent="0.25">
      <c r="A24" s="273">
        <v>43973</v>
      </c>
      <c r="B24" s="272">
        <v>15893</v>
      </c>
      <c r="C24" s="176">
        <v>19906</v>
      </c>
      <c r="D24" s="273">
        <v>43974</v>
      </c>
      <c r="E24" s="176">
        <v>254085.74</v>
      </c>
      <c r="F24" s="173">
        <f t="shared" si="0"/>
        <v>0</v>
      </c>
    </row>
    <row r="25" spans="1:6" x14ac:dyDescent="0.25">
      <c r="A25" s="273">
        <v>43974</v>
      </c>
      <c r="B25" s="272">
        <v>16046</v>
      </c>
      <c r="C25" s="176">
        <v>66341.899999999994</v>
      </c>
      <c r="D25" s="273"/>
      <c r="E25" s="176"/>
      <c r="F25" s="173">
        <f t="shared" si="0"/>
        <v>66341.899999999994</v>
      </c>
    </row>
    <row r="26" spans="1:6" x14ac:dyDescent="0.25">
      <c r="A26" s="273">
        <v>43974</v>
      </c>
      <c r="B26" s="272">
        <v>16109</v>
      </c>
      <c r="C26" s="176">
        <v>42381.72</v>
      </c>
      <c r="D26" s="273"/>
      <c r="E26" s="176"/>
      <c r="F26" s="173">
        <f t="shared" si="0"/>
        <v>108723.62</v>
      </c>
    </row>
    <row r="27" spans="1:6" x14ac:dyDescent="0.25">
      <c r="A27" s="273">
        <v>43975</v>
      </c>
      <c r="B27" s="272">
        <v>16148</v>
      </c>
      <c r="C27" s="176">
        <v>23473.9</v>
      </c>
      <c r="D27" s="273"/>
      <c r="E27" s="176"/>
      <c r="F27" s="173">
        <f t="shared" si="0"/>
        <v>132197.51999999999</v>
      </c>
    </row>
    <row r="28" spans="1:6" x14ac:dyDescent="0.25">
      <c r="A28" s="271">
        <v>43975</v>
      </c>
      <c r="B28" s="272">
        <v>16198</v>
      </c>
      <c r="C28" s="176">
        <v>24648</v>
      </c>
      <c r="D28" s="273"/>
      <c r="E28" s="176"/>
      <c r="F28" s="173">
        <f t="shared" si="0"/>
        <v>156845.51999999999</v>
      </c>
    </row>
    <row r="29" spans="1:6" x14ac:dyDescent="0.25">
      <c r="A29" s="271">
        <v>43976</v>
      </c>
      <c r="B29" s="272">
        <v>16268</v>
      </c>
      <c r="C29" s="176">
        <v>35223.24</v>
      </c>
      <c r="D29" s="273"/>
      <c r="E29" s="176"/>
      <c r="F29" s="173">
        <f t="shared" si="0"/>
        <v>192068.75999999998</v>
      </c>
    </row>
    <row r="30" spans="1:6" x14ac:dyDescent="0.25">
      <c r="A30" s="271">
        <v>43977</v>
      </c>
      <c r="B30" s="272">
        <v>16335</v>
      </c>
      <c r="C30" s="176">
        <v>13000.32</v>
      </c>
      <c r="D30" s="273"/>
      <c r="E30" s="176"/>
      <c r="F30" s="173">
        <f t="shared" si="0"/>
        <v>205069.08</v>
      </c>
    </row>
    <row r="31" spans="1:6" x14ac:dyDescent="0.25">
      <c r="A31" s="271">
        <v>43978</v>
      </c>
      <c r="B31" s="272">
        <v>16485</v>
      </c>
      <c r="C31" s="176">
        <v>44075.09</v>
      </c>
      <c r="D31" s="273"/>
      <c r="E31" s="176"/>
      <c r="F31" s="173">
        <f t="shared" si="0"/>
        <v>249144.16999999998</v>
      </c>
    </row>
    <row r="32" spans="1:6" x14ac:dyDescent="0.25">
      <c r="A32" s="271">
        <v>43978</v>
      </c>
      <c r="B32" s="272">
        <v>16499</v>
      </c>
      <c r="C32" s="176">
        <v>2259.6</v>
      </c>
      <c r="D32" s="273"/>
      <c r="E32" s="176"/>
      <c r="F32" s="173">
        <f t="shared" si="0"/>
        <v>251403.77</v>
      </c>
    </row>
    <row r="33" spans="1:6" x14ac:dyDescent="0.25">
      <c r="A33" s="271">
        <v>43978</v>
      </c>
      <c r="B33" s="272">
        <v>16557</v>
      </c>
      <c r="C33" s="176">
        <v>32743.56</v>
      </c>
      <c r="D33" s="273"/>
      <c r="E33" s="176"/>
      <c r="F33" s="173">
        <f t="shared" si="0"/>
        <v>284147.33</v>
      </c>
    </row>
    <row r="34" spans="1:6" x14ac:dyDescent="0.25">
      <c r="A34" s="271">
        <v>43979</v>
      </c>
      <c r="B34" s="272">
        <v>16574</v>
      </c>
      <c r="C34" s="176">
        <v>27533.4</v>
      </c>
      <c r="D34" s="273"/>
      <c r="E34" s="176"/>
      <c r="F34" s="173">
        <f t="shared" si="0"/>
        <v>311680.73000000004</v>
      </c>
    </row>
    <row r="35" spans="1:6" x14ac:dyDescent="0.25">
      <c r="A35" s="271">
        <v>43979</v>
      </c>
      <c r="B35" s="272">
        <v>16648</v>
      </c>
      <c r="C35" s="176">
        <v>137280.17000000001</v>
      </c>
      <c r="D35" s="273"/>
      <c r="E35" s="176"/>
      <c r="F35" s="173">
        <f t="shared" si="0"/>
        <v>448960.9</v>
      </c>
    </row>
    <row r="36" spans="1:6" x14ac:dyDescent="0.25">
      <c r="A36" s="271">
        <v>43979</v>
      </c>
      <c r="B36" s="272">
        <v>16649</v>
      </c>
      <c r="C36" s="176">
        <v>1834.8</v>
      </c>
      <c r="D36" s="273"/>
      <c r="E36" s="176"/>
      <c r="F36" s="173">
        <f t="shared" si="0"/>
        <v>450795.7</v>
      </c>
    </row>
    <row r="37" spans="1:6" x14ac:dyDescent="0.25">
      <c r="A37" s="271">
        <v>43980</v>
      </c>
      <c r="B37" s="272">
        <v>16702</v>
      </c>
      <c r="C37" s="176">
        <v>18531.599999999999</v>
      </c>
      <c r="D37" s="273">
        <v>43980</v>
      </c>
      <c r="E37" s="176">
        <v>469327.3</v>
      </c>
      <c r="F37" s="173">
        <f t="shared" si="0"/>
        <v>0</v>
      </c>
    </row>
    <row r="38" spans="1:6" x14ac:dyDescent="0.25">
      <c r="A38" s="271">
        <v>43981</v>
      </c>
      <c r="B38" s="272">
        <v>16900</v>
      </c>
      <c r="C38" s="176">
        <v>26087.84</v>
      </c>
      <c r="D38" s="273"/>
      <c r="E38" s="176"/>
      <c r="F38" s="173">
        <f t="shared" si="0"/>
        <v>26087.84</v>
      </c>
    </row>
    <row r="39" spans="1:6" x14ac:dyDescent="0.25">
      <c r="A39" s="271">
        <v>43981</v>
      </c>
      <c r="B39" s="272">
        <v>16951</v>
      </c>
      <c r="C39" s="176">
        <v>76968.05</v>
      </c>
      <c r="D39" s="273"/>
      <c r="E39" s="176"/>
      <c r="F39" s="173">
        <f t="shared" si="0"/>
        <v>103055.89</v>
      </c>
    </row>
    <row r="40" spans="1:6" x14ac:dyDescent="0.25">
      <c r="A40" s="271">
        <v>43982</v>
      </c>
      <c r="B40" s="272">
        <v>16973</v>
      </c>
      <c r="C40" s="176">
        <v>1492.4</v>
      </c>
      <c r="D40" s="273"/>
      <c r="E40" s="176"/>
      <c r="F40" s="173">
        <f t="shared" si="0"/>
        <v>104548.29</v>
      </c>
    </row>
    <row r="41" spans="1:6" x14ac:dyDescent="0.25">
      <c r="A41" s="271">
        <v>43982</v>
      </c>
      <c r="B41" s="272">
        <v>16975</v>
      </c>
      <c r="C41" s="176">
        <v>1120</v>
      </c>
      <c r="D41" s="273"/>
      <c r="E41" s="176"/>
      <c r="F41" s="173">
        <f t="shared" si="0"/>
        <v>105668.29</v>
      </c>
    </row>
    <row r="42" spans="1:6" x14ac:dyDescent="0.25">
      <c r="A42" s="271">
        <v>43983</v>
      </c>
      <c r="B42" s="272">
        <v>17106</v>
      </c>
      <c r="C42" s="176">
        <v>75463.360000000001</v>
      </c>
      <c r="D42" s="273"/>
      <c r="E42" s="176"/>
      <c r="F42" s="173">
        <f t="shared" si="0"/>
        <v>181131.65</v>
      </c>
    </row>
    <row r="43" spans="1:6" x14ac:dyDescent="0.25">
      <c r="A43" s="271">
        <v>43984</v>
      </c>
      <c r="B43" s="272">
        <v>17221</v>
      </c>
      <c r="C43" s="176">
        <v>62772.95</v>
      </c>
      <c r="D43" s="273"/>
      <c r="E43" s="176"/>
      <c r="F43" s="173">
        <f t="shared" si="0"/>
        <v>243904.59999999998</v>
      </c>
    </row>
    <row r="44" spans="1:6" x14ac:dyDescent="0.25">
      <c r="A44" s="271">
        <v>43985</v>
      </c>
      <c r="B44" s="272">
        <v>17271</v>
      </c>
      <c r="C44" s="176">
        <v>3032.8</v>
      </c>
      <c r="D44" s="273"/>
      <c r="E44" s="176"/>
      <c r="F44" s="173">
        <f>F43+C44-E44</f>
        <v>246937.39999999997</v>
      </c>
    </row>
    <row r="45" spans="1:6" x14ac:dyDescent="0.25">
      <c r="A45" s="174">
        <v>43985</v>
      </c>
      <c r="B45" s="272">
        <v>17353</v>
      </c>
      <c r="C45" s="176">
        <v>477</v>
      </c>
      <c r="D45" s="177">
        <v>43956</v>
      </c>
      <c r="E45" s="176">
        <v>247414.39999999999</v>
      </c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1590870.0800000005</v>
      </c>
      <c r="D51" s="1"/>
      <c r="E51" s="4">
        <f>SUM(E3:E50)</f>
        <v>1590870.0799999998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CD25-93F6-4A39-9B74-143C379C1195}">
  <sheetPr>
    <tabColor theme="0" tint="-0.34998626667073579"/>
  </sheetPr>
  <dimension ref="A1:AL104"/>
  <sheetViews>
    <sheetView topLeftCell="A43" workbookViewId="0">
      <selection activeCell="E63" sqref="E62:E6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660" t="s">
        <v>317</v>
      </c>
      <c r="D1" s="660"/>
      <c r="E1" s="660"/>
      <c r="F1" s="660"/>
      <c r="G1" s="660"/>
      <c r="H1" s="660"/>
      <c r="I1" s="660"/>
      <c r="J1" s="660"/>
      <c r="K1" s="660"/>
      <c r="L1" s="2"/>
      <c r="M1" s="3"/>
      <c r="AK1" s="643" t="s">
        <v>45</v>
      </c>
      <c r="AL1" s="644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651" t="s">
        <v>4</v>
      </c>
      <c r="X2" s="652"/>
      <c r="AB2" s="651" t="s">
        <v>4</v>
      </c>
      <c r="AC2" s="652"/>
      <c r="AF2" s="648" t="s">
        <v>43</v>
      </c>
      <c r="AG2" s="649"/>
      <c r="AH2" s="650"/>
      <c r="AJ2" s="193" t="s">
        <v>44</v>
      </c>
      <c r="AK2" s="645"/>
      <c r="AL2" s="646"/>
    </row>
    <row r="3" spans="1:38" ht="18" customHeight="1" thickBot="1" x14ac:dyDescent="0.35">
      <c r="B3" s="661" t="s">
        <v>1</v>
      </c>
      <c r="C3" s="662"/>
      <c r="D3" s="15"/>
      <c r="E3" s="374"/>
      <c r="F3" s="374"/>
      <c r="H3" s="669" t="s">
        <v>190</v>
      </c>
      <c r="I3" s="669"/>
      <c r="K3" s="234" t="s">
        <v>2</v>
      </c>
      <c r="L3" s="236" t="s">
        <v>191</v>
      </c>
      <c r="M3" s="236"/>
      <c r="W3" s="653"/>
      <c r="X3" s="654"/>
      <c r="Y3" s="195" t="s">
        <v>37</v>
      </c>
      <c r="AB3" s="653"/>
      <c r="AC3" s="654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258902.98</v>
      </c>
      <c r="D4" s="308">
        <v>43985</v>
      </c>
      <c r="E4" s="663" t="s">
        <v>6</v>
      </c>
      <c r="F4" s="664"/>
      <c r="H4" s="665" t="s">
        <v>7</v>
      </c>
      <c r="I4" s="666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43986</v>
      </c>
      <c r="C5" s="320">
        <v>1628</v>
      </c>
      <c r="D5" s="309" t="s">
        <v>72</v>
      </c>
      <c r="E5" s="151">
        <v>43986</v>
      </c>
      <c r="F5" s="32">
        <v>63308</v>
      </c>
      <c r="G5" s="152"/>
      <c r="H5" s="153">
        <v>43986</v>
      </c>
      <c r="I5" s="33">
        <v>0</v>
      </c>
      <c r="M5" s="34">
        <v>60417</v>
      </c>
      <c r="N5" s="35">
        <v>1263</v>
      </c>
      <c r="O5" s="36"/>
      <c r="P5" s="36">
        <f>C5+I5+M5+N5</f>
        <v>63308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43987</v>
      </c>
      <c r="C6" s="320">
        <v>2529</v>
      </c>
      <c r="D6" s="310" t="s">
        <v>69</v>
      </c>
      <c r="E6" s="151">
        <v>43987</v>
      </c>
      <c r="F6" s="32">
        <v>111162</v>
      </c>
      <c r="G6" s="152"/>
      <c r="H6" s="153">
        <v>43987</v>
      </c>
      <c r="I6" s="39">
        <v>10020</v>
      </c>
      <c r="J6" s="60">
        <v>44010</v>
      </c>
      <c r="K6" s="46" t="s">
        <v>13</v>
      </c>
      <c r="L6" s="47">
        <v>1450</v>
      </c>
      <c r="M6" s="34">
        <v>96999</v>
      </c>
      <c r="N6" s="35">
        <v>1614</v>
      </c>
      <c r="O6" s="276"/>
      <c r="P6" s="36">
        <f>C6+I6+M6+N6</f>
        <v>111162</v>
      </c>
      <c r="Q6" s="5">
        <f>P6-F6</f>
        <v>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43988</v>
      </c>
      <c r="C7" s="320">
        <v>1537</v>
      </c>
      <c r="D7" s="311" t="s">
        <v>319</v>
      </c>
      <c r="E7" s="151">
        <v>43988</v>
      </c>
      <c r="F7" s="32">
        <v>90597</v>
      </c>
      <c r="G7" s="152"/>
      <c r="H7" s="153">
        <v>43988</v>
      </c>
      <c r="I7" s="39">
        <v>0</v>
      </c>
      <c r="J7" s="328"/>
      <c r="K7" s="378" t="s">
        <v>14</v>
      </c>
      <c r="L7" s="50">
        <v>27661</v>
      </c>
      <c r="M7" s="34">
        <v>76979</v>
      </c>
      <c r="N7" s="35">
        <v>2131</v>
      </c>
      <c r="O7" s="127"/>
      <c r="P7" s="36">
        <f>C7+I7+M7+N7+L12</f>
        <v>99441.42</v>
      </c>
      <c r="Q7" s="201">
        <f>P7-F7</f>
        <v>8844.4199999999983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43989</v>
      </c>
      <c r="C8" s="408">
        <v>2981.7</v>
      </c>
      <c r="D8" s="312" t="s">
        <v>48</v>
      </c>
      <c r="E8" s="352">
        <v>43989</v>
      </c>
      <c r="F8" s="407">
        <v>163567</v>
      </c>
      <c r="G8" s="152"/>
      <c r="H8" s="153">
        <v>43989</v>
      </c>
      <c r="I8" s="409">
        <f>14990+1800+990+120+38</f>
        <v>17938</v>
      </c>
      <c r="J8" s="367" t="s">
        <v>350</v>
      </c>
      <c r="K8" s="20" t="s">
        <v>351</v>
      </c>
      <c r="L8" s="52">
        <v>20000</v>
      </c>
      <c r="M8" s="34">
        <f>48800+90+51400+52850</f>
        <v>153140</v>
      </c>
      <c r="N8" s="35">
        <v>7614</v>
      </c>
      <c r="O8" s="276"/>
      <c r="P8" s="36">
        <f>C8+I8+M8+N8+L10</f>
        <v>181673.7</v>
      </c>
      <c r="Q8" s="283">
        <f>P8-F8</f>
        <v>18106.700000000012</v>
      </c>
      <c r="R8" s="198"/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43990</v>
      </c>
      <c r="C9" s="355">
        <v>0</v>
      </c>
      <c r="D9" s="313"/>
      <c r="E9" s="379">
        <v>43990</v>
      </c>
      <c r="F9" s="356">
        <v>0</v>
      </c>
      <c r="G9" s="152"/>
      <c r="H9" s="153">
        <v>43990</v>
      </c>
      <c r="I9" s="375">
        <v>0</v>
      </c>
      <c r="J9" s="376" t="s">
        <v>355</v>
      </c>
      <c r="K9" s="200"/>
      <c r="L9" s="343">
        <v>0</v>
      </c>
      <c r="M9" s="353">
        <v>0</v>
      </c>
      <c r="N9" s="354">
        <v>0</v>
      </c>
      <c r="O9" s="276"/>
      <c r="P9" s="36">
        <f>C9+I9+M9+N9</f>
        <v>0</v>
      </c>
      <c r="Q9" s="5">
        <f t="shared" ref="Q9:Q11" si="0">P9-F9</f>
        <v>0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43991</v>
      </c>
      <c r="C10" s="355">
        <v>0</v>
      </c>
      <c r="D10" s="311"/>
      <c r="E10" s="379">
        <v>43991</v>
      </c>
      <c r="F10" s="356">
        <v>0</v>
      </c>
      <c r="G10" s="152"/>
      <c r="H10" s="153">
        <v>43991</v>
      </c>
      <c r="I10" s="375">
        <v>0</v>
      </c>
      <c r="J10" s="376" t="s">
        <v>355</v>
      </c>
      <c r="K10" s="366"/>
      <c r="L10" s="68"/>
      <c r="M10" s="353">
        <v>0</v>
      </c>
      <c r="N10" s="354">
        <v>0</v>
      </c>
      <c r="O10" s="127"/>
      <c r="P10" s="36">
        <f>C10+I10+M10+N10+L11</f>
        <v>0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43992</v>
      </c>
      <c r="C11" s="320">
        <v>5416</v>
      </c>
      <c r="D11" s="310" t="s">
        <v>320</v>
      </c>
      <c r="E11" s="151">
        <v>43992</v>
      </c>
      <c r="F11" s="32">
        <v>58587</v>
      </c>
      <c r="G11" s="152"/>
      <c r="H11" s="153">
        <v>43992</v>
      </c>
      <c r="I11" s="39">
        <v>1499</v>
      </c>
      <c r="J11" s="331"/>
      <c r="K11" s="57"/>
      <c r="L11" s="55"/>
      <c r="M11" s="34">
        <v>48424</v>
      </c>
      <c r="N11" s="35">
        <v>3248</v>
      </c>
      <c r="O11" s="276"/>
      <c r="P11" s="36">
        <f>C11+I11+M11+N11</f>
        <v>58587</v>
      </c>
      <c r="Q11" s="5">
        <f t="shared" si="0"/>
        <v>0</v>
      </c>
      <c r="S11" s="58">
        <v>0</v>
      </c>
      <c r="T11" s="37"/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43993</v>
      </c>
      <c r="C12" s="320">
        <v>2545</v>
      </c>
      <c r="D12" s="310" t="s">
        <v>48</v>
      </c>
      <c r="E12" s="151">
        <v>43993</v>
      </c>
      <c r="F12" s="32">
        <v>73669</v>
      </c>
      <c r="G12" s="152"/>
      <c r="H12" s="153">
        <v>43993</v>
      </c>
      <c r="I12" s="39">
        <v>0</v>
      </c>
      <c r="J12" s="60">
        <v>43988</v>
      </c>
      <c r="K12" s="20" t="s">
        <v>314</v>
      </c>
      <c r="L12" s="55">
        <f>14394.42+400+4000</f>
        <v>18794.419999999998</v>
      </c>
      <c r="M12" s="34">
        <v>65800</v>
      </c>
      <c r="N12" s="35">
        <v>5327</v>
      </c>
      <c r="O12" s="298"/>
      <c r="P12" s="36">
        <f>C12+I12+M12+N12</f>
        <v>73672</v>
      </c>
      <c r="Q12" s="5">
        <f>P12-F12</f>
        <v>3</v>
      </c>
      <c r="S12" s="58">
        <v>8844.42</v>
      </c>
      <c r="T12" s="61" t="s">
        <v>314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43994</v>
      </c>
      <c r="C13" s="320">
        <v>2532</v>
      </c>
      <c r="D13" s="312" t="s">
        <v>325</v>
      </c>
      <c r="E13" s="151">
        <v>43994</v>
      </c>
      <c r="F13" s="32">
        <v>74415</v>
      </c>
      <c r="G13" s="152"/>
      <c r="H13" s="153">
        <v>43994</v>
      </c>
      <c r="I13" s="39">
        <v>12000</v>
      </c>
      <c r="J13" s="60">
        <v>43995</v>
      </c>
      <c r="K13" s="20" t="s">
        <v>315</v>
      </c>
      <c r="L13" s="55">
        <f>13827.16+4000</f>
        <v>17827.16</v>
      </c>
      <c r="M13" s="34">
        <v>56323</v>
      </c>
      <c r="N13" s="35">
        <v>3560</v>
      </c>
      <c r="O13" s="276"/>
      <c r="P13" s="36">
        <f>C13+I13+M13+N13</f>
        <v>74415</v>
      </c>
      <c r="Q13" s="5">
        <f>P13-F13</f>
        <v>0</v>
      </c>
      <c r="S13" s="58">
        <v>8546.16</v>
      </c>
      <c r="T13" s="61" t="s">
        <v>315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43995</v>
      </c>
      <c r="C14" s="320">
        <v>1160</v>
      </c>
      <c r="D14" s="311" t="s">
        <v>324</v>
      </c>
      <c r="E14" s="151">
        <v>43995</v>
      </c>
      <c r="F14" s="32">
        <v>99608</v>
      </c>
      <c r="G14" s="152"/>
      <c r="H14" s="153">
        <v>43995</v>
      </c>
      <c r="I14" s="39">
        <v>0</v>
      </c>
      <c r="J14" s="60">
        <v>43996</v>
      </c>
      <c r="K14" s="20" t="s">
        <v>315</v>
      </c>
      <c r="L14" s="55">
        <v>400</v>
      </c>
      <c r="M14" s="34">
        <v>83411</v>
      </c>
      <c r="N14" s="35">
        <v>5756</v>
      </c>
      <c r="O14" s="276"/>
      <c r="P14" s="36">
        <f>C14+I14+M14+N14+L13</f>
        <v>108154.16</v>
      </c>
      <c r="Q14" s="201">
        <f>P14-F14</f>
        <v>8546.1600000000035</v>
      </c>
      <c r="S14" s="58">
        <v>8921.5300000000007</v>
      </c>
      <c r="T14" s="61" t="s">
        <v>316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43996</v>
      </c>
      <c r="C15" s="320">
        <v>12071</v>
      </c>
      <c r="D15" s="310" t="s">
        <v>326</v>
      </c>
      <c r="E15" s="151">
        <v>43996</v>
      </c>
      <c r="F15" s="32">
        <v>80402</v>
      </c>
      <c r="G15" s="152"/>
      <c r="H15" s="153">
        <v>43996</v>
      </c>
      <c r="I15" s="39">
        <v>0</v>
      </c>
      <c r="J15" s="60">
        <v>44002</v>
      </c>
      <c r="K15" s="20" t="s">
        <v>327</v>
      </c>
      <c r="L15" s="55">
        <f>15085.71+4000+400</f>
        <v>19485.71</v>
      </c>
      <c r="M15" s="34">
        <v>62436</v>
      </c>
      <c r="N15" s="35">
        <v>5495</v>
      </c>
      <c r="O15" s="276"/>
      <c r="P15" s="36">
        <f>C15+I15+M15+N15+L14</f>
        <v>80402</v>
      </c>
      <c r="Q15" s="5">
        <f t="shared" ref="Q15:Q65" si="1">P15-F15</f>
        <v>0</v>
      </c>
      <c r="S15" s="58">
        <v>8243.8700000000008</v>
      </c>
      <c r="T15" s="61" t="s">
        <v>318</v>
      </c>
      <c r="U15" s="61"/>
      <c r="V15" s="29"/>
      <c r="W15" s="38" t="s">
        <v>10</v>
      </c>
      <c r="X15" s="196">
        <v>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43997</v>
      </c>
      <c r="C16" s="320">
        <v>1875</v>
      </c>
      <c r="D16" s="310" t="s">
        <v>72</v>
      </c>
      <c r="E16" s="151">
        <v>43997</v>
      </c>
      <c r="F16" s="32">
        <v>58690</v>
      </c>
      <c r="G16" s="152"/>
      <c r="H16" s="153">
        <v>43997</v>
      </c>
      <c r="I16" s="39">
        <v>400</v>
      </c>
      <c r="J16" s="60">
        <v>44009</v>
      </c>
      <c r="K16" s="20" t="s">
        <v>318</v>
      </c>
      <c r="L16" s="5">
        <f>12360.87+4000</f>
        <v>16360.87</v>
      </c>
      <c r="M16" s="34">
        <v>54259</v>
      </c>
      <c r="N16" s="35">
        <v>2156</v>
      </c>
      <c r="O16" s="276"/>
      <c r="P16" s="36">
        <f>C16+I16+M16+N16</f>
        <v>58690</v>
      </c>
      <c r="Q16" s="5">
        <f t="shared" si="1"/>
        <v>0</v>
      </c>
      <c r="S16" s="58">
        <v>8693.2999999999993</v>
      </c>
      <c r="T16" s="61" t="s">
        <v>343</v>
      </c>
      <c r="U16" s="61"/>
      <c r="V16" s="30"/>
      <c r="W16" s="44" t="s">
        <v>11</v>
      </c>
      <c r="X16" s="196">
        <v>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43998</v>
      </c>
      <c r="C17" s="320">
        <v>298.8</v>
      </c>
      <c r="D17" s="312" t="s">
        <v>82</v>
      </c>
      <c r="E17" s="151">
        <v>43998</v>
      </c>
      <c r="F17" s="32">
        <v>55065</v>
      </c>
      <c r="G17" s="152"/>
      <c r="H17" s="153">
        <v>43998</v>
      </c>
      <c r="I17" s="39">
        <v>932</v>
      </c>
      <c r="J17" s="67">
        <v>44010</v>
      </c>
      <c r="K17" s="20" t="s">
        <v>284</v>
      </c>
      <c r="L17" s="68">
        <v>400</v>
      </c>
      <c r="M17" s="34">
        <v>50358</v>
      </c>
      <c r="N17" s="35">
        <v>3476</v>
      </c>
      <c r="O17" s="276"/>
      <c r="P17" s="36">
        <f t="shared" ref="P17:P18" si="2">C17+I17+M17+N17</f>
        <v>55064.800000000003</v>
      </c>
      <c r="Q17" s="5">
        <f t="shared" si="1"/>
        <v>-0.19999999999708962</v>
      </c>
      <c r="S17" s="58">
        <v>7838.59</v>
      </c>
      <c r="T17" s="188" t="s">
        <v>353</v>
      </c>
      <c r="U17" s="221"/>
      <c r="V17" s="225"/>
      <c r="W17" s="38" t="s">
        <v>10</v>
      </c>
      <c r="X17" s="196">
        <v>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43999</v>
      </c>
      <c r="C18" s="320">
        <v>5807.82</v>
      </c>
      <c r="D18" s="310" t="s">
        <v>328</v>
      </c>
      <c r="E18" s="151">
        <v>43999</v>
      </c>
      <c r="F18" s="32">
        <v>70382</v>
      </c>
      <c r="G18" s="152"/>
      <c r="H18" s="153">
        <v>43999</v>
      </c>
      <c r="I18" s="39">
        <v>3000</v>
      </c>
      <c r="J18" s="67">
        <v>44015</v>
      </c>
      <c r="K18" s="71" t="s">
        <v>343</v>
      </c>
      <c r="L18" s="55">
        <f>13732.3+4000+400</f>
        <v>18132.3</v>
      </c>
      <c r="M18" s="34">
        <v>59681</v>
      </c>
      <c r="N18" s="35">
        <v>1893</v>
      </c>
      <c r="O18" s="276"/>
      <c r="P18" s="36">
        <f t="shared" si="2"/>
        <v>70381.820000000007</v>
      </c>
      <c r="Q18" s="5">
        <f t="shared" si="1"/>
        <v>-0.17999999999301508</v>
      </c>
      <c r="S18" s="5">
        <f>SUM(S11:S17)</f>
        <v>51087.869999999995</v>
      </c>
      <c r="T18" s="37" t="s">
        <v>17</v>
      </c>
      <c r="U18" s="37"/>
      <c r="V18" s="30"/>
      <c r="W18" s="44" t="s">
        <v>11</v>
      </c>
      <c r="X18" s="196">
        <v>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44000</v>
      </c>
      <c r="C19" s="320">
        <v>854</v>
      </c>
      <c r="D19" s="310" t="s">
        <v>72</v>
      </c>
      <c r="E19" s="151">
        <v>44000</v>
      </c>
      <c r="F19" s="32">
        <v>70688</v>
      </c>
      <c r="G19" s="152"/>
      <c r="H19" s="153">
        <v>44000</v>
      </c>
      <c r="I19" s="39">
        <v>0</v>
      </c>
      <c r="J19" s="67">
        <v>44023</v>
      </c>
      <c r="K19" s="71" t="s">
        <v>353</v>
      </c>
      <c r="L19" s="73">
        <f>11274.59+4000+400</f>
        <v>15674.59</v>
      </c>
      <c r="M19" s="34">
        <v>68185</v>
      </c>
      <c r="N19" s="35">
        <v>1649</v>
      </c>
      <c r="O19" s="276"/>
      <c r="P19" s="36">
        <f>C19+I19+M19+N19</f>
        <v>70688</v>
      </c>
      <c r="Q19" s="5">
        <f t="shared" si="1"/>
        <v>0</v>
      </c>
      <c r="R19" s="5" t="s">
        <v>292</v>
      </c>
      <c r="T19" s="8"/>
      <c r="U19" s="8"/>
      <c r="V19" s="30"/>
      <c r="W19" s="38" t="s">
        <v>10</v>
      </c>
      <c r="X19" s="196">
        <v>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44001</v>
      </c>
      <c r="C20" s="320">
        <v>11305</v>
      </c>
      <c r="D20" s="310" t="s">
        <v>329</v>
      </c>
      <c r="E20" s="151">
        <v>44001</v>
      </c>
      <c r="F20" s="32">
        <v>100344</v>
      </c>
      <c r="G20" s="152"/>
      <c r="H20" s="153">
        <v>44001</v>
      </c>
      <c r="I20" s="39">
        <v>10020</v>
      </c>
      <c r="J20" s="60"/>
      <c r="K20" s="220"/>
      <c r="L20" s="68"/>
      <c r="M20" s="34">
        <v>76170</v>
      </c>
      <c r="N20" s="35">
        <v>2849</v>
      </c>
      <c r="O20" s="276"/>
      <c r="P20" s="36">
        <f>C20+I20+M20+N20</f>
        <v>100344</v>
      </c>
      <c r="Q20" s="5">
        <f t="shared" si="1"/>
        <v>0</v>
      </c>
      <c r="T20" s="8"/>
      <c r="U20" s="8"/>
      <c r="V20" s="245"/>
      <c r="W20" s="44" t="s">
        <v>11</v>
      </c>
      <c r="X20" s="196">
        <v>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44002</v>
      </c>
      <c r="C21" s="320">
        <v>5569</v>
      </c>
      <c r="D21" s="310" t="s">
        <v>330</v>
      </c>
      <c r="E21" s="151">
        <v>44002</v>
      </c>
      <c r="F21" s="32">
        <v>132341</v>
      </c>
      <c r="G21" s="152"/>
      <c r="H21" s="153">
        <v>44002</v>
      </c>
      <c r="I21" s="39">
        <v>50.82</v>
      </c>
      <c r="J21" s="67"/>
      <c r="K21" s="74"/>
      <c r="L21" s="68"/>
      <c r="M21" s="34">
        <f>70000+38982</f>
        <v>108982</v>
      </c>
      <c r="N21" s="35">
        <v>7175</v>
      </c>
      <c r="O21" s="276"/>
      <c r="P21" s="36">
        <f>C21+I21+M21+N21+L15</f>
        <v>141262.53</v>
      </c>
      <c r="Q21" s="201">
        <f t="shared" si="1"/>
        <v>8921.5299999999988</v>
      </c>
      <c r="T21" s="8"/>
      <c r="U21" s="8"/>
      <c r="V21" s="29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44003</v>
      </c>
      <c r="C22" s="320">
        <v>2634</v>
      </c>
      <c r="D22" s="310" t="s">
        <v>331</v>
      </c>
      <c r="E22" s="151">
        <v>44003</v>
      </c>
      <c r="F22" s="32">
        <v>126332</v>
      </c>
      <c r="G22" s="152"/>
      <c r="H22" s="153">
        <v>44003</v>
      </c>
      <c r="I22" s="39">
        <v>0</v>
      </c>
      <c r="J22" s="76"/>
      <c r="K22" s="59"/>
      <c r="L22" s="77"/>
      <c r="M22" s="34">
        <v>117788</v>
      </c>
      <c r="N22" s="35">
        <v>5910</v>
      </c>
      <c r="O22" s="276"/>
      <c r="P22" s="36">
        <f t="shared" ref="P22:P27" si="3">C22+I22+M22+N22</f>
        <v>126332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44004</v>
      </c>
      <c r="C23" s="320">
        <v>0</v>
      </c>
      <c r="D23" s="310"/>
      <c r="E23" s="151">
        <v>44004</v>
      </c>
      <c r="F23" s="32">
        <v>68769</v>
      </c>
      <c r="G23" s="152"/>
      <c r="H23" s="153">
        <v>44004</v>
      </c>
      <c r="I23" s="39">
        <v>0</v>
      </c>
      <c r="J23" s="284"/>
      <c r="K23" s="289"/>
      <c r="L23" s="285"/>
      <c r="M23" s="34">
        <v>64930</v>
      </c>
      <c r="N23" s="35">
        <v>3839</v>
      </c>
      <c r="O23" s="257"/>
      <c r="P23" s="36">
        <f t="shared" si="3"/>
        <v>68769</v>
      </c>
      <c r="Q23" s="5">
        <f>P23-F23</f>
        <v>0</v>
      </c>
      <c r="T23" s="8"/>
      <c r="U23" s="8"/>
      <c r="V23" s="29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44005</v>
      </c>
      <c r="C24" s="320">
        <v>10976</v>
      </c>
      <c r="D24" s="310" t="s">
        <v>332</v>
      </c>
      <c r="E24" s="151">
        <v>44005</v>
      </c>
      <c r="F24" s="32">
        <v>59178</v>
      </c>
      <c r="G24" s="152"/>
      <c r="H24" s="153">
        <v>44005</v>
      </c>
      <c r="I24" s="39">
        <v>426</v>
      </c>
      <c r="J24" s="286" t="s">
        <v>357</v>
      </c>
      <c r="K24" s="397" t="s">
        <v>356</v>
      </c>
      <c r="L24" s="291">
        <v>6500</v>
      </c>
      <c r="M24" s="34">
        <v>47086</v>
      </c>
      <c r="N24" s="35">
        <v>690</v>
      </c>
      <c r="O24" s="276"/>
      <c r="P24" s="36">
        <f t="shared" si="3"/>
        <v>59178</v>
      </c>
      <c r="Q24" s="5">
        <f t="shared" ref="Q24:Q32" si="4">P24-F24</f>
        <v>0</v>
      </c>
      <c r="T24" s="8"/>
      <c r="U24" s="8"/>
      <c r="V24" s="29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44006</v>
      </c>
      <c r="C25" s="320">
        <v>3935</v>
      </c>
      <c r="D25" s="310" t="s">
        <v>333</v>
      </c>
      <c r="E25" s="151">
        <v>44006</v>
      </c>
      <c r="F25" s="32">
        <v>66092</v>
      </c>
      <c r="G25" s="152"/>
      <c r="H25" s="153">
        <v>44006</v>
      </c>
      <c r="I25" s="39">
        <v>450</v>
      </c>
      <c r="J25" s="287" t="s">
        <v>357</v>
      </c>
      <c r="K25" s="163" t="s">
        <v>226</v>
      </c>
      <c r="L25" s="102">
        <f>10260+9345</f>
        <v>19605</v>
      </c>
      <c r="M25" s="34">
        <v>57772</v>
      </c>
      <c r="N25" s="35">
        <v>3935</v>
      </c>
      <c r="O25" s="276"/>
      <c r="P25" s="36">
        <f t="shared" si="3"/>
        <v>66092</v>
      </c>
      <c r="Q25" s="5">
        <f t="shared" si="4"/>
        <v>0</v>
      </c>
      <c r="V25" s="29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44007</v>
      </c>
      <c r="C26" s="320">
        <v>6279</v>
      </c>
      <c r="D26" s="310" t="s">
        <v>334</v>
      </c>
      <c r="E26" s="151">
        <v>44007</v>
      </c>
      <c r="F26" s="32">
        <v>57063</v>
      </c>
      <c r="G26" s="152"/>
      <c r="H26" s="153">
        <v>44007</v>
      </c>
      <c r="I26" s="39">
        <v>0</v>
      </c>
      <c r="J26" s="67" t="s">
        <v>357</v>
      </c>
      <c r="K26" s="290" t="s">
        <v>224</v>
      </c>
      <c r="L26" s="285">
        <v>10000</v>
      </c>
      <c r="M26" s="34">
        <v>48139</v>
      </c>
      <c r="N26" s="35">
        <v>2645</v>
      </c>
      <c r="O26" s="276"/>
      <c r="P26" s="36">
        <f t="shared" si="3"/>
        <v>57063</v>
      </c>
      <c r="Q26" s="5">
        <f t="shared" si="4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44008</v>
      </c>
      <c r="C27" s="320">
        <v>8880</v>
      </c>
      <c r="D27" s="310" t="s">
        <v>335</v>
      </c>
      <c r="E27" s="151">
        <v>44008</v>
      </c>
      <c r="F27" s="32">
        <v>98558</v>
      </c>
      <c r="G27" s="152"/>
      <c r="H27" s="153">
        <v>44008</v>
      </c>
      <c r="I27" s="39">
        <v>12020</v>
      </c>
      <c r="J27" s="217" t="s">
        <v>357</v>
      </c>
      <c r="K27" s="295" t="s">
        <v>243</v>
      </c>
      <c r="L27" s="102">
        <v>986</v>
      </c>
      <c r="M27" s="34">
        <f>72343+935</f>
        <v>73278</v>
      </c>
      <c r="N27" s="35">
        <v>4380</v>
      </c>
      <c r="O27" s="276"/>
      <c r="P27" s="36">
        <f t="shared" si="3"/>
        <v>98558</v>
      </c>
      <c r="Q27" s="5">
        <f t="shared" si="4"/>
        <v>0</v>
      </c>
      <c r="V27" s="29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44009</v>
      </c>
      <c r="C28" s="320">
        <v>2416</v>
      </c>
      <c r="D28" s="314" t="s">
        <v>336</v>
      </c>
      <c r="E28" s="151">
        <v>44009</v>
      </c>
      <c r="F28" s="32">
        <v>111522</v>
      </c>
      <c r="G28" s="152"/>
      <c r="H28" s="153">
        <v>44009</v>
      </c>
      <c r="I28" s="39">
        <v>0</v>
      </c>
      <c r="J28" s="217" t="s">
        <v>357</v>
      </c>
      <c r="K28" s="423" t="s">
        <v>358</v>
      </c>
      <c r="L28" s="102">
        <v>15196</v>
      </c>
      <c r="M28" s="34">
        <v>97570</v>
      </c>
      <c r="N28" s="35">
        <v>3419</v>
      </c>
      <c r="O28" s="276"/>
      <c r="P28" s="36">
        <f>C28+I28+M28+N28+L9+L16</f>
        <v>119765.87</v>
      </c>
      <c r="Q28" s="201">
        <f t="shared" si="4"/>
        <v>8243.8699999999953</v>
      </c>
      <c r="V28" s="29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44010</v>
      </c>
      <c r="C29" s="320">
        <v>5855</v>
      </c>
      <c r="D29" s="315" t="s">
        <v>337</v>
      </c>
      <c r="E29" s="151">
        <v>44010</v>
      </c>
      <c r="F29" s="32">
        <v>70842</v>
      </c>
      <c r="G29" s="152"/>
      <c r="H29" s="153">
        <v>44010</v>
      </c>
      <c r="I29" s="39">
        <v>88</v>
      </c>
      <c r="J29" s="217" t="s">
        <v>357</v>
      </c>
      <c r="K29" s="163" t="s">
        <v>361</v>
      </c>
      <c r="L29" s="102">
        <v>6828.96</v>
      </c>
      <c r="M29" s="34">
        <v>56789</v>
      </c>
      <c r="N29" s="35">
        <v>6260</v>
      </c>
      <c r="O29" s="276"/>
      <c r="P29" s="36">
        <f>C29+I29+M29+N29+L6+L17</f>
        <v>70842</v>
      </c>
      <c r="Q29" s="5">
        <f>P29-F29</f>
        <v>0</v>
      </c>
      <c r="S29" s="6" t="s">
        <v>12</v>
      </c>
      <c r="V29" s="29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/>
      <c r="AH29" s="21">
        <v>0</v>
      </c>
    </row>
    <row r="30" spans="1:34" ht="15.75" thickBot="1" x14ac:dyDescent="0.3">
      <c r="A30" s="30"/>
      <c r="B30" s="319">
        <v>44011</v>
      </c>
      <c r="C30" s="320">
        <v>1160</v>
      </c>
      <c r="D30" s="315" t="s">
        <v>338</v>
      </c>
      <c r="E30" s="151">
        <v>44011</v>
      </c>
      <c r="F30" s="32">
        <v>73563</v>
      </c>
      <c r="G30" s="152"/>
      <c r="H30" s="153">
        <v>44011</v>
      </c>
      <c r="I30" s="244">
        <v>0</v>
      </c>
      <c r="J30" s="217" t="s">
        <v>357</v>
      </c>
      <c r="K30" s="296" t="s">
        <v>135</v>
      </c>
      <c r="L30" s="293">
        <v>1315.86</v>
      </c>
      <c r="M30" s="34">
        <v>72771</v>
      </c>
      <c r="N30" s="35">
        <v>2109</v>
      </c>
      <c r="O30" s="276"/>
      <c r="P30" s="36">
        <f>C30+I30+M30+N30</f>
        <v>76040</v>
      </c>
      <c r="Q30" s="198">
        <f t="shared" si="4"/>
        <v>2477</v>
      </c>
      <c r="V30" s="29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/>
      <c r="AH30" s="21">
        <v>0</v>
      </c>
    </row>
    <row r="31" spans="1:34" ht="15.75" thickBot="1" x14ac:dyDescent="0.3">
      <c r="A31" s="30"/>
      <c r="B31" s="319">
        <v>44012</v>
      </c>
      <c r="C31" s="321">
        <v>6640</v>
      </c>
      <c r="D31" s="315" t="s">
        <v>339</v>
      </c>
      <c r="E31" s="151">
        <v>44012</v>
      </c>
      <c r="F31" s="32">
        <v>62116</v>
      </c>
      <c r="G31" s="152"/>
      <c r="H31" s="153">
        <v>44012</v>
      </c>
      <c r="I31" s="244">
        <v>678</v>
      </c>
      <c r="J31" s="217" t="s">
        <v>357</v>
      </c>
      <c r="K31" s="163" t="s">
        <v>362</v>
      </c>
      <c r="L31" s="102">
        <v>1914</v>
      </c>
      <c r="M31" s="34">
        <v>52032</v>
      </c>
      <c r="N31" s="35">
        <v>2766</v>
      </c>
      <c r="O31" s="276"/>
      <c r="P31" s="36">
        <f>C31+I31+M31+N31</f>
        <v>62116</v>
      </c>
      <c r="Q31" s="5">
        <f t="shared" si="4"/>
        <v>0</v>
      </c>
      <c r="V31" s="29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/>
      <c r="AH31" s="21">
        <v>0</v>
      </c>
    </row>
    <row r="32" spans="1:34" ht="15.75" thickBot="1" x14ac:dyDescent="0.3">
      <c r="A32" s="30"/>
      <c r="B32" s="319">
        <v>44013</v>
      </c>
      <c r="C32" s="321">
        <v>1915</v>
      </c>
      <c r="D32" s="315" t="s">
        <v>340</v>
      </c>
      <c r="E32" s="151">
        <v>44013</v>
      </c>
      <c r="F32" s="237">
        <v>68656</v>
      </c>
      <c r="G32" s="152"/>
      <c r="H32" s="153">
        <v>44013</v>
      </c>
      <c r="I32" s="244">
        <v>2000</v>
      </c>
      <c r="J32" s="217" t="s">
        <v>357</v>
      </c>
      <c r="K32" s="394" t="s">
        <v>363</v>
      </c>
      <c r="L32" s="102">
        <v>1148.0999999999999</v>
      </c>
      <c r="M32" s="34">
        <v>58984</v>
      </c>
      <c r="N32" s="35">
        <v>5757</v>
      </c>
      <c r="O32" s="276"/>
      <c r="P32" s="36">
        <f t="shared" ref="P32:P39" si="5">C32+I32+M32+N32</f>
        <v>68656</v>
      </c>
      <c r="Q32" s="5">
        <f t="shared" si="4"/>
        <v>0</v>
      </c>
      <c r="V32" s="29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/>
      <c r="AH32" s="21">
        <v>0</v>
      </c>
    </row>
    <row r="33" spans="1:34" ht="16.5" thickBot="1" x14ac:dyDescent="0.3">
      <c r="A33" s="30"/>
      <c r="B33" s="319">
        <v>44014</v>
      </c>
      <c r="C33" s="321">
        <v>1753</v>
      </c>
      <c r="D33" s="316" t="s">
        <v>72</v>
      </c>
      <c r="E33" s="151">
        <v>44014</v>
      </c>
      <c r="F33" s="176">
        <v>73032</v>
      </c>
      <c r="G33" s="152"/>
      <c r="H33" s="153">
        <v>44014</v>
      </c>
      <c r="I33" s="244">
        <v>0</v>
      </c>
      <c r="J33" s="217" t="s">
        <v>357</v>
      </c>
      <c r="K33" s="398" t="s">
        <v>366</v>
      </c>
      <c r="L33" s="102">
        <v>1508</v>
      </c>
      <c r="M33" s="34">
        <v>67373</v>
      </c>
      <c r="N33" s="35">
        <v>3906</v>
      </c>
      <c r="O33" s="276"/>
      <c r="P33" s="36">
        <f t="shared" si="5"/>
        <v>73032</v>
      </c>
      <c r="Q33" s="5">
        <f t="shared" si="1"/>
        <v>0</v>
      </c>
      <c r="R33" s="36"/>
      <c r="V33" s="29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5.75" thickBot="1" x14ac:dyDescent="0.3">
      <c r="A34" s="30"/>
      <c r="B34" s="319">
        <v>44015</v>
      </c>
      <c r="C34" s="321">
        <v>5579</v>
      </c>
      <c r="D34" s="317" t="s">
        <v>341</v>
      </c>
      <c r="E34" s="151">
        <v>44015</v>
      </c>
      <c r="F34" s="176">
        <v>93850</v>
      </c>
      <c r="G34" s="152"/>
      <c r="H34" s="153">
        <v>44015</v>
      </c>
      <c r="I34" s="244">
        <v>14652.99</v>
      </c>
      <c r="J34" s="217" t="s">
        <v>357</v>
      </c>
      <c r="K34" s="163" t="s">
        <v>308</v>
      </c>
      <c r="L34" s="102">
        <v>1899.74</v>
      </c>
      <c r="M34" s="34">
        <v>50825</v>
      </c>
      <c r="N34" s="35">
        <v>2793</v>
      </c>
      <c r="O34" s="276"/>
      <c r="P34" s="36">
        <f>C34+I34+M34+N34+L8</f>
        <v>93849.989999999991</v>
      </c>
      <c r="Q34" s="5">
        <f t="shared" si="1"/>
        <v>-1.0000000009313226E-2</v>
      </c>
      <c r="R34" s="36"/>
      <c r="V34" s="29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5.75" thickBot="1" x14ac:dyDescent="0.3">
      <c r="A35" s="30"/>
      <c r="B35" s="319">
        <v>44016</v>
      </c>
      <c r="C35" s="321">
        <v>10900</v>
      </c>
      <c r="D35" s="316" t="s">
        <v>342</v>
      </c>
      <c r="E35" s="151">
        <v>44016</v>
      </c>
      <c r="F35" s="176">
        <v>99053</v>
      </c>
      <c r="G35" s="152"/>
      <c r="H35" s="153">
        <v>44016</v>
      </c>
      <c r="I35" s="244">
        <v>0</v>
      </c>
      <c r="J35" s="217"/>
      <c r="K35" s="164" t="s">
        <v>365</v>
      </c>
      <c r="L35" s="292">
        <v>11600</v>
      </c>
      <c r="M35" s="34">
        <f>73069+135+570</f>
        <v>73774</v>
      </c>
      <c r="N35" s="35">
        <v>4940</v>
      </c>
      <c r="O35" s="276"/>
      <c r="P35" s="36">
        <f>C35+I35+M35+N35+L18</f>
        <v>107746.3</v>
      </c>
      <c r="Q35" s="201">
        <f t="shared" si="1"/>
        <v>8693.3000000000029</v>
      </c>
      <c r="R35" s="36"/>
      <c r="V35" s="29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5.75" thickBot="1" x14ac:dyDescent="0.3">
      <c r="A36" s="30"/>
      <c r="B36" s="319">
        <v>44017</v>
      </c>
      <c r="C36" s="321">
        <v>9059</v>
      </c>
      <c r="D36" s="316" t="s">
        <v>344</v>
      </c>
      <c r="E36" s="151">
        <v>44017</v>
      </c>
      <c r="F36" s="176">
        <v>72452</v>
      </c>
      <c r="G36" s="152"/>
      <c r="H36" s="153">
        <v>44017</v>
      </c>
      <c r="I36" s="244">
        <v>0</v>
      </c>
      <c r="J36" s="217" t="s">
        <v>357</v>
      </c>
      <c r="K36" s="163" t="s">
        <v>364</v>
      </c>
      <c r="L36" s="102">
        <v>20</v>
      </c>
      <c r="M36" s="34">
        <v>61030</v>
      </c>
      <c r="N36" s="35">
        <v>2363</v>
      </c>
      <c r="O36" s="276"/>
      <c r="P36" s="36">
        <f t="shared" si="5"/>
        <v>72452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5.75" thickBot="1" x14ac:dyDescent="0.3">
      <c r="A37" s="30"/>
      <c r="B37" s="319">
        <v>44018</v>
      </c>
      <c r="C37" s="321">
        <v>3220</v>
      </c>
      <c r="D37" s="318" t="s">
        <v>345</v>
      </c>
      <c r="E37" s="151">
        <v>44018</v>
      </c>
      <c r="F37" s="176">
        <v>73507</v>
      </c>
      <c r="G37" s="152"/>
      <c r="H37" s="153">
        <v>44018</v>
      </c>
      <c r="I37" s="244">
        <v>0</v>
      </c>
      <c r="J37" s="217" t="s">
        <v>357</v>
      </c>
      <c r="K37" s="163" t="s">
        <v>367</v>
      </c>
      <c r="L37" s="102">
        <v>8394.5</v>
      </c>
      <c r="M37" s="34">
        <v>68986</v>
      </c>
      <c r="N37" s="35">
        <v>1301</v>
      </c>
      <c r="O37" s="276"/>
      <c r="P37" s="36">
        <f t="shared" si="5"/>
        <v>73507</v>
      </c>
      <c r="Q37" s="36">
        <f t="shared" si="1"/>
        <v>0</v>
      </c>
      <c r="R37" s="36"/>
      <c r="V37" s="29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5.75" thickBot="1" x14ac:dyDescent="0.3">
      <c r="A38" s="30"/>
      <c r="B38" s="319">
        <v>44019</v>
      </c>
      <c r="C38" s="322">
        <v>3535</v>
      </c>
      <c r="D38" s="318" t="s">
        <v>346</v>
      </c>
      <c r="E38" s="151">
        <v>44019</v>
      </c>
      <c r="F38" s="176">
        <v>69909</v>
      </c>
      <c r="G38" s="152"/>
      <c r="H38" s="153">
        <v>44019</v>
      </c>
      <c r="I38" s="244">
        <v>118</v>
      </c>
      <c r="J38" s="217" t="s">
        <v>357</v>
      </c>
      <c r="K38" s="229" t="s">
        <v>310</v>
      </c>
      <c r="L38" s="288">
        <v>10180.040000000001</v>
      </c>
      <c r="M38" s="34">
        <v>62096</v>
      </c>
      <c r="N38" s="35">
        <v>4160</v>
      </c>
      <c r="O38" s="276"/>
      <c r="P38" s="36">
        <f t="shared" si="5"/>
        <v>69909</v>
      </c>
      <c r="Q38" s="36">
        <f t="shared" si="1"/>
        <v>0</v>
      </c>
      <c r="R38" s="36"/>
      <c r="V38" s="29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5.75" thickBot="1" x14ac:dyDescent="0.3">
      <c r="A39" s="30"/>
      <c r="B39" s="319">
        <v>44020</v>
      </c>
      <c r="C39" s="322">
        <v>2705</v>
      </c>
      <c r="D39" s="357" t="s">
        <v>347</v>
      </c>
      <c r="E39" s="151">
        <v>44020</v>
      </c>
      <c r="F39" s="176">
        <v>81573</v>
      </c>
      <c r="G39" s="152"/>
      <c r="H39" s="153">
        <v>44020</v>
      </c>
      <c r="I39" s="344">
        <v>0</v>
      </c>
      <c r="J39" s="217" t="s">
        <v>357</v>
      </c>
      <c r="K39" s="229" t="s">
        <v>377</v>
      </c>
      <c r="L39" s="288">
        <v>2075</v>
      </c>
      <c r="M39" s="34">
        <v>76950</v>
      </c>
      <c r="N39" s="35">
        <v>1920</v>
      </c>
      <c r="O39" s="276"/>
      <c r="P39" s="36">
        <f t="shared" si="5"/>
        <v>81575</v>
      </c>
      <c r="Q39" s="36">
        <f t="shared" si="1"/>
        <v>2</v>
      </c>
      <c r="R39" s="36"/>
      <c r="V39" s="29"/>
      <c r="W39" s="38"/>
      <c r="X39" s="196"/>
      <c r="Y39" s="41"/>
      <c r="AA39" s="29"/>
      <c r="AB39" s="38"/>
      <c r="AC39" s="196"/>
      <c r="AD39" s="41"/>
      <c r="AF39" s="19"/>
      <c r="AG39" s="167"/>
      <c r="AH39" s="21"/>
    </row>
    <row r="40" spans="1:34" ht="15.75" thickBot="1" x14ac:dyDescent="0.3">
      <c r="A40" s="30"/>
      <c r="B40" s="319">
        <v>44021</v>
      </c>
      <c r="C40" s="322">
        <v>2880</v>
      </c>
      <c r="D40" s="357" t="s">
        <v>348</v>
      </c>
      <c r="E40" s="151">
        <v>44021</v>
      </c>
      <c r="F40" s="176">
        <v>60427</v>
      </c>
      <c r="G40" s="363"/>
      <c r="H40" s="358">
        <v>44021</v>
      </c>
      <c r="I40" s="344">
        <f>35767</f>
        <v>35767</v>
      </c>
      <c r="J40" s="368" t="s">
        <v>349</v>
      </c>
      <c r="K40" s="229"/>
      <c r="L40" s="288"/>
      <c r="M40" s="34">
        <v>55412</v>
      </c>
      <c r="N40" s="35">
        <v>2135</v>
      </c>
      <c r="O40" s="276"/>
      <c r="P40" s="36">
        <f>C40+I40+M40+N40</f>
        <v>96194</v>
      </c>
      <c r="Q40" s="369">
        <f t="shared" si="1"/>
        <v>35767</v>
      </c>
      <c r="R40" s="36"/>
      <c r="V40" s="29"/>
      <c r="W40" s="38"/>
      <c r="X40" s="196"/>
      <c r="Y40" s="41"/>
      <c r="AA40" s="29"/>
      <c r="AB40" s="38"/>
      <c r="AC40" s="196"/>
      <c r="AD40" s="41"/>
      <c r="AF40" s="19"/>
      <c r="AG40" s="167"/>
      <c r="AH40" s="21"/>
    </row>
    <row r="41" spans="1:34" ht="16.5" thickBot="1" x14ac:dyDescent="0.3">
      <c r="A41" s="105"/>
      <c r="B41" s="319">
        <v>44022</v>
      </c>
      <c r="C41" s="360">
        <v>9694</v>
      </c>
      <c r="D41" s="371" t="s">
        <v>352</v>
      </c>
      <c r="E41" s="362">
        <v>44022</v>
      </c>
      <c r="F41" s="370">
        <v>121105</v>
      </c>
      <c r="G41" s="364"/>
      <c r="H41" s="358">
        <v>44022</v>
      </c>
      <c r="I41" s="107">
        <v>12020</v>
      </c>
      <c r="J41" s="228"/>
      <c r="K41" s="265"/>
      <c r="L41" s="77"/>
      <c r="M41" s="176">
        <v>93691</v>
      </c>
      <c r="N41" s="176">
        <v>5700</v>
      </c>
      <c r="O41" s="277"/>
      <c r="P41" s="36">
        <f t="shared" ref="P41:P46" si="6">C41+I41+M41+N41</f>
        <v>121105</v>
      </c>
      <c r="Q41" s="36">
        <f t="shared" si="1"/>
        <v>0</v>
      </c>
      <c r="R41" s="114"/>
      <c r="V41" s="29"/>
      <c r="W41" s="44" t="s">
        <v>11</v>
      </c>
      <c r="X41" s="196">
        <v>0</v>
      </c>
      <c r="Y41" s="41"/>
      <c r="AA41" s="29">
        <v>43973</v>
      </c>
      <c r="AB41" s="44" t="s">
        <v>11</v>
      </c>
      <c r="AC41" s="196">
        <v>5010</v>
      </c>
      <c r="AD41" s="41"/>
      <c r="AF41" s="19" t="s">
        <v>160</v>
      </c>
      <c r="AG41" s="167"/>
      <c r="AH41" s="21">
        <v>0</v>
      </c>
    </row>
    <row r="42" spans="1:34" ht="16.5" thickBot="1" x14ac:dyDescent="0.3">
      <c r="A42" s="105"/>
      <c r="B42" s="319">
        <v>44023</v>
      </c>
      <c r="C42" s="360">
        <v>2148</v>
      </c>
      <c r="D42" s="372" t="s">
        <v>83</v>
      </c>
      <c r="E42" s="361">
        <v>44023</v>
      </c>
      <c r="F42" s="107">
        <v>124490</v>
      </c>
      <c r="G42" s="364"/>
      <c r="H42" s="358">
        <v>44023</v>
      </c>
      <c r="I42" s="107">
        <v>238</v>
      </c>
      <c r="J42" s="424" t="s">
        <v>385</v>
      </c>
      <c r="K42" s="359" t="s">
        <v>378</v>
      </c>
      <c r="L42" s="77">
        <v>4792</v>
      </c>
      <c r="M42" s="176">
        <v>108611</v>
      </c>
      <c r="N42" s="176">
        <v>5657</v>
      </c>
      <c r="O42" s="277"/>
      <c r="P42" s="36">
        <f>C42+I42+M42+N42+L19</f>
        <v>132328.59</v>
      </c>
      <c r="Q42" s="373">
        <f t="shared" si="1"/>
        <v>7838.5899999999965</v>
      </c>
      <c r="R42" s="114"/>
      <c r="V42" s="29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105"/>
      <c r="B43" s="319">
        <v>44024</v>
      </c>
      <c r="C43" s="360">
        <v>3042</v>
      </c>
      <c r="D43" s="372" t="s">
        <v>354</v>
      </c>
      <c r="E43" s="151">
        <v>44024</v>
      </c>
      <c r="F43" s="107">
        <v>68031</v>
      </c>
      <c r="G43" s="364"/>
      <c r="H43" s="358">
        <v>44024</v>
      </c>
      <c r="I43" s="107">
        <v>0</v>
      </c>
      <c r="J43" s="228"/>
      <c r="K43" s="359"/>
      <c r="L43" s="77"/>
      <c r="M43" s="176">
        <v>63676</v>
      </c>
      <c r="N43" s="176">
        <v>1313</v>
      </c>
      <c r="O43" s="277"/>
      <c r="P43" s="36">
        <f t="shared" si="6"/>
        <v>68031</v>
      </c>
      <c r="Q43" s="36">
        <f t="shared" si="1"/>
        <v>0</v>
      </c>
      <c r="R43" s="114"/>
      <c r="V43" s="29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105"/>
      <c r="B44" s="319">
        <v>44025</v>
      </c>
      <c r="C44" s="389">
        <v>6560.96</v>
      </c>
      <c r="D44" s="372" t="s">
        <v>360</v>
      </c>
      <c r="E44" s="151">
        <v>44025</v>
      </c>
      <c r="F44" s="107">
        <v>88944</v>
      </c>
      <c r="G44" s="364"/>
      <c r="H44" s="358">
        <v>44025</v>
      </c>
      <c r="I44" s="107">
        <v>0</v>
      </c>
      <c r="J44" s="228"/>
      <c r="K44" s="359"/>
      <c r="L44" s="77"/>
      <c r="M44" s="176">
        <v>78406</v>
      </c>
      <c r="N44" s="176">
        <v>3977</v>
      </c>
      <c r="O44" s="277"/>
      <c r="P44" s="36">
        <f t="shared" si="6"/>
        <v>88943.96</v>
      </c>
      <c r="Q44" s="36">
        <f t="shared" si="1"/>
        <v>-3.9999999993597157E-2</v>
      </c>
      <c r="R44" s="114"/>
      <c r="V44" s="29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105"/>
      <c r="B45" s="391">
        <v>44026</v>
      </c>
      <c r="C45" s="387">
        <v>4450</v>
      </c>
      <c r="D45" s="372" t="s">
        <v>359</v>
      </c>
      <c r="E45" s="151">
        <v>44026</v>
      </c>
      <c r="F45" s="107">
        <v>83382</v>
      </c>
      <c r="G45" s="364"/>
      <c r="H45" s="358">
        <v>44026</v>
      </c>
      <c r="I45" s="107">
        <v>39</v>
      </c>
      <c r="J45" s="365"/>
      <c r="K45" s="359"/>
      <c r="L45" s="77"/>
      <c r="M45" s="176">
        <v>77874</v>
      </c>
      <c r="N45" s="176">
        <v>1019</v>
      </c>
      <c r="O45" s="277"/>
      <c r="P45" s="36">
        <f>C45+I45+M45+N45</f>
        <v>83382</v>
      </c>
      <c r="Q45" s="36">
        <f t="shared" si="1"/>
        <v>0</v>
      </c>
      <c r="R45" s="114"/>
      <c r="V45" s="29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5.75" x14ac:dyDescent="0.25">
      <c r="A46" s="105"/>
      <c r="B46" s="425"/>
      <c r="C46" s="426"/>
      <c r="D46" s="427"/>
      <c r="E46" s="428"/>
      <c r="F46" s="429"/>
      <c r="G46" s="382"/>
      <c r="H46" s="358"/>
      <c r="I46" s="93"/>
      <c r="J46" s="383"/>
      <c r="K46" s="359"/>
      <c r="L46" s="77"/>
      <c r="M46" s="176">
        <v>0</v>
      </c>
      <c r="N46" s="176">
        <v>0</v>
      </c>
      <c r="O46" s="277"/>
      <c r="P46" s="36">
        <f t="shared" si="6"/>
        <v>0</v>
      </c>
      <c r="Q46" s="36">
        <f t="shared" si="1"/>
        <v>0</v>
      </c>
      <c r="R46" s="114"/>
      <c r="V46" s="29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5.75" x14ac:dyDescent="0.25">
      <c r="A47" s="105"/>
      <c r="B47" s="319">
        <v>43986</v>
      </c>
      <c r="C47" s="387">
        <v>20490.72</v>
      </c>
      <c r="D47" s="372" t="s">
        <v>384</v>
      </c>
      <c r="E47" s="358"/>
      <c r="F47" s="93"/>
      <c r="G47" s="382"/>
      <c r="H47" s="358"/>
      <c r="I47" s="93"/>
      <c r="J47" s="383"/>
      <c r="K47" s="359"/>
      <c r="L47" s="77"/>
      <c r="M47" s="176">
        <v>0</v>
      </c>
      <c r="N47" s="176">
        <v>0</v>
      </c>
      <c r="O47" s="277"/>
      <c r="P47" s="36">
        <f>+I47+M47+N47</f>
        <v>0</v>
      </c>
      <c r="Q47" s="36">
        <f t="shared" si="1"/>
        <v>0</v>
      </c>
      <c r="R47" s="114"/>
      <c r="V47" s="29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5.75" x14ac:dyDescent="0.25">
      <c r="A48" s="105"/>
      <c r="B48" s="319">
        <v>43988</v>
      </c>
      <c r="C48" s="387">
        <v>17866.36</v>
      </c>
      <c r="D48" s="372" t="s">
        <v>384</v>
      </c>
      <c r="E48" s="358"/>
      <c r="F48" s="93"/>
      <c r="G48" s="382"/>
      <c r="H48" s="358"/>
      <c r="I48" s="93"/>
      <c r="J48" s="383"/>
      <c r="K48" s="359"/>
      <c r="L48" s="77"/>
      <c r="M48" s="176">
        <v>0</v>
      </c>
      <c r="N48" s="176">
        <v>0</v>
      </c>
      <c r="O48" s="277"/>
      <c r="P48" s="36">
        <f t="shared" ref="P48:P65" si="7">+I48+M48+N48</f>
        <v>0</v>
      </c>
      <c r="Q48" s="36">
        <f t="shared" si="1"/>
        <v>0</v>
      </c>
      <c r="R48" s="114"/>
      <c r="V48" s="29"/>
      <c r="W48" s="44"/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x14ac:dyDescent="0.25">
      <c r="A49" s="105"/>
      <c r="B49" s="319">
        <v>43992</v>
      </c>
      <c r="C49" s="387">
        <v>13936.04</v>
      </c>
      <c r="D49" s="372" t="s">
        <v>384</v>
      </c>
      <c r="E49" s="358"/>
      <c r="F49" s="93"/>
      <c r="G49" s="382"/>
      <c r="H49" s="358"/>
      <c r="I49" s="93"/>
      <c r="J49" s="383"/>
      <c r="K49" s="359"/>
      <c r="L49" s="77"/>
      <c r="M49" s="176">
        <v>0</v>
      </c>
      <c r="N49" s="176">
        <v>0</v>
      </c>
      <c r="O49" s="277"/>
      <c r="P49" s="36">
        <f t="shared" si="7"/>
        <v>0</v>
      </c>
      <c r="Q49" s="36">
        <f t="shared" si="1"/>
        <v>0</v>
      </c>
      <c r="R49" s="114"/>
      <c r="V49" s="29"/>
      <c r="W49" s="44"/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x14ac:dyDescent="0.25">
      <c r="A50" s="105"/>
      <c r="B50" s="384">
        <v>43993</v>
      </c>
      <c r="C50" s="387">
        <v>25553.72</v>
      </c>
      <c r="D50" s="372" t="s">
        <v>384</v>
      </c>
      <c r="E50" s="358"/>
      <c r="F50" s="93"/>
      <c r="G50" s="382"/>
      <c r="H50" s="358"/>
      <c r="I50" s="93"/>
      <c r="J50" s="383"/>
      <c r="K50" s="359"/>
      <c r="L50" s="77"/>
      <c r="M50" s="176">
        <v>0</v>
      </c>
      <c r="N50" s="176">
        <v>0</v>
      </c>
      <c r="O50" s="277"/>
      <c r="P50" s="36">
        <f t="shared" si="7"/>
        <v>0</v>
      </c>
      <c r="Q50" s="36">
        <f t="shared" si="1"/>
        <v>0</v>
      </c>
      <c r="R50" s="114"/>
      <c r="V50" s="29"/>
      <c r="W50" s="44"/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x14ac:dyDescent="0.25">
      <c r="A51" s="105"/>
      <c r="B51" s="384">
        <v>43995</v>
      </c>
      <c r="C51" s="402">
        <v>5188.4799999999996</v>
      </c>
      <c r="D51" s="372" t="s">
        <v>370</v>
      </c>
      <c r="E51" s="358"/>
      <c r="F51" s="93"/>
      <c r="G51" s="382"/>
      <c r="H51" s="358"/>
      <c r="I51" s="93"/>
      <c r="J51" s="383"/>
      <c r="K51" s="359"/>
      <c r="L51" s="77"/>
      <c r="M51" s="176">
        <v>0</v>
      </c>
      <c r="N51" s="176">
        <v>0</v>
      </c>
      <c r="O51" s="277"/>
      <c r="P51" s="36">
        <f t="shared" si="7"/>
        <v>0</v>
      </c>
      <c r="Q51" s="36">
        <f t="shared" si="1"/>
        <v>0</v>
      </c>
      <c r="R51" s="114"/>
      <c r="V51" s="29"/>
      <c r="W51" s="44"/>
      <c r="X51" s="196"/>
      <c r="Y51" s="41"/>
      <c r="AA51" s="29"/>
      <c r="AB51" s="44"/>
      <c r="AC51" s="196"/>
      <c r="AD51" s="41"/>
      <c r="AF51" s="19"/>
      <c r="AG51" s="167"/>
      <c r="AH51" s="21"/>
    </row>
    <row r="52" spans="1:34" ht="15.75" x14ac:dyDescent="0.25">
      <c r="A52" s="105"/>
      <c r="B52" s="384">
        <v>43997</v>
      </c>
      <c r="C52" s="387">
        <v>15549.93</v>
      </c>
      <c r="D52" s="372" t="s">
        <v>384</v>
      </c>
      <c r="E52" s="358"/>
      <c r="F52" s="93"/>
      <c r="G52" s="382"/>
      <c r="H52" s="358"/>
      <c r="I52" s="93"/>
      <c r="J52" s="383"/>
      <c r="K52" s="359"/>
      <c r="L52" s="77"/>
      <c r="M52" s="176">
        <v>0</v>
      </c>
      <c r="N52" s="176">
        <v>0</v>
      </c>
      <c r="O52" s="277"/>
      <c r="P52" s="36">
        <f t="shared" si="7"/>
        <v>0</v>
      </c>
      <c r="Q52" s="36">
        <f t="shared" si="1"/>
        <v>0</v>
      </c>
      <c r="R52" s="114"/>
      <c r="V52" s="29"/>
      <c r="W52" s="44"/>
      <c r="X52" s="196"/>
      <c r="Y52" s="41"/>
      <c r="AA52" s="29"/>
      <c r="AB52" s="44"/>
      <c r="AC52" s="196"/>
      <c r="AD52" s="41"/>
      <c r="AF52" s="19"/>
      <c r="AG52" s="167"/>
      <c r="AH52" s="21"/>
    </row>
    <row r="53" spans="1:34" ht="15.75" x14ac:dyDescent="0.25">
      <c r="A53" s="105"/>
      <c r="B53" s="384">
        <v>43999</v>
      </c>
      <c r="C53" s="401">
        <v>30243.02</v>
      </c>
      <c r="D53" s="372" t="s">
        <v>369</v>
      </c>
      <c r="E53" s="358"/>
      <c r="F53" s="93"/>
      <c r="G53" s="382"/>
      <c r="H53" s="358"/>
      <c r="I53" s="93"/>
      <c r="J53" s="383"/>
      <c r="K53" s="359"/>
      <c r="L53" s="77"/>
      <c r="M53" s="176">
        <v>0</v>
      </c>
      <c r="N53" s="176">
        <v>0</v>
      </c>
      <c r="O53" s="277"/>
      <c r="P53" s="36">
        <f t="shared" si="7"/>
        <v>0</v>
      </c>
      <c r="Q53" s="36">
        <f t="shared" si="1"/>
        <v>0</v>
      </c>
      <c r="R53" s="114"/>
      <c r="V53" s="29"/>
      <c r="W53" s="44"/>
      <c r="X53" s="196"/>
      <c r="Y53" s="41"/>
      <c r="AA53" s="29"/>
      <c r="AB53" s="44"/>
      <c r="AC53" s="196"/>
      <c r="AD53" s="41"/>
      <c r="AF53" s="19"/>
      <c r="AG53" s="167"/>
      <c r="AH53" s="21"/>
    </row>
    <row r="54" spans="1:34" ht="15.75" x14ac:dyDescent="0.25">
      <c r="A54" s="105"/>
      <c r="B54" s="476">
        <v>44002</v>
      </c>
      <c r="C54" s="477">
        <v>15580.51</v>
      </c>
      <c r="D54" s="478" t="s">
        <v>521</v>
      </c>
      <c r="E54" s="479"/>
      <c r="F54" s="93"/>
      <c r="G54" s="382"/>
      <c r="H54" s="358"/>
      <c r="I54" s="93"/>
      <c r="J54" s="383"/>
      <c r="K54" s="359"/>
      <c r="L54" s="77"/>
      <c r="M54" s="176">
        <v>0</v>
      </c>
      <c r="N54" s="176">
        <v>0</v>
      </c>
      <c r="O54" s="277"/>
      <c r="P54" s="36">
        <f t="shared" si="7"/>
        <v>0</v>
      </c>
      <c r="Q54" s="36">
        <f t="shared" si="1"/>
        <v>0</v>
      </c>
      <c r="R54" s="114"/>
      <c r="V54" s="29"/>
      <c r="W54" s="44"/>
      <c r="X54" s="196"/>
      <c r="Y54" s="41"/>
      <c r="AA54" s="29"/>
      <c r="AB54" s="44"/>
      <c r="AC54" s="196"/>
      <c r="AD54" s="41"/>
      <c r="AF54" s="19"/>
      <c r="AG54" s="167"/>
      <c r="AH54" s="21"/>
    </row>
    <row r="55" spans="1:34" ht="15.75" x14ac:dyDescent="0.25">
      <c r="A55" s="105"/>
      <c r="B55" s="384">
        <v>44004</v>
      </c>
      <c r="C55" s="401">
        <v>16551.009999999998</v>
      </c>
      <c r="D55" s="372" t="s">
        <v>371</v>
      </c>
      <c r="E55" s="358"/>
      <c r="F55" s="93"/>
      <c r="G55" s="382"/>
      <c r="H55" s="358"/>
      <c r="I55" s="93"/>
      <c r="J55" s="383"/>
      <c r="K55" s="359"/>
      <c r="L55" s="77"/>
      <c r="M55" s="176">
        <v>0</v>
      </c>
      <c r="N55" s="176">
        <v>0</v>
      </c>
      <c r="O55" s="277"/>
      <c r="P55" s="36">
        <f t="shared" si="7"/>
        <v>0</v>
      </c>
      <c r="Q55" s="36">
        <f t="shared" si="1"/>
        <v>0</v>
      </c>
      <c r="R55" s="114"/>
      <c r="V55" s="29"/>
      <c r="W55" s="44"/>
      <c r="X55" s="196"/>
      <c r="Y55" s="41"/>
      <c r="AA55" s="29"/>
      <c r="AB55" s="44"/>
      <c r="AC55" s="196"/>
      <c r="AD55" s="41"/>
      <c r="AF55" s="19"/>
      <c r="AG55" s="167"/>
      <c r="AH55" s="21"/>
    </row>
    <row r="56" spans="1:34" ht="15.75" x14ac:dyDescent="0.25">
      <c r="A56" s="105"/>
      <c r="B56" s="384">
        <v>44006</v>
      </c>
      <c r="C56" s="401">
        <v>14103.63</v>
      </c>
      <c r="D56" s="372" t="s">
        <v>375</v>
      </c>
      <c r="E56" s="358"/>
      <c r="F56" s="93"/>
      <c r="G56" s="382"/>
      <c r="H56" s="358"/>
      <c r="I56" s="93"/>
      <c r="J56" s="383"/>
      <c r="K56" s="359"/>
      <c r="L56" s="77"/>
      <c r="M56" s="176">
        <v>0</v>
      </c>
      <c r="N56" s="176">
        <v>0</v>
      </c>
      <c r="O56" s="277"/>
      <c r="P56" s="36">
        <f t="shared" si="7"/>
        <v>0</v>
      </c>
      <c r="Q56" s="36">
        <f t="shared" si="1"/>
        <v>0</v>
      </c>
      <c r="R56" s="114"/>
      <c r="V56" s="29"/>
      <c r="W56" s="44"/>
      <c r="X56" s="196"/>
      <c r="Y56" s="41"/>
      <c r="AA56" s="29"/>
      <c r="AB56" s="44"/>
      <c r="AC56" s="196"/>
      <c r="AD56" s="41"/>
      <c r="AF56" s="19"/>
      <c r="AG56" s="167"/>
      <c r="AH56" s="21"/>
    </row>
    <row r="57" spans="1:34" ht="15.75" x14ac:dyDescent="0.25">
      <c r="A57" s="105"/>
      <c r="B57" s="384">
        <v>44011</v>
      </c>
      <c r="C57" s="401">
        <v>18181.38</v>
      </c>
      <c r="D57" s="372" t="s">
        <v>372</v>
      </c>
      <c r="E57" s="358"/>
      <c r="F57" s="93"/>
      <c r="G57" s="382"/>
      <c r="H57" s="358"/>
      <c r="I57" s="93"/>
      <c r="J57" s="383"/>
      <c r="K57" s="359"/>
      <c r="L57" s="77"/>
      <c r="M57" s="176">
        <v>0</v>
      </c>
      <c r="N57" s="176">
        <v>0</v>
      </c>
      <c r="O57" s="277"/>
      <c r="P57" s="36">
        <f t="shared" si="7"/>
        <v>0</v>
      </c>
      <c r="Q57" s="36">
        <f t="shared" si="1"/>
        <v>0</v>
      </c>
      <c r="R57" s="114"/>
      <c r="V57" s="29"/>
      <c r="W57" s="44"/>
      <c r="X57" s="196"/>
      <c r="Y57" s="41"/>
      <c r="AA57" s="29"/>
      <c r="AB57" s="44"/>
      <c r="AC57" s="196"/>
      <c r="AD57" s="41"/>
      <c r="AF57" s="19"/>
      <c r="AG57" s="167"/>
      <c r="AH57" s="21"/>
    </row>
    <row r="58" spans="1:34" ht="15.75" x14ac:dyDescent="0.25">
      <c r="A58" s="105"/>
      <c r="B58" s="384">
        <v>44015</v>
      </c>
      <c r="C58" s="401">
        <v>20548.68</v>
      </c>
      <c r="D58" s="372" t="s">
        <v>373</v>
      </c>
      <c r="E58" s="358"/>
      <c r="F58" s="93"/>
      <c r="G58" s="382"/>
      <c r="H58" s="358"/>
      <c r="I58" s="93"/>
      <c r="J58" s="383"/>
      <c r="K58" s="359"/>
      <c r="L58" s="77"/>
      <c r="M58" s="176">
        <v>0</v>
      </c>
      <c r="N58" s="176">
        <v>0</v>
      </c>
      <c r="O58" s="277"/>
      <c r="P58" s="36">
        <f t="shared" si="7"/>
        <v>0</v>
      </c>
      <c r="Q58" s="36">
        <f t="shared" si="1"/>
        <v>0</v>
      </c>
      <c r="R58" s="114"/>
      <c r="V58" s="29"/>
      <c r="W58" s="44"/>
      <c r="X58" s="196"/>
      <c r="Y58" s="41"/>
      <c r="AA58" s="29"/>
      <c r="AB58" s="44"/>
      <c r="AC58" s="196"/>
      <c r="AD58" s="41"/>
      <c r="AF58" s="19"/>
      <c r="AG58" s="167"/>
      <c r="AH58" s="21"/>
    </row>
    <row r="59" spans="1:34" ht="15.75" x14ac:dyDescent="0.25">
      <c r="A59" s="105"/>
      <c r="B59" s="476">
        <v>44019</v>
      </c>
      <c r="C59" s="477">
        <v>18086.080000000002</v>
      </c>
      <c r="D59" s="478" t="s">
        <v>522</v>
      </c>
      <c r="E59" s="479"/>
      <c r="F59" s="93"/>
      <c r="G59" s="382"/>
      <c r="H59" s="358"/>
      <c r="I59" s="93"/>
      <c r="J59" s="383"/>
      <c r="K59" s="359"/>
      <c r="L59" s="77"/>
      <c r="M59" s="176">
        <v>0</v>
      </c>
      <c r="N59" s="176">
        <v>0</v>
      </c>
      <c r="O59" s="277"/>
      <c r="P59" s="36">
        <f t="shared" si="7"/>
        <v>0</v>
      </c>
      <c r="Q59" s="36">
        <f t="shared" si="1"/>
        <v>0</v>
      </c>
      <c r="R59" s="114"/>
      <c r="V59" s="29"/>
      <c r="W59" s="44"/>
      <c r="X59" s="196"/>
      <c r="Y59" s="41"/>
      <c r="AA59" s="29"/>
      <c r="AB59" s="44"/>
      <c r="AC59" s="196"/>
      <c r="AD59" s="41"/>
      <c r="AF59" s="19"/>
      <c r="AG59" s="167"/>
      <c r="AH59" s="21"/>
    </row>
    <row r="60" spans="1:34" ht="15.75" x14ac:dyDescent="0.25">
      <c r="A60" s="105"/>
      <c r="B60" s="384">
        <v>44022</v>
      </c>
      <c r="C60" s="401">
        <v>20753.509999999998</v>
      </c>
      <c r="D60" s="372" t="s">
        <v>374</v>
      </c>
      <c r="E60" s="358"/>
      <c r="F60" s="93"/>
      <c r="G60" s="382"/>
      <c r="H60" s="422"/>
      <c r="I60" s="36"/>
      <c r="J60" s="383"/>
      <c r="K60" s="359"/>
      <c r="L60" s="77"/>
      <c r="M60" s="176">
        <v>0</v>
      </c>
      <c r="N60" s="176">
        <v>0</v>
      </c>
      <c r="O60" s="277"/>
      <c r="P60" s="36">
        <f t="shared" si="7"/>
        <v>0</v>
      </c>
      <c r="Q60" s="36">
        <f t="shared" si="1"/>
        <v>0</v>
      </c>
      <c r="R60" s="114"/>
      <c r="V60" s="29"/>
      <c r="W60" s="44"/>
      <c r="X60" s="196"/>
      <c r="Y60" s="41"/>
      <c r="AA60" s="29"/>
      <c r="AB60" s="44"/>
      <c r="AC60" s="196"/>
      <c r="AD60" s="41"/>
      <c r="AF60" s="19"/>
      <c r="AG60" s="167"/>
      <c r="AH60" s="21"/>
    </row>
    <row r="61" spans="1:34" ht="23.25" customHeight="1" x14ac:dyDescent="0.3">
      <c r="A61" s="105"/>
      <c r="B61" s="384">
        <v>44004</v>
      </c>
      <c r="C61" s="389">
        <v>25135.38</v>
      </c>
      <c r="D61" s="372" t="s">
        <v>376</v>
      </c>
      <c r="E61" s="358"/>
      <c r="F61" s="93"/>
      <c r="G61" s="382"/>
      <c r="H61" s="422"/>
      <c r="I61" s="421"/>
      <c r="J61" s="383"/>
      <c r="K61" s="359"/>
      <c r="L61" s="77"/>
      <c r="M61" s="176">
        <v>0</v>
      </c>
      <c r="N61" s="176">
        <v>0</v>
      </c>
      <c r="O61" s="277"/>
      <c r="P61" s="36">
        <v>0</v>
      </c>
      <c r="Q61" s="36">
        <f t="shared" si="1"/>
        <v>0</v>
      </c>
      <c r="R61" s="114"/>
      <c r="V61" s="29"/>
      <c r="W61" s="44"/>
      <c r="X61" s="196"/>
      <c r="Y61" s="41"/>
      <c r="AA61" s="29"/>
      <c r="AB61" s="44"/>
      <c r="AC61" s="196"/>
      <c r="AD61" s="41"/>
      <c r="AF61" s="19"/>
      <c r="AG61" s="167"/>
      <c r="AH61" s="21"/>
    </row>
    <row r="62" spans="1:34" ht="18" customHeight="1" x14ac:dyDescent="0.3">
      <c r="A62" s="400"/>
      <c r="B62" s="384">
        <v>44006</v>
      </c>
      <c r="C62" s="389">
        <v>41675.78</v>
      </c>
      <c r="D62" s="372" t="s">
        <v>368</v>
      </c>
      <c r="E62" s="358"/>
      <c r="F62" s="93"/>
      <c r="G62" s="382"/>
      <c r="H62" s="403"/>
      <c r="I62" s="421"/>
      <c r="J62" s="383"/>
      <c r="K62" s="359"/>
      <c r="L62" s="77"/>
      <c r="M62" s="399"/>
      <c r="N62" s="399"/>
      <c r="O62" s="277"/>
      <c r="P62" s="36"/>
      <c r="Q62" s="36"/>
      <c r="R62" s="114"/>
      <c r="V62" s="29"/>
      <c r="W62" s="44"/>
      <c r="X62" s="196"/>
      <c r="Y62" s="41"/>
      <c r="AA62" s="29"/>
      <c r="AB62" s="44"/>
      <c r="AC62" s="196"/>
      <c r="AD62" s="41"/>
      <c r="AF62" s="19"/>
      <c r="AG62" s="167"/>
      <c r="AH62" s="21"/>
    </row>
    <row r="63" spans="1:34" ht="18" customHeight="1" x14ac:dyDescent="0.3">
      <c r="A63" s="105"/>
      <c r="B63" s="384">
        <v>44012</v>
      </c>
      <c r="C63" s="389">
        <v>50865.279999999999</v>
      </c>
      <c r="D63" s="372" t="s">
        <v>376</v>
      </c>
      <c r="E63" s="358"/>
      <c r="F63" s="93"/>
      <c r="G63" s="382"/>
      <c r="H63" s="403"/>
      <c r="I63" s="392"/>
      <c r="J63" s="383"/>
      <c r="K63" s="359"/>
      <c r="L63" s="77"/>
      <c r="M63" s="399"/>
      <c r="N63" s="399"/>
      <c r="O63" s="277"/>
      <c r="P63" s="36"/>
      <c r="Q63" s="36"/>
      <c r="R63" s="114"/>
      <c r="V63" s="29"/>
      <c r="W63" s="44"/>
      <c r="X63" s="196"/>
      <c r="Y63" s="41"/>
      <c r="AA63" s="29"/>
      <c r="AB63" s="44"/>
      <c r="AC63" s="196"/>
      <c r="AD63" s="41"/>
      <c r="AF63" s="19"/>
      <c r="AG63" s="167"/>
      <c r="AH63" s="21"/>
    </row>
    <row r="64" spans="1:34" ht="18" customHeight="1" x14ac:dyDescent="0.3">
      <c r="A64" s="105"/>
      <c r="B64" s="384"/>
      <c r="C64" s="389"/>
      <c r="D64" s="372"/>
      <c r="E64" s="358"/>
      <c r="F64" s="93"/>
      <c r="G64" s="382"/>
      <c r="H64" s="403"/>
      <c r="I64" s="392"/>
      <c r="J64" s="383"/>
      <c r="K64" s="359"/>
      <c r="L64" s="77"/>
      <c r="M64" s="399"/>
      <c r="N64" s="399"/>
      <c r="O64" s="277"/>
      <c r="P64" s="36"/>
      <c r="Q64" s="36"/>
      <c r="R64" s="114"/>
      <c r="V64" s="29"/>
      <c r="W64" s="44"/>
      <c r="X64" s="196"/>
      <c r="Y64" s="41"/>
      <c r="AA64" s="29"/>
      <c r="AB64" s="44"/>
      <c r="AC64" s="196"/>
      <c r="AD64" s="41"/>
      <c r="AF64" s="19"/>
      <c r="AG64" s="167"/>
      <c r="AH64" s="21"/>
    </row>
    <row r="65" spans="1:34" ht="16.5" thickBot="1" x14ac:dyDescent="0.3">
      <c r="A65" s="105"/>
      <c r="B65" s="384"/>
      <c r="C65" s="388"/>
      <c r="D65" s="372"/>
      <c r="E65" s="358"/>
      <c r="F65" s="93"/>
      <c r="G65" s="382"/>
      <c r="H65" s="358"/>
      <c r="I65" s="93"/>
      <c r="J65" s="383"/>
      <c r="K65" s="359"/>
      <c r="L65" s="77"/>
      <c r="M65" s="212">
        <v>0</v>
      </c>
      <c r="N65" s="212">
        <v>0</v>
      </c>
      <c r="O65" s="277"/>
      <c r="P65" s="104">
        <f t="shared" si="7"/>
        <v>0</v>
      </c>
      <c r="Q65" s="104">
        <f t="shared" si="1"/>
        <v>0</v>
      </c>
      <c r="R65" s="114"/>
      <c r="V65" s="29"/>
      <c r="W65" s="44"/>
      <c r="X65" s="196"/>
      <c r="Y65" s="41"/>
      <c r="AA65" s="29"/>
      <c r="AB65" s="44"/>
      <c r="AC65" s="196"/>
      <c r="AD65" s="41"/>
      <c r="AF65" s="19"/>
      <c r="AG65" s="167"/>
      <c r="AH65" s="21"/>
    </row>
    <row r="66" spans="1:34" ht="16.5" thickBot="1" x14ac:dyDescent="0.3">
      <c r="B66" s="385" t="s">
        <v>16</v>
      </c>
      <c r="C66" s="386">
        <f>SUM(C5:C65)</f>
        <v>544634.79000000015</v>
      </c>
      <c r="D66" s="117"/>
      <c r="E66" s="303" t="s">
        <v>16</v>
      </c>
      <c r="F66" s="304">
        <f>SUM(F5:F45)</f>
        <v>3275271</v>
      </c>
      <c r="G66" s="117"/>
      <c r="H66" s="120" t="s">
        <v>303</v>
      </c>
      <c r="I66" s="121">
        <f>SUM(I5:I61)</f>
        <v>134356.81</v>
      </c>
      <c r="J66" s="332"/>
      <c r="K66" s="122" t="s">
        <v>304</v>
      </c>
      <c r="L66" s="123">
        <f>SUM(L6:L61)</f>
        <v>260149.24999999997</v>
      </c>
      <c r="M66" s="131">
        <f>SUM(M5:M65)</f>
        <v>2807407</v>
      </c>
      <c r="N66" s="131">
        <f>SUM(N5:N65)</f>
        <v>138100</v>
      </c>
      <c r="O66" s="278"/>
      <c r="P66" s="36">
        <f>SUM(P5:P45)</f>
        <v>3382714.1399999997</v>
      </c>
      <c r="Q66" s="36">
        <f>SUM(Q5:Q45)</f>
        <v>107443.14000000001</v>
      </c>
      <c r="R66" s="36"/>
      <c r="V66" s="29"/>
      <c r="W66" s="38" t="s">
        <v>10</v>
      </c>
      <c r="X66" s="196">
        <v>0</v>
      </c>
      <c r="Y66" s="41"/>
      <c r="AA66" s="29">
        <v>43973</v>
      </c>
      <c r="AB66" s="38" t="s">
        <v>10</v>
      </c>
      <c r="AC66" s="196">
        <v>5010</v>
      </c>
      <c r="AD66" s="41"/>
      <c r="AF66" s="19" t="s">
        <v>161</v>
      </c>
      <c r="AG66" s="167"/>
      <c r="AH66" s="21">
        <v>0</v>
      </c>
    </row>
    <row r="67" spans="1:34" ht="17.25" customHeight="1" thickTop="1" thickBot="1" x14ac:dyDescent="0.3">
      <c r="C67" s="8" t="s">
        <v>12</v>
      </c>
      <c r="O67" s="279"/>
      <c r="P67" s="114"/>
      <c r="Q67" s="114"/>
      <c r="V67" s="29"/>
      <c r="W67" s="44" t="s">
        <v>11</v>
      </c>
      <c r="X67" s="196">
        <v>0</v>
      </c>
      <c r="Y67" s="41"/>
      <c r="AA67" s="29">
        <v>43980</v>
      </c>
      <c r="AB67" s="44" t="s">
        <v>11</v>
      </c>
      <c r="AC67" s="196">
        <v>5010</v>
      </c>
      <c r="AD67" s="41"/>
      <c r="AF67" s="19" t="s">
        <v>162</v>
      </c>
      <c r="AG67" s="167"/>
      <c r="AH67" s="21">
        <v>0</v>
      </c>
    </row>
    <row r="68" spans="1:34" ht="19.5" thickBot="1" x14ac:dyDescent="0.3">
      <c r="A68" s="59"/>
      <c r="B68" s="125"/>
      <c r="C68" s="4"/>
      <c r="H68" s="638" t="s">
        <v>18</v>
      </c>
      <c r="I68" s="639"/>
      <c r="J68" s="333"/>
      <c r="K68" s="640">
        <f>I66+L66</f>
        <v>394506.05999999994</v>
      </c>
      <c r="L68" s="641"/>
      <c r="M68" s="636">
        <f>M66+N66</f>
        <v>2945507</v>
      </c>
      <c r="N68" s="637"/>
      <c r="P68" s="127"/>
      <c r="S68" s="5"/>
      <c r="T68" s="128"/>
      <c r="U68" s="128"/>
      <c r="V68" s="29"/>
      <c r="W68" s="38" t="s">
        <v>10</v>
      </c>
      <c r="X68" s="196">
        <v>0</v>
      </c>
      <c r="Y68" s="41"/>
      <c r="Z68" s="128"/>
      <c r="AA68" s="29">
        <v>43980</v>
      </c>
      <c r="AB68" s="38" t="s">
        <v>10</v>
      </c>
      <c r="AC68" s="196">
        <v>5010</v>
      </c>
      <c r="AD68" s="41"/>
      <c r="AF68" s="19" t="s">
        <v>163</v>
      </c>
      <c r="AG68" s="167"/>
      <c r="AH68" s="21">
        <v>0</v>
      </c>
    </row>
    <row r="69" spans="1:34" ht="15.75" x14ac:dyDescent="0.25">
      <c r="D69" s="642" t="s">
        <v>19</v>
      </c>
      <c r="E69" s="642"/>
      <c r="F69" s="129">
        <f>F66-K68-C66</f>
        <v>2336130.15</v>
      </c>
      <c r="I69" s="130"/>
      <c r="J69" s="334"/>
      <c r="P69" s="127"/>
      <c r="V69" s="29"/>
      <c r="W69" s="44" t="s">
        <v>11</v>
      </c>
      <c r="X69" s="196">
        <v>0</v>
      </c>
      <c r="Y69" s="41"/>
      <c r="AA69" s="29">
        <v>43987</v>
      </c>
      <c r="AB69" s="44" t="s">
        <v>11</v>
      </c>
      <c r="AC69" s="196">
        <v>5010</v>
      </c>
      <c r="AD69" s="41"/>
      <c r="AF69" s="19" t="s">
        <v>164</v>
      </c>
      <c r="AG69" s="167"/>
      <c r="AH69" s="21">
        <v>0</v>
      </c>
    </row>
    <row r="70" spans="1:34" ht="18.75" x14ac:dyDescent="0.3">
      <c r="D70" s="655" t="s">
        <v>20</v>
      </c>
      <c r="E70" s="655"/>
      <c r="F70" s="131">
        <v>-2046393.89</v>
      </c>
      <c r="I70" s="656" t="s">
        <v>21</v>
      </c>
      <c r="J70" s="657"/>
      <c r="K70" s="658">
        <f>F75</f>
        <v>528592.64000000001</v>
      </c>
      <c r="L70" s="659"/>
      <c r="P70" s="405"/>
      <c r="Q70" s="36"/>
      <c r="V70" s="29"/>
      <c r="W70" s="38" t="s">
        <v>10</v>
      </c>
      <c r="X70" s="196">
        <v>0</v>
      </c>
      <c r="Y70" s="41"/>
      <c r="AA70" s="29">
        <v>43987</v>
      </c>
      <c r="AB70" s="38" t="s">
        <v>10</v>
      </c>
      <c r="AC70" s="196">
        <v>5010</v>
      </c>
      <c r="AD70" s="41"/>
      <c r="AF70" s="19" t="s">
        <v>165</v>
      </c>
      <c r="AG70" s="167"/>
      <c r="AH70" s="21">
        <v>0</v>
      </c>
    </row>
    <row r="71" spans="1:34" ht="4.5" customHeight="1" thickBot="1" x14ac:dyDescent="0.35">
      <c r="D71" s="132"/>
      <c r="E71" s="133"/>
      <c r="F71" s="134">
        <v>0</v>
      </c>
      <c r="I71" s="135"/>
      <c r="J71" s="335"/>
      <c r="K71" s="136"/>
      <c r="L71" s="136"/>
      <c r="P71" s="127"/>
      <c r="Q71" s="36"/>
      <c r="V71" s="8"/>
      <c r="W71" s="44" t="s">
        <v>11</v>
      </c>
      <c r="X71" s="196">
        <v>0</v>
      </c>
      <c r="AA71" s="8"/>
      <c r="AB71" s="44" t="s">
        <v>11</v>
      </c>
      <c r="AC71" s="196">
        <v>0</v>
      </c>
    </row>
    <row r="72" spans="1:34" ht="20.25" thickTop="1" thickBot="1" x14ac:dyDescent="0.35">
      <c r="C72" s="16" t="s">
        <v>12</v>
      </c>
      <c r="E72" s="59" t="s">
        <v>22</v>
      </c>
      <c r="F72" s="131">
        <f>SUM(F69:F71)</f>
        <v>289736.26</v>
      </c>
      <c r="H72" s="30"/>
      <c r="I72" s="137" t="s">
        <v>23</v>
      </c>
      <c r="J72" s="336"/>
      <c r="K72" s="627">
        <f>-C4</f>
        <v>-258902.98</v>
      </c>
      <c r="L72" s="628"/>
      <c r="M72" s="214"/>
      <c r="P72" s="127"/>
      <c r="Q72" s="36"/>
      <c r="V72" s="8"/>
      <c r="W72" s="65" t="s">
        <v>16</v>
      </c>
      <c r="X72" s="66">
        <f>SUM(X4:X14)</f>
        <v>105110</v>
      </c>
      <c r="AA72" s="8"/>
      <c r="AB72" s="65" t="s">
        <v>323</v>
      </c>
      <c r="AC72" s="66">
        <f>SUM(AC4:AC14)</f>
        <v>55110</v>
      </c>
    </row>
    <row r="73" spans="1:34" ht="16.5" thickBot="1" x14ac:dyDescent="0.3">
      <c r="D73" s="139" t="s">
        <v>24</v>
      </c>
      <c r="E73" s="59" t="s">
        <v>25</v>
      </c>
      <c r="F73" s="140">
        <v>9148</v>
      </c>
      <c r="P73" s="127"/>
      <c r="Q73" s="36"/>
      <c r="V73" s="8"/>
      <c r="AA73" s="8"/>
    </row>
    <row r="74" spans="1:34" ht="20.25" thickTop="1" thickBot="1" x14ac:dyDescent="0.35">
      <c r="C74" s="231">
        <v>44026</v>
      </c>
      <c r="D74" s="629" t="s">
        <v>26</v>
      </c>
      <c r="E74" s="630"/>
      <c r="F74" s="142">
        <v>229708.38</v>
      </c>
      <c r="I74" s="631" t="s">
        <v>129</v>
      </c>
      <c r="J74" s="632"/>
      <c r="K74" s="633">
        <f>K70+K72</f>
        <v>269689.66000000003</v>
      </c>
      <c r="L74" s="634"/>
      <c r="P74" s="406"/>
      <c r="Q74" s="36"/>
    </row>
    <row r="75" spans="1:34" ht="18.75" x14ac:dyDescent="0.3">
      <c r="C75" s="143"/>
      <c r="D75" s="144"/>
      <c r="E75" s="61" t="s">
        <v>27</v>
      </c>
      <c r="F75" s="145">
        <f>F72+F73+F74</f>
        <v>528592.64000000001</v>
      </c>
      <c r="J75" s="337"/>
      <c r="M75" s="146"/>
      <c r="P75" s="36"/>
      <c r="Q75" s="36"/>
    </row>
    <row r="76" spans="1:34" x14ac:dyDescent="0.25">
      <c r="P76" s="36"/>
      <c r="Q76" s="36"/>
    </row>
    <row r="77" spans="1:34" x14ac:dyDescent="0.25">
      <c r="B77"/>
      <c r="C77"/>
      <c r="D77" s="635"/>
      <c r="E77" s="635"/>
      <c r="M77" s="147"/>
      <c r="N77" s="59"/>
      <c r="O77" s="59"/>
      <c r="P77" s="404"/>
      <c r="Q77" s="191"/>
      <c r="R77" s="186"/>
    </row>
    <row r="78" spans="1:34" x14ac:dyDescent="0.25">
      <c r="B78"/>
      <c r="C78"/>
      <c r="M78" s="147"/>
      <c r="N78" s="59"/>
      <c r="O78" s="59"/>
      <c r="P78" s="191"/>
      <c r="Q78" s="191"/>
      <c r="R78" s="186"/>
    </row>
    <row r="79" spans="1:34" x14ac:dyDescent="0.25">
      <c r="B79"/>
      <c r="C79"/>
      <c r="K79" s="382"/>
      <c r="L79" s="382"/>
      <c r="N79" s="59"/>
      <c r="O79" s="59"/>
      <c r="P79" s="191"/>
      <c r="Q79" s="191"/>
      <c r="R79" s="186"/>
    </row>
    <row r="80" spans="1:34" x14ac:dyDescent="0.25">
      <c r="B80"/>
      <c r="C80"/>
      <c r="F80"/>
      <c r="I80"/>
      <c r="J80" s="222"/>
      <c r="K80" s="382"/>
      <c r="L80" s="395"/>
      <c r="M80"/>
      <c r="N80" s="59"/>
      <c r="O80" s="59"/>
      <c r="P80" s="59"/>
      <c r="Q80" s="186"/>
      <c r="R80" s="186"/>
    </row>
    <row r="81" spans="2:18" x14ac:dyDescent="0.25">
      <c r="B81"/>
      <c r="C81"/>
      <c r="F81" s="148"/>
      <c r="K81" s="382"/>
      <c r="L81" s="395"/>
      <c r="N81" s="59"/>
      <c r="O81" s="59"/>
      <c r="P81" s="59"/>
      <c r="Q81" s="186"/>
      <c r="R81" s="186"/>
    </row>
    <row r="82" spans="2:18" x14ac:dyDescent="0.25">
      <c r="F82" s="36"/>
      <c r="K82" s="382"/>
      <c r="L82" s="395"/>
      <c r="M82" s="4"/>
      <c r="N82" s="59"/>
      <c r="O82" s="59"/>
      <c r="P82" s="59"/>
      <c r="Q82" s="186"/>
      <c r="R82" s="186"/>
    </row>
    <row r="83" spans="2:18" x14ac:dyDescent="0.25">
      <c r="F83" s="36"/>
      <c r="K83" s="382"/>
      <c r="L83" s="293"/>
      <c r="M83" s="4"/>
      <c r="N83" s="59"/>
      <c r="O83" s="59"/>
      <c r="P83" s="59"/>
      <c r="Q83" s="186"/>
      <c r="R83" s="186"/>
    </row>
    <row r="84" spans="2:18" x14ac:dyDescent="0.25">
      <c r="F84" s="36"/>
      <c r="K84" s="382"/>
      <c r="L84" s="395"/>
      <c r="M84" s="4"/>
      <c r="N84" s="59"/>
      <c r="O84" s="59"/>
      <c r="P84" s="59"/>
      <c r="Q84" s="186"/>
      <c r="R84" s="186"/>
    </row>
    <row r="85" spans="2:18" x14ac:dyDescent="0.25">
      <c r="F85" s="36"/>
      <c r="K85" s="382"/>
      <c r="L85" s="395"/>
      <c r="M85" s="4"/>
      <c r="N85" s="59"/>
      <c r="O85" s="59"/>
      <c r="P85" s="59"/>
      <c r="Q85" s="186"/>
      <c r="R85" s="186"/>
    </row>
    <row r="86" spans="2:18" x14ac:dyDescent="0.25">
      <c r="F86" s="36"/>
      <c r="K86" s="382"/>
      <c r="L86" s="395"/>
      <c r="M86" s="4"/>
    </row>
    <row r="87" spans="2:18" x14ac:dyDescent="0.25">
      <c r="F87" s="36"/>
      <c r="K87" s="382"/>
      <c r="L87" s="395"/>
      <c r="M87" s="4"/>
    </row>
    <row r="88" spans="2:18" x14ac:dyDescent="0.25">
      <c r="F88" s="36"/>
      <c r="K88" s="382"/>
      <c r="L88" s="357"/>
      <c r="M88" s="4"/>
    </row>
    <row r="89" spans="2:18" x14ac:dyDescent="0.25">
      <c r="F89" s="36"/>
      <c r="K89" s="382"/>
      <c r="L89" s="395"/>
      <c r="M89" s="4"/>
    </row>
    <row r="90" spans="2:18" x14ac:dyDescent="0.25">
      <c r="F90" s="36"/>
      <c r="K90" s="382"/>
      <c r="L90" s="396"/>
      <c r="M90" s="4"/>
    </row>
    <row r="91" spans="2:18" x14ac:dyDescent="0.25">
      <c r="F91" s="148"/>
      <c r="K91" s="382"/>
      <c r="L91" s="382"/>
      <c r="M91" s="4"/>
    </row>
    <row r="92" spans="2:18" x14ac:dyDescent="0.25">
      <c r="M92" s="4"/>
    </row>
    <row r="93" spans="2:18" x14ac:dyDescent="0.25">
      <c r="M93" s="4"/>
    </row>
    <row r="94" spans="2:18" x14ac:dyDescent="0.25">
      <c r="M94" s="4"/>
    </row>
    <row r="95" spans="2:18" x14ac:dyDescent="0.25">
      <c r="M95" s="4"/>
    </row>
    <row r="96" spans="2:18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21">
    <mergeCell ref="D77:E77"/>
    <mergeCell ref="D70:E70"/>
    <mergeCell ref="I70:J70"/>
    <mergeCell ref="K70:L70"/>
    <mergeCell ref="K72:L72"/>
    <mergeCell ref="D74:E74"/>
    <mergeCell ref="I74:J74"/>
    <mergeCell ref="K74:L74"/>
    <mergeCell ref="D69:E69"/>
    <mergeCell ref="C1:K1"/>
    <mergeCell ref="AK1:AL2"/>
    <mergeCell ref="AB2:AC3"/>
    <mergeCell ref="AF2:AH2"/>
    <mergeCell ref="B3:C3"/>
    <mergeCell ref="E4:F4"/>
    <mergeCell ref="H4:I4"/>
    <mergeCell ref="M68:N68"/>
    <mergeCell ref="H68:I68"/>
    <mergeCell ref="K68:L68"/>
    <mergeCell ref="W2:X3"/>
    <mergeCell ref="H3:I3"/>
  </mergeCells>
  <phoneticPr fontId="30" type="noConversion"/>
  <pageMargins left="0.43307086614173229" right="0.15748031496062992" top="0.31496062992125984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F0D4-7C36-4363-ABA7-A93841256B50}">
  <sheetPr>
    <tabColor theme="0" tint="-0.34998626667073579"/>
  </sheetPr>
  <dimension ref="A1:L89"/>
  <sheetViews>
    <sheetView topLeftCell="A37" workbookViewId="0">
      <selection activeCell="D51" sqref="D51:E51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  <col min="12" max="12" width="17.85546875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43986</v>
      </c>
      <c r="B3" s="272">
        <v>17378</v>
      </c>
      <c r="C3" s="176">
        <v>28849.86</v>
      </c>
      <c r="D3" s="270"/>
      <c r="E3" s="5"/>
      <c r="F3" s="173">
        <f>C3-E3</f>
        <v>28849.86</v>
      </c>
    </row>
    <row r="4" spans="1:6" x14ac:dyDescent="0.25">
      <c r="A4" s="271">
        <v>43986</v>
      </c>
      <c r="B4" s="272">
        <v>17457</v>
      </c>
      <c r="C4" s="176">
        <v>85417.1</v>
      </c>
      <c r="D4" s="273"/>
      <c r="E4" s="176"/>
      <c r="F4" s="173">
        <f>F3+C4-E4</f>
        <v>114266.96</v>
      </c>
    </row>
    <row r="5" spans="1:6" x14ac:dyDescent="0.25">
      <c r="A5" s="273">
        <v>43986</v>
      </c>
      <c r="B5" s="272">
        <v>17458</v>
      </c>
      <c r="C5" s="176">
        <v>445</v>
      </c>
      <c r="D5" s="273">
        <v>43987</v>
      </c>
      <c r="E5" s="176">
        <v>114711.96</v>
      </c>
      <c r="F5" s="173">
        <f t="shared" ref="F5:F52" si="0">F4+C5-E5</f>
        <v>0</v>
      </c>
    </row>
    <row r="6" spans="1:6" x14ac:dyDescent="0.25">
      <c r="A6" s="273">
        <v>43987</v>
      </c>
      <c r="B6" s="272">
        <v>17514</v>
      </c>
      <c r="C6" s="176">
        <v>971.95</v>
      </c>
      <c r="D6" s="273"/>
      <c r="E6" s="176"/>
      <c r="F6" s="173">
        <f t="shared" si="0"/>
        <v>971.95</v>
      </c>
    </row>
    <row r="7" spans="1:6" x14ac:dyDescent="0.25">
      <c r="A7" s="273">
        <v>43987</v>
      </c>
      <c r="B7" s="272">
        <v>17587</v>
      </c>
      <c r="C7" s="176">
        <v>1839</v>
      </c>
      <c r="D7" s="273"/>
      <c r="E7" s="176"/>
      <c r="F7" s="173">
        <f t="shared" si="0"/>
        <v>2810.95</v>
      </c>
    </row>
    <row r="8" spans="1:6" x14ac:dyDescent="0.25">
      <c r="A8" s="273">
        <v>43988</v>
      </c>
      <c r="B8" s="272">
        <v>17702</v>
      </c>
      <c r="C8" s="176">
        <v>61426.15</v>
      </c>
      <c r="D8" s="273"/>
      <c r="E8" s="176"/>
      <c r="F8" s="173">
        <f t="shared" si="0"/>
        <v>64237.1</v>
      </c>
    </row>
    <row r="9" spans="1:6" x14ac:dyDescent="0.25">
      <c r="A9" s="273">
        <v>43988</v>
      </c>
      <c r="B9" s="272">
        <v>17718</v>
      </c>
      <c r="C9" s="176">
        <v>8660.4</v>
      </c>
      <c r="D9" s="273"/>
      <c r="E9" s="176"/>
      <c r="F9" s="173">
        <f t="shared" si="0"/>
        <v>72897.5</v>
      </c>
    </row>
    <row r="10" spans="1:6" x14ac:dyDescent="0.25">
      <c r="A10" s="273">
        <v>43988</v>
      </c>
      <c r="B10" s="272">
        <v>17725</v>
      </c>
      <c r="C10" s="176">
        <v>48913.2</v>
      </c>
      <c r="D10" s="273"/>
      <c r="E10" s="176"/>
      <c r="F10" s="173">
        <f t="shared" si="0"/>
        <v>121810.7</v>
      </c>
    </row>
    <row r="11" spans="1:6" x14ac:dyDescent="0.25">
      <c r="A11" s="271">
        <v>43991</v>
      </c>
      <c r="B11" s="272">
        <v>18039</v>
      </c>
      <c r="C11" s="176">
        <v>87558.8</v>
      </c>
      <c r="D11" s="273"/>
      <c r="E11" s="176"/>
      <c r="F11" s="173">
        <f t="shared" si="0"/>
        <v>209369.5</v>
      </c>
    </row>
    <row r="12" spans="1:6" x14ac:dyDescent="0.25">
      <c r="A12" s="273">
        <v>43991</v>
      </c>
      <c r="B12" s="272">
        <v>18040</v>
      </c>
      <c r="C12" s="176">
        <v>28949.32</v>
      </c>
      <c r="D12" s="273"/>
      <c r="E12" s="176"/>
      <c r="F12" s="173">
        <f t="shared" si="0"/>
        <v>238318.82</v>
      </c>
    </row>
    <row r="13" spans="1:6" x14ac:dyDescent="0.25">
      <c r="A13" s="273">
        <v>43992</v>
      </c>
      <c r="B13" s="272">
        <v>18144</v>
      </c>
      <c r="C13" s="176">
        <v>640</v>
      </c>
      <c r="D13" s="273">
        <v>43998</v>
      </c>
      <c r="E13" s="176">
        <v>238958.82</v>
      </c>
      <c r="F13" s="173">
        <f t="shared" si="0"/>
        <v>0</v>
      </c>
    </row>
    <row r="14" spans="1:6" x14ac:dyDescent="0.25">
      <c r="A14" s="273">
        <v>43993</v>
      </c>
      <c r="B14" s="272">
        <v>18176</v>
      </c>
      <c r="C14" s="176">
        <v>47703.4</v>
      </c>
      <c r="D14" s="273"/>
      <c r="E14" s="176"/>
      <c r="F14" s="173">
        <f t="shared" si="0"/>
        <v>47703.4</v>
      </c>
    </row>
    <row r="15" spans="1:6" x14ac:dyDescent="0.25">
      <c r="A15" s="273">
        <v>43994</v>
      </c>
      <c r="B15" s="272">
        <v>18421</v>
      </c>
      <c r="C15" s="176">
        <v>56510.8</v>
      </c>
      <c r="D15" s="273"/>
      <c r="E15" s="176"/>
      <c r="F15" s="173">
        <f t="shared" si="0"/>
        <v>104214.20000000001</v>
      </c>
    </row>
    <row r="16" spans="1:6" x14ac:dyDescent="0.25">
      <c r="A16" s="273">
        <v>43995</v>
      </c>
      <c r="B16" s="272">
        <v>18539</v>
      </c>
      <c r="C16" s="176">
        <v>51466.7</v>
      </c>
      <c r="D16" s="273"/>
      <c r="E16" s="176"/>
      <c r="F16" s="173">
        <f t="shared" si="0"/>
        <v>155680.90000000002</v>
      </c>
    </row>
    <row r="17" spans="1:6" x14ac:dyDescent="0.25">
      <c r="A17" s="273">
        <v>43997</v>
      </c>
      <c r="B17" s="272">
        <v>18620</v>
      </c>
      <c r="C17" s="176">
        <v>40253.699999999997</v>
      </c>
      <c r="D17" s="273"/>
      <c r="E17" s="176"/>
      <c r="F17" s="173">
        <f t="shared" si="0"/>
        <v>195934.60000000003</v>
      </c>
    </row>
    <row r="18" spans="1:6" x14ac:dyDescent="0.25">
      <c r="A18" s="273">
        <v>43998</v>
      </c>
      <c r="B18" s="272">
        <v>18854</v>
      </c>
      <c r="C18" s="176">
        <v>51598.7</v>
      </c>
      <c r="D18" s="273"/>
      <c r="E18" s="176"/>
      <c r="F18" s="173">
        <f t="shared" si="0"/>
        <v>247533.30000000005</v>
      </c>
    </row>
    <row r="19" spans="1:6" x14ac:dyDescent="0.25">
      <c r="A19" s="273">
        <v>44000</v>
      </c>
      <c r="B19" s="272">
        <v>18990</v>
      </c>
      <c r="C19" s="176">
        <v>68060.2</v>
      </c>
      <c r="D19" s="273"/>
      <c r="E19" s="176"/>
      <c r="F19" s="173">
        <f t="shared" si="0"/>
        <v>315593.50000000006</v>
      </c>
    </row>
    <row r="20" spans="1:6" x14ac:dyDescent="0.25">
      <c r="A20" s="273">
        <v>44000</v>
      </c>
      <c r="B20" s="272">
        <v>19037</v>
      </c>
      <c r="C20" s="176">
        <v>8960.4</v>
      </c>
      <c r="D20" s="273"/>
      <c r="E20" s="176"/>
      <c r="F20" s="173">
        <f t="shared" si="0"/>
        <v>324553.90000000008</v>
      </c>
    </row>
    <row r="21" spans="1:6" x14ac:dyDescent="0.25">
      <c r="A21" s="273">
        <v>44001</v>
      </c>
      <c r="B21" s="272">
        <v>19137</v>
      </c>
      <c r="C21" s="176">
        <v>43781.88</v>
      </c>
      <c r="D21" s="273"/>
      <c r="E21" s="176"/>
      <c r="F21" s="173">
        <f t="shared" si="0"/>
        <v>368335.78000000009</v>
      </c>
    </row>
    <row r="22" spans="1:6" x14ac:dyDescent="0.25">
      <c r="A22" s="273">
        <v>44001</v>
      </c>
      <c r="B22" s="272">
        <v>19141</v>
      </c>
      <c r="C22" s="176">
        <v>4339.2</v>
      </c>
      <c r="D22" s="273">
        <v>44002</v>
      </c>
      <c r="E22" s="176">
        <v>372674.98</v>
      </c>
      <c r="F22" s="173">
        <f t="shared" si="0"/>
        <v>0</v>
      </c>
    </row>
    <row r="23" spans="1:6" x14ac:dyDescent="0.25">
      <c r="A23" s="273">
        <v>44001</v>
      </c>
      <c r="B23" s="272">
        <v>19221</v>
      </c>
      <c r="C23" s="176">
        <v>15091.8</v>
      </c>
      <c r="D23" s="273"/>
      <c r="E23" s="176"/>
      <c r="F23" s="173">
        <f t="shared" si="0"/>
        <v>15091.8</v>
      </c>
    </row>
    <row r="24" spans="1:6" x14ac:dyDescent="0.25">
      <c r="A24" s="273">
        <v>44002</v>
      </c>
      <c r="B24" s="272">
        <v>19267</v>
      </c>
      <c r="C24" s="176">
        <v>109081.68</v>
      </c>
      <c r="D24" s="273"/>
      <c r="E24" s="176"/>
      <c r="F24" s="173">
        <f t="shared" si="0"/>
        <v>124173.48</v>
      </c>
    </row>
    <row r="25" spans="1:6" x14ac:dyDescent="0.25">
      <c r="A25" s="273">
        <v>44002</v>
      </c>
      <c r="B25" s="272">
        <v>19269</v>
      </c>
      <c r="C25" s="176">
        <v>21909.599999999999</v>
      </c>
      <c r="D25" s="273"/>
      <c r="E25" s="176"/>
      <c r="F25" s="173">
        <f t="shared" si="0"/>
        <v>146083.07999999999</v>
      </c>
    </row>
    <row r="26" spans="1:6" x14ac:dyDescent="0.25">
      <c r="A26" s="273">
        <v>44002</v>
      </c>
      <c r="B26" s="272">
        <v>19375</v>
      </c>
      <c r="C26" s="176">
        <v>50248.2</v>
      </c>
      <c r="D26" s="273"/>
      <c r="E26" s="176"/>
      <c r="F26" s="173">
        <f t="shared" si="0"/>
        <v>196331.27999999997</v>
      </c>
    </row>
    <row r="27" spans="1:6" x14ac:dyDescent="0.25">
      <c r="A27" s="273">
        <v>44005</v>
      </c>
      <c r="B27" s="272">
        <v>19711</v>
      </c>
      <c r="C27" s="176">
        <v>31477.4</v>
      </c>
      <c r="D27" s="273"/>
      <c r="E27" s="176"/>
      <c r="F27" s="173">
        <f t="shared" si="0"/>
        <v>227808.67999999996</v>
      </c>
    </row>
    <row r="28" spans="1:6" x14ac:dyDescent="0.25">
      <c r="A28" s="271">
        <v>44006</v>
      </c>
      <c r="B28" s="272">
        <v>19786</v>
      </c>
      <c r="C28" s="176">
        <v>55823.4</v>
      </c>
      <c r="D28" s="273"/>
      <c r="E28" s="176"/>
      <c r="F28" s="173">
        <f t="shared" si="0"/>
        <v>283632.07999999996</v>
      </c>
    </row>
    <row r="29" spans="1:6" x14ac:dyDescent="0.25">
      <c r="A29" s="271">
        <v>44007</v>
      </c>
      <c r="B29" s="272">
        <v>19841</v>
      </c>
      <c r="C29" s="176">
        <v>57456.2</v>
      </c>
      <c r="D29" s="273"/>
      <c r="E29" s="176"/>
      <c r="F29" s="173">
        <f t="shared" si="0"/>
        <v>341088.27999999997</v>
      </c>
    </row>
    <row r="30" spans="1:6" x14ac:dyDescent="0.25">
      <c r="A30" s="271">
        <v>44007</v>
      </c>
      <c r="B30" s="272">
        <v>19892</v>
      </c>
      <c r="C30" s="176">
        <v>8515</v>
      </c>
      <c r="D30" s="273"/>
      <c r="E30" s="176"/>
      <c r="F30" s="173">
        <f t="shared" si="0"/>
        <v>349603.27999999997</v>
      </c>
    </row>
    <row r="31" spans="1:6" x14ac:dyDescent="0.25">
      <c r="A31" s="271">
        <v>44008</v>
      </c>
      <c r="B31" s="272">
        <v>20017</v>
      </c>
      <c r="C31" s="176">
        <v>2835</v>
      </c>
      <c r="D31" s="273">
        <v>44009</v>
      </c>
      <c r="E31" s="176">
        <v>352438.28</v>
      </c>
      <c r="F31" s="173">
        <f t="shared" si="0"/>
        <v>0</v>
      </c>
    </row>
    <row r="32" spans="1:6" x14ac:dyDescent="0.25">
      <c r="A32" s="271">
        <v>44009</v>
      </c>
      <c r="B32" s="272">
        <v>20128</v>
      </c>
      <c r="C32" s="176">
        <v>64865.599999999999</v>
      </c>
      <c r="D32" s="273"/>
      <c r="E32" s="176"/>
      <c r="F32" s="173">
        <f t="shared" si="0"/>
        <v>64865.599999999999</v>
      </c>
    </row>
    <row r="33" spans="1:12" x14ac:dyDescent="0.25">
      <c r="A33" s="271">
        <v>44009</v>
      </c>
      <c r="B33" s="272">
        <v>20167</v>
      </c>
      <c r="C33" s="176">
        <v>45689.8</v>
      </c>
      <c r="D33" s="273"/>
      <c r="E33" s="176"/>
      <c r="F33" s="173">
        <f t="shared" si="0"/>
        <v>110555.4</v>
      </c>
    </row>
    <row r="34" spans="1:12" x14ac:dyDescent="0.25">
      <c r="A34" s="271">
        <v>44010</v>
      </c>
      <c r="B34" s="272">
        <v>20268</v>
      </c>
      <c r="C34" s="176">
        <v>856</v>
      </c>
      <c r="D34" s="273"/>
      <c r="E34" s="176"/>
      <c r="F34" s="173">
        <f t="shared" si="0"/>
        <v>111411.4</v>
      </c>
    </row>
    <row r="35" spans="1:12" x14ac:dyDescent="0.25">
      <c r="A35" s="271">
        <v>44010</v>
      </c>
      <c r="B35" s="272">
        <v>20275</v>
      </c>
      <c r="C35" s="176">
        <v>62299.3</v>
      </c>
      <c r="D35" s="273"/>
      <c r="E35" s="176"/>
      <c r="F35" s="173">
        <f t="shared" si="0"/>
        <v>173710.7</v>
      </c>
    </row>
    <row r="36" spans="1:12" x14ac:dyDescent="0.25">
      <c r="A36" s="271">
        <v>44012</v>
      </c>
      <c r="B36" s="272">
        <v>20435</v>
      </c>
      <c r="C36" s="176">
        <v>52181.99</v>
      </c>
      <c r="D36" s="273">
        <v>44013</v>
      </c>
      <c r="E36" s="176">
        <v>225892.69</v>
      </c>
      <c r="F36" s="173">
        <f t="shared" si="0"/>
        <v>0</v>
      </c>
    </row>
    <row r="37" spans="1:12" x14ac:dyDescent="0.25">
      <c r="A37" s="271">
        <v>44014</v>
      </c>
      <c r="B37" s="272">
        <v>20748</v>
      </c>
      <c r="C37" s="176">
        <v>98374.46</v>
      </c>
      <c r="D37" s="273"/>
      <c r="E37" s="176"/>
      <c r="F37" s="173">
        <f t="shared" si="0"/>
        <v>98374.46</v>
      </c>
    </row>
    <row r="38" spans="1:12" x14ac:dyDescent="0.25">
      <c r="A38" s="271">
        <v>44015</v>
      </c>
      <c r="B38" s="272">
        <v>20924</v>
      </c>
      <c r="C38" s="176">
        <v>117708.8</v>
      </c>
      <c r="D38" s="273"/>
      <c r="E38" s="176"/>
      <c r="F38" s="173">
        <f t="shared" si="0"/>
        <v>216083.26</v>
      </c>
    </row>
    <row r="39" spans="1:12" x14ac:dyDescent="0.25">
      <c r="A39" s="271">
        <v>44016</v>
      </c>
      <c r="B39" s="272">
        <v>21028</v>
      </c>
      <c r="C39" s="176">
        <v>7143.5</v>
      </c>
      <c r="D39" s="273"/>
      <c r="E39" s="176"/>
      <c r="F39" s="173">
        <f t="shared" si="0"/>
        <v>223226.76</v>
      </c>
    </row>
    <row r="40" spans="1:12" x14ac:dyDescent="0.25">
      <c r="A40" s="271">
        <v>44017</v>
      </c>
      <c r="B40" s="272">
        <v>21111</v>
      </c>
      <c r="C40" s="176">
        <v>58593.1</v>
      </c>
      <c r="D40" s="273"/>
      <c r="E40" s="176"/>
      <c r="F40" s="173">
        <f t="shared" si="0"/>
        <v>281819.86</v>
      </c>
    </row>
    <row r="41" spans="1:12" x14ac:dyDescent="0.25">
      <c r="A41" s="271">
        <v>44018</v>
      </c>
      <c r="B41" s="272">
        <v>21153</v>
      </c>
      <c r="C41" s="176">
        <v>2093</v>
      </c>
      <c r="D41" s="273">
        <v>44019</v>
      </c>
      <c r="E41" s="176">
        <v>283912.86</v>
      </c>
      <c r="F41" s="173">
        <f t="shared" si="0"/>
        <v>0</v>
      </c>
      <c r="J41" s="271">
        <v>44019</v>
      </c>
      <c r="K41" s="272">
        <v>21280</v>
      </c>
      <c r="L41" s="176">
        <v>83504.08</v>
      </c>
    </row>
    <row r="42" spans="1:12" x14ac:dyDescent="0.25">
      <c r="A42" s="271">
        <v>44019</v>
      </c>
      <c r="B42" s="272">
        <v>21280</v>
      </c>
      <c r="C42" s="176">
        <v>83504.08</v>
      </c>
      <c r="D42" s="273"/>
      <c r="E42" s="176"/>
      <c r="F42" s="173">
        <f t="shared" si="0"/>
        <v>83504.08</v>
      </c>
      <c r="J42" s="271">
        <v>44020</v>
      </c>
      <c r="K42" s="272">
        <v>21407</v>
      </c>
      <c r="L42" s="176">
        <v>78252.399999999994</v>
      </c>
    </row>
    <row r="43" spans="1:12" x14ac:dyDescent="0.25">
      <c r="A43" s="271">
        <v>44020</v>
      </c>
      <c r="B43" s="272">
        <v>21407</v>
      </c>
      <c r="C43" s="176">
        <v>78252.399999999994</v>
      </c>
      <c r="D43" s="273"/>
      <c r="E43" s="176"/>
      <c r="F43" s="173">
        <f t="shared" si="0"/>
        <v>161756.47999999998</v>
      </c>
      <c r="J43" s="271">
        <v>44021</v>
      </c>
      <c r="K43" s="272">
        <v>21580</v>
      </c>
      <c r="L43" s="176">
        <v>82036.7</v>
      </c>
    </row>
    <row r="44" spans="1:12" x14ac:dyDescent="0.25">
      <c r="A44" s="271">
        <v>44021</v>
      </c>
      <c r="B44" s="272">
        <v>21580</v>
      </c>
      <c r="C44" s="176">
        <v>82036.7</v>
      </c>
      <c r="D44" s="273"/>
      <c r="E44" s="176"/>
      <c r="F44" s="173">
        <f>F43+C44-E44</f>
        <v>243793.18</v>
      </c>
      <c r="J44" s="271">
        <v>44022</v>
      </c>
      <c r="K44" s="272">
        <v>21673</v>
      </c>
      <c r="L44" s="176">
        <v>2840</v>
      </c>
    </row>
    <row r="45" spans="1:12" x14ac:dyDescent="0.25">
      <c r="A45" s="271">
        <v>44022</v>
      </c>
      <c r="B45" s="272">
        <v>21673</v>
      </c>
      <c r="C45" s="176">
        <v>2840</v>
      </c>
      <c r="D45" s="273"/>
      <c r="E45" s="176"/>
      <c r="F45" s="173">
        <f>F44+C45-E45</f>
        <v>246633.18</v>
      </c>
      <c r="J45" s="174">
        <v>44023</v>
      </c>
      <c r="K45" s="272">
        <v>21786</v>
      </c>
      <c r="L45" s="176">
        <v>93406.42</v>
      </c>
    </row>
    <row r="46" spans="1:12" x14ac:dyDescent="0.25">
      <c r="A46" s="174">
        <v>44023</v>
      </c>
      <c r="B46" s="272">
        <v>21786</v>
      </c>
      <c r="C46" s="176">
        <v>93406.42</v>
      </c>
      <c r="D46" s="177"/>
      <c r="E46" s="176"/>
      <c r="F46" s="173">
        <f t="shared" si="0"/>
        <v>340039.6</v>
      </c>
      <c r="J46" s="174">
        <v>44023</v>
      </c>
      <c r="K46" s="272">
        <v>21789</v>
      </c>
      <c r="L46" s="176">
        <v>8207.5</v>
      </c>
    </row>
    <row r="47" spans="1:12" x14ac:dyDescent="0.25">
      <c r="A47" s="174">
        <v>44023</v>
      </c>
      <c r="B47" s="272">
        <v>21789</v>
      </c>
      <c r="C47" s="176">
        <v>8207.5</v>
      </c>
      <c r="D47" s="177"/>
      <c r="E47" s="176"/>
      <c r="F47" s="173">
        <f t="shared" si="0"/>
        <v>348247.1</v>
      </c>
      <c r="J47" s="174">
        <v>44024</v>
      </c>
      <c r="K47" s="272">
        <v>21894</v>
      </c>
      <c r="L47" s="176">
        <v>1512.5</v>
      </c>
    </row>
    <row r="48" spans="1:12" x14ac:dyDescent="0.25">
      <c r="A48" s="174">
        <v>44024</v>
      </c>
      <c r="B48" s="272">
        <v>21894</v>
      </c>
      <c r="C48" s="176">
        <v>1512.5</v>
      </c>
      <c r="D48" s="177"/>
      <c r="E48" s="176"/>
      <c r="F48" s="173">
        <f t="shared" si="0"/>
        <v>349759.6</v>
      </c>
      <c r="J48" s="174">
        <v>44024</v>
      </c>
      <c r="K48" s="272">
        <v>21932</v>
      </c>
      <c r="L48" s="176">
        <v>58770.6</v>
      </c>
    </row>
    <row r="49" spans="1:12" x14ac:dyDescent="0.25">
      <c r="A49" s="174">
        <v>44024</v>
      </c>
      <c r="B49" s="272">
        <v>21932</v>
      </c>
      <c r="C49" s="176">
        <v>58770.6</v>
      </c>
      <c r="D49" s="177"/>
      <c r="E49" s="176"/>
      <c r="F49" s="173">
        <f t="shared" si="0"/>
        <v>408530.19999999995</v>
      </c>
      <c r="J49" s="174">
        <v>44026</v>
      </c>
      <c r="K49" s="272">
        <v>22120</v>
      </c>
      <c r="L49" s="176">
        <v>42102.9</v>
      </c>
    </row>
    <row r="50" spans="1:12" x14ac:dyDescent="0.25">
      <c r="A50" s="174">
        <v>44026</v>
      </c>
      <c r="B50" s="272">
        <v>22120</v>
      </c>
      <c r="C50" s="176">
        <v>42102.9</v>
      </c>
      <c r="D50" s="393"/>
      <c r="E50" s="36"/>
      <c r="F50" s="173">
        <f t="shared" si="0"/>
        <v>450633.1</v>
      </c>
      <c r="J50" s="174">
        <v>44026</v>
      </c>
      <c r="K50" s="272">
        <v>22134</v>
      </c>
      <c r="L50" s="176">
        <v>7171.2</v>
      </c>
    </row>
    <row r="51" spans="1:12" x14ac:dyDescent="0.25">
      <c r="A51" s="174">
        <v>44026</v>
      </c>
      <c r="B51" s="272">
        <v>22134</v>
      </c>
      <c r="C51" s="176">
        <v>7171.2</v>
      </c>
      <c r="D51" s="441">
        <v>44030</v>
      </c>
      <c r="E51" s="373">
        <v>457804.3</v>
      </c>
      <c r="F51" s="173">
        <f t="shared" si="0"/>
        <v>0</v>
      </c>
      <c r="J51" s="271">
        <v>44027</v>
      </c>
      <c r="K51" s="272">
        <v>22181</v>
      </c>
      <c r="L51" s="176">
        <v>38328.9</v>
      </c>
    </row>
    <row r="52" spans="1:12" ht="15.75" thickBot="1" x14ac:dyDescent="0.3">
      <c r="A52" s="178"/>
      <c r="B52" s="411"/>
      <c r="C52" s="104">
        <v>0</v>
      </c>
      <c r="D52" s="180"/>
      <c r="E52" s="104"/>
      <c r="F52" s="173">
        <f t="shared" si="0"/>
        <v>0</v>
      </c>
      <c r="J52" s="271">
        <v>44027</v>
      </c>
      <c r="K52" s="272">
        <v>22193</v>
      </c>
      <c r="L52" s="176">
        <v>4424</v>
      </c>
    </row>
    <row r="53" spans="1:12" ht="19.5" thickTop="1" x14ac:dyDescent="0.3">
      <c r="B53" s="59"/>
      <c r="C53" s="4">
        <f>SUM(C3:C52)</f>
        <v>2046393.8900000001</v>
      </c>
      <c r="D53" s="1"/>
      <c r="E53" s="4">
        <f>SUM(E3:E52)</f>
        <v>2046393.89</v>
      </c>
      <c r="F53" s="181">
        <f>F52</f>
        <v>0</v>
      </c>
      <c r="J53" s="273">
        <v>44028</v>
      </c>
      <c r="K53" s="272">
        <v>22328</v>
      </c>
      <c r="L53" s="176">
        <v>80009.259999999995</v>
      </c>
    </row>
    <row r="54" spans="1:12" x14ac:dyDescent="0.25">
      <c r="B54" s="59"/>
      <c r="C54" s="4"/>
      <c r="D54" s="1"/>
      <c r="E54" s="8"/>
      <c r="F54" s="4"/>
      <c r="J54" s="273">
        <v>44028</v>
      </c>
      <c r="K54" s="272">
        <v>22330</v>
      </c>
      <c r="L54" s="176">
        <v>224</v>
      </c>
    </row>
    <row r="55" spans="1:12" x14ac:dyDescent="0.25">
      <c r="B55" s="59"/>
      <c r="C55" s="4"/>
      <c r="D55" s="1"/>
      <c r="E55" s="8"/>
      <c r="F55" s="4"/>
      <c r="J55" s="273">
        <v>44028</v>
      </c>
      <c r="K55" s="272">
        <v>22398</v>
      </c>
      <c r="L55" s="176">
        <v>31533.93</v>
      </c>
    </row>
    <row r="56" spans="1:12" x14ac:dyDescent="0.25">
      <c r="A56"/>
      <c r="B56" s="30"/>
      <c r="D56" s="30"/>
      <c r="J56" s="273">
        <v>44029</v>
      </c>
      <c r="K56" s="272">
        <v>22432</v>
      </c>
      <c r="L56" s="176">
        <v>102884.82</v>
      </c>
    </row>
    <row r="57" spans="1:12" x14ac:dyDescent="0.25">
      <c r="A57"/>
      <c r="B57" s="30"/>
      <c r="D57" s="30"/>
      <c r="K57" s="152"/>
      <c r="L57" s="438">
        <v>0</v>
      </c>
    </row>
    <row r="58" spans="1:12" ht="18.75" x14ac:dyDescent="0.3">
      <c r="A58"/>
      <c r="B58" s="30"/>
      <c r="D58" s="30"/>
      <c r="K58" s="195" t="s">
        <v>16</v>
      </c>
      <c r="L58" s="439">
        <f>SUM(L41:L57)</f>
        <v>715209.21</v>
      </c>
    </row>
    <row r="59" spans="1:12" x14ac:dyDescent="0.25">
      <c r="A59"/>
      <c r="B59" s="30"/>
      <c r="D59" s="30"/>
      <c r="F59"/>
    </row>
    <row r="60" spans="1:12" x14ac:dyDescent="0.25">
      <c r="A60"/>
      <c r="B60" s="30"/>
      <c r="D60" s="30"/>
      <c r="F60"/>
    </row>
    <row r="61" spans="1:12" x14ac:dyDescent="0.25">
      <c r="A61"/>
      <c r="B61" s="30"/>
      <c r="D61" s="30"/>
      <c r="F61"/>
    </row>
    <row r="62" spans="1:12" x14ac:dyDescent="0.25">
      <c r="A62"/>
      <c r="B62" s="30"/>
      <c r="D62" s="30"/>
      <c r="F62"/>
    </row>
    <row r="63" spans="1:12" x14ac:dyDescent="0.25">
      <c r="A63"/>
      <c r="B63" s="30"/>
      <c r="D63" s="30"/>
      <c r="F63"/>
    </row>
    <row r="64" spans="1:12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F66"/>
    </row>
    <row r="67" spans="1:6" x14ac:dyDescent="0.25">
      <c r="A67"/>
      <c r="B67" s="30"/>
      <c r="D67" s="30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A72"/>
      <c r="B72" s="30"/>
      <c r="D72" s="30"/>
      <c r="E72"/>
      <c r="F72"/>
    </row>
    <row r="73" spans="1:6" x14ac:dyDescent="0.25">
      <c r="A73"/>
      <c r="B73" s="30"/>
      <c r="D73" s="30"/>
      <c r="E73"/>
      <c r="F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5" x14ac:dyDescent="0.25">
      <c r="B81" s="30"/>
      <c r="D81" s="30"/>
      <c r="E81"/>
    </row>
    <row r="82" spans="2:5" x14ac:dyDescent="0.25">
      <c r="B82" s="30"/>
      <c r="D82" s="30"/>
      <c r="E82"/>
    </row>
    <row r="83" spans="2:5" x14ac:dyDescent="0.25">
      <c r="B83" s="30"/>
    </row>
    <row r="84" spans="2:5" x14ac:dyDescent="0.25">
      <c r="B84" s="30"/>
    </row>
    <row r="85" spans="2:5" x14ac:dyDescent="0.25">
      <c r="B85" s="30"/>
      <c r="D85" s="30"/>
    </row>
    <row r="86" spans="2:5" x14ac:dyDescent="0.25">
      <c r="B86" s="30"/>
    </row>
    <row r="87" spans="2:5" x14ac:dyDescent="0.25">
      <c r="B87" s="30"/>
    </row>
    <row r="88" spans="2:5" x14ac:dyDescent="0.25">
      <c r="B88" s="30"/>
    </row>
    <row r="89" spans="2:5" ht="18.75" x14ac:dyDescent="0.3">
      <c r="C89" s="14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0E60-3F1E-49DB-8F6C-B55A7FE4AFB6}">
  <sheetPr>
    <tabColor rgb="FFFFFF00"/>
  </sheetPr>
  <dimension ref="A1:AL78"/>
  <sheetViews>
    <sheetView topLeftCell="A25" workbookViewId="0">
      <selection activeCell="B32" sqref="B32:E3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660" t="s">
        <v>407</v>
      </c>
      <c r="D1" s="660"/>
      <c r="E1" s="660"/>
      <c r="F1" s="660"/>
      <c r="G1" s="660"/>
      <c r="H1" s="660"/>
      <c r="I1" s="660"/>
      <c r="J1" s="660"/>
      <c r="K1" s="660"/>
      <c r="L1" s="2"/>
      <c r="M1" s="3"/>
      <c r="AK1" s="643" t="s">
        <v>45</v>
      </c>
      <c r="AL1" s="644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651" t="s">
        <v>4</v>
      </c>
      <c r="X2" s="652"/>
      <c r="AB2" s="651" t="s">
        <v>4</v>
      </c>
      <c r="AC2" s="652"/>
      <c r="AF2" s="648" t="s">
        <v>43</v>
      </c>
      <c r="AG2" s="649"/>
      <c r="AH2" s="650"/>
      <c r="AJ2" s="193" t="s">
        <v>44</v>
      </c>
      <c r="AK2" s="645"/>
      <c r="AL2" s="646"/>
    </row>
    <row r="3" spans="1:38" ht="18" customHeight="1" thickBot="1" x14ac:dyDescent="0.35">
      <c r="B3" s="661" t="s">
        <v>1</v>
      </c>
      <c r="C3" s="662"/>
      <c r="D3" s="15"/>
      <c r="E3" s="374"/>
      <c r="F3" s="374"/>
      <c r="H3" s="669" t="s">
        <v>190</v>
      </c>
      <c r="I3" s="669"/>
      <c r="K3" s="234" t="s">
        <v>2</v>
      </c>
      <c r="L3" s="236" t="s">
        <v>191</v>
      </c>
      <c r="M3" s="236"/>
      <c r="W3" s="653"/>
      <c r="X3" s="654"/>
      <c r="Y3" s="195" t="s">
        <v>37</v>
      </c>
      <c r="AB3" s="653"/>
      <c r="AC3" s="654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229708.38</v>
      </c>
      <c r="D4" s="308">
        <v>44026</v>
      </c>
      <c r="E4" s="663" t="s">
        <v>6</v>
      </c>
      <c r="F4" s="664"/>
      <c r="H4" s="665" t="s">
        <v>7</v>
      </c>
      <c r="I4" s="666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44027</v>
      </c>
      <c r="C5" s="320">
        <v>4000</v>
      </c>
      <c r="D5" s="309" t="s">
        <v>48</v>
      </c>
      <c r="E5" s="151">
        <v>44027</v>
      </c>
      <c r="F5" s="32">
        <v>74887</v>
      </c>
      <c r="G5" s="152"/>
      <c r="H5" s="153">
        <v>44027</v>
      </c>
      <c r="I5" s="33">
        <v>0</v>
      </c>
      <c r="M5" s="34">
        <v>67037</v>
      </c>
      <c r="N5" s="35">
        <v>3850</v>
      </c>
      <c r="O5" s="36"/>
      <c r="P5" s="36">
        <f>C5+I5+M5+N5</f>
        <v>74887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44028</v>
      </c>
      <c r="C6" s="320">
        <v>9328</v>
      </c>
      <c r="D6" s="310" t="s">
        <v>387</v>
      </c>
      <c r="E6" s="151">
        <v>44028</v>
      </c>
      <c r="F6" s="32">
        <v>121220</v>
      </c>
      <c r="G6" s="152"/>
      <c r="H6" s="153">
        <v>44028</v>
      </c>
      <c r="I6" s="39">
        <v>407</v>
      </c>
      <c r="J6" s="60"/>
      <c r="K6" s="46" t="s">
        <v>13</v>
      </c>
      <c r="L6" s="47">
        <v>0</v>
      </c>
      <c r="M6" s="34">
        <v>111098</v>
      </c>
      <c r="N6" s="35">
        <v>3780</v>
      </c>
      <c r="O6" s="276"/>
      <c r="P6" s="36">
        <f>C6+I6+M6+N6+L6</f>
        <v>124613</v>
      </c>
      <c r="Q6" s="198">
        <f>P6-F6</f>
        <v>3393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44029</v>
      </c>
      <c r="C7" s="320">
        <v>1568</v>
      </c>
      <c r="D7" s="311" t="s">
        <v>73</v>
      </c>
      <c r="E7" s="151">
        <v>44029</v>
      </c>
      <c r="F7" s="32">
        <v>141835</v>
      </c>
      <c r="G7" s="152"/>
      <c r="H7" s="153">
        <v>44029</v>
      </c>
      <c r="I7" s="39">
        <v>12059</v>
      </c>
      <c r="J7" s="328">
        <v>44036</v>
      </c>
      <c r="K7" s="378" t="s">
        <v>14</v>
      </c>
      <c r="L7" s="50">
        <v>26562</v>
      </c>
      <c r="M7" s="34">
        <v>123197</v>
      </c>
      <c r="N7" s="35">
        <v>5011</v>
      </c>
      <c r="O7" s="127"/>
      <c r="P7" s="36">
        <f>C7+I7+M7+N7</f>
        <v>141835</v>
      </c>
      <c r="Q7" s="5">
        <f>P7-F7</f>
        <v>0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44030</v>
      </c>
      <c r="C8" s="320">
        <v>5660</v>
      </c>
      <c r="D8" s="312" t="s">
        <v>388</v>
      </c>
      <c r="E8" s="151">
        <v>44030</v>
      </c>
      <c r="F8" s="32">
        <v>106369</v>
      </c>
      <c r="G8" s="152"/>
      <c r="H8" s="153">
        <v>44030</v>
      </c>
      <c r="I8" s="39">
        <v>0</v>
      </c>
      <c r="J8" s="414">
        <v>44042</v>
      </c>
      <c r="K8" s="20" t="s">
        <v>379</v>
      </c>
      <c r="L8" s="52">
        <v>20000</v>
      </c>
      <c r="M8" s="34">
        <f>50000+37914.5</f>
        <v>87914.5</v>
      </c>
      <c r="N8" s="35">
        <v>4910</v>
      </c>
      <c r="O8" s="276"/>
      <c r="P8" s="36">
        <f>C8+I8+M8+N8+L12</f>
        <v>114778.75</v>
      </c>
      <c r="Q8" s="201">
        <f>P8-F8</f>
        <v>8409.75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44031</v>
      </c>
      <c r="C9" s="320">
        <v>9229</v>
      </c>
      <c r="D9" s="313" t="s">
        <v>391</v>
      </c>
      <c r="E9" s="151">
        <v>44031</v>
      </c>
      <c r="F9" s="32">
        <v>102692</v>
      </c>
      <c r="G9" s="152"/>
      <c r="H9" s="153">
        <v>44031</v>
      </c>
      <c r="I9" s="39">
        <v>0</v>
      </c>
      <c r="J9" s="415"/>
      <c r="K9" s="200"/>
      <c r="L9" s="343">
        <v>0</v>
      </c>
      <c r="M9" s="34">
        <v>90004</v>
      </c>
      <c r="N9" s="35">
        <v>3465</v>
      </c>
      <c r="O9" s="276"/>
      <c r="P9" s="36">
        <f>C9+I9+M9+N9</f>
        <v>102698</v>
      </c>
      <c r="Q9" s="5">
        <f t="shared" ref="Q9:Q11" si="0">P9-F9</f>
        <v>6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44032</v>
      </c>
      <c r="C10" s="320">
        <v>7458</v>
      </c>
      <c r="D10" s="311" t="s">
        <v>392</v>
      </c>
      <c r="E10" s="151">
        <v>44032</v>
      </c>
      <c r="F10" s="32">
        <v>86696</v>
      </c>
      <c r="G10" s="152"/>
      <c r="H10" s="153">
        <v>44032</v>
      </c>
      <c r="I10" s="39">
        <v>0</v>
      </c>
      <c r="J10" s="415"/>
      <c r="K10" s="366"/>
      <c r="L10" s="68"/>
      <c r="M10" s="34">
        <v>77605</v>
      </c>
      <c r="N10" s="35">
        <v>1633</v>
      </c>
      <c r="O10" s="127"/>
      <c r="P10" s="36">
        <f>C10+I10+M10+N10+L11</f>
        <v>86696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44033</v>
      </c>
      <c r="C11" s="320">
        <v>900</v>
      </c>
      <c r="D11" s="310" t="s">
        <v>72</v>
      </c>
      <c r="E11" s="151">
        <v>44033</v>
      </c>
      <c r="F11" s="32">
        <v>58292</v>
      </c>
      <c r="G11" s="152"/>
      <c r="H11" s="153">
        <v>44033</v>
      </c>
      <c r="I11" s="39">
        <v>8</v>
      </c>
      <c r="J11" s="331"/>
      <c r="K11" s="57"/>
      <c r="L11" s="55"/>
      <c r="M11" s="34">
        <v>55051</v>
      </c>
      <c r="N11" s="35">
        <v>1933</v>
      </c>
      <c r="O11" s="276"/>
      <c r="P11" s="36">
        <f>C11+I11+M11+N11+L13</f>
        <v>58292</v>
      </c>
      <c r="Q11" s="5">
        <f t="shared" si="0"/>
        <v>0</v>
      </c>
      <c r="S11" s="58">
        <v>8409.75</v>
      </c>
      <c r="T11" s="61" t="s">
        <v>380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44034</v>
      </c>
      <c r="C12" s="320">
        <v>10424</v>
      </c>
      <c r="D12" s="310" t="s">
        <v>393</v>
      </c>
      <c r="E12" s="151">
        <v>44034</v>
      </c>
      <c r="F12" s="32">
        <v>80051</v>
      </c>
      <c r="G12" s="152"/>
      <c r="H12" s="153">
        <v>44034</v>
      </c>
      <c r="I12" s="39">
        <v>4703</v>
      </c>
      <c r="J12" s="60">
        <v>44030</v>
      </c>
      <c r="K12" s="20" t="s">
        <v>380</v>
      </c>
      <c r="L12" s="55">
        <f>11723.25+4571</f>
        <v>16294.25</v>
      </c>
      <c r="M12" s="34">
        <v>63129</v>
      </c>
      <c r="N12" s="35">
        <v>1795</v>
      </c>
      <c r="O12" s="298"/>
      <c r="P12" s="36">
        <f>C12+I12+M12+N12</f>
        <v>80051</v>
      </c>
      <c r="Q12" s="5">
        <f>P12-F12</f>
        <v>0</v>
      </c>
      <c r="S12" s="58">
        <v>7838.08</v>
      </c>
      <c r="T12" s="61" t="s">
        <v>381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44035</v>
      </c>
      <c r="C13" s="320">
        <v>4897</v>
      </c>
      <c r="D13" s="312" t="s">
        <v>341</v>
      </c>
      <c r="E13" s="151">
        <v>44035</v>
      </c>
      <c r="F13" s="32">
        <v>100131</v>
      </c>
      <c r="G13" s="152"/>
      <c r="H13" s="153">
        <v>44035</v>
      </c>
      <c r="I13" s="39">
        <v>0</v>
      </c>
      <c r="J13" s="60">
        <v>44033</v>
      </c>
      <c r="K13" s="20" t="s">
        <v>380</v>
      </c>
      <c r="L13" s="55">
        <v>400</v>
      </c>
      <c r="M13" s="34">
        <f>81785+10209</f>
        <v>91994</v>
      </c>
      <c r="N13" s="35">
        <v>3510</v>
      </c>
      <c r="O13" s="276"/>
      <c r="P13" s="36">
        <f>C13+I13+M13+N13+L19</f>
        <v>100401</v>
      </c>
      <c r="Q13" s="198">
        <f>P13-F13</f>
        <v>270</v>
      </c>
      <c r="S13" s="58">
        <v>7402.87</v>
      </c>
      <c r="T13" s="61" t="s">
        <v>382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44036</v>
      </c>
      <c r="C14" s="320">
        <v>3330</v>
      </c>
      <c r="D14" s="311" t="s">
        <v>394</v>
      </c>
      <c r="E14" s="151">
        <v>44036</v>
      </c>
      <c r="F14" s="32">
        <v>104283</v>
      </c>
      <c r="G14" s="152"/>
      <c r="H14" s="153">
        <v>44036</v>
      </c>
      <c r="I14" s="39">
        <v>10059</v>
      </c>
      <c r="J14" s="60">
        <v>44037</v>
      </c>
      <c r="K14" s="20" t="s">
        <v>381</v>
      </c>
      <c r="L14" s="55">
        <f>13738.08+4000+400</f>
        <v>18138.080000000002</v>
      </c>
      <c r="M14" s="34">
        <v>84797</v>
      </c>
      <c r="N14" s="35">
        <v>6097</v>
      </c>
      <c r="O14" s="276"/>
      <c r="P14" s="36">
        <f>C14+I14+M14+N14</f>
        <v>104283</v>
      </c>
      <c r="Q14" s="5">
        <f>P14-F14</f>
        <v>0</v>
      </c>
      <c r="S14" s="58">
        <v>0</v>
      </c>
      <c r="T14" s="61" t="s">
        <v>386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44037</v>
      </c>
      <c r="C15" s="320">
        <v>6355</v>
      </c>
      <c r="D15" s="310" t="s">
        <v>342</v>
      </c>
      <c r="E15" s="151">
        <v>44037</v>
      </c>
      <c r="F15" s="32">
        <v>107667</v>
      </c>
      <c r="G15" s="152"/>
      <c r="H15" s="153">
        <v>44037</v>
      </c>
      <c r="I15" s="39">
        <v>50</v>
      </c>
      <c r="J15" s="60">
        <v>44044</v>
      </c>
      <c r="K15" s="20" t="s">
        <v>406</v>
      </c>
      <c r="L15" s="55">
        <f>10938.87+400+4571</f>
        <v>15909.87</v>
      </c>
      <c r="M15" s="34">
        <v>86609</v>
      </c>
      <c r="N15" s="35">
        <v>4353</v>
      </c>
      <c r="O15" s="433" t="s">
        <v>250</v>
      </c>
      <c r="P15" s="36">
        <f>C15+I15+M15+N15+L14</f>
        <v>115505.08</v>
      </c>
      <c r="Q15" s="201">
        <f t="shared" ref="Q15:Q39" si="1">P15-F15</f>
        <v>7838.0800000000017</v>
      </c>
      <c r="S15" s="58">
        <v>0</v>
      </c>
      <c r="T15" s="61" t="s">
        <v>383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44038</v>
      </c>
      <c r="C16" s="320">
        <v>3547</v>
      </c>
      <c r="D16" s="310" t="s">
        <v>395</v>
      </c>
      <c r="E16" s="151">
        <v>44038</v>
      </c>
      <c r="F16" s="32">
        <v>82478</v>
      </c>
      <c r="G16" s="152"/>
      <c r="H16" s="153">
        <v>44038</v>
      </c>
      <c r="I16" s="39">
        <v>533</v>
      </c>
      <c r="J16" s="60"/>
      <c r="K16" s="20" t="s">
        <v>140</v>
      </c>
      <c r="L16" s="5">
        <v>0</v>
      </c>
      <c r="M16" s="34">
        <v>73187</v>
      </c>
      <c r="N16" s="35">
        <v>5211</v>
      </c>
      <c r="O16" s="433" t="s">
        <v>250</v>
      </c>
      <c r="P16" s="36">
        <f>C16+I16+M16+N16</f>
        <v>82478</v>
      </c>
      <c r="Q16" s="5">
        <f t="shared" si="1"/>
        <v>0</v>
      </c>
      <c r="S16" s="58">
        <v>0</v>
      </c>
      <c r="T16" s="61" t="s">
        <v>389</v>
      </c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44039</v>
      </c>
      <c r="C17" s="320">
        <v>2617</v>
      </c>
      <c r="D17" s="312" t="s">
        <v>396</v>
      </c>
      <c r="E17" s="151">
        <v>44039</v>
      </c>
      <c r="F17" s="32">
        <v>85099</v>
      </c>
      <c r="G17" s="152"/>
      <c r="H17" s="153">
        <v>44039</v>
      </c>
      <c r="I17" s="39">
        <v>500</v>
      </c>
      <c r="J17" s="67"/>
      <c r="K17" s="20"/>
      <c r="L17" s="68">
        <v>0</v>
      </c>
      <c r="M17" s="34">
        <v>80663</v>
      </c>
      <c r="N17" s="35">
        <v>3412</v>
      </c>
      <c r="O17" s="276"/>
      <c r="P17" s="36">
        <f>C17+I17+M17+N17+L15</f>
        <v>103101.87</v>
      </c>
      <c r="Q17" s="198">
        <f t="shared" si="1"/>
        <v>18002.869999999995</v>
      </c>
      <c r="S17" s="58">
        <v>0</v>
      </c>
      <c r="T17" s="61" t="s">
        <v>390</v>
      </c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44040</v>
      </c>
      <c r="C18" s="320">
        <v>2054</v>
      </c>
      <c r="D18" s="310" t="s">
        <v>397</v>
      </c>
      <c r="E18" s="151">
        <v>44040</v>
      </c>
      <c r="F18" s="32">
        <v>62584</v>
      </c>
      <c r="G18" s="152"/>
      <c r="H18" s="153">
        <v>44040</v>
      </c>
      <c r="I18" s="39">
        <v>539</v>
      </c>
      <c r="J18" s="67"/>
      <c r="K18" s="71"/>
      <c r="L18" s="55"/>
      <c r="M18" s="34">
        <v>61179</v>
      </c>
      <c r="N18" s="35">
        <v>2016</v>
      </c>
      <c r="O18" s="276"/>
      <c r="P18" s="36">
        <f t="shared" ref="P18" si="2">C18+I18+M18+N18</f>
        <v>65788</v>
      </c>
      <c r="Q18" s="198">
        <f t="shared" si="1"/>
        <v>3204</v>
      </c>
      <c r="S18" s="5">
        <f>SUM(S11:S17)</f>
        <v>23650.7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44041</v>
      </c>
      <c r="C19" s="320">
        <v>4880</v>
      </c>
      <c r="D19" s="310" t="s">
        <v>398</v>
      </c>
      <c r="E19" s="151">
        <v>44041</v>
      </c>
      <c r="F19" s="32">
        <v>89999</v>
      </c>
      <c r="G19" s="152"/>
      <c r="H19" s="153">
        <v>44041</v>
      </c>
      <c r="I19" s="39">
        <v>500</v>
      </c>
      <c r="J19" s="67"/>
      <c r="K19" s="71"/>
      <c r="L19" s="73"/>
      <c r="M19" s="34">
        <f>73120+8699</f>
        <v>81819</v>
      </c>
      <c r="N19" s="35">
        <v>2800</v>
      </c>
      <c r="O19" s="276"/>
      <c r="P19" s="36">
        <f>C19+I19+M19+N19</f>
        <v>89999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44042</v>
      </c>
      <c r="C20" s="320">
        <v>1335</v>
      </c>
      <c r="D20" s="310" t="s">
        <v>72</v>
      </c>
      <c r="E20" s="151">
        <v>44042</v>
      </c>
      <c r="F20" s="32">
        <v>69890</v>
      </c>
      <c r="G20" s="152"/>
      <c r="H20" s="153">
        <v>44042</v>
      </c>
      <c r="I20" s="39">
        <v>642</v>
      </c>
      <c r="J20" s="60"/>
      <c r="K20" s="220"/>
      <c r="L20" s="68" t="s">
        <v>12</v>
      </c>
      <c r="M20" s="34">
        <v>44374</v>
      </c>
      <c r="N20" s="35">
        <v>3539</v>
      </c>
      <c r="O20" s="276"/>
      <c r="P20" s="36">
        <f>C20+I20+M20+N20+L8</f>
        <v>69890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44043</v>
      </c>
      <c r="C21" s="320">
        <v>14020</v>
      </c>
      <c r="D21" s="310" t="s">
        <v>399</v>
      </c>
      <c r="E21" s="151">
        <v>44043</v>
      </c>
      <c r="F21" s="32">
        <v>125869</v>
      </c>
      <c r="G21" s="152"/>
      <c r="H21" s="153">
        <v>44043</v>
      </c>
      <c r="I21" s="39">
        <v>12480</v>
      </c>
      <c r="J21" s="67"/>
      <c r="K21" s="74"/>
      <c r="L21" s="68"/>
      <c r="M21" s="434">
        <v>94434</v>
      </c>
      <c r="N21" s="35">
        <v>4935</v>
      </c>
      <c r="O21" s="257" t="s">
        <v>400</v>
      </c>
      <c r="P21" s="36">
        <f>C21+I21+M21+N21</f>
        <v>125869</v>
      </c>
      <c r="Q21" s="5">
        <f t="shared" si="1"/>
        <v>0</v>
      </c>
      <c r="T21" s="8"/>
      <c r="U21" s="8"/>
      <c r="V21" s="432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44044</v>
      </c>
      <c r="C22" s="320">
        <v>22319</v>
      </c>
      <c r="D22" s="310" t="s">
        <v>401</v>
      </c>
      <c r="E22" s="151">
        <v>44044</v>
      </c>
      <c r="F22" s="32">
        <v>115253</v>
      </c>
      <c r="G22" s="152"/>
      <c r="H22" s="153">
        <v>44044</v>
      </c>
      <c r="I22" s="39">
        <v>250</v>
      </c>
      <c r="J22" s="76"/>
      <c r="K22" s="59"/>
      <c r="L22" s="77"/>
      <c r="M22" s="34">
        <v>76649</v>
      </c>
      <c r="N22" s="35">
        <v>7528</v>
      </c>
      <c r="O22" s="276"/>
      <c r="P22" s="36">
        <f>C22+I22+M22+N22+L15</f>
        <v>122655.87</v>
      </c>
      <c r="Q22" s="201">
        <f>P22-F22</f>
        <v>7402.8699999999953</v>
      </c>
      <c r="T22" s="8"/>
      <c r="U22" s="8"/>
      <c r="V22" s="432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44045</v>
      </c>
      <c r="C23" s="320">
        <v>0</v>
      </c>
      <c r="D23" s="310"/>
      <c r="E23" s="151">
        <v>44045</v>
      </c>
      <c r="F23" s="32">
        <v>99735</v>
      </c>
      <c r="G23" s="152"/>
      <c r="H23" s="153">
        <v>44045</v>
      </c>
      <c r="I23" s="39">
        <v>0</v>
      </c>
      <c r="J23" s="284"/>
      <c r="K23" s="289"/>
      <c r="L23" s="285"/>
      <c r="M23" s="34">
        <v>97101</v>
      </c>
      <c r="N23" s="35">
        <v>2634</v>
      </c>
      <c r="O23" s="257"/>
      <c r="P23" s="36">
        <f>C23+I23+M23+N23</f>
        <v>99735</v>
      </c>
      <c r="Q23" s="5">
        <f>P23-F23</f>
        <v>0</v>
      </c>
      <c r="T23" s="8"/>
      <c r="U23" s="8"/>
      <c r="V23" s="432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44046</v>
      </c>
      <c r="C24" s="320">
        <v>4715</v>
      </c>
      <c r="D24" s="310" t="s">
        <v>402</v>
      </c>
      <c r="E24" s="151">
        <v>44046</v>
      </c>
      <c r="F24" s="32">
        <v>71104</v>
      </c>
      <c r="G24" s="152"/>
      <c r="H24" s="153">
        <v>44046</v>
      </c>
      <c r="I24" s="39">
        <v>0</v>
      </c>
      <c r="J24" s="416" t="s">
        <v>404</v>
      </c>
      <c r="K24" s="290" t="s">
        <v>405</v>
      </c>
      <c r="L24" s="417">
        <v>9345</v>
      </c>
      <c r="M24" s="34">
        <v>63173</v>
      </c>
      <c r="N24" s="35">
        <v>3216</v>
      </c>
      <c r="O24" s="276"/>
      <c r="P24" s="36">
        <f>C24+I24+M24+N24</f>
        <v>71104</v>
      </c>
      <c r="Q24" s="5">
        <f t="shared" ref="Q24:Q32" si="3">P24-F24</f>
        <v>0</v>
      </c>
      <c r="T24" s="8"/>
      <c r="U24" s="8"/>
      <c r="V24" s="432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44047</v>
      </c>
      <c r="C25" s="320">
        <v>8623</v>
      </c>
      <c r="D25" s="310" t="s">
        <v>403</v>
      </c>
      <c r="E25" s="151">
        <v>44047</v>
      </c>
      <c r="F25" s="32">
        <v>80334</v>
      </c>
      <c r="G25" s="152"/>
      <c r="H25" s="153">
        <v>44047</v>
      </c>
      <c r="I25" s="39">
        <v>234</v>
      </c>
      <c r="J25" s="418" t="s">
        <v>404</v>
      </c>
      <c r="K25" s="163" t="s">
        <v>308</v>
      </c>
      <c r="L25" s="102">
        <v>1700.75</v>
      </c>
      <c r="M25" s="34">
        <v>69551</v>
      </c>
      <c r="N25" s="35">
        <v>1926</v>
      </c>
      <c r="O25" s="276"/>
      <c r="P25" s="36">
        <f>C25+I25+M25+N25</f>
        <v>80334</v>
      </c>
      <c r="Q25" s="5">
        <f t="shared" si="3"/>
        <v>0</v>
      </c>
      <c r="V25" s="432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44048</v>
      </c>
      <c r="C26" s="320">
        <v>891</v>
      </c>
      <c r="D26" s="310" t="s">
        <v>72</v>
      </c>
      <c r="E26" s="151">
        <v>44048</v>
      </c>
      <c r="F26" s="32">
        <v>75554</v>
      </c>
      <c r="G26" s="152"/>
      <c r="H26" s="153">
        <v>44048</v>
      </c>
      <c r="I26" s="39">
        <v>2159</v>
      </c>
      <c r="J26" s="60" t="s">
        <v>404</v>
      </c>
      <c r="K26" s="290" t="s">
        <v>135</v>
      </c>
      <c r="L26" s="285">
        <v>1315.8630000000001</v>
      </c>
      <c r="M26" s="34">
        <v>70780</v>
      </c>
      <c r="N26" s="35">
        <v>1724</v>
      </c>
      <c r="O26" s="276"/>
      <c r="P26" s="36">
        <f>C26+I26+M26+N26</f>
        <v>75554</v>
      </c>
      <c r="Q26" s="5">
        <f t="shared" si="3"/>
        <v>0</v>
      </c>
      <c r="S26" s="86"/>
      <c r="T26" s="86"/>
      <c r="U26" s="86"/>
      <c r="V26" s="432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/>
      <c r="C27" s="320"/>
      <c r="D27" s="310"/>
      <c r="E27" s="151"/>
      <c r="F27" s="32"/>
      <c r="G27" s="152"/>
      <c r="H27" s="153"/>
      <c r="I27" s="39"/>
      <c r="J27" s="217" t="s">
        <v>404</v>
      </c>
      <c r="K27" s="164" t="s">
        <v>308</v>
      </c>
      <c r="L27" s="102">
        <v>198.99</v>
      </c>
      <c r="M27" s="34">
        <v>0</v>
      </c>
      <c r="N27" s="35">
        <v>0</v>
      </c>
      <c r="O27" s="276"/>
      <c r="P27" s="36">
        <f>C27+I27+M27+N27+L16</f>
        <v>0</v>
      </c>
      <c r="Q27" s="5">
        <f t="shared" si="3"/>
        <v>0</v>
      </c>
      <c r="V27" s="432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/>
      <c r="C28" s="320"/>
      <c r="D28" s="314"/>
      <c r="E28" s="151"/>
      <c r="F28" s="32"/>
      <c r="G28" s="152"/>
      <c r="H28" s="153"/>
      <c r="I28" s="39"/>
      <c r="J28" s="217" t="s">
        <v>404</v>
      </c>
      <c r="K28" s="294" t="s">
        <v>311</v>
      </c>
      <c r="L28" s="102">
        <v>22382.69</v>
      </c>
      <c r="M28" s="34">
        <v>0</v>
      </c>
      <c r="N28" s="35">
        <v>0</v>
      </c>
      <c r="O28" s="276"/>
      <c r="P28" s="36">
        <f>C28+I28+M28+N28+L9+L16</f>
        <v>0</v>
      </c>
      <c r="Q28" s="5">
        <f t="shared" si="3"/>
        <v>0</v>
      </c>
      <c r="V28" s="432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6.5" thickBot="1" x14ac:dyDescent="0.3">
      <c r="A29" s="30"/>
      <c r="B29" s="319">
        <v>44028</v>
      </c>
      <c r="C29" s="320">
        <v>12095.08</v>
      </c>
      <c r="D29" s="436" t="s">
        <v>415</v>
      </c>
      <c r="E29" s="151"/>
      <c r="F29" s="32"/>
      <c r="G29" s="152"/>
      <c r="H29" s="153" t="s">
        <v>17</v>
      </c>
      <c r="I29" s="39"/>
      <c r="J29" s="217" t="s">
        <v>404</v>
      </c>
      <c r="K29" s="419" t="s">
        <v>309</v>
      </c>
      <c r="L29" s="102">
        <v>3087.29</v>
      </c>
      <c r="M29" s="34">
        <v>0</v>
      </c>
      <c r="N29" s="35">
        <v>0</v>
      </c>
      <c r="O29" s="276"/>
      <c r="P29" s="36">
        <v>0</v>
      </c>
      <c r="Q29" s="5">
        <f>P29-F29</f>
        <v>0</v>
      </c>
      <c r="S29" s="6" t="s">
        <v>12</v>
      </c>
      <c r="V29" s="432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6.5" thickBot="1" x14ac:dyDescent="0.3">
      <c r="A30" s="30"/>
      <c r="B30" s="319">
        <v>44030</v>
      </c>
      <c r="C30" s="320">
        <v>10086.85</v>
      </c>
      <c r="D30" s="436" t="s">
        <v>414</v>
      </c>
      <c r="E30" s="151"/>
      <c r="F30" s="32"/>
      <c r="G30" s="152"/>
      <c r="H30" s="153"/>
      <c r="I30" s="244"/>
      <c r="J30" s="217" t="s">
        <v>404</v>
      </c>
      <c r="K30" s="419" t="s">
        <v>379</v>
      </c>
      <c r="L30" s="293">
        <v>5800</v>
      </c>
      <c r="M30" s="34">
        <v>0</v>
      </c>
      <c r="N30" s="35">
        <v>0</v>
      </c>
      <c r="O30" s="276"/>
      <c r="P30" s="36">
        <v>0</v>
      </c>
      <c r="Q30" s="5">
        <f t="shared" si="3"/>
        <v>0</v>
      </c>
      <c r="V30" s="432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6.5" thickBot="1" x14ac:dyDescent="0.3">
      <c r="A31" s="30"/>
      <c r="B31" s="319">
        <v>44032</v>
      </c>
      <c r="C31" s="321">
        <v>14947.36</v>
      </c>
      <c r="D31" s="436" t="s">
        <v>416</v>
      </c>
      <c r="E31" s="151" t="s">
        <v>17</v>
      </c>
      <c r="F31" s="32"/>
      <c r="G31" s="152"/>
      <c r="H31" s="153"/>
      <c r="I31" s="244"/>
      <c r="J31" s="217"/>
      <c r="K31" s="163"/>
      <c r="L31" s="102"/>
      <c r="M31" s="34">
        <v>0</v>
      </c>
      <c r="N31" s="35">
        <v>0</v>
      </c>
      <c r="O31" s="276"/>
      <c r="P31" s="36">
        <v>0</v>
      </c>
      <c r="Q31" s="5">
        <f t="shared" si="3"/>
        <v>0</v>
      </c>
      <c r="V31" s="432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6.5" thickBot="1" x14ac:dyDescent="0.3">
      <c r="A32" s="30"/>
      <c r="B32" s="471">
        <v>44033</v>
      </c>
      <c r="C32" s="472">
        <v>10249.66</v>
      </c>
      <c r="D32" s="473" t="s">
        <v>520</v>
      </c>
      <c r="E32" s="474"/>
      <c r="F32" s="237"/>
      <c r="G32" s="152"/>
      <c r="H32" s="153"/>
      <c r="I32" s="244"/>
      <c r="J32" s="217"/>
      <c r="K32" s="164"/>
      <c r="L32" s="102"/>
      <c r="M32" s="34">
        <v>0</v>
      </c>
      <c r="N32" s="35">
        <v>0</v>
      </c>
      <c r="O32" s="276"/>
      <c r="P32" s="36">
        <v>0</v>
      </c>
      <c r="Q32" s="5">
        <f t="shared" si="3"/>
        <v>0</v>
      </c>
      <c r="V32" s="432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>
        <v>44035</v>
      </c>
      <c r="C33" s="321">
        <v>17215.71</v>
      </c>
      <c r="D33" s="440" t="s">
        <v>421</v>
      </c>
      <c r="E33" s="151"/>
      <c r="F33" s="176"/>
      <c r="G33" s="152"/>
      <c r="H33" s="153"/>
      <c r="I33" s="244"/>
      <c r="J33" s="217"/>
      <c r="K33" s="420"/>
      <c r="L33" s="102"/>
      <c r="M33" s="34">
        <v>0</v>
      </c>
      <c r="N33" s="35">
        <v>0</v>
      </c>
      <c r="O33" s="276"/>
      <c r="P33" s="36">
        <v>0</v>
      </c>
      <c r="Q33" s="5">
        <f t="shared" si="1"/>
        <v>0</v>
      </c>
      <c r="R33" s="36"/>
      <c r="V33" s="432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6.5" thickBot="1" x14ac:dyDescent="0.3">
      <c r="A34" s="30"/>
      <c r="B34" s="319">
        <v>44039</v>
      </c>
      <c r="C34" s="321">
        <v>19600.849999999999</v>
      </c>
      <c r="D34" s="440" t="s">
        <v>422</v>
      </c>
      <c r="E34" s="151"/>
      <c r="F34" s="176"/>
      <c r="G34" s="152"/>
      <c r="H34" s="153"/>
      <c r="I34" s="244"/>
      <c r="J34" s="217"/>
      <c r="K34" s="163"/>
      <c r="L34" s="102"/>
      <c r="M34" s="34">
        <v>0</v>
      </c>
      <c r="N34" s="35">
        <v>0</v>
      </c>
      <c r="O34" s="276"/>
      <c r="P34" s="36">
        <v>0</v>
      </c>
      <c r="Q34" s="5">
        <f t="shared" si="1"/>
        <v>0</v>
      </c>
      <c r="R34" s="36"/>
      <c r="V34" s="432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6.5" thickBot="1" x14ac:dyDescent="0.3">
      <c r="A35" s="30"/>
      <c r="B35" s="319">
        <v>44042</v>
      </c>
      <c r="C35" s="321">
        <v>9804.11</v>
      </c>
      <c r="D35" s="440" t="s">
        <v>423</v>
      </c>
      <c r="E35" s="151"/>
      <c r="F35" s="176"/>
      <c r="G35" s="152"/>
      <c r="H35" s="153"/>
      <c r="I35" s="244"/>
      <c r="J35" s="217"/>
      <c r="K35" s="164"/>
      <c r="L35" s="292"/>
      <c r="M35" s="34">
        <v>0</v>
      </c>
      <c r="N35" s="35">
        <v>0</v>
      </c>
      <c r="O35" s="276"/>
      <c r="P35" s="36">
        <v>0</v>
      </c>
      <c r="Q35" s="5">
        <f t="shared" si="1"/>
        <v>0</v>
      </c>
      <c r="R35" s="36"/>
      <c r="V35" s="432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6.5" thickBot="1" x14ac:dyDescent="0.3">
      <c r="A36" s="30"/>
      <c r="B36" s="319">
        <v>44043</v>
      </c>
      <c r="C36" s="321">
        <v>11968.59</v>
      </c>
      <c r="D36" s="440" t="s">
        <v>426</v>
      </c>
      <c r="E36" s="151"/>
      <c r="F36" s="176"/>
      <c r="G36" s="152"/>
      <c r="H36" s="153"/>
      <c r="I36" s="244"/>
      <c r="J36" s="217"/>
      <c r="K36" s="163"/>
      <c r="L36" s="102"/>
      <c r="M36" s="34">
        <v>0</v>
      </c>
      <c r="N36" s="35">
        <v>0</v>
      </c>
      <c r="O36" s="276"/>
      <c r="P36" s="36">
        <v>0</v>
      </c>
      <c r="Q36" s="5">
        <f t="shared" si="1"/>
        <v>0</v>
      </c>
      <c r="R36" s="36"/>
      <c r="V36" s="432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6.5" thickBot="1" x14ac:dyDescent="0.3">
      <c r="A37" s="30"/>
      <c r="B37" s="319">
        <v>44047</v>
      </c>
      <c r="C37" s="321">
        <v>14203.02</v>
      </c>
      <c r="D37" s="440" t="s">
        <v>424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v>0</v>
      </c>
      <c r="Q37" s="36">
        <f t="shared" si="1"/>
        <v>0</v>
      </c>
      <c r="R37" s="36"/>
      <c r="V37" s="432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6.5" thickBot="1" x14ac:dyDescent="0.3">
      <c r="A38" s="30"/>
      <c r="B38" s="319">
        <v>44048</v>
      </c>
      <c r="C38" s="322">
        <v>4690</v>
      </c>
      <c r="D38" s="440" t="s">
        <v>425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36">
        <v>0</v>
      </c>
      <c r="Q38" s="36">
        <f t="shared" si="1"/>
        <v>0</v>
      </c>
      <c r="R38" s="36"/>
      <c r="V38" s="432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6.5" thickBot="1" x14ac:dyDescent="0.3">
      <c r="A39" s="105"/>
      <c r="B39" s="319"/>
      <c r="C39" s="360"/>
      <c r="D39" s="437"/>
      <c r="E39" s="362"/>
      <c r="F39" s="412"/>
      <c r="G39" s="413"/>
      <c r="H39" s="358"/>
      <c r="I39" s="344"/>
      <c r="J39" s="228"/>
      <c r="K39" s="265"/>
      <c r="L39" s="77"/>
      <c r="M39" s="34">
        <v>0</v>
      </c>
      <c r="N39" s="35">
        <v>0</v>
      </c>
      <c r="O39" s="277"/>
      <c r="P39" s="104">
        <f t="shared" ref="P39" si="4">C39+I39+M39+N39</f>
        <v>0</v>
      </c>
      <c r="Q39" s="104">
        <f t="shared" si="1"/>
        <v>0</v>
      </c>
      <c r="R39" s="114"/>
      <c r="V39" s="432"/>
      <c r="W39" s="44" t="s">
        <v>11</v>
      </c>
      <c r="X39" s="196">
        <v>0</v>
      </c>
      <c r="Y39" s="41"/>
      <c r="AA39" s="29">
        <v>43973</v>
      </c>
      <c r="AB39" s="44" t="s">
        <v>11</v>
      </c>
      <c r="AC39" s="196">
        <v>5010</v>
      </c>
      <c r="AD39" s="41"/>
      <c r="AF39" s="19" t="s">
        <v>160</v>
      </c>
      <c r="AG39" s="167"/>
      <c r="AH39" s="21">
        <v>0</v>
      </c>
    </row>
    <row r="40" spans="1:34" ht="16.5" thickBot="1" x14ac:dyDescent="0.3">
      <c r="B40" s="385" t="s">
        <v>16</v>
      </c>
      <c r="C40" s="386">
        <f>SUM(C5:C39)</f>
        <v>253011.22999999998</v>
      </c>
      <c r="D40" s="117"/>
      <c r="E40" s="303" t="s">
        <v>16</v>
      </c>
      <c r="F40" s="304">
        <f>SUM(F5:F39)</f>
        <v>2042022</v>
      </c>
      <c r="G40" s="117"/>
      <c r="H40" s="120" t="s">
        <v>303</v>
      </c>
      <c r="I40" s="121">
        <f>SUM(I5:I39)</f>
        <v>45123</v>
      </c>
      <c r="J40" s="332"/>
      <c r="K40" s="122" t="s">
        <v>304</v>
      </c>
      <c r="L40" s="123">
        <f>SUM(L6:L39)</f>
        <v>141134.783</v>
      </c>
      <c r="M40" s="131">
        <f>SUM(M5:M39)</f>
        <v>1751345.5</v>
      </c>
      <c r="N40" s="131">
        <f>SUM(N5:N39)</f>
        <v>79278</v>
      </c>
      <c r="O40" s="278"/>
      <c r="P40" s="36">
        <f>SUM(P5:P39)</f>
        <v>2090548.5700000003</v>
      </c>
      <c r="Q40" s="36">
        <f>SUM(Q5:Q39)</f>
        <v>48526.569999999992</v>
      </c>
      <c r="R40" s="36"/>
      <c r="V40" s="29"/>
      <c r="W40" s="38" t="s">
        <v>10</v>
      </c>
      <c r="X40" s="196">
        <v>0</v>
      </c>
      <c r="Y40" s="41"/>
      <c r="AA40" s="29">
        <v>43973</v>
      </c>
      <c r="AB40" s="38" t="s">
        <v>10</v>
      </c>
      <c r="AC40" s="196">
        <v>5010</v>
      </c>
      <c r="AD40" s="41"/>
      <c r="AF40" s="19" t="s">
        <v>161</v>
      </c>
      <c r="AG40" s="167"/>
      <c r="AH40" s="21">
        <v>0</v>
      </c>
    </row>
    <row r="41" spans="1:34" ht="17.25" customHeight="1" thickTop="1" thickBot="1" x14ac:dyDescent="0.3">
      <c r="C41" s="8" t="s">
        <v>12</v>
      </c>
      <c r="O41" s="279"/>
      <c r="P41" s="114"/>
      <c r="Q41" s="114"/>
      <c r="V41" s="29"/>
      <c r="W41" s="44" t="s">
        <v>11</v>
      </c>
      <c r="X41" s="196">
        <v>0</v>
      </c>
      <c r="Y41" s="41"/>
      <c r="AA41" s="29">
        <v>43980</v>
      </c>
      <c r="AB41" s="44" t="s">
        <v>11</v>
      </c>
      <c r="AC41" s="196">
        <v>5010</v>
      </c>
      <c r="AD41" s="41"/>
      <c r="AF41" s="19" t="s">
        <v>162</v>
      </c>
      <c r="AG41" s="167"/>
      <c r="AH41" s="21">
        <v>0</v>
      </c>
    </row>
    <row r="42" spans="1:34" ht="19.5" thickBot="1" x14ac:dyDescent="0.3">
      <c r="A42" s="59"/>
      <c r="B42" s="125"/>
      <c r="C42" s="4"/>
      <c r="H42" s="638" t="s">
        <v>18</v>
      </c>
      <c r="I42" s="639"/>
      <c r="J42" s="333"/>
      <c r="K42" s="640">
        <f>I40+L40</f>
        <v>186257.783</v>
      </c>
      <c r="L42" s="641"/>
      <c r="M42" s="636">
        <f>M40+N40</f>
        <v>1830623.5</v>
      </c>
      <c r="N42" s="637"/>
      <c r="P42" s="670">
        <f>P40+Q40</f>
        <v>2139075.14</v>
      </c>
      <c r="Q42" s="671"/>
      <c r="S42" s="5"/>
      <c r="T42" s="128"/>
      <c r="U42" s="128"/>
      <c r="V42" s="29"/>
      <c r="W42" s="38" t="s">
        <v>10</v>
      </c>
      <c r="X42" s="196">
        <v>0</v>
      </c>
      <c r="Y42" s="41"/>
      <c r="Z42" s="128"/>
      <c r="AA42" s="29">
        <v>43980</v>
      </c>
      <c r="AB42" s="38" t="s">
        <v>10</v>
      </c>
      <c r="AC42" s="196">
        <v>5010</v>
      </c>
      <c r="AD42" s="41"/>
      <c r="AF42" s="19" t="s">
        <v>163</v>
      </c>
      <c r="AG42" s="167"/>
      <c r="AH42" s="21">
        <v>0</v>
      </c>
    </row>
    <row r="43" spans="1:34" ht="15.75" x14ac:dyDescent="0.25">
      <c r="D43" s="642" t="s">
        <v>19</v>
      </c>
      <c r="E43" s="642"/>
      <c r="F43" s="129">
        <f>F40-K42-C40</f>
        <v>1602752.987</v>
      </c>
      <c r="I43" s="130"/>
      <c r="J43" s="334"/>
      <c r="P43" s="127"/>
      <c r="V43" s="29"/>
      <c r="W43" s="44" t="s">
        <v>11</v>
      </c>
      <c r="X43" s="196">
        <v>0</v>
      </c>
      <c r="Y43" s="41"/>
      <c r="AA43" s="29">
        <v>43987</v>
      </c>
      <c r="AB43" s="44" t="s">
        <v>11</v>
      </c>
      <c r="AC43" s="196">
        <v>5010</v>
      </c>
      <c r="AD43" s="41"/>
      <c r="AF43" s="19" t="s">
        <v>164</v>
      </c>
      <c r="AG43" s="167"/>
      <c r="AH43" s="21">
        <v>0</v>
      </c>
    </row>
    <row r="44" spans="1:34" ht="18.75" x14ac:dyDescent="0.3">
      <c r="D44" s="655" t="s">
        <v>20</v>
      </c>
      <c r="E44" s="655"/>
      <c r="F44" s="131">
        <v>-1500498.43</v>
      </c>
      <c r="I44" s="656" t="s">
        <v>21</v>
      </c>
      <c r="J44" s="657"/>
      <c r="K44" s="658">
        <f>F49</f>
        <v>380217.37700000004</v>
      </c>
      <c r="L44" s="659"/>
      <c r="P44" s="405"/>
      <c r="Q44" s="36"/>
      <c r="V44" s="29"/>
      <c r="W44" s="38" t="s">
        <v>10</v>
      </c>
      <c r="X44" s="196">
        <v>0</v>
      </c>
      <c r="Y44" s="41"/>
      <c r="AA44" s="29">
        <v>43987</v>
      </c>
      <c r="AB44" s="38" t="s">
        <v>10</v>
      </c>
      <c r="AC44" s="196">
        <v>5010</v>
      </c>
      <c r="AD44" s="41"/>
      <c r="AF44" s="19" t="s">
        <v>165</v>
      </c>
      <c r="AG44" s="167"/>
      <c r="AH44" s="21">
        <v>0</v>
      </c>
    </row>
    <row r="45" spans="1:34" ht="4.5" customHeight="1" thickBot="1" x14ac:dyDescent="0.35">
      <c r="D45" s="132"/>
      <c r="E45" s="133"/>
      <c r="F45" s="134">
        <v>0</v>
      </c>
      <c r="I45" s="135"/>
      <c r="J45" s="335"/>
      <c r="K45" s="136"/>
      <c r="L45" s="136"/>
      <c r="P45" s="127"/>
      <c r="Q45" s="36"/>
      <c r="V45" s="8"/>
      <c r="W45" s="44" t="s">
        <v>11</v>
      </c>
      <c r="X45" s="196">
        <v>0</v>
      </c>
      <c r="AA45" s="8"/>
      <c r="AB45" s="44" t="s">
        <v>11</v>
      </c>
      <c r="AC45" s="196">
        <v>0</v>
      </c>
    </row>
    <row r="46" spans="1:34" ht="20.25" thickTop="1" thickBot="1" x14ac:dyDescent="0.35">
      <c r="C46" s="16" t="s">
        <v>12</v>
      </c>
      <c r="E46" s="59" t="s">
        <v>22</v>
      </c>
      <c r="F46" s="131">
        <f>SUM(F43:F45)</f>
        <v>102254.55700000003</v>
      </c>
      <c r="H46" s="30"/>
      <c r="I46" s="137" t="s">
        <v>23</v>
      </c>
      <c r="J46" s="336"/>
      <c r="K46" s="627">
        <f>-C4</f>
        <v>-229708.38</v>
      </c>
      <c r="L46" s="628"/>
      <c r="M46" s="214"/>
      <c r="P46" s="127"/>
      <c r="Q46" s="36"/>
      <c r="V46" s="8"/>
      <c r="W46" s="65" t="s">
        <v>16</v>
      </c>
      <c r="X46" s="66">
        <f>SUM(X4:X14)</f>
        <v>105110</v>
      </c>
      <c r="AA46" s="8"/>
      <c r="AB46" s="65" t="s">
        <v>323</v>
      </c>
      <c r="AC46" s="66">
        <f>SUM(AC4:AC14)</f>
        <v>55110</v>
      </c>
    </row>
    <row r="47" spans="1:34" ht="16.5" thickBot="1" x14ac:dyDescent="0.3">
      <c r="D47" s="139" t="s">
        <v>24</v>
      </c>
      <c r="E47" s="59" t="s">
        <v>25</v>
      </c>
      <c r="F47" s="140">
        <v>21584</v>
      </c>
      <c r="P47" s="127"/>
      <c r="Q47" s="36"/>
      <c r="V47" s="8"/>
      <c r="AA47" s="8"/>
    </row>
    <row r="48" spans="1:34" ht="20.25" thickTop="1" thickBot="1" x14ac:dyDescent="0.35">
      <c r="C48" s="231">
        <v>44048</v>
      </c>
      <c r="D48" s="629" t="s">
        <v>26</v>
      </c>
      <c r="E48" s="630"/>
      <c r="F48" s="142">
        <v>256378.82</v>
      </c>
      <c r="I48" s="631" t="s">
        <v>129</v>
      </c>
      <c r="J48" s="632"/>
      <c r="K48" s="633">
        <f>K44+K46</f>
        <v>150508.99700000003</v>
      </c>
      <c r="L48" s="634"/>
      <c r="P48" s="406"/>
      <c r="Q48" s="36"/>
    </row>
    <row r="49" spans="2:18" ht="18.75" x14ac:dyDescent="0.3">
      <c r="C49" s="143"/>
      <c r="D49" s="144"/>
      <c r="E49" s="61" t="s">
        <v>27</v>
      </c>
      <c r="F49" s="145">
        <f>F46+F47+F48</f>
        <v>380217.37700000004</v>
      </c>
      <c r="J49" s="337"/>
      <c r="M49" s="146"/>
      <c r="P49" s="36"/>
      <c r="Q49" s="36"/>
    </row>
    <row r="50" spans="2:18" x14ac:dyDescent="0.25">
      <c r="P50" s="36"/>
      <c r="Q50" s="36"/>
    </row>
    <row r="51" spans="2:18" x14ac:dyDescent="0.25">
      <c r="B51"/>
      <c r="C51"/>
      <c r="D51" s="635"/>
      <c r="E51" s="635"/>
      <c r="M51" s="147"/>
      <c r="N51" s="59"/>
      <c r="O51" s="59"/>
      <c r="P51" s="404"/>
      <c r="Q51" s="191"/>
      <c r="R51" s="186"/>
    </row>
    <row r="52" spans="2:18" x14ac:dyDescent="0.25">
      <c r="B52"/>
      <c r="C52"/>
      <c r="M52" s="147"/>
      <c r="N52" s="59"/>
      <c r="O52" s="59"/>
      <c r="P52" s="191"/>
      <c r="Q52" s="191"/>
      <c r="R52" s="186"/>
    </row>
    <row r="53" spans="2:18" x14ac:dyDescent="0.25">
      <c r="B53"/>
      <c r="C53"/>
      <c r="K53" s="382"/>
      <c r="L53" s="382"/>
      <c r="N53" s="59"/>
      <c r="O53" s="59"/>
      <c r="P53" s="191"/>
      <c r="Q53" s="191"/>
      <c r="R53" s="186"/>
    </row>
    <row r="54" spans="2:18" x14ac:dyDescent="0.25">
      <c r="B54"/>
      <c r="C54"/>
      <c r="F54"/>
      <c r="I54"/>
      <c r="J54" s="222"/>
      <c r="K54" s="382"/>
      <c r="L54" s="395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K55" s="382"/>
      <c r="L55" s="395"/>
      <c r="N55" s="59"/>
      <c r="O55" s="59"/>
      <c r="P55" s="59"/>
      <c r="Q55" s="186"/>
      <c r="R55" s="186"/>
    </row>
    <row r="56" spans="2:18" x14ac:dyDescent="0.25">
      <c r="F56" s="36"/>
      <c r="K56" s="382"/>
      <c r="L56" s="395"/>
      <c r="M56" s="4"/>
      <c r="N56" s="59"/>
      <c r="O56" s="59"/>
      <c r="P56" s="59"/>
      <c r="Q56" s="186"/>
      <c r="R56" s="186"/>
    </row>
    <row r="57" spans="2:18" x14ac:dyDescent="0.25">
      <c r="F57" s="36"/>
      <c r="K57" s="382"/>
      <c r="L57" s="293"/>
      <c r="M57" s="4"/>
      <c r="N57" s="59"/>
      <c r="O57" s="59"/>
      <c r="P57" s="59"/>
      <c r="Q57" s="186"/>
      <c r="R57" s="186"/>
    </row>
    <row r="58" spans="2:18" x14ac:dyDescent="0.25">
      <c r="F58" s="36"/>
      <c r="K58" s="382"/>
      <c r="L58" s="395"/>
      <c r="M58" s="4"/>
      <c r="N58" s="59"/>
      <c r="O58" s="59"/>
      <c r="P58" s="59"/>
      <c r="Q58" s="186"/>
      <c r="R58" s="186"/>
    </row>
    <row r="59" spans="2:18" x14ac:dyDescent="0.25">
      <c r="F59" s="36"/>
      <c r="K59" s="382"/>
      <c r="L59" s="395"/>
      <c r="M59" s="4"/>
      <c r="N59" s="59"/>
      <c r="O59" s="59"/>
      <c r="P59" s="59"/>
      <c r="Q59" s="186"/>
      <c r="R59" s="186"/>
    </row>
    <row r="60" spans="2:18" x14ac:dyDescent="0.25">
      <c r="F60" s="36"/>
      <c r="K60" s="382"/>
      <c r="L60" s="395"/>
      <c r="M60" s="4"/>
    </row>
    <row r="61" spans="2:18" x14ac:dyDescent="0.25">
      <c r="F61" s="36"/>
      <c r="K61" s="382"/>
      <c r="L61" s="395"/>
      <c r="M61" s="4"/>
    </row>
    <row r="62" spans="2:18" x14ac:dyDescent="0.25">
      <c r="F62" s="36"/>
      <c r="K62" s="382"/>
      <c r="L62" s="357"/>
      <c r="M62" s="4"/>
    </row>
    <row r="63" spans="2:18" x14ac:dyDescent="0.25">
      <c r="F63" s="36"/>
      <c r="K63" s="382"/>
      <c r="L63" s="395"/>
      <c r="M63" s="4"/>
    </row>
    <row r="64" spans="2:18" x14ac:dyDescent="0.25">
      <c r="F64" s="36"/>
      <c r="K64" s="382"/>
      <c r="L64" s="396"/>
      <c r="M64" s="4"/>
    </row>
    <row r="65" spans="6:13" x14ac:dyDescent="0.25">
      <c r="F65" s="148"/>
      <c r="K65" s="382"/>
      <c r="L65" s="382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mergeCells count="22">
    <mergeCell ref="D51:E51"/>
    <mergeCell ref="D43:E43"/>
    <mergeCell ref="D44:E44"/>
    <mergeCell ref="I44:J44"/>
    <mergeCell ref="K44:L44"/>
    <mergeCell ref="K46:L46"/>
    <mergeCell ref="D48:E48"/>
    <mergeCell ref="I48:J48"/>
    <mergeCell ref="K48:L48"/>
    <mergeCell ref="P42:Q42"/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42:I42"/>
    <mergeCell ref="K42:L42"/>
    <mergeCell ref="M42:N42"/>
  </mergeCells>
  <phoneticPr fontId="30" type="noConversion"/>
  <pageMargins left="0.70866141732283472" right="0.16" top="0.37" bottom="0.34" header="0.31496062992125984" footer="0.31496062992125984"/>
  <pageSetup scale="70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1D140-2626-43AB-9295-FF2364D7309D}">
  <sheetPr>
    <tabColor rgb="FFFFFF00"/>
  </sheetPr>
  <dimension ref="A1:F71"/>
  <sheetViews>
    <sheetView topLeftCell="A16" workbookViewId="0">
      <selection activeCell="E32" sqref="E3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44027</v>
      </c>
      <c r="B3" s="272">
        <v>22181</v>
      </c>
      <c r="C3" s="176">
        <v>38328.9</v>
      </c>
      <c r="D3" s="270"/>
      <c r="E3" s="5"/>
      <c r="F3" s="173">
        <f>C3-E3</f>
        <v>38328.9</v>
      </c>
    </row>
    <row r="4" spans="1:6" x14ac:dyDescent="0.25">
      <c r="A4" s="271">
        <v>44027</v>
      </c>
      <c r="B4" s="272">
        <v>22193</v>
      </c>
      <c r="C4" s="176">
        <v>4424</v>
      </c>
      <c r="D4" s="273"/>
      <c r="E4" s="176"/>
      <c r="F4" s="173">
        <f>F3+C4-E4</f>
        <v>42752.9</v>
      </c>
    </row>
    <row r="5" spans="1:6" x14ac:dyDescent="0.25">
      <c r="A5" s="273">
        <v>44028</v>
      </c>
      <c r="B5" s="272">
        <v>22328</v>
      </c>
      <c r="C5" s="176">
        <v>80009.259999999995</v>
      </c>
      <c r="D5" s="273"/>
      <c r="E5" s="176"/>
      <c r="F5" s="173">
        <f t="shared" ref="F5:F34" si="0">F4+C5-E5</f>
        <v>122762.16</v>
      </c>
    </row>
    <row r="6" spans="1:6" x14ac:dyDescent="0.25">
      <c r="A6" s="273">
        <v>44028</v>
      </c>
      <c r="B6" s="272">
        <v>22330</v>
      </c>
      <c r="C6" s="176">
        <v>224</v>
      </c>
      <c r="D6" s="273"/>
      <c r="E6" s="176"/>
      <c r="F6" s="173">
        <f t="shared" si="0"/>
        <v>122986.16</v>
      </c>
    </row>
    <row r="7" spans="1:6" x14ac:dyDescent="0.25">
      <c r="A7" s="273">
        <v>44028</v>
      </c>
      <c r="B7" s="272">
        <v>22398</v>
      </c>
      <c r="C7" s="176">
        <v>31533.93</v>
      </c>
      <c r="D7" s="273"/>
      <c r="E7" s="176"/>
      <c r="F7" s="173">
        <f t="shared" si="0"/>
        <v>154520.09</v>
      </c>
    </row>
    <row r="8" spans="1:6" x14ac:dyDescent="0.25">
      <c r="A8" s="273">
        <v>44029</v>
      </c>
      <c r="B8" s="272">
        <v>22432</v>
      </c>
      <c r="C8" s="176">
        <v>102884.82</v>
      </c>
      <c r="D8" s="273">
        <v>44030</v>
      </c>
      <c r="E8" s="176">
        <v>257404.91</v>
      </c>
      <c r="F8" s="435">
        <f t="shared" si="0"/>
        <v>0</v>
      </c>
    </row>
    <row r="9" spans="1:6" x14ac:dyDescent="0.25">
      <c r="A9" s="273">
        <v>44030</v>
      </c>
      <c r="B9" s="272">
        <v>22624</v>
      </c>
      <c r="C9" s="176">
        <v>38316.9</v>
      </c>
      <c r="D9" s="273"/>
      <c r="E9" s="176"/>
      <c r="F9" s="173">
        <f t="shared" si="0"/>
        <v>38316.9</v>
      </c>
    </row>
    <row r="10" spans="1:6" x14ac:dyDescent="0.25">
      <c r="A10" s="273">
        <v>44030</v>
      </c>
      <c r="B10" s="272">
        <v>22720</v>
      </c>
      <c r="C10" s="176">
        <v>168559.44</v>
      </c>
      <c r="D10" s="273"/>
      <c r="E10" s="176"/>
      <c r="F10" s="173">
        <f t="shared" si="0"/>
        <v>206876.34</v>
      </c>
    </row>
    <row r="11" spans="1:6" x14ac:dyDescent="0.25">
      <c r="A11" s="271">
        <v>44032</v>
      </c>
      <c r="B11" s="272">
        <v>22830</v>
      </c>
      <c r="C11" s="176">
        <v>534</v>
      </c>
      <c r="D11" s="273"/>
      <c r="E11" s="176"/>
      <c r="F11" s="173">
        <f t="shared" si="0"/>
        <v>207410.34</v>
      </c>
    </row>
    <row r="12" spans="1:6" x14ac:dyDescent="0.25">
      <c r="A12" s="273">
        <v>44032</v>
      </c>
      <c r="B12" s="272">
        <v>22896</v>
      </c>
      <c r="C12" s="176">
        <v>84142.12</v>
      </c>
      <c r="D12" s="273"/>
      <c r="E12" s="176"/>
      <c r="F12" s="173">
        <f t="shared" si="0"/>
        <v>291552.45999999996</v>
      </c>
    </row>
    <row r="13" spans="1:6" x14ac:dyDescent="0.25">
      <c r="A13" s="273">
        <v>44034</v>
      </c>
      <c r="B13" s="272">
        <v>23105</v>
      </c>
      <c r="C13" s="176">
        <v>75996.600000000006</v>
      </c>
      <c r="D13" s="273"/>
      <c r="E13" s="176"/>
      <c r="F13" s="173">
        <f t="shared" si="0"/>
        <v>367549.05999999994</v>
      </c>
    </row>
    <row r="14" spans="1:6" x14ac:dyDescent="0.25">
      <c r="A14" s="273">
        <v>44035</v>
      </c>
      <c r="B14" s="272">
        <v>23253</v>
      </c>
      <c r="C14" s="176">
        <v>99624.7</v>
      </c>
      <c r="D14" s="273"/>
      <c r="E14" s="176"/>
      <c r="F14" s="173">
        <f t="shared" si="0"/>
        <v>467173.75999999995</v>
      </c>
    </row>
    <row r="15" spans="1:6" x14ac:dyDescent="0.25">
      <c r="A15" s="273">
        <v>44035</v>
      </c>
      <c r="B15" s="272">
        <v>23254</v>
      </c>
      <c r="C15" s="176">
        <v>29872.400000000001</v>
      </c>
      <c r="D15" s="273">
        <v>44037</v>
      </c>
      <c r="E15" s="176">
        <v>497046.16</v>
      </c>
      <c r="F15" s="435">
        <f t="shared" si="0"/>
        <v>0</v>
      </c>
    </row>
    <row r="16" spans="1:6" x14ac:dyDescent="0.25">
      <c r="A16" s="273">
        <v>44037</v>
      </c>
      <c r="B16" s="272">
        <v>23477</v>
      </c>
      <c r="C16" s="176">
        <v>129383.9</v>
      </c>
      <c r="D16" s="273"/>
      <c r="E16" s="176"/>
      <c r="F16" s="173">
        <f t="shared" si="0"/>
        <v>129383.9</v>
      </c>
    </row>
    <row r="17" spans="1:6" x14ac:dyDescent="0.25">
      <c r="A17" s="273">
        <v>44038</v>
      </c>
      <c r="B17" s="272">
        <v>23590</v>
      </c>
      <c r="C17" s="176">
        <v>48313.04</v>
      </c>
      <c r="D17" s="273"/>
      <c r="E17" s="176"/>
      <c r="F17" s="173">
        <f t="shared" si="0"/>
        <v>177696.94</v>
      </c>
    </row>
    <row r="18" spans="1:6" x14ac:dyDescent="0.25">
      <c r="A18" s="273">
        <v>44039</v>
      </c>
      <c r="B18" s="272">
        <v>23656</v>
      </c>
      <c r="C18" s="176">
        <v>15802.8</v>
      </c>
      <c r="D18" s="273"/>
      <c r="E18" s="176"/>
      <c r="F18" s="173">
        <f t="shared" si="0"/>
        <v>193499.74</v>
      </c>
    </row>
    <row r="19" spans="1:6" x14ac:dyDescent="0.25">
      <c r="A19" s="273">
        <v>44040</v>
      </c>
      <c r="B19" s="272">
        <v>23810</v>
      </c>
      <c r="C19" s="176">
        <v>114841.8</v>
      </c>
      <c r="D19" s="273">
        <v>44041</v>
      </c>
      <c r="E19" s="176">
        <v>308341.53999999998</v>
      </c>
      <c r="F19" s="173">
        <f t="shared" si="0"/>
        <v>0</v>
      </c>
    </row>
    <row r="20" spans="1:6" x14ac:dyDescent="0.25">
      <c r="A20" s="273">
        <v>44043</v>
      </c>
      <c r="B20" s="272">
        <v>24065</v>
      </c>
      <c r="C20" s="176">
        <v>100707.1</v>
      </c>
      <c r="D20" s="273"/>
      <c r="E20" s="176"/>
      <c r="F20" s="173">
        <f t="shared" si="0"/>
        <v>100707.1</v>
      </c>
    </row>
    <row r="21" spans="1:6" x14ac:dyDescent="0.25">
      <c r="A21" s="273">
        <v>44043</v>
      </c>
      <c r="B21" s="272">
        <v>24067</v>
      </c>
      <c r="C21" s="176">
        <v>35236.6</v>
      </c>
      <c r="D21" s="273"/>
      <c r="E21" s="176"/>
      <c r="F21" s="173">
        <f t="shared" si="0"/>
        <v>135943.70000000001</v>
      </c>
    </row>
    <row r="22" spans="1:6" x14ac:dyDescent="0.25">
      <c r="A22" s="273">
        <v>44043</v>
      </c>
      <c r="B22" s="272">
        <v>24069</v>
      </c>
      <c r="C22" s="176">
        <v>836</v>
      </c>
      <c r="D22" s="273"/>
      <c r="E22" s="176"/>
      <c r="F22" s="173">
        <f t="shared" si="0"/>
        <v>136779.70000000001</v>
      </c>
    </row>
    <row r="23" spans="1:6" x14ac:dyDescent="0.25">
      <c r="A23" s="273">
        <v>44043</v>
      </c>
      <c r="B23" s="272">
        <v>24118</v>
      </c>
      <c r="C23" s="176">
        <v>18659</v>
      </c>
      <c r="D23" s="273"/>
      <c r="E23" s="176"/>
      <c r="F23" s="173">
        <f t="shared" si="0"/>
        <v>155438.70000000001</v>
      </c>
    </row>
    <row r="24" spans="1:6" x14ac:dyDescent="0.25">
      <c r="A24" s="273">
        <v>44044</v>
      </c>
      <c r="B24" s="272">
        <v>24238</v>
      </c>
      <c r="C24" s="176">
        <v>2950.2</v>
      </c>
      <c r="D24" s="273"/>
      <c r="E24" s="176"/>
      <c r="F24" s="173">
        <f t="shared" si="0"/>
        <v>158388.90000000002</v>
      </c>
    </row>
    <row r="25" spans="1:6" x14ac:dyDescent="0.25">
      <c r="A25" s="273">
        <v>44044</v>
      </c>
      <c r="B25" s="272">
        <v>24275</v>
      </c>
      <c r="C25" s="176">
        <v>122609.62</v>
      </c>
      <c r="D25" s="273"/>
      <c r="E25" s="176"/>
      <c r="F25" s="173">
        <f t="shared" si="0"/>
        <v>280998.52</v>
      </c>
    </row>
    <row r="26" spans="1:6" x14ac:dyDescent="0.25">
      <c r="A26" s="273">
        <v>44044</v>
      </c>
      <c r="B26" s="272">
        <v>24277</v>
      </c>
      <c r="C26" s="176">
        <v>21246</v>
      </c>
      <c r="D26" s="273">
        <v>44044</v>
      </c>
      <c r="E26" s="176">
        <v>302244.52</v>
      </c>
      <c r="F26" s="173">
        <f t="shared" si="0"/>
        <v>0</v>
      </c>
    </row>
    <row r="27" spans="1:6" x14ac:dyDescent="0.25">
      <c r="A27" s="273"/>
      <c r="B27" s="272"/>
      <c r="C27" s="176"/>
      <c r="D27" s="273"/>
      <c r="E27" s="176"/>
      <c r="F27" s="173">
        <f t="shared" si="0"/>
        <v>0</v>
      </c>
    </row>
    <row r="28" spans="1:6" x14ac:dyDescent="0.25">
      <c r="A28" s="273">
        <v>44045</v>
      </c>
      <c r="B28" s="272">
        <v>24371</v>
      </c>
      <c r="C28" s="176">
        <v>81449.600000000006</v>
      </c>
      <c r="D28" s="273"/>
      <c r="E28" s="176"/>
      <c r="F28" s="173">
        <f t="shared" si="0"/>
        <v>81449.600000000006</v>
      </c>
    </row>
    <row r="29" spans="1:6" x14ac:dyDescent="0.25">
      <c r="A29" s="273">
        <v>44046</v>
      </c>
      <c r="B29" s="272">
        <v>24498</v>
      </c>
      <c r="C29" s="176">
        <v>24543.1</v>
      </c>
      <c r="D29" s="273"/>
      <c r="E29" s="176"/>
      <c r="F29" s="173">
        <f t="shared" si="0"/>
        <v>105992.70000000001</v>
      </c>
    </row>
    <row r="30" spans="1:6" x14ac:dyDescent="0.25">
      <c r="A30" s="273">
        <v>44048</v>
      </c>
      <c r="B30" s="272">
        <v>24625</v>
      </c>
      <c r="C30" s="176">
        <v>24553.8</v>
      </c>
      <c r="D30" s="273"/>
      <c r="E30" s="176"/>
      <c r="F30" s="173">
        <f t="shared" si="0"/>
        <v>130546.50000000001</v>
      </c>
    </row>
    <row r="31" spans="1:6" x14ac:dyDescent="0.25">
      <c r="A31" s="273">
        <v>44048</v>
      </c>
      <c r="B31" s="272">
        <v>24718</v>
      </c>
      <c r="C31" s="176">
        <v>4914.8</v>
      </c>
      <c r="D31" s="273">
        <v>44057</v>
      </c>
      <c r="E31" s="176">
        <v>135461.29999999999</v>
      </c>
      <c r="F31" s="173">
        <f t="shared" si="0"/>
        <v>0</v>
      </c>
    </row>
    <row r="32" spans="1:6" x14ac:dyDescent="0.25">
      <c r="A32" s="271"/>
      <c r="B32" s="272"/>
      <c r="C32" s="176"/>
      <c r="D32" s="410"/>
      <c r="E32" s="36"/>
      <c r="F32" s="173">
        <f t="shared" si="0"/>
        <v>0</v>
      </c>
    </row>
    <row r="33" spans="1:6" x14ac:dyDescent="0.25">
      <c r="A33" s="271"/>
      <c r="B33" s="272"/>
      <c r="C33" s="176"/>
      <c r="D33" s="410"/>
      <c r="E33" s="36"/>
      <c r="F33" s="173">
        <f t="shared" si="0"/>
        <v>0</v>
      </c>
    </row>
    <row r="34" spans="1:6" ht="15.75" thickBot="1" x14ac:dyDescent="0.3">
      <c r="A34" s="178"/>
      <c r="B34" s="411"/>
      <c r="C34" s="104">
        <v>0</v>
      </c>
      <c r="D34" s="180"/>
      <c r="E34" s="104"/>
      <c r="F34" s="173">
        <f t="shared" si="0"/>
        <v>0</v>
      </c>
    </row>
    <row r="35" spans="1:6" ht="19.5" thickTop="1" x14ac:dyDescent="0.3">
      <c r="B35" s="59"/>
      <c r="C35" s="4">
        <f>SUM(C3:C34)</f>
        <v>1500498.4300000006</v>
      </c>
      <c r="D35" s="1"/>
      <c r="E35" s="4">
        <f>SUM(E3:E34)</f>
        <v>1500498.43</v>
      </c>
      <c r="F35" s="181">
        <f>F34</f>
        <v>0</v>
      </c>
    </row>
    <row r="36" spans="1:6" x14ac:dyDescent="0.25">
      <c r="B36" s="59"/>
      <c r="C36" s="4"/>
      <c r="D36" s="1"/>
      <c r="E36" s="8"/>
      <c r="F36" s="4"/>
    </row>
    <row r="37" spans="1:6" x14ac:dyDescent="0.25">
      <c r="B37" s="59"/>
      <c r="C37" s="4"/>
      <c r="D37" s="1"/>
      <c r="E37" s="8"/>
      <c r="F37" s="4"/>
    </row>
    <row r="38" spans="1:6" x14ac:dyDescent="0.25">
      <c r="A38"/>
      <c r="B38" s="30"/>
      <c r="D38" s="30"/>
    </row>
    <row r="39" spans="1:6" x14ac:dyDescent="0.25">
      <c r="A39"/>
      <c r="B39" s="30"/>
      <c r="D39" s="30"/>
    </row>
    <row r="40" spans="1:6" x14ac:dyDescent="0.25">
      <c r="A40"/>
      <c r="B40" s="30"/>
      <c r="D40" s="30"/>
    </row>
    <row r="41" spans="1:6" x14ac:dyDescent="0.25">
      <c r="A41"/>
      <c r="B41" s="30"/>
      <c r="D41" s="30"/>
      <c r="F41"/>
    </row>
    <row r="42" spans="1:6" x14ac:dyDescent="0.25">
      <c r="A42"/>
      <c r="B42" s="30"/>
      <c r="D42" s="30"/>
      <c r="F42"/>
    </row>
    <row r="43" spans="1:6" x14ac:dyDescent="0.25">
      <c r="A43"/>
      <c r="B43" s="30"/>
      <c r="D43" s="30"/>
      <c r="F43"/>
    </row>
    <row r="44" spans="1:6" x14ac:dyDescent="0.25">
      <c r="A44"/>
      <c r="B44" s="30"/>
      <c r="D44" s="30"/>
      <c r="F44"/>
    </row>
    <row r="45" spans="1:6" x14ac:dyDescent="0.25">
      <c r="A45"/>
      <c r="B45" s="30"/>
      <c r="D45" s="30"/>
      <c r="F45"/>
    </row>
    <row r="46" spans="1:6" x14ac:dyDescent="0.25">
      <c r="A46"/>
      <c r="B46" s="30"/>
      <c r="D46" s="30"/>
      <c r="F46"/>
    </row>
    <row r="47" spans="1:6" x14ac:dyDescent="0.25">
      <c r="A47"/>
      <c r="B47" s="30"/>
      <c r="D47" s="30"/>
      <c r="F47"/>
    </row>
    <row r="48" spans="1:6" x14ac:dyDescent="0.25">
      <c r="A48"/>
      <c r="B48" s="30"/>
      <c r="D48" s="30"/>
      <c r="F48"/>
    </row>
    <row r="49" spans="1:6" x14ac:dyDescent="0.25">
      <c r="A49"/>
      <c r="B49" s="30"/>
      <c r="D49" s="30"/>
      <c r="F49"/>
    </row>
    <row r="50" spans="1:6" x14ac:dyDescent="0.25">
      <c r="A50"/>
      <c r="B50" s="30"/>
      <c r="D50" s="30"/>
      <c r="E50"/>
      <c r="F50"/>
    </row>
    <row r="51" spans="1:6" x14ac:dyDescent="0.25">
      <c r="A51"/>
      <c r="B51" s="30"/>
      <c r="D51" s="30"/>
      <c r="E51"/>
      <c r="F51"/>
    </row>
    <row r="52" spans="1:6" x14ac:dyDescent="0.25">
      <c r="A52"/>
      <c r="B52" s="30"/>
      <c r="D52" s="30"/>
      <c r="E52"/>
      <c r="F52"/>
    </row>
    <row r="53" spans="1:6" x14ac:dyDescent="0.25">
      <c r="A53"/>
      <c r="B53" s="30"/>
      <c r="D53" s="30"/>
      <c r="E53"/>
      <c r="F53"/>
    </row>
    <row r="54" spans="1:6" x14ac:dyDescent="0.25">
      <c r="A54"/>
      <c r="B54" s="30"/>
      <c r="D54" s="30"/>
      <c r="E54"/>
      <c r="F54"/>
    </row>
    <row r="55" spans="1:6" x14ac:dyDescent="0.25">
      <c r="A55"/>
      <c r="B55" s="30"/>
      <c r="D55" s="30"/>
      <c r="E55"/>
      <c r="F55"/>
    </row>
    <row r="56" spans="1:6" x14ac:dyDescent="0.25">
      <c r="B56" s="30"/>
      <c r="D56" s="30"/>
      <c r="E56"/>
    </row>
    <row r="57" spans="1:6" x14ac:dyDescent="0.25">
      <c r="B57" s="30"/>
      <c r="D57" s="30"/>
      <c r="E57"/>
    </row>
    <row r="58" spans="1:6" x14ac:dyDescent="0.25">
      <c r="B58" s="30"/>
      <c r="D58" s="30"/>
      <c r="E58"/>
    </row>
    <row r="59" spans="1:6" x14ac:dyDescent="0.25">
      <c r="B59" s="30"/>
      <c r="D59" s="30"/>
      <c r="E59"/>
    </row>
    <row r="60" spans="1:6" x14ac:dyDescent="0.25">
      <c r="B60" s="30"/>
      <c r="D60" s="30"/>
      <c r="E60"/>
    </row>
    <row r="61" spans="1:6" x14ac:dyDescent="0.25">
      <c r="B61" s="30"/>
      <c r="D61" s="30"/>
      <c r="E61"/>
    </row>
    <row r="62" spans="1:6" x14ac:dyDescent="0.25">
      <c r="B62" s="30"/>
      <c r="D62" s="30"/>
      <c r="E62"/>
    </row>
    <row r="63" spans="1:6" x14ac:dyDescent="0.25">
      <c r="B63" s="30"/>
      <c r="D63" s="30"/>
      <c r="E63"/>
    </row>
    <row r="64" spans="1:6" x14ac:dyDescent="0.25">
      <c r="B64" s="30"/>
      <c r="D64" s="30"/>
      <c r="E64"/>
    </row>
    <row r="65" spans="2:4" x14ac:dyDescent="0.25">
      <c r="B65" s="30"/>
    </row>
    <row r="66" spans="2:4" x14ac:dyDescent="0.25">
      <c r="B66" s="30"/>
    </row>
    <row r="67" spans="2:4" x14ac:dyDescent="0.25">
      <c r="B67" s="30"/>
      <c r="D67" s="30"/>
    </row>
    <row r="68" spans="2:4" x14ac:dyDescent="0.25">
      <c r="B68" s="30"/>
    </row>
    <row r="69" spans="2:4" x14ac:dyDescent="0.25">
      <c r="B69" s="30"/>
    </row>
    <row r="70" spans="2:4" x14ac:dyDescent="0.25">
      <c r="B70" s="30"/>
    </row>
    <row r="71" spans="2:4" ht="18.75" x14ac:dyDescent="0.3">
      <c r="C71" s="146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B5EE1-820C-4BC8-A09F-AA23AF5A8103}">
  <sheetPr>
    <tabColor rgb="FF7030A0"/>
  </sheetPr>
  <dimension ref="A1:AL88"/>
  <sheetViews>
    <sheetView topLeftCell="E28" workbookViewId="0">
      <selection activeCell="H39" sqref="H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24.28515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660" t="s">
        <v>408</v>
      </c>
      <c r="D1" s="660"/>
      <c r="E1" s="660"/>
      <c r="F1" s="660"/>
      <c r="G1" s="660"/>
      <c r="H1" s="660"/>
      <c r="I1" s="660"/>
      <c r="J1" s="660"/>
      <c r="K1" s="660"/>
      <c r="L1" s="2"/>
      <c r="M1" s="3"/>
      <c r="AK1" s="643" t="s">
        <v>45</v>
      </c>
      <c r="AL1" s="644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651" t="s">
        <v>4</v>
      </c>
      <c r="X2" s="652"/>
      <c r="AB2" s="651" t="s">
        <v>4</v>
      </c>
      <c r="AC2" s="652"/>
      <c r="AF2" s="648" t="s">
        <v>43</v>
      </c>
      <c r="AG2" s="649"/>
      <c r="AH2" s="650"/>
      <c r="AJ2" s="193" t="s">
        <v>44</v>
      </c>
      <c r="AK2" s="645"/>
      <c r="AL2" s="646"/>
    </row>
    <row r="3" spans="1:38" ht="18" customHeight="1" thickBot="1" x14ac:dyDescent="0.35">
      <c r="B3" s="661" t="s">
        <v>1</v>
      </c>
      <c r="C3" s="662"/>
      <c r="D3" s="15"/>
      <c r="E3" s="374"/>
      <c r="F3" s="374"/>
      <c r="H3" s="669" t="s">
        <v>190</v>
      </c>
      <c r="I3" s="669"/>
      <c r="K3" s="234" t="s">
        <v>2</v>
      </c>
      <c r="L3" s="236" t="s">
        <v>191</v>
      </c>
      <c r="M3" s="236"/>
      <c r="W3" s="653"/>
      <c r="X3" s="654"/>
      <c r="Y3" s="195" t="s">
        <v>37</v>
      </c>
      <c r="AB3" s="653"/>
      <c r="AC3" s="654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256378.82</v>
      </c>
      <c r="D4" s="308">
        <v>44048</v>
      </c>
      <c r="E4" s="663" t="s">
        <v>6</v>
      </c>
      <c r="F4" s="664"/>
      <c r="H4" s="665" t="s">
        <v>7</v>
      </c>
      <c r="I4" s="666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44049</v>
      </c>
      <c r="C5" s="320">
        <v>3743</v>
      </c>
      <c r="D5" s="309" t="s">
        <v>409</v>
      </c>
      <c r="E5" s="151">
        <v>44049</v>
      </c>
      <c r="F5" s="32">
        <v>76082</v>
      </c>
      <c r="G5" s="152"/>
      <c r="H5" s="153">
        <v>44049</v>
      </c>
      <c r="I5" s="33">
        <v>0</v>
      </c>
      <c r="M5" s="34">
        <v>82179</v>
      </c>
      <c r="N5" s="35">
        <v>1443</v>
      </c>
      <c r="O5" s="36"/>
      <c r="P5" s="36">
        <f>C5+I5+M5+N5</f>
        <v>87365</v>
      </c>
      <c r="Q5" s="198">
        <f>P5-F5</f>
        <v>11283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44050</v>
      </c>
      <c r="C6" s="320">
        <v>10201</v>
      </c>
      <c r="D6" s="310" t="s">
        <v>410</v>
      </c>
      <c r="E6" s="151">
        <v>44050</v>
      </c>
      <c r="F6" s="32">
        <v>97894</v>
      </c>
      <c r="G6" s="152"/>
      <c r="H6" s="153">
        <v>44050</v>
      </c>
      <c r="I6" s="39">
        <v>10099.91</v>
      </c>
      <c r="J6" s="60"/>
      <c r="K6" s="443"/>
      <c r="L6" s="47">
        <v>0</v>
      </c>
      <c r="M6" s="34">
        <v>66768</v>
      </c>
      <c r="N6" s="35">
        <v>10826</v>
      </c>
      <c r="O6" s="276"/>
      <c r="P6" s="36">
        <f>C6+I6+M6+N6+L6</f>
        <v>97894.91</v>
      </c>
      <c r="Q6" s="5">
        <f>P6-F6</f>
        <v>0.91000000000349246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44051</v>
      </c>
      <c r="C7" s="320">
        <v>3115</v>
      </c>
      <c r="D7" s="311" t="s">
        <v>396</v>
      </c>
      <c r="E7" s="151">
        <v>44051</v>
      </c>
      <c r="F7" s="32">
        <v>110897</v>
      </c>
      <c r="G7" s="152"/>
      <c r="H7" s="153">
        <v>44051</v>
      </c>
      <c r="I7" s="39">
        <v>450</v>
      </c>
      <c r="J7" s="60">
        <v>44051</v>
      </c>
      <c r="K7" s="20" t="s">
        <v>386</v>
      </c>
      <c r="L7" s="55">
        <f>16644.94+4571+400</f>
        <v>21615.94</v>
      </c>
      <c r="M7" s="34">
        <v>89358</v>
      </c>
      <c r="N7" s="35">
        <v>5476</v>
      </c>
      <c r="O7" s="127"/>
      <c r="P7" s="36">
        <f>C7+I7+M7+N7+L12+L7</f>
        <v>120014.94</v>
      </c>
      <c r="Q7" s="201">
        <f>P7-F7</f>
        <v>9117.9400000000023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44052</v>
      </c>
      <c r="C8" s="320">
        <v>0</v>
      </c>
      <c r="D8" s="312"/>
      <c r="E8" s="151">
        <v>44052</v>
      </c>
      <c r="F8" s="32">
        <v>81282</v>
      </c>
      <c r="G8" s="152"/>
      <c r="H8" s="153">
        <v>44052</v>
      </c>
      <c r="I8" s="39">
        <v>450</v>
      </c>
      <c r="J8" s="414"/>
      <c r="K8" s="342"/>
      <c r="L8" s="343">
        <v>0</v>
      </c>
      <c r="M8" s="34">
        <v>72756</v>
      </c>
      <c r="N8" s="35">
        <v>8076</v>
      </c>
      <c r="O8" s="276"/>
      <c r="P8" s="36">
        <f>C8+I8+M8+N8</f>
        <v>81282</v>
      </c>
      <c r="Q8" s="5">
        <f>P8-F8</f>
        <v>0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44053</v>
      </c>
      <c r="C9" s="320">
        <v>5863.8</v>
      </c>
      <c r="D9" s="313" t="s">
        <v>411</v>
      </c>
      <c r="E9" s="151">
        <v>44053</v>
      </c>
      <c r="F9" s="32">
        <v>79560</v>
      </c>
      <c r="G9" s="152"/>
      <c r="H9" s="153">
        <v>44053</v>
      </c>
      <c r="I9" s="39">
        <v>315</v>
      </c>
      <c r="J9" s="415"/>
      <c r="K9" s="200"/>
      <c r="L9" s="343">
        <v>0</v>
      </c>
      <c r="M9" s="34">
        <v>70897</v>
      </c>
      <c r="N9" s="35">
        <v>2484</v>
      </c>
      <c r="O9" s="276"/>
      <c r="P9" s="36">
        <f>C9+I9+M9+N9</f>
        <v>79559.8</v>
      </c>
      <c r="Q9" s="5">
        <f t="shared" ref="Q9:Q11" si="0">P9-F9</f>
        <v>-0.19999999999708962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44054</v>
      </c>
      <c r="C10" s="320">
        <v>5134</v>
      </c>
      <c r="D10" s="311" t="s">
        <v>412</v>
      </c>
      <c r="E10" s="151">
        <v>44054</v>
      </c>
      <c r="F10" s="32">
        <v>67244</v>
      </c>
      <c r="G10" s="152"/>
      <c r="H10" s="153">
        <v>44054</v>
      </c>
      <c r="I10" s="39">
        <v>3363</v>
      </c>
      <c r="J10" s="415"/>
      <c r="K10" s="366"/>
      <c r="L10" s="68"/>
      <c r="M10" s="34">
        <v>57300</v>
      </c>
      <c r="N10" s="35">
        <v>3870</v>
      </c>
      <c r="O10" s="127"/>
      <c r="P10" s="36">
        <f>C10+I10+M10+N10+L11</f>
        <v>69667</v>
      </c>
      <c r="Q10" s="198">
        <f t="shared" si="0"/>
        <v>2423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44055</v>
      </c>
      <c r="C11" s="320">
        <v>4400</v>
      </c>
      <c r="D11" s="310" t="s">
        <v>413</v>
      </c>
      <c r="E11" s="151">
        <v>44055</v>
      </c>
      <c r="F11" s="32">
        <v>85748</v>
      </c>
      <c r="G11" s="152"/>
      <c r="H11" s="153">
        <v>44055</v>
      </c>
      <c r="I11" s="39">
        <v>360</v>
      </c>
      <c r="J11" s="331"/>
      <c r="K11" s="57"/>
      <c r="L11" s="55"/>
      <c r="M11" s="34">
        <f>72148+11546</f>
        <v>83694</v>
      </c>
      <c r="N11" s="35">
        <v>3140</v>
      </c>
      <c r="O11" s="276"/>
      <c r="P11" s="36">
        <f>C11+I11+M11+N11+L13</f>
        <v>91594</v>
      </c>
      <c r="Q11" s="198">
        <f t="shared" si="0"/>
        <v>5846</v>
      </c>
      <c r="S11" s="58">
        <v>9117.94</v>
      </c>
      <c r="T11" s="61" t="s">
        <v>386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44056</v>
      </c>
      <c r="C12" s="320">
        <v>803</v>
      </c>
      <c r="D12" s="310" t="s">
        <v>72</v>
      </c>
      <c r="E12" s="151">
        <v>44056</v>
      </c>
      <c r="F12" s="32">
        <v>70761</v>
      </c>
      <c r="G12" s="152"/>
      <c r="H12" s="153">
        <v>44056</v>
      </c>
      <c r="I12" s="39">
        <v>405</v>
      </c>
      <c r="J12" s="60"/>
      <c r="K12" s="20"/>
      <c r="L12" s="55"/>
      <c r="M12" s="34">
        <v>67772</v>
      </c>
      <c r="N12" s="35">
        <v>1781</v>
      </c>
      <c r="O12" s="298"/>
      <c r="P12" s="36">
        <f>C12+I12+M12+N12</f>
        <v>70761</v>
      </c>
      <c r="Q12" s="5">
        <f>P12-F12</f>
        <v>0</v>
      </c>
      <c r="S12" s="58">
        <v>8944.91</v>
      </c>
      <c r="T12" s="61" t="s">
        <v>383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44057</v>
      </c>
      <c r="C13" s="320">
        <v>11361</v>
      </c>
      <c r="D13" s="312" t="s">
        <v>417</v>
      </c>
      <c r="E13" s="151">
        <v>44057</v>
      </c>
      <c r="F13" s="32">
        <v>100651</v>
      </c>
      <c r="G13" s="152"/>
      <c r="H13" s="153">
        <v>44057</v>
      </c>
      <c r="I13" s="39">
        <v>12554</v>
      </c>
      <c r="J13" s="60"/>
      <c r="K13" s="20"/>
      <c r="L13" s="55"/>
      <c r="M13" s="34">
        <v>72082</v>
      </c>
      <c r="N13" s="35">
        <v>4654</v>
      </c>
      <c r="O13" s="276"/>
      <c r="P13" s="36">
        <f>C13+I13+M13+N13+L19</f>
        <v>100651</v>
      </c>
      <c r="Q13" s="5">
        <f>P13-F13</f>
        <v>0</v>
      </c>
      <c r="S13" s="58">
        <v>8649.36</v>
      </c>
      <c r="T13" s="61" t="s">
        <v>389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44058</v>
      </c>
      <c r="C14" s="320">
        <v>4427</v>
      </c>
      <c r="D14" s="311" t="s">
        <v>418</v>
      </c>
      <c r="E14" s="151">
        <v>44058</v>
      </c>
      <c r="F14" s="32">
        <v>135806</v>
      </c>
      <c r="G14" s="152"/>
      <c r="H14" s="153">
        <v>44058</v>
      </c>
      <c r="I14" s="39">
        <v>1668</v>
      </c>
      <c r="J14" s="60">
        <v>44058</v>
      </c>
      <c r="K14" s="20" t="s">
        <v>383</v>
      </c>
      <c r="L14" s="55">
        <f>16657.91+4000+400</f>
        <v>21057.91</v>
      </c>
      <c r="M14" s="34">
        <v>107673</v>
      </c>
      <c r="N14" s="35">
        <v>9925</v>
      </c>
      <c r="O14" s="276"/>
      <c r="P14" s="36">
        <f>C14+I14+M14+N14+L14</f>
        <v>144750.91</v>
      </c>
      <c r="Q14" s="201">
        <f>P14-F14</f>
        <v>8944.9100000000035</v>
      </c>
      <c r="S14" s="58">
        <v>8846.16</v>
      </c>
      <c r="T14" s="61" t="s">
        <v>390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44059</v>
      </c>
      <c r="C15" s="320">
        <v>0</v>
      </c>
      <c r="D15" s="310"/>
      <c r="E15" s="151">
        <v>44059</v>
      </c>
      <c r="F15" s="32">
        <v>87770</v>
      </c>
      <c r="G15" s="152"/>
      <c r="H15" s="153">
        <v>44059</v>
      </c>
      <c r="I15" s="39">
        <v>450</v>
      </c>
      <c r="J15" s="60"/>
      <c r="K15" s="20"/>
      <c r="L15" s="55">
        <v>0</v>
      </c>
      <c r="M15" s="34">
        <v>84146</v>
      </c>
      <c r="N15" s="35">
        <v>3174</v>
      </c>
      <c r="O15" s="433"/>
      <c r="P15" s="36">
        <f>C15+I15+M15+N15</f>
        <v>87770</v>
      </c>
      <c r="Q15" s="5">
        <f t="shared" ref="Q15:Q21" si="1">P15-F15</f>
        <v>0</v>
      </c>
      <c r="S15" s="58">
        <v>0</v>
      </c>
      <c r="T15" s="61" t="s">
        <v>449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44060</v>
      </c>
      <c r="C16" s="320">
        <v>4219</v>
      </c>
      <c r="D16" s="310" t="s">
        <v>419</v>
      </c>
      <c r="E16" s="151">
        <v>44060</v>
      </c>
      <c r="F16" s="32">
        <v>92229</v>
      </c>
      <c r="G16" s="152"/>
      <c r="H16" s="153">
        <v>44060</v>
      </c>
      <c r="I16" s="39">
        <v>315</v>
      </c>
      <c r="J16" s="60"/>
      <c r="K16" s="20"/>
      <c r="L16" s="5">
        <v>0</v>
      </c>
      <c r="M16" s="34">
        <f>17460+66365</f>
        <v>83825</v>
      </c>
      <c r="N16" s="35">
        <v>3870</v>
      </c>
      <c r="O16" s="433"/>
      <c r="P16" s="36">
        <f>C16+I16+M16+N16</f>
        <v>92229</v>
      </c>
      <c r="Q16" s="5">
        <f t="shared" si="1"/>
        <v>0</v>
      </c>
      <c r="S16" s="58">
        <v>0</v>
      </c>
      <c r="T16" s="61"/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44061</v>
      </c>
      <c r="C17" s="320">
        <v>10890</v>
      </c>
      <c r="D17" s="312" t="s">
        <v>420</v>
      </c>
      <c r="E17" s="151">
        <v>44061</v>
      </c>
      <c r="F17" s="32">
        <v>68209</v>
      </c>
      <c r="G17" s="152"/>
      <c r="H17" s="153">
        <v>44061</v>
      </c>
      <c r="I17" s="39">
        <v>360</v>
      </c>
      <c r="J17" s="67"/>
      <c r="K17" s="20"/>
      <c r="L17" s="68">
        <v>0</v>
      </c>
      <c r="M17" s="34">
        <v>55330</v>
      </c>
      <c r="N17" s="35">
        <v>1629</v>
      </c>
      <c r="O17" s="276"/>
      <c r="P17" s="36">
        <f>C17+I17+M17+N17+L15</f>
        <v>68209</v>
      </c>
      <c r="Q17" s="5">
        <f t="shared" si="1"/>
        <v>0</v>
      </c>
      <c r="S17" s="58">
        <v>0</v>
      </c>
      <c r="T17" s="61"/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44062</v>
      </c>
      <c r="C18" s="320">
        <v>7413</v>
      </c>
      <c r="D18" s="310" t="s">
        <v>445</v>
      </c>
      <c r="E18" s="151">
        <v>44062</v>
      </c>
      <c r="F18" s="32">
        <v>68394</v>
      </c>
      <c r="G18" s="152"/>
      <c r="H18" s="153">
        <v>44062</v>
      </c>
      <c r="I18" s="39">
        <v>315</v>
      </c>
      <c r="J18" s="67"/>
      <c r="K18" s="71"/>
      <c r="L18" s="55"/>
      <c r="M18" s="34">
        <v>59112</v>
      </c>
      <c r="N18" s="35">
        <v>1554</v>
      </c>
      <c r="O18" s="276"/>
      <c r="P18" s="36">
        <f t="shared" ref="P18" si="2">C18+I18+M18+N18</f>
        <v>68394</v>
      </c>
      <c r="Q18" s="5">
        <f t="shared" si="1"/>
        <v>0</v>
      </c>
      <c r="S18" s="5">
        <f>SUM(S11:S17)</f>
        <v>35558.369999999995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44063</v>
      </c>
      <c r="C19" s="320">
        <v>2424</v>
      </c>
      <c r="D19" s="310" t="s">
        <v>446</v>
      </c>
      <c r="E19" s="151">
        <v>44063</v>
      </c>
      <c r="F19" s="32">
        <v>85387</v>
      </c>
      <c r="G19" s="152"/>
      <c r="H19" s="153">
        <v>44063</v>
      </c>
      <c r="I19" s="39">
        <v>360</v>
      </c>
      <c r="J19" s="67"/>
      <c r="K19" s="71"/>
      <c r="L19" s="73"/>
      <c r="M19" s="258">
        <v>79848</v>
      </c>
      <c r="N19" s="35">
        <v>2755</v>
      </c>
      <c r="O19" s="433" t="s">
        <v>250</v>
      </c>
      <c r="P19" s="36">
        <f>C19+I19+M19+N19</f>
        <v>85387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44064</v>
      </c>
      <c r="C20" s="320">
        <v>11577</v>
      </c>
      <c r="D20" s="310" t="s">
        <v>447</v>
      </c>
      <c r="E20" s="151">
        <v>44064</v>
      </c>
      <c r="F20" s="32">
        <v>106201</v>
      </c>
      <c r="G20" s="152"/>
      <c r="H20" s="153">
        <v>44064</v>
      </c>
      <c r="I20" s="39">
        <v>10419</v>
      </c>
      <c r="J20" s="60"/>
      <c r="K20" s="220"/>
      <c r="L20" s="68" t="s">
        <v>12</v>
      </c>
      <c r="M20" s="258">
        <v>77351</v>
      </c>
      <c r="N20" s="35">
        <v>6854</v>
      </c>
      <c r="O20" s="433" t="s">
        <v>250</v>
      </c>
      <c r="P20" s="36">
        <f>C20+I20+M20+N20+L8</f>
        <v>106201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44065</v>
      </c>
      <c r="C21" s="320">
        <v>20061.599999999999</v>
      </c>
      <c r="D21" s="310" t="s">
        <v>448</v>
      </c>
      <c r="E21" s="151">
        <v>44065</v>
      </c>
      <c r="F21" s="32">
        <v>130016</v>
      </c>
      <c r="G21" s="152"/>
      <c r="H21" s="153">
        <v>44065</v>
      </c>
      <c r="I21" s="39">
        <v>405</v>
      </c>
      <c r="J21" s="67">
        <v>44065</v>
      </c>
      <c r="K21" s="71" t="s">
        <v>389</v>
      </c>
      <c r="L21" s="68">
        <f>14093.76+400+4000</f>
        <v>18493.760000000002</v>
      </c>
      <c r="M21" s="258">
        <v>93674</v>
      </c>
      <c r="N21" s="35">
        <v>6031</v>
      </c>
      <c r="O21" s="433" t="s">
        <v>250</v>
      </c>
      <c r="P21" s="36">
        <f>C21+I21+M21+N21+L21</f>
        <v>138665.36000000002</v>
      </c>
      <c r="Q21" s="201">
        <f t="shared" si="1"/>
        <v>8649.3600000000151</v>
      </c>
      <c r="T21" s="8"/>
      <c r="U21" s="8"/>
      <c r="V21" s="432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44066</v>
      </c>
      <c r="C22" s="320">
        <v>0</v>
      </c>
      <c r="D22" s="310"/>
      <c r="E22" s="151">
        <v>44066</v>
      </c>
      <c r="F22" s="32">
        <v>84092</v>
      </c>
      <c r="G22" s="152"/>
      <c r="H22" s="153">
        <v>44066</v>
      </c>
      <c r="I22" s="39">
        <v>405</v>
      </c>
      <c r="J22" s="76"/>
      <c r="K22" s="59"/>
      <c r="L22" s="77"/>
      <c r="M22" s="258">
        <v>76231</v>
      </c>
      <c r="N22" s="35">
        <v>7456</v>
      </c>
      <c r="O22" s="433" t="s">
        <v>250</v>
      </c>
      <c r="P22" s="36">
        <f>C22+I22+M22+N22+L15</f>
        <v>84092</v>
      </c>
      <c r="Q22" s="5">
        <f>P22-F22</f>
        <v>0</v>
      </c>
      <c r="T22" s="8"/>
      <c r="U22" s="8"/>
      <c r="V22" s="432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44067</v>
      </c>
      <c r="C23" s="320">
        <v>1645</v>
      </c>
      <c r="D23" s="310" t="s">
        <v>72</v>
      </c>
      <c r="E23" s="151">
        <v>44067</v>
      </c>
      <c r="F23" s="32">
        <v>58130</v>
      </c>
      <c r="G23" s="152"/>
      <c r="H23" s="153">
        <v>44067</v>
      </c>
      <c r="I23" s="39">
        <v>405</v>
      </c>
      <c r="J23" s="284"/>
      <c r="K23" s="289"/>
      <c r="L23" s="285"/>
      <c r="M23" s="34">
        <v>54837</v>
      </c>
      <c r="N23" s="35">
        <v>1243</v>
      </c>
      <c r="O23" s="257"/>
      <c r="P23" s="36">
        <f>C23+I23+M23+N23</f>
        <v>58130</v>
      </c>
      <c r="Q23" s="5">
        <f>P23-F23</f>
        <v>0</v>
      </c>
      <c r="T23" s="8"/>
      <c r="U23" s="8"/>
      <c r="V23" s="432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44068</v>
      </c>
      <c r="C24" s="320">
        <v>5431</v>
      </c>
      <c r="D24" s="310" t="s">
        <v>450</v>
      </c>
      <c r="E24" s="151">
        <v>44068</v>
      </c>
      <c r="F24" s="32">
        <v>73606</v>
      </c>
      <c r="G24" s="152"/>
      <c r="H24" s="153">
        <v>44068</v>
      </c>
      <c r="I24" s="39">
        <v>620</v>
      </c>
      <c r="J24" s="416">
        <v>44057</v>
      </c>
      <c r="K24" s="290" t="s">
        <v>444</v>
      </c>
      <c r="L24" s="417">
        <v>2508</v>
      </c>
      <c r="M24" s="34">
        <v>62152</v>
      </c>
      <c r="N24" s="35">
        <v>5403</v>
      </c>
      <c r="O24" s="276"/>
      <c r="P24" s="36">
        <f>C24+I24+M24+N24</f>
        <v>73606</v>
      </c>
      <c r="Q24" s="5">
        <f t="shared" ref="Q24:Q32" si="3">P24-F24</f>
        <v>0</v>
      </c>
      <c r="T24" s="8"/>
      <c r="U24" s="8"/>
      <c r="V24" s="432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44069</v>
      </c>
      <c r="C25" s="320">
        <v>4557</v>
      </c>
      <c r="D25" s="310" t="s">
        <v>459</v>
      </c>
      <c r="E25" s="151">
        <v>44069</v>
      </c>
      <c r="F25" s="32">
        <v>67133</v>
      </c>
      <c r="G25" s="152"/>
      <c r="H25" s="153">
        <v>44069</v>
      </c>
      <c r="I25" s="39">
        <v>4405</v>
      </c>
      <c r="J25" s="418"/>
      <c r="K25" s="163"/>
      <c r="L25" s="102"/>
      <c r="M25" s="34">
        <v>57455</v>
      </c>
      <c r="N25" s="35">
        <v>716</v>
      </c>
      <c r="O25" s="276"/>
      <c r="P25" s="36">
        <f>C25+I25+M25+N25</f>
        <v>67133</v>
      </c>
      <c r="Q25" s="5">
        <f t="shared" si="3"/>
        <v>0</v>
      </c>
      <c r="V25" s="432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44070</v>
      </c>
      <c r="C26" s="320">
        <v>1033</v>
      </c>
      <c r="D26" s="310" t="s">
        <v>72</v>
      </c>
      <c r="E26" s="151">
        <v>44070</v>
      </c>
      <c r="F26" s="32">
        <v>82201</v>
      </c>
      <c r="G26" s="152"/>
      <c r="H26" s="153">
        <v>44070</v>
      </c>
      <c r="I26" s="39">
        <v>360</v>
      </c>
      <c r="J26" s="60"/>
      <c r="K26" s="290"/>
      <c r="L26" s="285"/>
      <c r="M26" s="34">
        <v>75111</v>
      </c>
      <c r="N26" s="35">
        <v>5697</v>
      </c>
      <c r="O26" s="276"/>
      <c r="P26" s="36">
        <f>C26+I26+M26+N26</f>
        <v>82201</v>
      </c>
      <c r="Q26" s="5">
        <f t="shared" si="3"/>
        <v>0</v>
      </c>
      <c r="S26" s="86"/>
      <c r="T26" s="86"/>
      <c r="U26" s="86"/>
      <c r="V26" s="432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44071</v>
      </c>
      <c r="C27" s="320">
        <f>3472+1588+640+550+165</f>
        <v>6415</v>
      </c>
      <c r="D27" s="310" t="s">
        <v>460</v>
      </c>
      <c r="E27" s="151">
        <v>44071</v>
      </c>
      <c r="F27" s="32">
        <v>100091</v>
      </c>
      <c r="G27" s="152"/>
      <c r="H27" s="153">
        <v>44071</v>
      </c>
      <c r="I27" s="39">
        <v>10515</v>
      </c>
      <c r="J27" s="217"/>
      <c r="K27" s="164"/>
      <c r="L27" s="102"/>
      <c r="M27" s="34">
        <v>79557</v>
      </c>
      <c r="N27" s="35">
        <v>3604</v>
      </c>
      <c r="O27" s="276"/>
      <c r="P27" s="36">
        <f>C27+I27+M27+N27+L16</f>
        <v>100091</v>
      </c>
      <c r="Q27" s="5">
        <f t="shared" si="3"/>
        <v>0</v>
      </c>
      <c r="V27" s="432">
        <v>44071</v>
      </c>
      <c r="W27" s="38" t="s">
        <v>10</v>
      </c>
      <c r="X27" s="196">
        <v>5000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44072</v>
      </c>
      <c r="C28" s="320">
        <f>7100+1200+1004</f>
        <v>9304</v>
      </c>
      <c r="D28" s="311" t="s">
        <v>461</v>
      </c>
      <c r="E28" s="151">
        <v>44072</v>
      </c>
      <c r="F28" s="32">
        <v>120713</v>
      </c>
      <c r="G28" s="152"/>
      <c r="H28" s="153">
        <v>44072</v>
      </c>
      <c r="I28" s="39">
        <v>495</v>
      </c>
      <c r="J28" s="217">
        <v>44072</v>
      </c>
      <c r="K28" s="459" t="s">
        <v>390</v>
      </c>
      <c r="L28" s="102">
        <f>16738.16+4000</f>
        <v>20738.16</v>
      </c>
      <c r="M28" s="34">
        <v>92168</v>
      </c>
      <c r="N28" s="35">
        <v>6854</v>
      </c>
      <c r="O28" s="276"/>
      <c r="P28" s="36">
        <f>C28+I28+M28+N28+L9+L16</f>
        <v>108821</v>
      </c>
      <c r="Q28" s="201">
        <f>P28-F28+L28</f>
        <v>8846.16</v>
      </c>
      <c r="V28" s="432">
        <v>44071</v>
      </c>
      <c r="W28" s="44" t="s">
        <v>11</v>
      </c>
      <c r="X28" s="196">
        <v>5000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6.5" thickBot="1" x14ac:dyDescent="0.3">
      <c r="A29" s="30"/>
      <c r="B29" s="319">
        <v>44073</v>
      </c>
      <c r="C29" s="320">
        <v>0</v>
      </c>
      <c r="D29" s="436"/>
      <c r="E29" s="151">
        <v>44073</v>
      </c>
      <c r="F29" s="32">
        <v>101865</v>
      </c>
      <c r="G29" s="152"/>
      <c r="H29" s="153">
        <v>44073</v>
      </c>
      <c r="I29" s="39">
        <v>520</v>
      </c>
      <c r="J29" s="217">
        <v>44073</v>
      </c>
      <c r="K29" s="449" t="s">
        <v>390</v>
      </c>
      <c r="L29" s="102">
        <v>400</v>
      </c>
      <c r="M29" s="34">
        <f>82343+14200+7</f>
        <v>96550</v>
      </c>
      <c r="N29" s="35">
        <v>4395</v>
      </c>
      <c r="O29" s="276"/>
      <c r="P29" s="36">
        <f>C29+I29+M29+N29+L10+L17+L29</f>
        <v>101865</v>
      </c>
      <c r="Q29" s="5">
        <f>P29-F29</f>
        <v>0</v>
      </c>
      <c r="R29" s="450"/>
      <c r="S29" s="6" t="s">
        <v>12</v>
      </c>
      <c r="V29" s="432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44074</v>
      </c>
      <c r="C30" s="320">
        <f>4100+1939+996+372</f>
        <v>7407</v>
      </c>
      <c r="D30" s="316" t="s">
        <v>462</v>
      </c>
      <c r="E30" s="151">
        <v>44074</v>
      </c>
      <c r="F30" s="32">
        <v>79394</v>
      </c>
      <c r="G30" s="152"/>
      <c r="H30" s="153">
        <v>44074</v>
      </c>
      <c r="I30" s="244">
        <v>360</v>
      </c>
      <c r="J30" s="217">
        <v>44074</v>
      </c>
      <c r="K30" s="20" t="s">
        <v>379</v>
      </c>
      <c r="L30" s="52">
        <v>20000</v>
      </c>
      <c r="M30" s="34">
        <f>42100+6390</f>
        <v>48490</v>
      </c>
      <c r="N30" s="35">
        <v>3137</v>
      </c>
      <c r="O30" s="276"/>
      <c r="P30" s="36">
        <f t="shared" ref="P30:P31" si="4">C30+I30+M30+N30+L11+L18+L30</f>
        <v>79394</v>
      </c>
      <c r="Q30" s="5">
        <f t="shared" si="3"/>
        <v>0</v>
      </c>
      <c r="V30" s="432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44075</v>
      </c>
      <c r="C31" s="321">
        <v>3364</v>
      </c>
      <c r="D31" s="317" t="s">
        <v>463</v>
      </c>
      <c r="E31" s="151">
        <v>44075</v>
      </c>
      <c r="F31" s="32">
        <v>66516</v>
      </c>
      <c r="G31" s="152"/>
      <c r="H31" s="153">
        <v>44075</v>
      </c>
      <c r="I31" s="244">
        <v>405</v>
      </c>
      <c r="J31" s="217"/>
      <c r="K31" s="163"/>
      <c r="L31" s="102"/>
      <c r="M31" s="34">
        <v>59554</v>
      </c>
      <c r="N31" s="35">
        <v>3193</v>
      </c>
      <c r="O31" s="276"/>
      <c r="P31" s="36">
        <f t="shared" si="4"/>
        <v>66516</v>
      </c>
      <c r="Q31" s="5">
        <f t="shared" si="3"/>
        <v>0</v>
      </c>
      <c r="V31" s="432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32.25" thickBot="1" x14ac:dyDescent="0.3">
      <c r="A32" s="30"/>
      <c r="B32" s="319">
        <v>44076</v>
      </c>
      <c r="C32" s="321">
        <v>4968</v>
      </c>
      <c r="D32" s="317" t="s">
        <v>464</v>
      </c>
      <c r="E32" s="151">
        <v>44076</v>
      </c>
      <c r="F32" s="237">
        <v>81294</v>
      </c>
      <c r="G32" s="152"/>
      <c r="H32" s="153">
        <v>44076</v>
      </c>
      <c r="I32" s="244">
        <v>2457</v>
      </c>
      <c r="J32" s="217"/>
      <c r="K32" s="452" t="s">
        <v>488</v>
      </c>
      <c r="L32" s="453">
        <v>0</v>
      </c>
      <c r="M32" s="34">
        <v>70866</v>
      </c>
      <c r="N32" s="35">
        <v>3003</v>
      </c>
      <c r="O32" s="276"/>
      <c r="P32" s="36">
        <f>C32+I32+M32+N32</f>
        <v>81294</v>
      </c>
      <c r="Q32" s="5">
        <f t="shared" si="3"/>
        <v>0</v>
      </c>
      <c r="V32" s="432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/>
      <c r="C33" s="321"/>
      <c r="D33" s="440"/>
      <c r="E33" s="151"/>
      <c r="F33" s="176"/>
      <c r="G33" s="152"/>
      <c r="H33" s="153"/>
      <c r="I33" s="244"/>
      <c r="J33" s="217"/>
      <c r="K33" s="378" t="s">
        <v>14</v>
      </c>
      <c r="L33" s="50">
        <v>0</v>
      </c>
      <c r="M33" s="34">
        <v>0</v>
      </c>
      <c r="N33" s="35">
        <v>0</v>
      </c>
      <c r="O33" s="276"/>
      <c r="P33" s="36"/>
      <c r="R33" s="36"/>
      <c r="V33" s="432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>
        <v>44057</v>
      </c>
      <c r="AH33" s="21">
        <v>2000</v>
      </c>
    </row>
    <row r="34" spans="1:34" ht="16.5" customHeight="1" thickBot="1" x14ac:dyDescent="0.3">
      <c r="A34" s="30"/>
      <c r="B34" s="319"/>
      <c r="C34" s="321"/>
      <c r="D34" s="440"/>
      <c r="E34" s="151"/>
      <c r="F34" s="176"/>
      <c r="G34" s="152"/>
      <c r="H34" s="153"/>
      <c r="I34" s="244"/>
      <c r="J34" s="672" t="s">
        <v>490</v>
      </c>
      <c r="K34" s="673"/>
      <c r="L34" s="454">
        <v>3977.15</v>
      </c>
      <c r="M34" s="445">
        <v>0</v>
      </c>
      <c r="N34" s="35">
        <v>0</v>
      </c>
      <c r="O34" s="276"/>
      <c r="P34" s="36"/>
      <c r="R34" s="36"/>
      <c r="V34" s="432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>
        <v>44069</v>
      </c>
      <c r="AH34" s="21">
        <v>2000</v>
      </c>
    </row>
    <row r="35" spans="1:34" ht="16.5" thickBot="1" x14ac:dyDescent="0.3">
      <c r="A35" s="30"/>
      <c r="B35" s="319"/>
      <c r="C35" s="321"/>
      <c r="D35" s="440"/>
      <c r="E35" s="151"/>
      <c r="F35" s="176"/>
      <c r="G35" s="152"/>
      <c r="H35" s="153"/>
      <c r="I35" s="244"/>
      <c r="J35" s="217" t="s">
        <v>481</v>
      </c>
      <c r="K35" s="342" t="s">
        <v>224</v>
      </c>
      <c r="L35" s="343">
        <v>10000</v>
      </c>
      <c r="M35" s="445">
        <v>0</v>
      </c>
      <c r="N35" s="35">
        <v>0</v>
      </c>
      <c r="O35" s="276"/>
      <c r="P35" s="36"/>
      <c r="R35" s="36"/>
      <c r="V35" s="432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>
        <v>44069</v>
      </c>
      <c r="AH35" s="21">
        <v>2000</v>
      </c>
    </row>
    <row r="36" spans="1:34" ht="16.5" thickBot="1" x14ac:dyDescent="0.3">
      <c r="A36" s="30"/>
      <c r="B36" s="319"/>
      <c r="C36" s="321"/>
      <c r="D36" s="440"/>
      <c r="E36" s="151"/>
      <c r="F36" s="176"/>
      <c r="G36" s="152"/>
      <c r="H36" s="153"/>
      <c r="I36" s="244"/>
      <c r="J36" s="217" t="s">
        <v>481</v>
      </c>
      <c r="K36" s="484" t="s">
        <v>226</v>
      </c>
      <c r="L36" s="446">
        <f>9720+9345</f>
        <v>19065</v>
      </c>
      <c r="M36" s="34">
        <v>0</v>
      </c>
      <c r="N36" s="35">
        <v>0</v>
      </c>
      <c r="O36" s="276"/>
      <c r="P36" s="36"/>
      <c r="R36" s="36"/>
      <c r="V36" s="432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>
        <v>44076</v>
      </c>
      <c r="AH36" s="21">
        <v>2000</v>
      </c>
    </row>
    <row r="37" spans="1:34" ht="16.5" thickBot="1" x14ac:dyDescent="0.3">
      <c r="A37" s="30"/>
      <c r="B37" s="447">
        <v>44050</v>
      </c>
      <c r="C37" s="129">
        <v>14876.51</v>
      </c>
      <c r="D37" s="448" t="s">
        <v>451</v>
      </c>
      <c r="E37" s="151"/>
      <c r="F37" s="176"/>
      <c r="G37" s="152"/>
      <c r="H37" s="153"/>
      <c r="I37" s="244"/>
      <c r="J37" s="217" t="s">
        <v>481</v>
      </c>
      <c r="K37" s="20" t="s">
        <v>482</v>
      </c>
      <c r="L37" s="446">
        <v>1545</v>
      </c>
      <c r="M37" s="34">
        <v>0</v>
      </c>
      <c r="N37" s="35">
        <v>0</v>
      </c>
      <c r="O37" s="276"/>
      <c r="P37" s="36"/>
      <c r="Q37" s="36"/>
      <c r="R37" s="36"/>
      <c r="V37" s="432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6.5" thickBot="1" x14ac:dyDescent="0.3">
      <c r="A38" s="30"/>
      <c r="B38" s="447">
        <v>44051</v>
      </c>
      <c r="C38" s="129">
        <v>11745.5</v>
      </c>
      <c r="D38" s="448" t="s">
        <v>452</v>
      </c>
      <c r="E38" s="151"/>
      <c r="F38" s="176"/>
      <c r="G38" s="152"/>
      <c r="H38" s="153"/>
      <c r="I38" s="244"/>
      <c r="J38" s="217" t="s">
        <v>481</v>
      </c>
      <c r="K38" s="20" t="s">
        <v>243</v>
      </c>
      <c r="L38" s="446">
        <v>986</v>
      </c>
      <c r="M38" s="34">
        <v>0</v>
      </c>
      <c r="N38" s="35">
        <v>0</v>
      </c>
      <c r="O38" s="276"/>
      <c r="P38" s="36"/>
      <c r="Q38" s="36"/>
      <c r="R38" s="36"/>
      <c r="V38" s="432"/>
      <c r="W38" s="44"/>
      <c r="X38" s="196"/>
      <c r="Y38" s="41"/>
      <c r="AA38" s="29"/>
      <c r="AB38" s="44"/>
      <c r="AC38" s="196"/>
      <c r="AD38" s="41"/>
      <c r="AF38" s="19"/>
      <c r="AG38" s="167"/>
      <c r="AH38" s="21"/>
    </row>
    <row r="39" spans="1:34" ht="16.5" thickBot="1" x14ac:dyDescent="0.3">
      <c r="A39" s="30"/>
      <c r="B39" s="447">
        <v>44053</v>
      </c>
      <c r="C39" s="129">
        <v>8792.41</v>
      </c>
      <c r="D39" s="448" t="s">
        <v>453</v>
      </c>
      <c r="E39" s="151"/>
      <c r="F39" s="176"/>
      <c r="G39" s="152"/>
      <c r="H39" s="153"/>
      <c r="I39" s="244"/>
      <c r="J39" s="217" t="s">
        <v>481</v>
      </c>
      <c r="K39" s="20" t="s">
        <v>483</v>
      </c>
      <c r="L39" s="446">
        <v>2300</v>
      </c>
      <c r="M39" s="34">
        <v>0</v>
      </c>
      <c r="N39" s="35">
        <v>0</v>
      </c>
      <c r="O39" s="276"/>
      <c r="P39" s="36"/>
      <c r="Q39" s="36"/>
      <c r="R39" s="36"/>
      <c r="V39" s="432"/>
      <c r="W39" s="44"/>
      <c r="X39" s="196"/>
      <c r="Y39" s="41"/>
      <c r="AA39" s="29"/>
      <c r="AB39" s="44"/>
      <c r="AC39" s="196"/>
      <c r="AD39" s="41"/>
      <c r="AF39" s="19"/>
      <c r="AG39" s="167"/>
      <c r="AH39" s="21"/>
    </row>
    <row r="40" spans="1:34" ht="16.5" thickBot="1" x14ac:dyDescent="0.3">
      <c r="A40" s="30"/>
      <c r="B40" s="447">
        <v>44056</v>
      </c>
      <c r="C40" s="129">
        <v>16210.65</v>
      </c>
      <c r="D40" s="448" t="s">
        <v>454</v>
      </c>
      <c r="E40" s="151"/>
      <c r="F40" s="176"/>
      <c r="G40" s="152"/>
      <c r="H40" s="153"/>
      <c r="I40" s="244"/>
      <c r="J40" s="217" t="s">
        <v>481</v>
      </c>
      <c r="K40" s="20" t="s">
        <v>484</v>
      </c>
      <c r="L40" s="446">
        <v>5916</v>
      </c>
      <c r="M40" s="34">
        <v>0</v>
      </c>
      <c r="N40" s="35">
        <v>0</v>
      </c>
      <c r="O40" s="276"/>
      <c r="P40" s="36"/>
      <c r="Q40" s="36"/>
      <c r="R40" s="36"/>
      <c r="V40" s="432"/>
      <c r="W40" s="44"/>
      <c r="X40" s="196"/>
      <c r="Y40" s="41"/>
      <c r="AA40" s="29"/>
      <c r="AB40" s="44"/>
      <c r="AC40" s="196"/>
      <c r="AD40" s="41"/>
      <c r="AF40" s="19"/>
      <c r="AG40" s="167"/>
      <c r="AH40" s="21"/>
    </row>
    <row r="41" spans="1:34" ht="16.5" thickBot="1" x14ac:dyDescent="0.3">
      <c r="A41" s="30"/>
      <c r="B41" s="447">
        <v>44057</v>
      </c>
      <c r="C41" s="129">
        <v>5123.49</v>
      </c>
      <c r="D41" s="448" t="s">
        <v>455</v>
      </c>
      <c r="E41" s="151"/>
      <c r="F41" s="176"/>
      <c r="G41" s="152"/>
      <c r="H41" s="153"/>
      <c r="I41" s="244"/>
      <c r="J41" s="217" t="s">
        <v>481</v>
      </c>
      <c r="K41" s="20" t="s">
        <v>485</v>
      </c>
      <c r="L41" s="446">
        <v>3027.6</v>
      </c>
      <c r="M41" s="34">
        <v>0</v>
      </c>
      <c r="N41" s="35">
        <v>0</v>
      </c>
      <c r="O41" s="276"/>
      <c r="P41" s="36"/>
      <c r="Q41" s="36"/>
      <c r="R41" s="36"/>
      <c r="V41" s="432"/>
      <c r="W41" s="44"/>
      <c r="X41" s="196"/>
      <c r="Y41" s="41"/>
      <c r="AA41" s="29"/>
      <c r="AB41" s="44"/>
      <c r="AC41" s="196"/>
      <c r="AD41" s="41"/>
      <c r="AF41" s="19"/>
      <c r="AG41" s="167"/>
      <c r="AH41" s="21"/>
    </row>
    <row r="42" spans="1:34" ht="16.5" thickBot="1" x14ac:dyDescent="0.3">
      <c r="A42" s="30"/>
      <c r="B42" s="447">
        <v>44060</v>
      </c>
      <c r="C42" s="129">
        <v>10919.15</v>
      </c>
      <c r="D42" s="448" t="s">
        <v>456</v>
      </c>
      <c r="E42" s="151"/>
      <c r="F42" s="176"/>
      <c r="G42" s="152"/>
      <c r="H42" s="153"/>
      <c r="I42" s="244"/>
      <c r="J42" s="217" t="s">
        <v>481</v>
      </c>
      <c r="K42" s="20" t="s">
        <v>486</v>
      </c>
      <c r="L42" s="446">
        <v>9163.0499999999993</v>
      </c>
      <c r="M42" s="34">
        <v>0</v>
      </c>
      <c r="N42" s="35">
        <v>0</v>
      </c>
      <c r="O42" s="276"/>
      <c r="P42" s="36"/>
      <c r="Q42" s="36"/>
      <c r="R42" s="36"/>
      <c r="V42" s="432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30"/>
      <c r="B43" s="447">
        <v>44063</v>
      </c>
      <c r="C43" s="129">
        <v>16344.3</v>
      </c>
      <c r="D43" s="448" t="s">
        <v>457</v>
      </c>
      <c r="E43" s="151"/>
      <c r="F43" s="176"/>
      <c r="G43" s="152"/>
      <c r="H43" s="153"/>
      <c r="I43" s="244"/>
      <c r="J43" s="217" t="s">
        <v>481</v>
      </c>
      <c r="K43" s="20" t="s">
        <v>135</v>
      </c>
      <c r="L43" s="446">
        <v>1315.86</v>
      </c>
      <c r="M43" s="34">
        <v>0</v>
      </c>
      <c r="N43" s="35">
        <v>0</v>
      </c>
      <c r="O43" s="276"/>
      <c r="P43" s="36"/>
      <c r="Q43" s="36"/>
      <c r="R43" s="36"/>
      <c r="V43" s="432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30"/>
      <c r="B44" s="447">
        <v>44064</v>
      </c>
      <c r="C44" s="465">
        <v>8515.7000000000007</v>
      </c>
      <c r="D44" s="466" t="s">
        <v>458</v>
      </c>
      <c r="E44" s="151"/>
      <c r="F44" s="176"/>
      <c r="G44" s="152"/>
      <c r="H44" s="153"/>
      <c r="I44" s="244"/>
      <c r="J44" s="217" t="s">
        <v>481</v>
      </c>
      <c r="K44" s="20" t="s">
        <v>487</v>
      </c>
      <c r="L44" s="446">
        <v>1898.55</v>
      </c>
      <c r="M44" s="34">
        <v>0</v>
      </c>
      <c r="N44" s="35">
        <v>0</v>
      </c>
      <c r="O44" s="276"/>
      <c r="P44" s="36"/>
      <c r="Q44" s="36"/>
      <c r="R44" s="36"/>
      <c r="V44" s="432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30"/>
      <c r="B45" s="447">
        <v>44067</v>
      </c>
      <c r="C45" s="470">
        <v>10981</v>
      </c>
      <c r="D45" s="475" t="s">
        <v>528</v>
      </c>
      <c r="E45" s="474"/>
      <c r="F45" s="176"/>
      <c r="G45" s="152"/>
      <c r="H45" s="153"/>
      <c r="I45" s="244"/>
      <c r="J45" s="217" t="s">
        <v>481</v>
      </c>
      <c r="K45" s="20" t="s">
        <v>491</v>
      </c>
      <c r="L45" s="446">
        <v>5603.69</v>
      </c>
      <c r="M45" s="34">
        <v>0</v>
      </c>
      <c r="N45" s="35">
        <v>0</v>
      </c>
      <c r="O45" s="276"/>
      <c r="P45" s="36"/>
      <c r="Q45" s="36"/>
      <c r="R45" s="36"/>
      <c r="V45" s="432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6.5" thickBot="1" x14ac:dyDescent="0.3">
      <c r="A46" s="30"/>
      <c r="B46" s="319">
        <v>44069</v>
      </c>
      <c r="C46" s="472">
        <v>16446.27</v>
      </c>
      <c r="D46" s="480" t="s">
        <v>531</v>
      </c>
      <c r="E46" s="474"/>
      <c r="F46" s="176"/>
      <c r="G46" s="152"/>
      <c r="H46" s="153"/>
      <c r="I46" s="244"/>
      <c r="J46" s="217" t="s">
        <v>481</v>
      </c>
      <c r="K46" s="457" t="s">
        <v>492</v>
      </c>
      <c r="L46" s="161">
        <v>6797.49</v>
      </c>
      <c r="M46" s="34">
        <v>0</v>
      </c>
      <c r="N46" s="35">
        <v>0</v>
      </c>
      <c r="O46" s="276"/>
      <c r="P46" s="36"/>
      <c r="Q46" s="36"/>
      <c r="R46" s="36"/>
      <c r="V46" s="432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6.5" thickBot="1" x14ac:dyDescent="0.3">
      <c r="A47" s="30"/>
      <c r="B47" s="319">
        <v>44071</v>
      </c>
      <c r="C47" s="472">
        <v>20122.96</v>
      </c>
      <c r="D47" s="480" t="s">
        <v>529</v>
      </c>
      <c r="E47" s="474"/>
      <c r="F47" s="176"/>
      <c r="G47" s="152"/>
      <c r="H47" s="153"/>
      <c r="I47" s="244"/>
      <c r="J47" s="217" t="s">
        <v>481</v>
      </c>
      <c r="K47" s="460" t="s">
        <v>493</v>
      </c>
      <c r="L47" s="77">
        <v>894</v>
      </c>
      <c r="M47" s="34">
        <v>0</v>
      </c>
      <c r="N47" s="35">
        <v>0</v>
      </c>
      <c r="O47" s="276"/>
      <c r="P47" s="36"/>
      <c r="Q47" s="36"/>
      <c r="R47" s="36"/>
      <c r="V47" s="432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6.5" thickBot="1" x14ac:dyDescent="0.3">
      <c r="A48" s="30"/>
      <c r="B48" s="319">
        <v>44074</v>
      </c>
      <c r="C48" s="472">
        <v>8890.23</v>
      </c>
      <c r="D48" s="480" t="s">
        <v>530</v>
      </c>
      <c r="E48" s="474"/>
      <c r="F48" s="176"/>
      <c r="G48" s="152"/>
      <c r="H48" s="153"/>
      <c r="I48" s="244"/>
      <c r="J48" s="217" t="s">
        <v>481</v>
      </c>
      <c r="K48" s="457" t="s">
        <v>494</v>
      </c>
      <c r="L48" s="161">
        <v>1311.29</v>
      </c>
      <c r="M48" s="445">
        <v>0</v>
      </c>
      <c r="N48" s="35">
        <v>0</v>
      </c>
      <c r="O48" s="276"/>
      <c r="P48" s="36"/>
      <c r="Q48" s="36"/>
      <c r="R48" s="36"/>
      <c r="V48" s="432"/>
      <c r="W48" s="38" t="s">
        <v>10</v>
      </c>
      <c r="X48" s="196">
        <v>0</v>
      </c>
      <c r="Y48" s="41"/>
      <c r="AA48" s="29"/>
      <c r="AB48" s="38" t="s">
        <v>10</v>
      </c>
      <c r="AC48" s="196"/>
      <c r="AD48" s="41"/>
      <c r="AF48" s="19" t="s">
        <v>157</v>
      </c>
      <c r="AG48" s="167"/>
      <c r="AH48" s="21">
        <v>0</v>
      </c>
    </row>
    <row r="49" spans="1:34" ht="16.5" thickBot="1" x14ac:dyDescent="0.3">
      <c r="A49" s="30"/>
      <c r="B49" s="319"/>
      <c r="C49" s="455"/>
      <c r="D49" s="458"/>
      <c r="E49" s="456"/>
      <c r="F49" s="412"/>
      <c r="G49" s="152"/>
      <c r="H49" s="153"/>
      <c r="I49" s="344"/>
      <c r="J49" s="217" t="s">
        <v>481</v>
      </c>
      <c r="K49" s="457" t="s">
        <v>489</v>
      </c>
      <c r="L49" s="161">
        <v>638</v>
      </c>
      <c r="M49" s="445">
        <v>0</v>
      </c>
      <c r="N49" s="35">
        <v>0</v>
      </c>
      <c r="O49" s="276"/>
      <c r="P49" s="36"/>
      <c r="Q49" s="36"/>
      <c r="R49" s="36"/>
      <c r="V49" s="432"/>
      <c r="W49" s="38"/>
      <c r="X49" s="196"/>
      <c r="Y49" s="41"/>
      <c r="AA49" s="29"/>
      <c r="AB49" s="38"/>
      <c r="AC49" s="196"/>
      <c r="AD49" s="41"/>
      <c r="AF49" s="19"/>
      <c r="AG49" s="167"/>
      <c r="AH49" s="21"/>
    </row>
    <row r="50" spans="1:34" ht="16.5" thickBot="1" x14ac:dyDescent="0.3">
      <c r="B50" s="385" t="s">
        <v>16</v>
      </c>
      <c r="C50" s="386">
        <f>SUM(C5:C49)</f>
        <v>298724.57</v>
      </c>
      <c r="D50" s="117"/>
      <c r="E50" s="303" t="s">
        <v>16</v>
      </c>
      <c r="F50" s="304">
        <f>SUM(F5:F49)</f>
        <v>2459166</v>
      </c>
      <c r="G50" s="117"/>
      <c r="H50" s="120" t="s">
        <v>303</v>
      </c>
      <c r="I50" s="121">
        <f>SUM(I5:I49)</f>
        <v>63235.91</v>
      </c>
      <c r="J50" s="332"/>
      <c r="K50" s="122" t="s">
        <v>304</v>
      </c>
      <c r="L50" s="123">
        <f>SUM(L6:L49)</f>
        <v>179252.44999999995</v>
      </c>
      <c r="M50" s="131">
        <f>SUM(M5:M49)</f>
        <v>2076736</v>
      </c>
      <c r="N50" s="131">
        <f>SUM(N5:N49)</f>
        <v>122243</v>
      </c>
      <c r="O50" s="278"/>
      <c r="P50" s="36">
        <f>SUM(P5:P49)</f>
        <v>2493538.92</v>
      </c>
      <c r="Q50" s="36">
        <f>SUM(Q5:Q49)</f>
        <v>55111.080000000031</v>
      </c>
      <c r="R50" s="36"/>
      <c r="V50" s="29"/>
      <c r="W50" s="38" t="s">
        <v>10</v>
      </c>
      <c r="X50" s="196">
        <v>0</v>
      </c>
      <c r="Y50" s="41"/>
      <c r="AA50" s="29"/>
      <c r="AB50" s="38" t="s">
        <v>10</v>
      </c>
      <c r="AC50" s="196"/>
      <c r="AD50" s="41"/>
      <c r="AF50" s="19" t="s">
        <v>161</v>
      </c>
      <c r="AG50" s="167"/>
      <c r="AH50" s="21">
        <v>0</v>
      </c>
    </row>
    <row r="51" spans="1:34" ht="17.25" customHeight="1" thickTop="1" thickBot="1" x14ac:dyDescent="0.3">
      <c r="C51" s="8" t="s">
        <v>12</v>
      </c>
      <c r="O51" s="279"/>
      <c r="P51" s="114"/>
      <c r="Q51" s="114"/>
      <c r="V51" s="29"/>
      <c r="W51" s="44" t="s">
        <v>11</v>
      </c>
      <c r="X51" s="196">
        <v>0</v>
      </c>
      <c r="Y51" s="41"/>
      <c r="AA51" s="29"/>
      <c r="AB51" s="44" t="s">
        <v>11</v>
      </c>
      <c r="AC51" s="196"/>
      <c r="AD51" s="41"/>
      <c r="AF51" s="19" t="s">
        <v>162</v>
      </c>
      <c r="AG51" s="167"/>
      <c r="AH51" s="21">
        <v>0</v>
      </c>
    </row>
    <row r="52" spans="1:34" ht="19.5" thickBot="1" x14ac:dyDescent="0.3">
      <c r="A52" s="59"/>
      <c r="B52" s="125"/>
      <c r="C52" s="4"/>
      <c r="H52" s="638" t="s">
        <v>18</v>
      </c>
      <c r="I52" s="639"/>
      <c r="J52" s="333"/>
      <c r="K52" s="640">
        <f>I50+L50</f>
        <v>242488.35999999996</v>
      </c>
      <c r="L52" s="641"/>
      <c r="M52" s="636">
        <f>M50+N50</f>
        <v>2198979</v>
      </c>
      <c r="N52" s="637"/>
      <c r="P52" s="670">
        <f>P50+Q50</f>
        <v>2548650</v>
      </c>
      <c r="Q52" s="671"/>
      <c r="S52" s="5"/>
      <c r="T52" s="128"/>
      <c r="U52" s="128"/>
      <c r="V52" s="29"/>
      <c r="W52" s="38" t="s">
        <v>10</v>
      </c>
      <c r="X52" s="196">
        <v>0</v>
      </c>
      <c r="Y52" s="41"/>
      <c r="Z52" s="128"/>
      <c r="AA52" s="29"/>
      <c r="AB52" s="38" t="s">
        <v>10</v>
      </c>
      <c r="AC52" s="196"/>
      <c r="AD52" s="41"/>
      <c r="AF52" s="19" t="s">
        <v>163</v>
      </c>
      <c r="AG52" s="167"/>
      <c r="AH52" s="21">
        <v>0</v>
      </c>
    </row>
    <row r="53" spans="1:34" ht="15.75" x14ac:dyDescent="0.25">
      <c r="D53" s="642" t="s">
        <v>19</v>
      </c>
      <c r="E53" s="642"/>
      <c r="F53" s="129">
        <f>F50-K52-C50</f>
        <v>1917953.07</v>
      </c>
      <c r="I53" s="130"/>
      <c r="J53" s="334"/>
      <c r="P53" s="127"/>
      <c r="V53" s="29"/>
      <c r="W53" s="44" t="s">
        <v>11</v>
      </c>
      <c r="X53" s="196">
        <v>0</v>
      </c>
      <c r="Y53" s="41"/>
      <c r="AA53" s="29"/>
      <c r="AB53" s="44" t="s">
        <v>11</v>
      </c>
      <c r="AC53" s="196"/>
      <c r="AD53" s="41"/>
      <c r="AF53" s="19" t="s">
        <v>164</v>
      </c>
      <c r="AG53" s="167"/>
      <c r="AH53" s="21">
        <v>0</v>
      </c>
    </row>
    <row r="54" spans="1:34" ht="18.75" x14ac:dyDescent="0.3">
      <c r="D54" s="655" t="s">
        <v>20</v>
      </c>
      <c r="E54" s="655"/>
      <c r="F54" s="131">
        <v>-1856050.41</v>
      </c>
      <c r="I54" s="656" t="s">
        <v>21</v>
      </c>
      <c r="J54" s="657"/>
      <c r="K54" s="658">
        <f>F56+F57+F58</f>
        <v>369014.39000000013</v>
      </c>
      <c r="L54" s="659"/>
      <c r="P54" s="405"/>
      <c r="Q54" s="36"/>
      <c r="V54" s="29"/>
      <c r="W54" s="38" t="s">
        <v>10</v>
      </c>
      <c r="X54" s="196">
        <v>0</v>
      </c>
      <c r="Y54" s="41"/>
      <c r="AA54" s="29"/>
      <c r="AB54" s="38" t="s">
        <v>10</v>
      </c>
      <c r="AC54" s="196"/>
      <c r="AD54" s="41"/>
      <c r="AF54" s="19" t="s">
        <v>165</v>
      </c>
      <c r="AG54" s="167"/>
      <c r="AH54" s="21">
        <v>0</v>
      </c>
    </row>
    <row r="55" spans="1:34" ht="4.5" customHeight="1" thickBot="1" x14ac:dyDescent="0.35">
      <c r="D55" s="132"/>
      <c r="E55" s="133"/>
      <c r="F55" s="134">
        <v>0</v>
      </c>
      <c r="I55" s="135"/>
      <c r="J55" s="335"/>
      <c r="K55" s="136"/>
      <c r="L55" s="136"/>
      <c r="P55" s="127"/>
      <c r="Q55" s="36"/>
      <c r="V55" s="8"/>
      <c r="W55" s="44" t="s">
        <v>11</v>
      </c>
      <c r="X55" s="196">
        <v>0</v>
      </c>
      <c r="AA55" s="8"/>
      <c r="AB55" s="44" t="s">
        <v>11</v>
      </c>
      <c r="AC55" s="196">
        <v>0</v>
      </c>
    </row>
    <row r="56" spans="1:34" ht="20.25" thickTop="1" thickBot="1" x14ac:dyDescent="0.35">
      <c r="C56" s="16" t="s">
        <v>12</v>
      </c>
      <c r="E56" s="59" t="s">
        <v>22</v>
      </c>
      <c r="F56" s="131">
        <f>SUM(F53:F55)</f>
        <v>61902.660000000149</v>
      </c>
      <c r="H56" s="30"/>
      <c r="I56" s="137" t="s">
        <v>23</v>
      </c>
      <c r="J56" s="336"/>
      <c r="K56" s="627">
        <f>-C4</f>
        <v>-256378.82</v>
      </c>
      <c r="L56" s="628"/>
      <c r="M56" s="214"/>
      <c r="P56" s="127"/>
      <c r="Q56" s="36"/>
      <c r="V56" s="8"/>
      <c r="W56" s="65" t="s">
        <v>16</v>
      </c>
      <c r="X56" s="66">
        <f>SUM(X4:X14)</f>
        <v>105110</v>
      </c>
      <c r="AA56" s="8"/>
      <c r="AB56" s="65" t="s">
        <v>323</v>
      </c>
      <c r="AC56" s="66">
        <f>SUM(AC4:AC14)</f>
        <v>55110</v>
      </c>
    </row>
    <row r="57" spans="1:34" ht="16.5" thickBot="1" x14ac:dyDescent="0.3">
      <c r="D57" s="139" t="s">
        <v>24</v>
      </c>
      <c r="E57" s="59" t="s">
        <v>25</v>
      </c>
      <c r="F57" s="140">
        <v>6068</v>
      </c>
      <c r="P57" s="127"/>
      <c r="Q57" s="36"/>
      <c r="V57" s="8"/>
      <c r="AA57" s="8"/>
    </row>
    <row r="58" spans="1:34" ht="20.25" thickTop="1" thickBot="1" x14ac:dyDescent="0.35">
      <c r="C58" s="231">
        <v>44076</v>
      </c>
      <c r="D58" s="629" t="s">
        <v>26</v>
      </c>
      <c r="E58" s="630"/>
      <c r="F58" s="142">
        <v>301043.73</v>
      </c>
      <c r="I58" s="631" t="s">
        <v>129</v>
      </c>
      <c r="J58" s="632"/>
      <c r="K58" s="633">
        <f>K54+K56</f>
        <v>112635.57000000012</v>
      </c>
      <c r="L58" s="634"/>
      <c r="P58" s="406"/>
      <c r="Q58" s="36"/>
    </row>
    <row r="59" spans="1:34" ht="18.75" x14ac:dyDescent="0.3">
      <c r="C59" s="143"/>
      <c r="D59" s="144"/>
      <c r="E59" s="61"/>
      <c r="F59" s="145"/>
      <c r="J59" s="337"/>
      <c r="M59" s="146"/>
      <c r="P59" s="36"/>
      <c r="Q59" s="36"/>
    </row>
    <row r="60" spans="1:34" x14ac:dyDescent="0.25">
      <c r="P60" s="36"/>
      <c r="Q60" s="36"/>
    </row>
    <row r="61" spans="1:34" x14ac:dyDescent="0.25">
      <c r="B61"/>
      <c r="C61"/>
      <c r="D61" s="635"/>
      <c r="E61" s="635"/>
      <c r="M61" s="147"/>
      <c r="N61" s="59"/>
      <c r="O61" s="59"/>
      <c r="P61" s="404"/>
      <c r="Q61" s="191"/>
      <c r="R61" s="186"/>
    </row>
    <row r="62" spans="1:34" x14ac:dyDescent="0.25">
      <c r="B62"/>
      <c r="C62"/>
      <c r="M62" s="147"/>
      <c r="N62" s="59"/>
      <c r="O62" s="59"/>
      <c r="P62" s="191"/>
      <c r="Q62" s="191"/>
      <c r="R62" s="186"/>
    </row>
    <row r="63" spans="1:34" x14ac:dyDescent="0.25">
      <c r="B63"/>
      <c r="C63"/>
      <c r="K63" s="382"/>
      <c r="L63" s="382"/>
      <c r="N63" s="59"/>
      <c r="O63" s="59"/>
      <c r="P63" s="191"/>
      <c r="Q63" s="191"/>
      <c r="R63" s="186"/>
    </row>
    <row r="64" spans="1:34" x14ac:dyDescent="0.25">
      <c r="B64"/>
      <c r="C64"/>
      <c r="F64"/>
      <c r="I64"/>
      <c r="J64" s="222"/>
      <c r="K64" s="382"/>
      <c r="L64" s="395"/>
      <c r="M64"/>
      <c r="N64" s="59"/>
      <c r="O64" s="59"/>
      <c r="P64" s="59"/>
      <c r="Q64" s="186"/>
      <c r="R64" s="186"/>
    </row>
    <row r="65" spans="2:18" x14ac:dyDescent="0.25">
      <c r="B65"/>
      <c r="C65"/>
      <c r="F65" s="148"/>
      <c r="K65" s="382"/>
      <c r="L65" s="395"/>
      <c r="N65" s="59"/>
      <c r="O65" s="59"/>
      <c r="P65" s="59"/>
      <c r="Q65" s="186"/>
      <c r="R65" s="186"/>
    </row>
    <row r="66" spans="2:18" x14ac:dyDescent="0.25">
      <c r="F66" s="36"/>
      <c r="K66" s="382"/>
      <c r="L66" s="395"/>
      <c r="M66" s="4"/>
      <c r="N66" s="59"/>
      <c r="O66" s="59"/>
      <c r="P66" s="59"/>
      <c r="Q66" s="186"/>
      <c r="R66" s="186"/>
    </row>
    <row r="67" spans="2:18" x14ac:dyDescent="0.25">
      <c r="F67" s="36"/>
      <c r="K67" s="382"/>
      <c r="L67" s="293"/>
      <c r="M67" s="4"/>
      <c r="N67" s="59"/>
      <c r="O67" s="59"/>
      <c r="P67" s="59"/>
      <c r="Q67" s="186"/>
      <c r="R67" s="186"/>
    </row>
    <row r="68" spans="2:18" x14ac:dyDescent="0.25">
      <c r="F68" s="36"/>
      <c r="K68" s="382"/>
      <c r="L68" s="395"/>
      <c r="M68" s="4"/>
      <c r="N68" s="59"/>
      <c r="O68" s="59"/>
      <c r="P68" s="59"/>
      <c r="Q68" s="186"/>
      <c r="R68" s="186"/>
    </row>
    <row r="69" spans="2:18" x14ac:dyDescent="0.25">
      <c r="F69" s="36"/>
      <c r="K69" s="382"/>
      <c r="L69" s="395"/>
      <c r="M69" s="4"/>
      <c r="N69" s="59"/>
      <c r="O69" s="59"/>
      <c r="P69" s="59"/>
      <c r="Q69" s="186"/>
      <c r="R69" s="186"/>
    </row>
    <row r="70" spans="2:18" x14ac:dyDescent="0.25">
      <c r="F70" s="36"/>
      <c r="K70" s="382"/>
      <c r="L70" s="395"/>
      <c r="M70" s="4"/>
    </row>
    <row r="71" spans="2:18" x14ac:dyDescent="0.25">
      <c r="F71" s="36"/>
      <c r="K71" s="382"/>
      <c r="L71" s="395"/>
      <c r="M71" s="4"/>
    </row>
    <row r="72" spans="2:18" x14ac:dyDescent="0.25">
      <c r="F72" s="36"/>
      <c r="K72" s="382"/>
      <c r="L72" s="357"/>
      <c r="M72" s="4"/>
    </row>
    <row r="73" spans="2:18" x14ac:dyDescent="0.25">
      <c r="F73" s="36"/>
      <c r="K73" s="382"/>
      <c r="L73" s="395"/>
      <c r="M73" s="4"/>
    </row>
    <row r="74" spans="2:18" x14ac:dyDescent="0.25">
      <c r="F74" s="36"/>
      <c r="K74" s="382"/>
      <c r="L74" s="396"/>
      <c r="M74" s="4"/>
    </row>
    <row r="75" spans="2:18" x14ac:dyDescent="0.25">
      <c r="F75" s="148"/>
      <c r="K75" s="382"/>
      <c r="L75" s="382"/>
      <c r="M75" s="4"/>
    </row>
    <row r="76" spans="2:18" x14ac:dyDescent="0.25">
      <c r="M76" s="4"/>
    </row>
    <row r="77" spans="2:18" x14ac:dyDescent="0.25">
      <c r="M77" s="4"/>
    </row>
    <row r="78" spans="2:18" x14ac:dyDescent="0.25">
      <c r="M78" s="4"/>
    </row>
    <row r="79" spans="2:18" x14ac:dyDescent="0.25">
      <c r="M79" s="4"/>
    </row>
    <row r="80" spans="2:18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23">
    <mergeCell ref="D61:E61"/>
    <mergeCell ref="D53:E53"/>
    <mergeCell ref="D54:E54"/>
    <mergeCell ref="I54:J54"/>
    <mergeCell ref="K54:L54"/>
    <mergeCell ref="K56:L56"/>
    <mergeCell ref="D58:E58"/>
    <mergeCell ref="I58:J58"/>
    <mergeCell ref="K58:L58"/>
    <mergeCell ref="P52:Q52"/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H52:I52"/>
    <mergeCell ref="K52:L52"/>
    <mergeCell ref="M52:N52"/>
    <mergeCell ref="J34:K34"/>
  </mergeCells>
  <phoneticPr fontId="30" type="noConversion"/>
  <pageMargins left="0.97" right="0.15748031496062992" top="0.35433070866141736" bottom="0.31496062992125984" header="0.31496062992125984" footer="0.31496062992125984"/>
  <pageSetup scale="60" orientation="landscape" horizontalDpi="0" verticalDpi="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34C3-CB86-4E08-8D01-BC7D72F97CD3}">
  <sheetPr>
    <tabColor rgb="FF7030A0"/>
  </sheetPr>
  <dimension ref="A1:G80"/>
  <sheetViews>
    <sheetView topLeftCell="A22" workbookViewId="0">
      <selection activeCell="C36" sqref="C36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44049</v>
      </c>
      <c r="B3" s="272">
        <v>24748</v>
      </c>
      <c r="C3" s="176">
        <v>100992.32000000001</v>
      </c>
      <c r="D3" s="270"/>
      <c r="E3" s="5"/>
      <c r="F3" s="173">
        <f>C3-E3</f>
        <v>100992.32000000001</v>
      </c>
    </row>
    <row r="4" spans="1:6" x14ac:dyDescent="0.25">
      <c r="A4" s="271">
        <v>44049</v>
      </c>
      <c r="B4" s="272">
        <v>24851</v>
      </c>
      <c r="C4" s="176">
        <v>17063.2</v>
      </c>
      <c r="D4" s="273"/>
      <c r="E4" s="176"/>
      <c r="F4" s="442">
        <f>F3+C4-E4</f>
        <v>118055.52</v>
      </c>
    </row>
    <row r="5" spans="1:6" x14ac:dyDescent="0.25">
      <c r="A5" s="273">
        <v>44050</v>
      </c>
      <c r="B5" s="272">
        <v>24898</v>
      </c>
      <c r="C5" s="176">
        <v>546</v>
      </c>
      <c r="D5" s="273"/>
      <c r="E5" s="176"/>
      <c r="F5" s="442">
        <f t="shared" ref="F5:F43" si="0">F4+C5-E5</f>
        <v>118601.52</v>
      </c>
    </row>
    <row r="6" spans="1:6" x14ac:dyDescent="0.25">
      <c r="A6" s="273">
        <v>44050</v>
      </c>
      <c r="B6" s="272" t="s">
        <v>427</v>
      </c>
      <c r="C6" s="176">
        <v>92305.7</v>
      </c>
      <c r="D6" s="273"/>
      <c r="E6" s="176"/>
      <c r="F6" s="442">
        <f t="shared" si="0"/>
        <v>210907.22</v>
      </c>
    </row>
    <row r="7" spans="1:6" x14ac:dyDescent="0.25">
      <c r="A7" s="273">
        <v>44050</v>
      </c>
      <c r="B7" s="272" t="s">
        <v>428</v>
      </c>
      <c r="C7" s="176">
        <v>4504</v>
      </c>
      <c r="D7" s="273"/>
      <c r="E7" s="176"/>
      <c r="F7" s="442">
        <f t="shared" si="0"/>
        <v>215411.22</v>
      </c>
    </row>
    <row r="8" spans="1:6" x14ac:dyDescent="0.25">
      <c r="A8" s="273">
        <v>44052</v>
      </c>
      <c r="B8" s="272" t="s">
        <v>429</v>
      </c>
      <c r="C8" s="176">
        <v>131630.72</v>
      </c>
      <c r="D8" s="273"/>
      <c r="E8" s="176"/>
      <c r="F8" s="442">
        <f t="shared" si="0"/>
        <v>347041.94</v>
      </c>
    </row>
    <row r="9" spans="1:6" x14ac:dyDescent="0.25">
      <c r="A9" s="273">
        <v>44054</v>
      </c>
      <c r="B9" s="272" t="s">
        <v>430</v>
      </c>
      <c r="C9" s="176">
        <v>23700.5</v>
      </c>
      <c r="D9" s="273"/>
      <c r="E9" s="176"/>
      <c r="F9" s="442">
        <f t="shared" si="0"/>
        <v>370742.44</v>
      </c>
    </row>
    <row r="10" spans="1:6" x14ac:dyDescent="0.25">
      <c r="A10" s="273">
        <v>44054</v>
      </c>
      <c r="B10" s="272" t="s">
        <v>431</v>
      </c>
      <c r="C10" s="176">
        <v>56455.65</v>
      </c>
      <c r="D10" s="273"/>
      <c r="E10" s="176"/>
      <c r="F10" s="442">
        <f t="shared" si="0"/>
        <v>427198.09</v>
      </c>
    </row>
    <row r="11" spans="1:6" x14ac:dyDescent="0.25">
      <c r="A11" s="271">
        <v>44055</v>
      </c>
      <c r="B11" s="272" t="s">
        <v>432</v>
      </c>
      <c r="C11" s="176">
        <v>22728</v>
      </c>
      <c r="D11" s="273">
        <v>44057</v>
      </c>
      <c r="E11" s="176">
        <v>449926.09</v>
      </c>
      <c r="F11" s="442">
        <f t="shared" si="0"/>
        <v>0</v>
      </c>
    </row>
    <row r="12" spans="1:6" x14ac:dyDescent="0.25">
      <c r="A12" s="273">
        <v>44056</v>
      </c>
      <c r="B12" s="272" t="s">
        <v>433</v>
      </c>
      <c r="C12" s="176">
        <v>81797</v>
      </c>
      <c r="D12" s="273">
        <v>44057</v>
      </c>
      <c r="E12" s="226">
        <v>9046.61</v>
      </c>
      <c r="F12" s="442">
        <f t="shared" si="0"/>
        <v>72750.39</v>
      </c>
    </row>
    <row r="13" spans="1:6" x14ac:dyDescent="0.25">
      <c r="A13" s="273">
        <v>44057</v>
      </c>
      <c r="B13" s="272" t="s">
        <v>434</v>
      </c>
      <c r="C13" s="176">
        <v>124563.6</v>
      </c>
      <c r="D13" s="273"/>
      <c r="E13" s="176"/>
      <c r="F13" s="442">
        <f t="shared" si="0"/>
        <v>197313.99</v>
      </c>
    </row>
    <row r="14" spans="1:6" x14ac:dyDescent="0.25">
      <c r="A14" s="273">
        <v>44058</v>
      </c>
      <c r="B14" s="272" t="s">
        <v>435</v>
      </c>
      <c r="C14" s="176">
        <v>31042.799999999999</v>
      </c>
      <c r="D14" s="273"/>
      <c r="E14" s="176"/>
      <c r="F14" s="442">
        <f t="shared" si="0"/>
        <v>228356.78999999998</v>
      </c>
    </row>
    <row r="15" spans="1:6" x14ac:dyDescent="0.25">
      <c r="A15" s="273">
        <v>44058</v>
      </c>
      <c r="B15" s="272" t="s">
        <v>436</v>
      </c>
      <c r="C15" s="176">
        <v>65853.3</v>
      </c>
      <c r="D15" s="273"/>
      <c r="E15" s="176"/>
      <c r="F15" s="442">
        <f t="shared" si="0"/>
        <v>294210.08999999997</v>
      </c>
    </row>
    <row r="16" spans="1:6" x14ac:dyDescent="0.25">
      <c r="A16" s="273">
        <v>44060</v>
      </c>
      <c r="B16" s="272" t="s">
        <v>437</v>
      </c>
      <c r="C16" s="176">
        <v>57160.4</v>
      </c>
      <c r="D16" s="273"/>
      <c r="E16" s="176"/>
      <c r="F16" s="442">
        <f t="shared" si="0"/>
        <v>351370.49</v>
      </c>
    </row>
    <row r="17" spans="1:7" x14ac:dyDescent="0.25">
      <c r="A17" s="273">
        <v>44060</v>
      </c>
      <c r="B17" s="272" t="s">
        <v>438</v>
      </c>
      <c r="C17" s="176">
        <v>1040</v>
      </c>
      <c r="D17" s="273"/>
      <c r="E17" s="176"/>
      <c r="F17" s="442">
        <f t="shared" si="0"/>
        <v>352410.49</v>
      </c>
    </row>
    <row r="18" spans="1:7" x14ac:dyDescent="0.25">
      <c r="A18" s="273">
        <v>44062</v>
      </c>
      <c r="B18" s="272" t="s">
        <v>439</v>
      </c>
      <c r="C18" s="176">
        <v>52992.959999999999</v>
      </c>
      <c r="D18" s="273"/>
      <c r="E18" s="176"/>
      <c r="F18" s="442">
        <f t="shared" si="0"/>
        <v>405403.45</v>
      </c>
    </row>
    <row r="19" spans="1:7" x14ac:dyDescent="0.25">
      <c r="A19" s="273">
        <v>44062</v>
      </c>
      <c r="B19" s="272" t="s">
        <v>440</v>
      </c>
      <c r="C19" s="176">
        <v>1648</v>
      </c>
      <c r="D19" s="273"/>
      <c r="E19" s="176"/>
      <c r="F19" s="442">
        <f t="shared" si="0"/>
        <v>407051.45</v>
      </c>
    </row>
    <row r="20" spans="1:7" x14ac:dyDescent="0.25">
      <c r="A20" s="273">
        <v>44063</v>
      </c>
      <c r="B20" s="272" t="s">
        <v>441</v>
      </c>
      <c r="C20" s="176">
        <v>89555.4</v>
      </c>
      <c r="D20" s="273"/>
      <c r="E20" s="176"/>
      <c r="F20" s="442">
        <f t="shared" si="0"/>
        <v>496606.85</v>
      </c>
    </row>
    <row r="21" spans="1:7" x14ac:dyDescent="0.25">
      <c r="A21" s="273">
        <v>44063</v>
      </c>
      <c r="B21" s="272" t="s">
        <v>442</v>
      </c>
      <c r="C21" s="176">
        <v>76257.179999999993</v>
      </c>
      <c r="D21" s="273"/>
      <c r="E21" s="176"/>
      <c r="F21" s="442">
        <f t="shared" si="0"/>
        <v>572864.03</v>
      </c>
    </row>
    <row r="22" spans="1:7" ht="18.75" x14ac:dyDescent="0.3">
      <c r="A22" s="273">
        <v>44064</v>
      </c>
      <c r="B22" s="272" t="s">
        <v>443</v>
      </c>
      <c r="C22" s="176">
        <v>3169.8</v>
      </c>
      <c r="D22" s="273">
        <v>44064</v>
      </c>
      <c r="E22" s="176">
        <v>579848</v>
      </c>
      <c r="F22" s="444">
        <f t="shared" si="0"/>
        <v>-3814.1699999999255</v>
      </c>
      <c r="G22" s="451" t="s">
        <v>465</v>
      </c>
    </row>
    <row r="23" spans="1:7" x14ac:dyDescent="0.25">
      <c r="A23" s="273">
        <v>44065</v>
      </c>
      <c r="B23" s="272" t="s">
        <v>466</v>
      </c>
      <c r="C23" s="176">
        <v>58341.440000000002</v>
      </c>
      <c r="D23" s="273"/>
      <c r="E23" s="176"/>
      <c r="F23" s="442">
        <f t="shared" si="0"/>
        <v>54527.270000000077</v>
      </c>
    </row>
    <row r="24" spans="1:7" x14ac:dyDescent="0.25">
      <c r="A24" s="273">
        <v>44065</v>
      </c>
      <c r="B24" s="272" t="s">
        <v>467</v>
      </c>
      <c r="C24" s="176">
        <v>38116.6</v>
      </c>
      <c r="D24" s="273"/>
      <c r="E24" s="176"/>
      <c r="F24" s="442">
        <f t="shared" si="0"/>
        <v>92643.870000000083</v>
      </c>
    </row>
    <row r="25" spans="1:7" x14ac:dyDescent="0.25">
      <c r="A25" s="273">
        <v>44066</v>
      </c>
      <c r="B25" s="272" t="s">
        <v>468</v>
      </c>
      <c r="C25" s="176">
        <v>50114.5</v>
      </c>
      <c r="D25" s="273"/>
      <c r="E25" s="176"/>
      <c r="F25" s="442">
        <f t="shared" si="0"/>
        <v>142758.37000000008</v>
      </c>
    </row>
    <row r="26" spans="1:7" x14ac:dyDescent="0.25">
      <c r="A26" s="273">
        <v>44068</v>
      </c>
      <c r="B26" s="272" t="s">
        <v>469</v>
      </c>
      <c r="C26" s="176">
        <v>47125.8</v>
      </c>
      <c r="D26" s="273"/>
      <c r="E26" s="176"/>
      <c r="F26" s="442">
        <f t="shared" si="0"/>
        <v>189884.1700000001</v>
      </c>
    </row>
    <row r="27" spans="1:7" x14ac:dyDescent="0.25">
      <c r="A27" s="273">
        <v>44069</v>
      </c>
      <c r="B27" s="272" t="s">
        <v>470</v>
      </c>
      <c r="C27" s="176">
        <v>43553.25</v>
      </c>
      <c r="D27" s="273"/>
      <c r="E27" s="176"/>
      <c r="F27" s="442">
        <f t="shared" si="0"/>
        <v>233437.4200000001</v>
      </c>
    </row>
    <row r="28" spans="1:7" x14ac:dyDescent="0.25">
      <c r="A28" s="273">
        <v>44069</v>
      </c>
      <c r="B28" s="272" t="s">
        <v>471</v>
      </c>
      <c r="C28" s="176">
        <v>2565</v>
      </c>
      <c r="D28" s="273"/>
      <c r="E28" s="176"/>
      <c r="F28" s="442">
        <f t="shared" si="0"/>
        <v>236002.4200000001</v>
      </c>
    </row>
    <row r="29" spans="1:7" x14ac:dyDescent="0.25">
      <c r="A29" s="273">
        <v>44070</v>
      </c>
      <c r="B29" s="272" t="s">
        <v>472</v>
      </c>
      <c r="C29" s="176">
        <v>129429.29</v>
      </c>
      <c r="D29" s="273"/>
      <c r="E29" s="176"/>
      <c r="F29" s="442">
        <f t="shared" si="0"/>
        <v>365431.71000000008</v>
      </c>
    </row>
    <row r="30" spans="1:7" ht="18.75" x14ac:dyDescent="0.3">
      <c r="A30" s="273">
        <v>44071</v>
      </c>
      <c r="B30" s="272" t="s">
        <v>473</v>
      </c>
      <c r="C30" s="176">
        <v>14437.2</v>
      </c>
      <c r="D30" s="273">
        <v>44071</v>
      </c>
      <c r="E30" s="176">
        <v>383683.08</v>
      </c>
      <c r="F30" s="444">
        <f t="shared" si="0"/>
        <v>-3814.1699999999255</v>
      </c>
      <c r="G30" s="451" t="s">
        <v>465</v>
      </c>
    </row>
    <row r="31" spans="1:7" x14ac:dyDescent="0.25">
      <c r="A31" s="273">
        <v>44071</v>
      </c>
      <c r="B31" s="272" t="s">
        <v>474</v>
      </c>
      <c r="C31" s="176">
        <v>20154.5</v>
      </c>
      <c r="D31" s="273"/>
      <c r="E31" s="176"/>
      <c r="F31" s="442">
        <f t="shared" si="0"/>
        <v>16340.330000000075</v>
      </c>
    </row>
    <row r="32" spans="1:7" x14ac:dyDescent="0.25">
      <c r="A32" s="271">
        <v>44072</v>
      </c>
      <c r="B32" s="272" t="s">
        <v>475</v>
      </c>
      <c r="C32" s="176">
        <v>121334.39999999999</v>
      </c>
      <c r="D32" s="410"/>
      <c r="E32" s="36"/>
      <c r="F32" s="442">
        <f t="shared" si="0"/>
        <v>137674.73000000007</v>
      </c>
    </row>
    <row r="33" spans="1:7" x14ac:dyDescent="0.25">
      <c r="A33" s="271">
        <v>44072</v>
      </c>
      <c r="B33" s="272" t="s">
        <v>476</v>
      </c>
      <c r="C33" s="176">
        <v>8562.4</v>
      </c>
      <c r="D33" s="410"/>
      <c r="E33" s="36"/>
      <c r="F33" s="442">
        <f t="shared" si="0"/>
        <v>146237.13000000006</v>
      </c>
    </row>
    <row r="34" spans="1:7" x14ac:dyDescent="0.25">
      <c r="A34" s="271">
        <v>44073</v>
      </c>
      <c r="B34" s="272" t="s">
        <v>477</v>
      </c>
      <c r="C34" s="176">
        <v>13545.8</v>
      </c>
      <c r="D34" s="410"/>
      <c r="E34" s="36"/>
      <c r="F34" s="442">
        <f t="shared" si="0"/>
        <v>159782.93000000005</v>
      </c>
    </row>
    <row r="35" spans="1:7" x14ac:dyDescent="0.25">
      <c r="A35" s="271">
        <v>44075</v>
      </c>
      <c r="B35" s="272" t="s">
        <v>478</v>
      </c>
      <c r="C35" s="176">
        <v>12380.1</v>
      </c>
      <c r="D35" s="410"/>
      <c r="E35" s="36"/>
      <c r="F35" s="442">
        <f t="shared" si="0"/>
        <v>172163.03000000006</v>
      </c>
    </row>
    <row r="36" spans="1:7" x14ac:dyDescent="0.25">
      <c r="A36" s="271">
        <v>44075</v>
      </c>
      <c r="B36" s="272" t="s">
        <v>479</v>
      </c>
      <c r="C36" s="176">
        <v>28605</v>
      </c>
      <c r="D36" s="410"/>
      <c r="E36" s="36"/>
      <c r="F36" s="442">
        <f t="shared" si="0"/>
        <v>200768.03000000006</v>
      </c>
    </row>
    <row r="37" spans="1:7" ht="18.75" x14ac:dyDescent="0.3">
      <c r="A37" s="271">
        <v>44076</v>
      </c>
      <c r="B37" s="272" t="s">
        <v>480</v>
      </c>
      <c r="C37" s="176">
        <v>133444.6</v>
      </c>
      <c r="D37" s="410">
        <v>44078</v>
      </c>
      <c r="E37" s="36">
        <v>338026.8</v>
      </c>
      <c r="F37" s="444">
        <f t="shared" si="0"/>
        <v>-3814.1699999999255</v>
      </c>
      <c r="G37" s="451" t="s">
        <v>465</v>
      </c>
    </row>
    <row r="38" spans="1:7" ht="18.75" x14ac:dyDescent="0.3">
      <c r="A38" s="461" t="s">
        <v>495</v>
      </c>
      <c r="B38" s="674" t="s">
        <v>496</v>
      </c>
      <c r="C38" s="462">
        <v>99334</v>
      </c>
      <c r="D38" s="410"/>
      <c r="E38" s="36"/>
      <c r="F38" s="444">
        <f>F37-E38</f>
        <v>-3814.1699999999255</v>
      </c>
    </row>
    <row r="39" spans="1:7" ht="18.75" x14ac:dyDescent="0.3">
      <c r="A39" s="461"/>
      <c r="B39" s="675"/>
      <c r="C39" s="462"/>
      <c r="D39" s="410"/>
      <c r="E39" s="36"/>
      <c r="F39" s="442">
        <f t="shared" si="0"/>
        <v>-3814.1699999999255</v>
      </c>
    </row>
    <row r="40" spans="1:7" x14ac:dyDescent="0.25">
      <c r="A40" s="271"/>
      <c r="B40" s="272"/>
      <c r="C40" s="176"/>
      <c r="D40" s="410"/>
      <c r="E40" s="36"/>
      <c r="F40" s="442">
        <f t="shared" si="0"/>
        <v>-3814.1699999999255</v>
      </c>
    </row>
    <row r="41" spans="1:7" x14ac:dyDescent="0.25">
      <c r="A41" s="271"/>
      <c r="B41" s="272"/>
      <c r="C41" s="176"/>
      <c r="D41" s="410"/>
      <c r="E41" s="36"/>
      <c r="F41" s="442">
        <f t="shared" si="0"/>
        <v>-3814.1699999999255</v>
      </c>
    </row>
    <row r="42" spans="1:7" x14ac:dyDescent="0.25">
      <c r="A42" s="271"/>
      <c r="B42" s="272"/>
      <c r="C42" s="176"/>
      <c r="D42" s="410"/>
      <c r="E42" s="36"/>
      <c r="F42" s="442">
        <f t="shared" si="0"/>
        <v>-3814.1699999999255</v>
      </c>
    </row>
    <row r="43" spans="1:7" ht="15.75" thickBot="1" x14ac:dyDescent="0.3">
      <c r="A43" s="178"/>
      <c r="B43" s="411"/>
      <c r="C43" s="104">
        <v>0</v>
      </c>
      <c r="D43" s="180"/>
      <c r="E43" s="104"/>
      <c r="F43" s="173">
        <f t="shared" si="0"/>
        <v>-3814.1699999999255</v>
      </c>
    </row>
    <row r="44" spans="1:7" ht="19.5" thickTop="1" x14ac:dyDescent="0.3">
      <c r="B44" s="59"/>
      <c r="C44" s="4">
        <f>SUM(C3:C43)</f>
        <v>1856050.4100000004</v>
      </c>
      <c r="D44" s="1"/>
      <c r="E44" s="4">
        <f>SUM(E3:E43)</f>
        <v>1760530.58</v>
      </c>
      <c r="F44" s="181">
        <f>F43</f>
        <v>-3814.1699999999255</v>
      </c>
    </row>
    <row r="45" spans="1:7" x14ac:dyDescent="0.25">
      <c r="B45" s="59"/>
      <c r="C45" s="4"/>
      <c r="D45" s="1"/>
      <c r="E45" s="8"/>
      <c r="F45" s="4"/>
    </row>
    <row r="46" spans="1:7" x14ac:dyDescent="0.25">
      <c r="B46" s="59"/>
      <c r="C46" s="4"/>
      <c r="D46" s="1"/>
      <c r="E46" s="8"/>
      <c r="F46" s="4"/>
    </row>
    <row r="47" spans="1:7" x14ac:dyDescent="0.25">
      <c r="A47"/>
      <c r="B47" s="30"/>
      <c r="D47" s="30"/>
    </row>
    <row r="48" spans="1:7" x14ac:dyDescent="0.25">
      <c r="A48"/>
      <c r="B48" s="30"/>
      <c r="D48" s="30"/>
    </row>
    <row r="49" spans="1:6" x14ac:dyDescent="0.25">
      <c r="A49"/>
      <c r="B49" s="30"/>
      <c r="D49" s="30"/>
    </row>
    <row r="50" spans="1:6" x14ac:dyDescent="0.25">
      <c r="A50"/>
      <c r="B50" s="30"/>
      <c r="D50" s="30"/>
      <c r="F50"/>
    </row>
    <row r="51" spans="1:6" x14ac:dyDescent="0.25">
      <c r="A51"/>
      <c r="B51" s="30"/>
      <c r="D51" s="30"/>
      <c r="F51"/>
    </row>
    <row r="52" spans="1:6" x14ac:dyDescent="0.25">
      <c r="A52"/>
      <c r="B52" s="30"/>
      <c r="D52" s="30"/>
      <c r="F52"/>
    </row>
    <row r="53" spans="1:6" x14ac:dyDescent="0.25">
      <c r="A53"/>
      <c r="B53" s="30"/>
      <c r="D53" s="30"/>
      <c r="F53"/>
    </row>
    <row r="54" spans="1:6" x14ac:dyDescent="0.25">
      <c r="A54"/>
      <c r="B54" s="30"/>
      <c r="D54" s="30"/>
      <c r="F54"/>
    </row>
    <row r="55" spans="1:6" x14ac:dyDescent="0.25">
      <c r="A55"/>
      <c r="B55" s="30"/>
      <c r="D55" s="30"/>
      <c r="F55"/>
    </row>
    <row r="56" spans="1:6" x14ac:dyDescent="0.25">
      <c r="A56"/>
      <c r="B56" s="30"/>
      <c r="D56" s="30"/>
      <c r="F56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E59"/>
      <c r="F59"/>
    </row>
    <row r="60" spans="1:6" x14ac:dyDescent="0.25">
      <c r="A60"/>
      <c r="B60" s="30"/>
      <c r="D60" s="30"/>
      <c r="E60"/>
      <c r="F60"/>
    </row>
    <row r="61" spans="1:6" x14ac:dyDescent="0.25">
      <c r="A61"/>
      <c r="B61" s="30"/>
      <c r="D61" s="30"/>
      <c r="E61"/>
      <c r="F61"/>
    </row>
    <row r="62" spans="1:6" x14ac:dyDescent="0.25">
      <c r="A62"/>
      <c r="B62" s="30"/>
      <c r="D62" s="30"/>
      <c r="E62"/>
      <c r="F62"/>
    </row>
    <row r="63" spans="1:6" x14ac:dyDescent="0.25">
      <c r="A63"/>
      <c r="B63" s="30"/>
      <c r="D63" s="30"/>
      <c r="E63"/>
      <c r="F63"/>
    </row>
    <row r="64" spans="1:6" x14ac:dyDescent="0.25">
      <c r="A64"/>
      <c r="B64" s="30"/>
      <c r="D64" s="30"/>
      <c r="E64"/>
      <c r="F64"/>
    </row>
    <row r="65" spans="2:5" x14ac:dyDescent="0.25">
      <c r="B65" s="30"/>
      <c r="D65" s="30"/>
      <c r="E65"/>
    </row>
    <row r="66" spans="2:5" x14ac:dyDescent="0.25">
      <c r="B66" s="30"/>
      <c r="D66" s="30"/>
      <c r="E66"/>
    </row>
    <row r="67" spans="2:5" x14ac:dyDescent="0.25">
      <c r="B67" s="30"/>
      <c r="D67" s="30"/>
      <c r="E67"/>
    </row>
    <row r="68" spans="2:5" x14ac:dyDescent="0.25">
      <c r="B68" s="30"/>
      <c r="D68" s="30"/>
      <c r="E68"/>
    </row>
    <row r="69" spans="2:5" x14ac:dyDescent="0.25">
      <c r="B69" s="30"/>
      <c r="D69" s="30"/>
      <c r="E69"/>
    </row>
    <row r="70" spans="2:5" x14ac:dyDescent="0.25">
      <c r="B70" s="30"/>
      <c r="D70" s="30"/>
      <c r="E70"/>
    </row>
    <row r="71" spans="2:5" x14ac:dyDescent="0.25">
      <c r="B71" s="30"/>
      <c r="D71" s="30"/>
      <c r="E71"/>
    </row>
    <row r="72" spans="2:5" x14ac:dyDescent="0.25">
      <c r="B72" s="30"/>
      <c r="D72" s="30"/>
      <c r="E72"/>
    </row>
    <row r="73" spans="2:5" x14ac:dyDescent="0.25">
      <c r="B73" s="30"/>
      <c r="D73" s="30"/>
      <c r="E73"/>
    </row>
    <row r="74" spans="2:5" x14ac:dyDescent="0.25">
      <c r="B74" s="30"/>
    </row>
    <row r="75" spans="2:5" x14ac:dyDescent="0.25">
      <c r="B75" s="30"/>
    </row>
    <row r="76" spans="2:5" x14ac:dyDescent="0.25">
      <c r="B76" s="30"/>
      <c r="D76" s="30"/>
    </row>
    <row r="77" spans="2:5" x14ac:dyDescent="0.25">
      <c r="B77" s="30"/>
    </row>
    <row r="78" spans="2:5" x14ac:dyDescent="0.25">
      <c r="B78" s="30"/>
    </row>
    <row r="79" spans="2:5" x14ac:dyDescent="0.25">
      <c r="B79" s="30"/>
    </row>
    <row r="80" spans="2:5" ht="18.75" x14ac:dyDescent="0.3">
      <c r="C80" s="146"/>
    </row>
  </sheetData>
  <mergeCells count="1">
    <mergeCell ref="B38:B39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097A-E3BD-493B-8682-6146EFED6956}">
  <sheetPr>
    <tabColor rgb="FF00FF00"/>
  </sheetPr>
  <dimension ref="A1:AL79"/>
  <sheetViews>
    <sheetView topLeftCell="D25" workbookViewId="0">
      <selection activeCell="C45" sqref="C4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7.5703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660" t="s">
        <v>497</v>
      </c>
      <c r="D1" s="660"/>
      <c r="E1" s="660"/>
      <c r="F1" s="660"/>
      <c r="G1" s="660"/>
      <c r="H1" s="660"/>
      <c r="I1" s="660"/>
      <c r="J1" s="660"/>
      <c r="K1" s="660"/>
      <c r="L1" s="2"/>
      <c r="M1" s="3"/>
      <c r="AK1" s="643" t="s">
        <v>45</v>
      </c>
      <c r="AL1" s="644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651" t="s">
        <v>4</v>
      </c>
      <c r="X2" s="652"/>
      <c r="AB2" s="651" t="s">
        <v>4</v>
      </c>
      <c r="AC2" s="652"/>
      <c r="AF2" s="648" t="s">
        <v>43</v>
      </c>
      <c r="AG2" s="649"/>
      <c r="AH2" s="650"/>
      <c r="AJ2" s="193" t="s">
        <v>44</v>
      </c>
      <c r="AK2" s="645"/>
      <c r="AL2" s="646"/>
    </row>
    <row r="3" spans="1:38" ht="18" customHeight="1" thickBot="1" x14ac:dyDescent="0.35">
      <c r="B3" s="661" t="s">
        <v>1</v>
      </c>
      <c r="C3" s="662"/>
      <c r="D3" s="15"/>
      <c r="E3" s="374"/>
      <c r="F3" s="374"/>
      <c r="H3" s="669" t="s">
        <v>190</v>
      </c>
      <c r="I3" s="669"/>
      <c r="K3" s="234" t="s">
        <v>2</v>
      </c>
      <c r="L3" s="236" t="s">
        <v>191</v>
      </c>
      <c r="M3" s="236"/>
      <c r="W3" s="653"/>
      <c r="X3" s="654"/>
      <c r="Y3" s="195" t="s">
        <v>37</v>
      </c>
      <c r="AB3" s="653"/>
      <c r="AC3" s="654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301043.73</v>
      </c>
      <c r="D4" s="308">
        <v>44076</v>
      </c>
      <c r="E4" s="663" t="s">
        <v>6</v>
      </c>
      <c r="F4" s="664"/>
      <c r="H4" s="665" t="s">
        <v>7</v>
      </c>
      <c r="I4" s="666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44077</v>
      </c>
      <c r="C5" s="320">
        <v>15639.6</v>
      </c>
      <c r="D5" s="309" t="s">
        <v>498</v>
      </c>
      <c r="E5" s="151">
        <v>44077</v>
      </c>
      <c r="F5" s="32">
        <v>75851</v>
      </c>
      <c r="G5" s="152"/>
      <c r="H5" s="153">
        <v>44077</v>
      </c>
      <c r="I5" s="33">
        <v>405</v>
      </c>
      <c r="M5" s="34">
        <f>4000+52817</f>
        <v>56817</v>
      </c>
      <c r="N5" s="35">
        <v>2989</v>
      </c>
      <c r="O5" s="36"/>
      <c r="P5" s="36">
        <f>C5+I5+M5+N5</f>
        <v>75850.600000000006</v>
      </c>
      <c r="Q5" s="5">
        <f>P5-F5</f>
        <v>-0.39999999999417923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44078</v>
      </c>
      <c r="C6" s="320">
        <v>10767</v>
      </c>
      <c r="D6" s="310" t="s">
        <v>499</v>
      </c>
      <c r="E6" s="151">
        <v>44078</v>
      </c>
      <c r="F6" s="32">
        <v>94908</v>
      </c>
      <c r="G6" s="152"/>
      <c r="H6" s="153">
        <v>44078</v>
      </c>
      <c r="I6" s="39">
        <v>10554</v>
      </c>
      <c r="J6" s="60"/>
      <c r="K6" s="443"/>
      <c r="L6" s="47"/>
      <c r="M6" s="34">
        <v>69479</v>
      </c>
      <c r="N6" s="35">
        <v>4108</v>
      </c>
      <c r="O6" s="276"/>
      <c r="P6" s="36">
        <f>C6+I6+M6+N6+L6</f>
        <v>94908</v>
      </c>
      <c r="Q6" s="5">
        <f>P6-F6</f>
        <v>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44079</v>
      </c>
      <c r="C7" s="320">
        <v>7516</v>
      </c>
      <c r="D7" s="311" t="s">
        <v>500</v>
      </c>
      <c r="E7" s="151">
        <v>44079</v>
      </c>
      <c r="F7" s="32">
        <v>178561</v>
      </c>
      <c r="G7" s="152"/>
      <c r="H7" s="153">
        <v>44079</v>
      </c>
      <c r="I7" s="39">
        <v>495</v>
      </c>
      <c r="J7" s="60">
        <v>44079</v>
      </c>
      <c r="K7" s="20" t="s">
        <v>501</v>
      </c>
      <c r="L7" s="55">
        <f>16119.44+2205.97+400+4000</f>
        <v>22725.41</v>
      </c>
      <c r="M7" s="34">
        <f>29951+2554+121659.5</f>
        <v>154164.5</v>
      </c>
      <c r="N7" s="35">
        <v>8308</v>
      </c>
      <c r="O7" s="127"/>
      <c r="P7" s="36">
        <f>C7+I7+M7+N7+L7</f>
        <v>193208.91</v>
      </c>
      <c r="Q7" s="201">
        <f>P7-F7</f>
        <v>14647.910000000003</v>
      </c>
      <c r="R7" s="198"/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44080</v>
      </c>
      <c r="C8" s="320">
        <v>11400</v>
      </c>
      <c r="D8" s="312" t="s">
        <v>502</v>
      </c>
      <c r="E8" s="151">
        <v>44080</v>
      </c>
      <c r="F8" s="32">
        <v>78105</v>
      </c>
      <c r="G8" s="152"/>
      <c r="H8" s="153">
        <v>44080</v>
      </c>
      <c r="I8" s="39">
        <v>495</v>
      </c>
      <c r="J8" s="414"/>
      <c r="K8" s="342"/>
      <c r="L8" s="343"/>
      <c r="M8" s="34">
        <v>62902</v>
      </c>
      <c r="N8" s="35">
        <v>3308</v>
      </c>
      <c r="O8" s="276"/>
      <c r="P8" s="36">
        <f>C8+I8+M8+N8</f>
        <v>78105</v>
      </c>
      <c r="Q8" s="5">
        <f>P8-F8</f>
        <v>0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44081</v>
      </c>
      <c r="C9" s="320">
        <v>1770</v>
      </c>
      <c r="D9" s="313" t="s">
        <v>72</v>
      </c>
      <c r="E9" s="151">
        <v>44081</v>
      </c>
      <c r="F9" s="32">
        <v>151668</v>
      </c>
      <c r="G9" s="152"/>
      <c r="H9" s="153">
        <v>44081</v>
      </c>
      <c r="I9" s="39">
        <v>360</v>
      </c>
      <c r="J9" s="415"/>
      <c r="K9" s="200"/>
      <c r="L9" s="343"/>
      <c r="M9" s="34">
        <v>146895</v>
      </c>
      <c r="N9" s="35">
        <v>2643</v>
      </c>
      <c r="O9" s="276"/>
      <c r="P9" s="36">
        <f>C9+I9+M9+N9</f>
        <v>151668</v>
      </c>
      <c r="Q9" s="5" t="s">
        <v>503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44082</v>
      </c>
      <c r="C10" s="320">
        <v>18284</v>
      </c>
      <c r="D10" s="311" t="s">
        <v>505</v>
      </c>
      <c r="E10" s="151">
        <v>44082</v>
      </c>
      <c r="F10" s="32">
        <v>72065</v>
      </c>
      <c r="G10" s="152"/>
      <c r="H10" s="153">
        <v>44082</v>
      </c>
      <c r="I10" s="39">
        <v>405</v>
      </c>
      <c r="J10" s="415"/>
      <c r="K10" s="366"/>
      <c r="L10" s="68"/>
      <c r="M10" s="34">
        <v>50858</v>
      </c>
      <c r="N10" s="35">
        <v>2518</v>
      </c>
      <c r="O10" s="127"/>
      <c r="P10" s="36">
        <f>C10+I10+M10+N10+L11</f>
        <v>72065</v>
      </c>
      <c r="Q10" s="5">
        <f t="shared" ref="Q10:Q11" si="0">P10-F10</f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44083</v>
      </c>
      <c r="C11" s="320">
        <v>7621</v>
      </c>
      <c r="D11" s="310" t="s">
        <v>504</v>
      </c>
      <c r="E11" s="151">
        <v>44083</v>
      </c>
      <c r="F11" s="32">
        <v>119014</v>
      </c>
      <c r="G11" s="152"/>
      <c r="H11" s="153">
        <v>44083</v>
      </c>
      <c r="I11" s="39">
        <v>5018.7299999999996</v>
      </c>
      <c r="J11" s="331"/>
      <c r="K11" s="57"/>
      <c r="L11" s="55"/>
      <c r="M11" s="34">
        <v>103140</v>
      </c>
      <c r="N11" s="35">
        <v>3234</v>
      </c>
      <c r="O11" s="276"/>
      <c r="P11" s="36">
        <f>C11+I11+M11+N11+L13</f>
        <v>119013.73</v>
      </c>
      <c r="Q11" s="5">
        <f t="shared" si="0"/>
        <v>-0.27000000000407454</v>
      </c>
      <c r="S11" s="58">
        <v>11036.9</v>
      </c>
      <c r="T11" s="61" t="s">
        <v>449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44084</v>
      </c>
      <c r="C12" s="320">
        <v>11837.6</v>
      </c>
      <c r="D12" s="310" t="s">
        <v>506</v>
      </c>
      <c r="E12" s="151">
        <v>44084</v>
      </c>
      <c r="F12" s="32">
        <v>61252</v>
      </c>
      <c r="G12" s="152"/>
      <c r="H12" s="153">
        <v>44084</v>
      </c>
      <c r="I12" s="39">
        <v>405</v>
      </c>
      <c r="J12" s="60"/>
      <c r="K12" s="20"/>
      <c r="L12" s="55"/>
      <c r="M12" s="34">
        <v>47760</v>
      </c>
      <c r="N12" s="35">
        <v>1249</v>
      </c>
      <c r="O12" s="298"/>
      <c r="P12" s="36">
        <f>C12+I12+M12+N12</f>
        <v>61251.6</v>
      </c>
      <c r="Q12" s="5">
        <f>P12-F12</f>
        <v>-0.40000000000145519</v>
      </c>
      <c r="S12" s="58">
        <v>11035.91</v>
      </c>
      <c r="T12" s="61" t="s">
        <v>539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44085</v>
      </c>
      <c r="C13" s="320">
        <v>8708</v>
      </c>
      <c r="D13" s="312" t="s">
        <v>73</v>
      </c>
      <c r="E13" s="151">
        <v>44085</v>
      </c>
      <c r="F13" s="32">
        <v>166694</v>
      </c>
      <c r="G13" s="152"/>
      <c r="H13" s="153">
        <v>44085</v>
      </c>
      <c r="I13" s="39">
        <v>10554</v>
      </c>
      <c r="J13" s="60"/>
      <c r="K13" s="20"/>
      <c r="L13" s="55"/>
      <c r="M13" s="34">
        <f>31286+111125</f>
        <v>142411</v>
      </c>
      <c r="N13" s="35">
        <v>5021</v>
      </c>
      <c r="O13" s="276"/>
      <c r="P13" s="36">
        <f>C13+I13+M13+N13+L19</f>
        <v>167994</v>
      </c>
      <c r="Q13" s="5">
        <f>P13-F13</f>
        <v>1300</v>
      </c>
      <c r="S13" s="58">
        <v>9421.27</v>
      </c>
      <c r="T13" s="61" t="s">
        <v>538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44086</v>
      </c>
      <c r="C14" s="320">
        <v>3803</v>
      </c>
      <c r="D14" s="311" t="s">
        <v>507</v>
      </c>
      <c r="E14" s="151">
        <v>44086</v>
      </c>
      <c r="F14" s="32">
        <v>141645</v>
      </c>
      <c r="G14" s="152"/>
      <c r="H14" s="153">
        <v>44086</v>
      </c>
      <c r="I14" s="39">
        <v>732</v>
      </c>
      <c r="J14" s="60">
        <v>44086</v>
      </c>
      <c r="K14" s="20" t="s">
        <v>539</v>
      </c>
      <c r="L14" s="55">
        <f>400+4000+15959.91</f>
        <v>20359.91</v>
      </c>
      <c r="M14" s="258">
        <v>118150</v>
      </c>
      <c r="N14" s="35">
        <v>9636</v>
      </c>
      <c r="O14" s="257" t="s">
        <v>220</v>
      </c>
      <c r="P14" s="36">
        <f>C14+I14+M14+N14+L14</f>
        <v>152680.91</v>
      </c>
      <c r="Q14" s="5">
        <f>P14-F14</f>
        <v>11035.910000000003</v>
      </c>
      <c r="S14" s="58">
        <v>8845.1</v>
      </c>
      <c r="T14" s="61" t="s">
        <v>544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44087</v>
      </c>
      <c r="C15" s="320">
        <v>18335</v>
      </c>
      <c r="D15" s="310" t="s">
        <v>508</v>
      </c>
      <c r="E15" s="151">
        <v>44087</v>
      </c>
      <c r="F15" s="32">
        <v>110431</v>
      </c>
      <c r="G15" s="152"/>
      <c r="H15" s="153">
        <v>44087</v>
      </c>
      <c r="I15" s="39">
        <v>450</v>
      </c>
      <c r="J15" s="60"/>
      <c r="K15" s="20"/>
      <c r="L15" s="55"/>
      <c r="M15" s="34">
        <v>85511</v>
      </c>
      <c r="N15" s="35">
        <v>6135</v>
      </c>
      <c r="O15" s="433"/>
      <c r="P15" s="36">
        <f>C15+I15+M15+N15</f>
        <v>110431</v>
      </c>
      <c r="Q15" s="5">
        <f t="shared" ref="Q15:Q21" si="1">P15-F15</f>
        <v>0</v>
      </c>
      <c r="S15" s="58">
        <v>0</v>
      </c>
      <c r="T15" s="61" t="s">
        <v>140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44088</v>
      </c>
      <c r="C16" s="320">
        <v>870</v>
      </c>
      <c r="D16" s="310" t="s">
        <v>509</v>
      </c>
      <c r="E16" s="151">
        <v>44088</v>
      </c>
      <c r="F16" s="32">
        <v>122801</v>
      </c>
      <c r="G16" s="152"/>
      <c r="H16" s="153">
        <v>44088</v>
      </c>
      <c r="I16" s="39">
        <v>495</v>
      </c>
      <c r="J16" s="60">
        <v>44088</v>
      </c>
      <c r="K16" s="20" t="s">
        <v>539</v>
      </c>
      <c r="L16" s="5">
        <v>2191</v>
      </c>
      <c r="M16" s="34">
        <v>116457</v>
      </c>
      <c r="N16" s="35">
        <v>5170</v>
      </c>
      <c r="O16" s="433"/>
      <c r="P16" s="36">
        <f>C16+I16+M16+N16+L16</f>
        <v>125183</v>
      </c>
      <c r="Q16" s="198">
        <f t="shared" si="1"/>
        <v>2382</v>
      </c>
      <c r="S16" s="58">
        <v>0</v>
      </c>
      <c r="T16" s="61"/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44089</v>
      </c>
      <c r="C17" s="320">
        <v>3106</v>
      </c>
      <c r="D17" s="312" t="s">
        <v>510</v>
      </c>
      <c r="E17" s="151">
        <v>44089</v>
      </c>
      <c r="F17" s="32">
        <v>223834</v>
      </c>
      <c r="G17" s="152"/>
      <c r="H17" s="153">
        <v>44089</v>
      </c>
      <c r="I17" s="39">
        <v>1713</v>
      </c>
      <c r="J17" s="67"/>
      <c r="K17" s="20"/>
      <c r="L17" s="68"/>
      <c r="M17" s="34">
        <v>204618</v>
      </c>
      <c r="N17" s="35">
        <v>14397</v>
      </c>
      <c r="O17" s="276"/>
      <c r="P17" s="36">
        <f>C17+I17+M17+N17+L15</f>
        <v>223834</v>
      </c>
      <c r="Q17" s="5">
        <f t="shared" si="1"/>
        <v>0</v>
      </c>
      <c r="S17" s="58">
        <v>0</v>
      </c>
      <c r="T17" s="61"/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44090</v>
      </c>
      <c r="C18" s="320">
        <v>0</v>
      </c>
      <c r="D18" s="310"/>
      <c r="E18" s="151">
        <v>44090</v>
      </c>
      <c r="F18" s="32">
        <v>100108</v>
      </c>
      <c r="G18" s="152"/>
      <c r="H18" s="153">
        <v>44090</v>
      </c>
      <c r="I18" s="39">
        <v>360</v>
      </c>
      <c r="J18" s="67"/>
      <c r="K18" s="71"/>
      <c r="L18" s="55"/>
      <c r="M18" s="34">
        <v>97829</v>
      </c>
      <c r="N18" s="35">
        <v>1919</v>
      </c>
      <c r="O18" s="276"/>
      <c r="P18" s="36">
        <f t="shared" ref="P18" si="2">C18+I18+M18+N18</f>
        <v>100108</v>
      </c>
      <c r="Q18" s="5">
        <f t="shared" si="1"/>
        <v>0</v>
      </c>
      <c r="S18" s="5">
        <f>SUM(S11:S17)</f>
        <v>40339.18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25.5" thickBot="1" x14ac:dyDescent="0.3">
      <c r="A19" s="30"/>
      <c r="B19" s="319">
        <v>44091</v>
      </c>
      <c r="C19" s="320">
        <v>5136</v>
      </c>
      <c r="D19" s="310" t="s">
        <v>511</v>
      </c>
      <c r="E19" s="151">
        <v>44091</v>
      </c>
      <c r="F19" s="32">
        <v>92312</v>
      </c>
      <c r="G19" s="152"/>
      <c r="H19" s="153">
        <v>44091</v>
      </c>
      <c r="I19" s="39">
        <v>405</v>
      </c>
      <c r="J19" s="67">
        <v>44091</v>
      </c>
      <c r="K19" s="464" t="s">
        <v>512</v>
      </c>
      <c r="L19" s="73">
        <v>1300</v>
      </c>
      <c r="M19" s="34">
        <f>73440+6006</f>
        <v>79446</v>
      </c>
      <c r="N19" s="35">
        <v>6025</v>
      </c>
      <c r="O19" s="433"/>
      <c r="P19" s="36">
        <f>C19+I19+M19+N19+L19</f>
        <v>92312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44092</v>
      </c>
      <c r="C20" s="320">
        <v>1306</v>
      </c>
      <c r="D20" s="310" t="s">
        <v>72</v>
      </c>
      <c r="E20" s="151">
        <v>44092</v>
      </c>
      <c r="F20" s="32">
        <v>139353</v>
      </c>
      <c r="G20" s="152"/>
      <c r="H20" s="153">
        <v>44092</v>
      </c>
      <c r="I20" s="39">
        <v>17054</v>
      </c>
      <c r="J20" s="60"/>
      <c r="K20" s="220"/>
      <c r="L20" s="68"/>
      <c r="M20" s="34">
        <v>117260</v>
      </c>
      <c r="N20" s="35">
        <v>3733</v>
      </c>
      <c r="O20" s="433"/>
      <c r="P20" s="36">
        <f>C20+I20+M20+N20+L8</f>
        <v>139353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44093</v>
      </c>
      <c r="C21" s="320">
        <v>17476.400000000001</v>
      </c>
      <c r="D21" s="310" t="s">
        <v>506</v>
      </c>
      <c r="E21" s="151">
        <v>44093</v>
      </c>
      <c r="F21" s="32">
        <v>162144</v>
      </c>
      <c r="G21" s="152"/>
      <c r="H21" s="153">
        <v>44093</v>
      </c>
      <c r="I21" s="39">
        <v>518</v>
      </c>
      <c r="J21" s="67">
        <v>44093</v>
      </c>
      <c r="K21" s="71" t="s">
        <v>538</v>
      </c>
      <c r="L21" s="68">
        <f>18323.87+400+4571</f>
        <v>23294.87</v>
      </c>
      <c r="M21" s="34">
        <v>123343</v>
      </c>
      <c r="N21" s="35">
        <v>6933</v>
      </c>
      <c r="O21" s="433"/>
      <c r="P21" s="36">
        <f>C21+I21+M21+N21+L21</f>
        <v>171565.27</v>
      </c>
      <c r="Q21" s="201">
        <f t="shared" si="1"/>
        <v>9421.2699999999895</v>
      </c>
      <c r="T21" s="8"/>
      <c r="U21" s="8"/>
      <c r="V21" s="432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44094</v>
      </c>
      <c r="C22" s="320">
        <v>1026</v>
      </c>
      <c r="D22" s="310" t="s">
        <v>72</v>
      </c>
      <c r="E22" s="151">
        <v>44094</v>
      </c>
      <c r="F22" s="32">
        <v>130822</v>
      </c>
      <c r="G22" s="152"/>
      <c r="H22" s="153">
        <v>44094</v>
      </c>
      <c r="I22" s="39">
        <v>495</v>
      </c>
      <c r="J22" s="76"/>
      <c r="K22" s="59"/>
      <c r="L22" s="77"/>
      <c r="M22" s="34">
        <v>125427</v>
      </c>
      <c r="N22" s="35">
        <v>3874</v>
      </c>
      <c r="O22" s="433"/>
      <c r="P22" s="36">
        <f>C22+I22+M22+N22+L15</f>
        <v>130822</v>
      </c>
      <c r="Q22" s="5">
        <f>P22-F22</f>
        <v>0</v>
      </c>
      <c r="T22" s="8"/>
      <c r="U22" s="8"/>
      <c r="V22" s="432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44095</v>
      </c>
      <c r="C23" s="320">
        <v>1200</v>
      </c>
      <c r="D23" s="310" t="s">
        <v>72</v>
      </c>
      <c r="E23" s="151">
        <v>44095</v>
      </c>
      <c r="F23" s="32">
        <v>95129</v>
      </c>
      <c r="G23" s="152"/>
      <c r="H23" s="153">
        <v>44095</v>
      </c>
      <c r="I23" s="39">
        <v>405</v>
      </c>
      <c r="J23" s="284"/>
      <c r="K23" s="289"/>
      <c r="L23" s="285"/>
      <c r="M23" s="34">
        <v>93051</v>
      </c>
      <c r="N23" s="35">
        <v>473</v>
      </c>
      <c r="O23" s="257"/>
      <c r="P23" s="36">
        <f>C23+I23+M23+N23</f>
        <v>95129</v>
      </c>
      <c r="Q23" s="5">
        <f>P23-F23</f>
        <v>0</v>
      </c>
      <c r="T23" s="8"/>
      <c r="U23" s="8"/>
      <c r="V23" s="432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44096</v>
      </c>
      <c r="C24" s="320">
        <v>6054.5</v>
      </c>
      <c r="D24" s="310" t="s">
        <v>540</v>
      </c>
      <c r="E24" s="151">
        <v>44096</v>
      </c>
      <c r="F24" s="32">
        <v>99295</v>
      </c>
      <c r="G24" s="152"/>
      <c r="H24" s="153">
        <v>44096</v>
      </c>
      <c r="I24" s="39">
        <v>405</v>
      </c>
      <c r="J24" s="416"/>
      <c r="K24" s="290"/>
      <c r="L24" s="417"/>
      <c r="M24" s="34">
        <v>91626</v>
      </c>
      <c r="N24" s="35">
        <v>1209</v>
      </c>
      <c r="O24" s="276"/>
      <c r="P24" s="36">
        <f>C24+I24+M24+N24</f>
        <v>99294.5</v>
      </c>
      <c r="Q24" s="5">
        <f t="shared" ref="Q24:Q32" si="3">P24-F24</f>
        <v>-0.5</v>
      </c>
      <c r="T24" s="8"/>
      <c r="U24" s="8"/>
      <c r="V24" s="432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44097</v>
      </c>
      <c r="C25" s="320">
        <v>4558</v>
      </c>
      <c r="D25" s="310" t="s">
        <v>541</v>
      </c>
      <c r="E25" s="151">
        <v>44097</v>
      </c>
      <c r="F25" s="32">
        <v>80292</v>
      </c>
      <c r="G25" s="152"/>
      <c r="H25" s="153">
        <v>44097</v>
      </c>
      <c r="I25" s="39">
        <v>405</v>
      </c>
      <c r="J25" s="418"/>
      <c r="K25" s="163"/>
      <c r="L25" s="102"/>
      <c r="M25" s="34">
        <f>63958+5338</f>
        <v>69296</v>
      </c>
      <c r="N25" s="35">
        <v>6108</v>
      </c>
      <c r="O25" s="276"/>
      <c r="P25" s="36">
        <f>C25+I25+M25+N25</f>
        <v>80367</v>
      </c>
      <c r="Q25" s="198">
        <f t="shared" si="3"/>
        <v>75</v>
      </c>
      <c r="V25" s="432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44098</v>
      </c>
      <c r="C26" s="320">
        <v>888</v>
      </c>
      <c r="D26" s="310" t="s">
        <v>72</v>
      </c>
      <c r="E26" s="151">
        <v>44098</v>
      </c>
      <c r="F26" s="32">
        <v>61623</v>
      </c>
      <c r="G26" s="152"/>
      <c r="H26" s="153">
        <v>44098</v>
      </c>
      <c r="I26" s="39">
        <v>405</v>
      </c>
      <c r="J26" s="60"/>
      <c r="K26" s="290"/>
      <c r="L26" s="285"/>
      <c r="M26" s="34">
        <v>59138</v>
      </c>
      <c r="N26" s="35">
        <v>1192</v>
      </c>
      <c r="O26" s="276"/>
      <c r="P26" s="36">
        <f>C26+I26+M26+N26</f>
        <v>61623</v>
      </c>
      <c r="Q26" s="5">
        <f t="shared" si="3"/>
        <v>0</v>
      </c>
      <c r="S26" s="86"/>
      <c r="T26" s="86"/>
      <c r="U26" s="86"/>
      <c r="V26" s="432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44099</v>
      </c>
      <c r="C27" s="320">
        <v>11726</v>
      </c>
      <c r="D27" s="310" t="s">
        <v>542</v>
      </c>
      <c r="E27" s="151">
        <v>44099</v>
      </c>
      <c r="F27" s="32">
        <v>151107</v>
      </c>
      <c r="G27" s="152"/>
      <c r="H27" s="153">
        <v>44099</v>
      </c>
      <c r="I27" s="39">
        <v>12525</v>
      </c>
      <c r="J27" s="217"/>
      <c r="K27" s="164"/>
      <c r="L27" s="102"/>
      <c r="M27" s="34">
        <v>118819</v>
      </c>
      <c r="N27" s="35">
        <v>8037</v>
      </c>
      <c r="O27" s="276"/>
      <c r="P27" s="36">
        <f t="shared" ref="P27:P31" si="4">C27+I27+M27+N27</f>
        <v>151107</v>
      </c>
      <c r="Q27" s="5">
        <f t="shared" si="3"/>
        <v>0</v>
      </c>
      <c r="V27" s="432">
        <v>44071</v>
      </c>
      <c r="W27" s="38" t="s">
        <v>10</v>
      </c>
      <c r="X27" s="196">
        <v>5000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44100</v>
      </c>
      <c r="C28" s="320">
        <v>3093.8</v>
      </c>
      <c r="D28" s="311" t="s">
        <v>543</v>
      </c>
      <c r="E28" s="151">
        <v>44100</v>
      </c>
      <c r="F28" s="32">
        <v>137126</v>
      </c>
      <c r="G28" s="152"/>
      <c r="H28" s="153">
        <v>44100</v>
      </c>
      <c r="I28" s="39">
        <v>495</v>
      </c>
      <c r="J28" s="217">
        <v>44100</v>
      </c>
      <c r="K28" s="459" t="s">
        <v>544</v>
      </c>
      <c r="L28" s="102">
        <f>16495.3+400+4000</f>
        <v>20895.3</v>
      </c>
      <c r="M28" s="34">
        <v>116238</v>
      </c>
      <c r="N28" s="35">
        <v>5249</v>
      </c>
      <c r="O28" s="276"/>
      <c r="P28" s="36">
        <f>C28+I28+M28+N28+L28</f>
        <v>145971.1</v>
      </c>
      <c r="Q28" s="201">
        <f>P28-F28</f>
        <v>8845.1000000000058</v>
      </c>
      <c r="V28" s="432">
        <v>44071</v>
      </c>
      <c r="W28" s="44" t="s">
        <v>11</v>
      </c>
      <c r="X28" s="196">
        <v>5000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44101</v>
      </c>
      <c r="C29" s="320">
        <v>2290</v>
      </c>
      <c r="D29" s="317" t="s">
        <v>463</v>
      </c>
      <c r="E29" s="151">
        <v>44101</v>
      </c>
      <c r="F29" s="32">
        <v>100312</v>
      </c>
      <c r="G29" s="152"/>
      <c r="H29" s="153">
        <v>44101</v>
      </c>
      <c r="I29" s="39">
        <v>495</v>
      </c>
      <c r="J29" s="217"/>
      <c r="K29" s="449"/>
      <c r="L29" s="102"/>
      <c r="M29" s="34">
        <v>89030</v>
      </c>
      <c r="N29" s="35">
        <v>8497</v>
      </c>
      <c r="O29" s="276"/>
      <c r="P29" s="36">
        <f t="shared" si="4"/>
        <v>100312</v>
      </c>
      <c r="Q29" s="5">
        <f>P29-F29</f>
        <v>0</v>
      </c>
      <c r="R29" s="450"/>
      <c r="S29" s="6" t="s">
        <v>12</v>
      </c>
      <c r="V29" s="432">
        <v>44078</v>
      </c>
      <c r="W29" s="38" t="s">
        <v>10</v>
      </c>
      <c r="X29" s="196">
        <v>5000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44102</v>
      </c>
      <c r="C30" s="320">
        <v>5506</v>
      </c>
      <c r="D30" s="316" t="s">
        <v>545</v>
      </c>
      <c r="E30" s="151">
        <v>44102</v>
      </c>
      <c r="F30" s="32">
        <v>87853</v>
      </c>
      <c r="G30" s="152"/>
      <c r="H30" s="153">
        <v>44102</v>
      </c>
      <c r="I30" s="244">
        <v>405</v>
      </c>
      <c r="J30" s="217"/>
      <c r="K30" s="342"/>
      <c r="L30" s="343"/>
      <c r="M30" s="34">
        <v>71100</v>
      </c>
      <c r="N30" s="35">
        <v>10842</v>
      </c>
      <c r="O30" s="276"/>
      <c r="P30" s="36">
        <f t="shared" si="4"/>
        <v>87853</v>
      </c>
      <c r="Q30" s="5">
        <f t="shared" si="3"/>
        <v>0</v>
      </c>
      <c r="V30" s="432">
        <v>44078</v>
      </c>
      <c r="W30" s="44" t="s">
        <v>11</v>
      </c>
      <c r="X30" s="196">
        <v>5000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44103</v>
      </c>
      <c r="C31" s="321">
        <v>3646</v>
      </c>
      <c r="D31" s="317" t="s">
        <v>546</v>
      </c>
      <c r="E31" s="151">
        <v>44103</v>
      </c>
      <c r="F31" s="32">
        <v>100675</v>
      </c>
      <c r="G31" s="152"/>
      <c r="H31" s="153">
        <v>44103</v>
      </c>
      <c r="I31" s="244">
        <v>405</v>
      </c>
      <c r="J31" s="217"/>
      <c r="K31" s="163"/>
      <c r="L31" s="102"/>
      <c r="M31" s="258">
        <f>21516+71980</f>
        <v>93496</v>
      </c>
      <c r="N31" s="35">
        <v>3134</v>
      </c>
      <c r="O31" s="276" t="s">
        <v>400</v>
      </c>
      <c r="P31" s="36">
        <f t="shared" si="4"/>
        <v>100681</v>
      </c>
      <c r="Q31" s="5">
        <f t="shared" si="3"/>
        <v>6</v>
      </c>
      <c r="V31" s="432">
        <v>44085</v>
      </c>
      <c r="W31" s="38" t="s">
        <v>10</v>
      </c>
      <c r="X31" s="196">
        <v>5000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5.75" thickBot="1" x14ac:dyDescent="0.3">
      <c r="A32" s="30"/>
      <c r="B32" s="319">
        <v>44104</v>
      </c>
      <c r="C32" s="321">
        <v>9244</v>
      </c>
      <c r="D32" s="317" t="s">
        <v>547</v>
      </c>
      <c r="E32" s="151">
        <v>44104</v>
      </c>
      <c r="F32" s="237">
        <v>86485</v>
      </c>
      <c r="G32" s="152"/>
      <c r="H32" s="153">
        <v>44104</v>
      </c>
      <c r="I32" s="244">
        <v>2360</v>
      </c>
      <c r="J32" s="217">
        <v>44104</v>
      </c>
      <c r="K32" s="20" t="s">
        <v>379</v>
      </c>
      <c r="L32" s="52">
        <v>20000</v>
      </c>
      <c r="M32" s="258">
        <v>53761</v>
      </c>
      <c r="N32" s="35">
        <v>1120</v>
      </c>
      <c r="O32" s="276" t="s">
        <v>400</v>
      </c>
      <c r="P32" s="36">
        <f>C32+I32+M32+N32+L32</f>
        <v>86485</v>
      </c>
      <c r="Q32" s="5">
        <f t="shared" si="3"/>
        <v>0</v>
      </c>
      <c r="V32" s="432">
        <v>44085</v>
      </c>
      <c r="W32" s="44" t="s">
        <v>11</v>
      </c>
      <c r="X32" s="196">
        <v>5000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463"/>
      <c r="C33" s="140"/>
      <c r="D33" s="420"/>
      <c r="E33" s="151"/>
      <c r="F33" s="176"/>
      <c r="G33" s="152"/>
      <c r="H33" s="153"/>
      <c r="I33" s="244"/>
      <c r="J33" s="217"/>
      <c r="K33" s="20"/>
      <c r="L33" s="446"/>
      <c r="M33" s="34"/>
      <c r="N33" s="35">
        <v>0</v>
      </c>
      <c r="O33" s="276"/>
      <c r="P33" s="36"/>
      <c r="Q33" s="36"/>
      <c r="R33" s="36"/>
      <c r="V33" s="432">
        <v>44092</v>
      </c>
      <c r="W33" s="44" t="s">
        <v>11</v>
      </c>
      <c r="X33" s="196">
        <v>5000</v>
      </c>
      <c r="Y33" s="41"/>
      <c r="AA33" s="29">
        <v>43966</v>
      </c>
      <c r="AB33" s="44" t="s">
        <v>11</v>
      </c>
      <c r="AC33" s="196">
        <v>5010</v>
      </c>
      <c r="AD33" s="41"/>
      <c r="AF33" s="19" t="s">
        <v>156</v>
      </c>
      <c r="AG33" s="167">
        <v>44083</v>
      </c>
      <c r="AH33" s="21">
        <v>2000</v>
      </c>
    </row>
    <row r="34" spans="1:34" ht="16.5" thickBot="1" x14ac:dyDescent="0.3">
      <c r="A34" s="30"/>
      <c r="B34" s="463">
        <v>44077</v>
      </c>
      <c r="C34" s="140">
        <v>12668.46</v>
      </c>
      <c r="D34" s="163" t="s">
        <v>523</v>
      </c>
      <c r="E34" s="151"/>
      <c r="F34" s="176"/>
      <c r="G34" s="152"/>
      <c r="H34" s="153"/>
      <c r="I34" s="244"/>
      <c r="J34" s="217" t="s">
        <v>577</v>
      </c>
      <c r="K34" s="378" t="s">
        <v>14</v>
      </c>
      <c r="L34" s="50">
        <v>26618</v>
      </c>
      <c r="M34" s="34">
        <v>0</v>
      </c>
      <c r="N34" s="35">
        <v>0</v>
      </c>
      <c r="O34" s="276"/>
      <c r="P34" s="36"/>
      <c r="Q34" s="36"/>
      <c r="R34" s="36"/>
      <c r="V34" s="432">
        <v>44092</v>
      </c>
      <c r="W34" s="44" t="s">
        <v>10</v>
      </c>
      <c r="X34" s="196">
        <v>5000</v>
      </c>
      <c r="Y34" s="41"/>
      <c r="AA34" s="29"/>
      <c r="AB34" s="44"/>
      <c r="AC34" s="196"/>
      <c r="AD34" s="41"/>
      <c r="AF34" s="19" t="s">
        <v>157</v>
      </c>
      <c r="AG34" s="167">
        <v>44092</v>
      </c>
      <c r="AH34" s="21">
        <v>2000</v>
      </c>
    </row>
    <row r="35" spans="1:34" ht="16.5" thickBot="1" x14ac:dyDescent="0.3">
      <c r="A35" s="30"/>
      <c r="B35" s="463">
        <v>44078</v>
      </c>
      <c r="C35" s="140">
        <v>8667.7900000000009</v>
      </c>
      <c r="D35" s="163" t="s">
        <v>524</v>
      </c>
      <c r="E35" s="151"/>
      <c r="F35" s="176"/>
      <c r="G35" s="152"/>
      <c r="H35" s="153"/>
      <c r="I35" s="244"/>
      <c r="J35" s="217" t="s">
        <v>577</v>
      </c>
      <c r="K35" s="20" t="s">
        <v>224</v>
      </c>
      <c r="L35" s="446">
        <v>10000</v>
      </c>
      <c r="M35" s="34">
        <v>0</v>
      </c>
      <c r="N35" s="35">
        <v>0</v>
      </c>
      <c r="O35" s="276"/>
      <c r="P35" s="36"/>
      <c r="Q35" s="36"/>
      <c r="R35" s="36"/>
      <c r="V35" s="432">
        <v>44099</v>
      </c>
      <c r="W35" s="44" t="s">
        <v>11</v>
      </c>
      <c r="X35" s="196">
        <v>5000</v>
      </c>
      <c r="Y35" s="41"/>
      <c r="AA35" s="29"/>
      <c r="AB35" s="44"/>
      <c r="AC35" s="196"/>
      <c r="AD35" s="41"/>
      <c r="AF35" s="19" t="s">
        <v>158</v>
      </c>
      <c r="AG35" s="167">
        <v>44099</v>
      </c>
      <c r="AH35" s="21">
        <v>2000</v>
      </c>
    </row>
    <row r="36" spans="1:34" ht="16.5" thickBot="1" x14ac:dyDescent="0.3">
      <c r="A36" s="30"/>
      <c r="B36" s="463">
        <v>44081</v>
      </c>
      <c r="C36" s="140">
        <v>12042.58</v>
      </c>
      <c r="D36" s="163" t="s">
        <v>525</v>
      </c>
      <c r="E36" s="151"/>
      <c r="F36" s="176"/>
      <c r="G36" s="152"/>
      <c r="H36" s="153"/>
      <c r="I36" s="244"/>
      <c r="J36" s="217" t="s">
        <v>577</v>
      </c>
      <c r="K36" s="20" t="s">
        <v>15</v>
      </c>
      <c r="L36" s="446">
        <v>5800</v>
      </c>
      <c r="M36" s="34">
        <v>0</v>
      </c>
      <c r="N36" s="35">
        <v>0</v>
      </c>
      <c r="O36" s="276"/>
      <c r="P36" s="36"/>
      <c r="Q36" s="36"/>
      <c r="R36" s="36"/>
      <c r="V36" s="432">
        <v>44099</v>
      </c>
      <c r="W36" s="44" t="s">
        <v>10</v>
      </c>
      <c r="X36" s="196">
        <v>5000</v>
      </c>
      <c r="Y36" s="41"/>
      <c r="AA36" s="29"/>
      <c r="AB36" s="44"/>
      <c r="AC36" s="196"/>
      <c r="AD36" s="41"/>
      <c r="AF36" s="19" t="s">
        <v>159</v>
      </c>
      <c r="AG36" s="167">
        <v>44104</v>
      </c>
      <c r="AH36" s="21">
        <v>2000</v>
      </c>
    </row>
    <row r="37" spans="1:34" ht="16.5" thickBot="1" x14ac:dyDescent="0.3">
      <c r="A37" s="30"/>
      <c r="B37" s="463">
        <v>44082</v>
      </c>
      <c r="C37" s="140">
        <v>16173.8</v>
      </c>
      <c r="D37" s="163" t="s">
        <v>526</v>
      </c>
      <c r="E37" s="151"/>
      <c r="F37" s="176"/>
      <c r="G37" s="152"/>
      <c r="H37" s="153"/>
      <c r="I37" s="244"/>
      <c r="J37" s="217" t="s">
        <v>577</v>
      </c>
      <c r="K37" s="20" t="s">
        <v>271</v>
      </c>
      <c r="L37" s="446">
        <v>19605</v>
      </c>
      <c r="M37" s="34">
        <v>0</v>
      </c>
      <c r="N37" s="35">
        <v>0</v>
      </c>
      <c r="O37" s="276"/>
      <c r="P37" s="36"/>
      <c r="Q37" s="36"/>
      <c r="R37" s="36"/>
      <c r="V37" s="432"/>
      <c r="W37" s="44" t="s">
        <v>11</v>
      </c>
      <c r="X37" s="196"/>
      <c r="Y37" s="41"/>
      <c r="AA37" s="29"/>
      <c r="AB37" s="44"/>
      <c r="AC37" s="196"/>
      <c r="AD37" s="41"/>
      <c r="AF37" s="19" t="s">
        <v>160</v>
      </c>
      <c r="AG37" s="167"/>
      <c r="AH37" s="21"/>
    </row>
    <row r="38" spans="1:34" ht="16.5" thickBot="1" x14ac:dyDescent="0.3">
      <c r="A38" s="30"/>
      <c r="B38" s="463">
        <v>44083</v>
      </c>
      <c r="C38" s="465">
        <v>22244.02</v>
      </c>
      <c r="D38" s="467" t="s">
        <v>587</v>
      </c>
      <c r="E38" s="151"/>
      <c r="F38" s="176"/>
      <c r="G38" s="152"/>
      <c r="H38" s="153"/>
      <c r="I38" s="244"/>
      <c r="J38" s="217" t="s">
        <v>577</v>
      </c>
      <c r="K38" s="20" t="s">
        <v>578</v>
      </c>
      <c r="L38" s="446">
        <v>2568.5</v>
      </c>
      <c r="M38" s="34">
        <v>0</v>
      </c>
      <c r="N38" s="35">
        <v>0</v>
      </c>
      <c r="O38" s="276"/>
      <c r="P38" s="36"/>
      <c r="Q38" s="36"/>
      <c r="R38" s="36"/>
      <c r="V38" s="432"/>
      <c r="W38" s="44" t="s">
        <v>10</v>
      </c>
      <c r="X38" s="196"/>
      <c r="Y38" s="41"/>
      <c r="AA38" s="29"/>
      <c r="AB38" s="44"/>
      <c r="AC38" s="196"/>
      <c r="AD38" s="41"/>
      <c r="AF38" s="19" t="s">
        <v>161</v>
      </c>
      <c r="AG38" s="167"/>
      <c r="AH38" s="21"/>
    </row>
    <row r="39" spans="1:34" ht="16.5" thickBot="1" x14ac:dyDescent="0.3">
      <c r="A39" s="30"/>
      <c r="B39" s="463">
        <v>44088</v>
      </c>
      <c r="C39" s="140">
        <v>14902.2</v>
      </c>
      <c r="D39" s="163" t="s">
        <v>527</v>
      </c>
      <c r="E39" s="151"/>
      <c r="F39" s="176"/>
      <c r="G39" s="152"/>
      <c r="H39" s="153"/>
      <c r="I39" s="244"/>
      <c r="J39" s="217" t="s">
        <v>577</v>
      </c>
      <c r="K39" s="20" t="s">
        <v>579</v>
      </c>
      <c r="L39" s="446">
        <v>15660</v>
      </c>
      <c r="M39" s="34">
        <v>0</v>
      </c>
      <c r="N39" s="35">
        <v>0</v>
      </c>
      <c r="O39" s="276"/>
      <c r="P39" s="36"/>
      <c r="Q39" s="36"/>
      <c r="R39" s="36"/>
      <c r="V39" s="432"/>
      <c r="W39" s="44" t="s">
        <v>11</v>
      </c>
      <c r="X39" s="196"/>
      <c r="Y39" s="41"/>
      <c r="AA39" s="29"/>
      <c r="AB39" s="44"/>
      <c r="AC39" s="196"/>
      <c r="AD39" s="41"/>
      <c r="AF39" s="19" t="s">
        <v>162</v>
      </c>
      <c r="AG39" s="167"/>
      <c r="AH39" s="21"/>
    </row>
    <row r="40" spans="1:34" ht="16.5" thickBot="1" x14ac:dyDescent="0.3">
      <c r="A40" s="30"/>
      <c r="B40" s="463">
        <v>44091</v>
      </c>
      <c r="C40" s="140">
        <v>19504</v>
      </c>
      <c r="D40" s="163" t="s">
        <v>519</v>
      </c>
      <c r="E40" s="151"/>
      <c r="F40" s="176"/>
      <c r="G40" s="152"/>
      <c r="H40" s="153"/>
      <c r="I40" s="244"/>
      <c r="J40" s="217" t="s">
        <v>577</v>
      </c>
      <c r="K40" s="20" t="s">
        <v>483</v>
      </c>
      <c r="L40" s="446">
        <v>17756.400000000001</v>
      </c>
      <c r="M40" s="34">
        <v>0</v>
      </c>
      <c r="N40" s="35">
        <v>0</v>
      </c>
      <c r="O40" s="276"/>
      <c r="P40" s="36"/>
      <c r="Q40" s="36"/>
      <c r="R40" s="36"/>
      <c r="V40" s="432"/>
      <c r="W40" s="44" t="s">
        <v>10</v>
      </c>
      <c r="X40" s="196"/>
      <c r="Y40" s="41"/>
      <c r="AA40" s="29"/>
      <c r="AB40" s="44"/>
      <c r="AC40" s="196"/>
      <c r="AD40" s="41"/>
      <c r="AF40" s="19" t="s">
        <v>163</v>
      </c>
      <c r="AG40" s="167"/>
      <c r="AH40" s="21"/>
    </row>
    <row r="41" spans="1:34" ht="15.75" thickBot="1" x14ac:dyDescent="0.3">
      <c r="A41" s="30"/>
      <c r="B41" s="481">
        <v>44093</v>
      </c>
      <c r="C41" s="321">
        <v>12673.16</v>
      </c>
      <c r="D41" s="468" t="s">
        <v>548</v>
      </c>
      <c r="E41" s="151"/>
      <c r="F41" s="176"/>
      <c r="G41" s="152"/>
      <c r="H41" s="153"/>
      <c r="I41" s="244"/>
      <c r="J41" s="217" t="s">
        <v>577</v>
      </c>
      <c r="K41" s="680" t="s">
        <v>583</v>
      </c>
      <c r="L41" s="446">
        <f>6029+5040+3110+380.62</f>
        <v>14559.62</v>
      </c>
      <c r="M41" s="34">
        <v>0</v>
      </c>
      <c r="N41" s="35">
        <v>0</v>
      </c>
      <c r="O41" s="276"/>
      <c r="P41" s="36"/>
      <c r="Q41" s="36"/>
      <c r="R41" s="36"/>
      <c r="V41" s="432"/>
      <c r="W41" s="44" t="s">
        <v>11</v>
      </c>
      <c r="X41" s="196"/>
      <c r="Y41" s="41"/>
      <c r="AA41" s="29"/>
      <c r="AB41" s="44"/>
      <c r="AC41" s="196"/>
      <c r="AD41" s="41"/>
      <c r="AF41" s="19" t="s">
        <v>164</v>
      </c>
      <c r="AG41" s="167"/>
      <c r="AH41" s="21"/>
    </row>
    <row r="42" spans="1:34" ht="16.5" thickBot="1" x14ac:dyDescent="0.3">
      <c r="A42" s="30"/>
      <c r="B42" s="463">
        <v>44097</v>
      </c>
      <c r="C42" s="140">
        <v>15875.6</v>
      </c>
      <c r="D42" s="163" t="s">
        <v>518</v>
      </c>
      <c r="E42" s="151"/>
      <c r="F42" s="176"/>
      <c r="G42" s="152"/>
      <c r="H42" s="153"/>
      <c r="I42" s="244"/>
      <c r="J42" s="217"/>
      <c r="K42" s="681"/>
      <c r="L42" s="161">
        <v>0</v>
      </c>
      <c r="M42" s="34">
        <v>0</v>
      </c>
      <c r="N42" s="35">
        <v>0</v>
      </c>
      <c r="O42" s="276"/>
      <c r="P42" s="36"/>
      <c r="Q42" s="36"/>
      <c r="R42" s="36"/>
      <c r="V42" s="432"/>
      <c r="W42" s="44" t="s">
        <v>10</v>
      </c>
      <c r="X42" s="196"/>
      <c r="Y42" s="41"/>
      <c r="AA42" s="29"/>
      <c r="AB42" s="44"/>
      <c r="AC42" s="196"/>
      <c r="AD42" s="41"/>
      <c r="AF42" s="19" t="s">
        <v>165</v>
      </c>
      <c r="AG42" s="167"/>
      <c r="AH42" s="21"/>
    </row>
    <row r="43" spans="1:34" ht="15.75" thickBot="1" x14ac:dyDescent="0.3">
      <c r="A43" s="30"/>
      <c r="B43" s="319">
        <v>44099</v>
      </c>
      <c r="C43" s="321">
        <v>16130.28</v>
      </c>
      <c r="D43" s="468" t="s">
        <v>588</v>
      </c>
      <c r="E43" s="151"/>
      <c r="F43" s="176"/>
      <c r="G43" s="152"/>
      <c r="H43" s="153"/>
      <c r="I43" s="244"/>
      <c r="J43" s="217" t="s">
        <v>577</v>
      </c>
      <c r="K43" s="460" t="s">
        <v>580</v>
      </c>
      <c r="L43" s="77">
        <v>1000</v>
      </c>
      <c r="M43" s="34">
        <v>0</v>
      </c>
      <c r="N43" s="35">
        <v>0</v>
      </c>
      <c r="O43" s="276"/>
      <c r="P43" s="36"/>
      <c r="Q43" s="36"/>
      <c r="R43" s="36"/>
      <c r="V43" s="432"/>
      <c r="W43" s="44" t="s">
        <v>11</v>
      </c>
      <c r="X43" s="196"/>
      <c r="Y43" s="41"/>
      <c r="AA43" s="29"/>
      <c r="AB43" s="44"/>
      <c r="AC43" s="196"/>
      <c r="AD43" s="41"/>
      <c r="AF43" s="19" t="s">
        <v>166</v>
      </c>
      <c r="AG43" s="167"/>
      <c r="AH43" s="21"/>
    </row>
    <row r="44" spans="1:34" ht="15.75" thickBot="1" x14ac:dyDescent="0.3">
      <c r="A44" s="30"/>
      <c r="B44" s="319">
        <v>44100</v>
      </c>
      <c r="C44" s="321">
        <v>10643.61</v>
      </c>
      <c r="D44" s="468" t="s">
        <v>549</v>
      </c>
      <c r="E44" s="151"/>
      <c r="F44" s="176"/>
      <c r="G44" s="152"/>
      <c r="H44" s="153"/>
      <c r="I44" s="244"/>
      <c r="J44" s="217" t="s">
        <v>577</v>
      </c>
      <c r="K44" s="460" t="s">
        <v>135</v>
      </c>
      <c r="L44" s="77">
        <v>1394.81</v>
      </c>
      <c r="M44" s="34"/>
      <c r="N44" s="35"/>
      <c r="O44" s="276"/>
      <c r="P44" s="36"/>
      <c r="Q44" s="36"/>
      <c r="R44" s="36"/>
      <c r="V44" s="432"/>
      <c r="W44" s="44" t="s">
        <v>10</v>
      </c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30"/>
      <c r="B45" s="319">
        <v>44104</v>
      </c>
      <c r="C45" s="321">
        <v>24303.21</v>
      </c>
      <c r="D45" s="468" t="s">
        <v>612</v>
      </c>
      <c r="E45" s="151"/>
      <c r="F45" s="176"/>
      <c r="G45" s="152"/>
      <c r="H45" s="153"/>
      <c r="I45" s="244"/>
      <c r="J45" s="217" t="s">
        <v>577</v>
      </c>
      <c r="K45" s="460" t="s">
        <v>265</v>
      </c>
      <c r="L45" s="77">
        <v>12831</v>
      </c>
      <c r="M45" s="34"/>
      <c r="N45" s="35"/>
      <c r="O45" s="276"/>
      <c r="P45" s="36"/>
      <c r="Q45" s="36"/>
      <c r="R45" s="36"/>
      <c r="V45" s="432"/>
      <c r="W45" s="44" t="s">
        <v>11</v>
      </c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5.75" thickBot="1" x14ac:dyDescent="0.3">
      <c r="A46" s="30"/>
      <c r="B46" s="319"/>
      <c r="C46" s="321"/>
      <c r="D46" s="468"/>
      <c r="E46" s="151"/>
      <c r="F46" s="176"/>
      <c r="G46" s="152"/>
      <c r="H46" s="153"/>
      <c r="I46" s="244"/>
      <c r="J46" s="485" t="s">
        <v>577</v>
      </c>
      <c r="K46" s="486" t="s">
        <v>581</v>
      </c>
      <c r="L46" s="487">
        <f>149640+264132</f>
        <v>413772</v>
      </c>
      <c r="M46" s="34"/>
      <c r="N46" s="35"/>
      <c r="O46" s="276"/>
      <c r="P46" s="36"/>
      <c r="Q46" s="36"/>
      <c r="R46" s="36"/>
      <c r="V46" s="432"/>
      <c r="W46" s="44" t="s">
        <v>10</v>
      </c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5.75" thickBot="1" x14ac:dyDescent="0.3">
      <c r="A47" s="30"/>
      <c r="B47" s="319"/>
      <c r="C47" s="321"/>
      <c r="D47" s="468"/>
      <c r="E47" s="151"/>
      <c r="F47" s="176"/>
      <c r="G47" s="152"/>
      <c r="H47" s="153"/>
      <c r="I47" s="244"/>
      <c r="J47" s="217" t="s">
        <v>577</v>
      </c>
      <c r="K47" s="460" t="s">
        <v>243</v>
      </c>
      <c r="L47" s="77">
        <v>986</v>
      </c>
      <c r="M47" s="34"/>
      <c r="N47" s="35"/>
      <c r="O47" s="276"/>
      <c r="P47" s="36"/>
      <c r="Q47" s="36"/>
      <c r="R47" s="36"/>
      <c r="V47" s="432"/>
      <c r="W47" s="44" t="s">
        <v>11</v>
      </c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5.75" thickBot="1" x14ac:dyDescent="0.3">
      <c r="A48" s="30"/>
      <c r="B48" s="319"/>
      <c r="C48" s="321"/>
      <c r="D48" s="468"/>
      <c r="E48" s="151"/>
      <c r="F48" s="176"/>
      <c r="G48" s="152"/>
      <c r="H48" s="153"/>
      <c r="I48" s="244"/>
      <c r="J48" s="217" t="s">
        <v>577</v>
      </c>
      <c r="K48" s="460" t="s">
        <v>308</v>
      </c>
      <c r="L48" s="77">
        <v>2304.1999999999998</v>
      </c>
      <c r="M48" s="34"/>
      <c r="N48" s="35"/>
      <c r="O48" s="276"/>
      <c r="P48" s="36"/>
      <c r="Q48" s="36"/>
      <c r="R48" s="36"/>
      <c r="V48" s="432"/>
      <c r="W48" s="44" t="s">
        <v>10</v>
      </c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thickBot="1" x14ac:dyDescent="0.3">
      <c r="A49" s="30"/>
      <c r="B49" s="319"/>
      <c r="C49" s="321"/>
      <c r="D49" s="468"/>
      <c r="E49" s="151"/>
      <c r="F49" s="176"/>
      <c r="G49" s="152"/>
      <c r="H49" s="153"/>
      <c r="I49" s="244"/>
      <c r="J49" s="217" t="s">
        <v>577</v>
      </c>
      <c r="K49" s="460" t="s">
        <v>278</v>
      </c>
      <c r="L49" s="77">
        <v>2818.5</v>
      </c>
      <c r="M49" s="34"/>
      <c r="N49" s="35"/>
      <c r="O49" s="276"/>
      <c r="P49" s="36"/>
      <c r="Q49" s="36"/>
      <c r="R49" s="36"/>
      <c r="V49" s="432"/>
      <c r="W49" s="44" t="s">
        <v>11</v>
      </c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thickBot="1" x14ac:dyDescent="0.3">
      <c r="A50" s="30"/>
      <c r="B50" s="319"/>
      <c r="C50" s="321"/>
      <c r="D50" s="468"/>
      <c r="E50" s="151"/>
      <c r="F50" s="176"/>
      <c r="G50" s="152"/>
      <c r="H50" s="153"/>
      <c r="I50" s="244"/>
      <c r="J50" s="217" t="s">
        <v>577</v>
      </c>
      <c r="K50" s="460" t="s">
        <v>584</v>
      </c>
      <c r="L50" s="77">
        <v>2552</v>
      </c>
      <c r="M50" s="34"/>
      <c r="N50" s="35"/>
      <c r="O50" s="276"/>
      <c r="P50" s="36"/>
      <c r="Q50" s="36"/>
      <c r="R50" s="36"/>
      <c r="V50" s="432"/>
      <c r="W50" s="44" t="s">
        <v>10</v>
      </c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thickBot="1" x14ac:dyDescent="0.3">
      <c r="A51" s="30"/>
      <c r="B51" s="319"/>
      <c r="C51" s="321"/>
      <c r="D51" s="468"/>
      <c r="E51" s="151"/>
      <c r="F51" s="176"/>
      <c r="G51" s="152"/>
      <c r="H51" s="153"/>
      <c r="I51" s="244"/>
      <c r="J51" s="217" t="s">
        <v>577</v>
      </c>
      <c r="K51" s="457" t="s">
        <v>585</v>
      </c>
      <c r="L51" s="161">
        <v>25181.09</v>
      </c>
      <c r="M51" s="34">
        <v>0</v>
      </c>
      <c r="N51" s="35">
        <v>0</v>
      </c>
      <c r="O51" s="276"/>
      <c r="P51" s="36"/>
      <c r="Q51" s="36"/>
      <c r="R51" s="36"/>
      <c r="V51" s="432"/>
      <c r="W51" s="38" t="s">
        <v>11</v>
      </c>
      <c r="X51" s="196">
        <v>0</v>
      </c>
      <c r="Y51" s="41"/>
      <c r="AA51" s="29"/>
      <c r="AB51" s="38" t="s">
        <v>10</v>
      </c>
      <c r="AC51" s="196"/>
      <c r="AD51" s="41"/>
      <c r="AF51" s="19" t="s">
        <v>167</v>
      </c>
      <c r="AG51" s="167"/>
      <c r="AH51" s="21">
        <v>0</v>
      </c>
    </row>
    <row r="52" spans="1:34" ht="15.75" thickBot="1" x14ac:dyDescent="0.3">
      <c r="A52" s="30"/>
      <c r="B52" s="319"/>
      <c r="C52" s="455"/>
      <c r="D52" s="469"/>
      <c r="E52" s="456"/>
      <c r="F52" s="412"/>
      <c r="G52" s="152"/>
      <c r="H52" s="153"/>
      <c r="I52" s="344"/>
      <c r="J52" s="217" t="s">
        <v>577</v>
      </c>
      <c r="K52" s="457" t="s">
        <v>586</v>
      </c>
      <c r="L52" s="161">
        <v>910</v>
      </c>
      <c r="M52" s="34">
        <v>0</v>
      </c>
      <c r="N52" s="35">
        <v>0</v>
      </c>
      <c r="O52" s="276"/>
      <c r="P52" s="36"/>
      <c r="Q52" s="36"/>
      <c r="R52" s="36"/>
      <c r="V52" s="432"/>
      <c r="W52" s="38"/>
      <c r="X52" s="196"/>
      <c r="Y52" s="41"/>
      <c r="AA52" s="29"/>
      <c r="AB52" s="38"/>
      <c r="AC52" s="196"/>
      <c r="AD52" s="41"/>
      <c r="AF52" s="19" t="s">
        <v>532</v>
      </c>
      <c r="AG52" s="167"/>
      <c r="AH52" s="21"/>
    </row>
    <row r="53" spans="1:34" ht="16.5" thickBot="1" x14ac:dyDescent="0.3">
      <c r="B53" s="385" t="s">
        <v>16</v>
      </c>
      <c r="C53" s="386">
        <f>SUM(C5:C52)</f>
        <v>378636.61</v>
      </c>
      <c r="D53" s="117"/>
      <c r="E53" s="303" t="s">
        <v>16</v>
      </c>
      <c r="F53" s="304">
        <f>SUM(F5:F52)</f>
        <v>3221465</v>
      </c>
      <c r="G53" s="117"/>
      <c r="H53" s="120" t="s">
        <v>303</v>
      </c>
      <c r="I53" s="121">
        <f>SUM(I5:I52)</f>
        <v>69218.73</v>
      </c>
      <c r="J53" s="332"/>
      <c r="K53" s="122" t="s">
        <v>304</v>
      </c>
      <c r="L53" s="123">
        <f>SUM(L6:L52)</f>
        <v>687083.60999999987</v>
      </c>
      <c r="M53" s="131">
        <f>SUM(M5:M52)</f>
        <v>2758022.5</v>
      </c>
      <c r="N53" s="131">
        <f>SUM(N5:N52)</f>
        <v>137061</v>
      </c>
      <c r="O53" s="278"/>
      <c r="P53" s="36">
        <f>SUM(P5:P52)</f>
        <v>3269176.62</v>
      </c>
      <c r="Q53" s="36">
        <f>SUM(Q5:Q52)</f>
        <v>47711.62</v>
      </c>
      <c r="R53" s="36"/>
      <c r="V53" s="29"/>
      <c r="W53" s="38" t="s">
        <v>10</v>
      </c>
      <c r="X53" s="196">
        <v>0</v>
      </c>
      <c r="Y53" s="41"/>
      <c r="AA53" s="29"/>
      <c r="AB53" s="38" t="s">
        <v>10</v>
      </c>
      <c r="AC53" s="196"/>
      <c r="AD53" s="41"/>
      <c r="AF53" s="19" t="s">
        <v>533</v>
      </c>
      <c r="AG53" s="167"/>
      <c r="AH53" s="21">
        <v>0</v>
      </c>
    </row>
    <row r="54" spans="1:34" ht="17.25" customHeight="1" thickTop="1" thickBot="1" x14ac:dyDescent="0.3">
      <c r="C54" s="8" t="s">
        <v>12</v>
      </c>
      <c r="O54" s="279"/>
      <c r="P54" s="114"/>
      <c r="Q54" s="114"/>
      <c r="V54" s="29"/>
      <c r="W54" s="44" t="s">
        <v>11</v>
      </c>
      <c r="X54" s="196">
        <v>0</v>
      </c>
      <c r="Y54" s="41"/>
      <c r="AA54" s="29"/>
      <c r="AB54" s="44" t="s">
        <v>11</v>
      </c>
      <c r="AC54" s="196"/>
      <c r="AD54" s="41"/>
      <c r="AF54" s="19" t="s">
        <v>534</v>
      </c>
      <c r="AG54" s="167"/>
      <c r="AH54" s="21">
        <v>0</v>
      </c>
    </row>
    <row r="55" spans="1:34" ht="19.5" thickBot="1" x14ac:dyDescent="0.3">
      <c r="A55" s="59"/>
      <c r="B55" s="125"/>
      <c r="C55" s="4"/>
      <c r="H55" s="638" t="s">
        <v>18</v>
      </c>
      <c r="I55" s="639"/>
      <c r="J55" s="333"/>
      <c r="K55" s="640">
        <f>I53+L53</f>
        <v>756302.33999999985</v>
      </c>
      <c r="L55" s="641"/>
      <c r="M55" s="636">
        <f>M53+N53</f>
        <v>2895083.5</v>
      </c>
      <c r="N55" s="637"/>
      <c r="P55" s="670">
        <f>P53+Q53</f>
        <v>3316888.24</v>
      </c>
      <c r="Q55" s="671"/>
      <c r="S55" s="5"/>
      <c r="T55" s="128"/>
      <c r="U55" s="128"/>
      <c r="V55" s="29"/>
      <c r="W55" s="38" t="s">
        <v>10</v>
      </c>
      <c r="X55" s="196">
        <v>0</v>
      </c>
      <c r="Y55" s="41"/>
      <c r="Z55" s="128"/>
      <c r="AA55" s="29"/>
      <c r="AB55" s="38" t="s">
        <v>10</v>
      </c>
      <c r="AC55" s="196"/>
      <c r="AD55" s="41"/>
      <c r="AF55" s="19" t="s">
        <v>535</v>
      </c>
      <c r="AG55" s="167"/>
      <c r="AH55" s="21">
        <v>0</v>
      </c>
    </row>
    <row r="56" spans="1:34" ht="15.75" x14ac:dyDescent="0.25">
      <c r="D56" s="642" t="s">
        <v>19</v>
      </c>
      <c r="E56" s="642"/>
      <c r="F56" s="129">
        <f>F53-K55-C53</f>
        <v>2086526.0500000003</v>
      </c>
      <c r="I56" s="130"/>
      <c r="J56" s="334"/>
      <c r="P56" s="127"/>
      <c r="V56" s="29"/>
      <c r="W56" s="44" t="s">
        <v>11</v>
      </c>
      <c r="X56" s="196">
        <v>0</v>
      </c>
      <c r="Y56" s="41"/>
      <c r="AA56" s="29"/>
      <c r="AB56" s="44" t="s">
        <v>11</v>
      </c>
      <c r="AC56" s="196"/>
      <c r="AD56" s="41"/>
      <c r="AF56" s="19" t="s">
        <v>536</v>
      </c>
      <c r="AG56" s="167"/>
      <c r="AH56" s="21">
        <v>0</v>
      </c>
    </row>
    <row r="57" spans="1:34" ht="18.75" x14ac:dyDescent="0.3">
      <c r="D57" s="655" t="s">
        <v>20</v>
      </c>
      <c r="E57" s="655"/>
      <c r="F57" s="131">
        <v>-2443326.35</v>
      </c>
      <c r="I57" s="656" t="s">
        <v>21</v>
      </c>
      <c r="J57" s="657"/>
      <c r="K57" s="658">
        <f>F59+F60+F61</f>
        <v>11575.170000000217</v>
      </c>
      <c r="L57" s="659"/>
      <c r="P57" s="405"/>
      <c r="Q57" s="36"/>
      <c r="V57" s="29"/>
      <c r="W57" s="38" t="s">
        <v>10</v>
      </c>
      <c r="X57" s="196">
        <v>0</v>
      </c>
      <c r="Y57" s="41"/>
      <c r="AA57" s="29"/>
      <c r="AB57" s="38" t="s">
        <v>10</v>
      </c>
      <c r="AC57" s="196"/>
      <c r="AD57" s="41"/>
      <c r="AF57" s="19" t="s">
        <v>537</v>
      </c>
      <c r="AG57" s="167"/>
      <c r="AH57" s="21">
        <v>0</v>
      </c>
    </row>
    <row r="58" spans="1:34" ht="4.5" customHeight="1" thickBot="1" x14ac:dyDescent="0.35">
      <c r="D58" s="132"/>
      <c r="E58" s="133"/>
      <c r="F58" s="134">
        <v>0</v>
      </c>
      <c r="I58" s="135"/>
      <c r="J58" s="335"/>
      <c r="K58" s="136"/>
      <c r="L58" s="136"/>
      <c r="P58" s="127"/>
      <c r="Q58" s="36"/>
      <c r="V58" s="8"/>
      <c r="W58" s="44" t="s">
        <v>11</v>
      </c>
      <c r="X58" s="196">
        <v>0</v>
      </c>
      <c r="AA58" s="8"/>
      <c r="AB58" s="44" t="s">
        <v>11</v>
      </c>
      <c r="AC58" s="196">
        <v>0</v>
      </c>
    </row>
    <row r="59" spans="1:34" ht="20.25" thickTop="1" thickBot="1" x14ac:dyDescent="0.35">
      <c r="C59" s="16" t="s">
        <v>12</v>
      </c>
      <c r="E59" s="59" t="s">
        <v>22</v>
      </c>
      <c r="F59" s="131">
        <f>SUM(F56:F58)</f>
        <v>-356800.29999999981</v>
      </c>
      <c r="H59" s="30"/>
      <c r="I59" s="137" t="s">
        <v>23</v>
      </c>
      <c r="J59" s="336"/>
      <c r="K59" s="627">
        <f>-C4</f>
        <v>-301043.73</v>
      </c>
      <c r="L59" s="628"/>
      <c r="M59" s="214"/>
      <c r="P59" s="127"/>
      <c r="Q59" s="36"/>
      <c r="V59" s="8"/>
      <c r="W59" s="65" t="s">
        <v>16</v>
      </c>
      <c r="X59" s="66">
        <f>SUM(X4:X14)</f>
        <v>105110</v>
      </c>
      <c r="AA59" s="8"/>
      <c r="AB59" s="65" t="s">
        <v>323</v>
      </c>
      <c r="AC59" s="66">
        <f>SUM(AC4:AC14)</f>
        <v>55110</v>
      </c>
    </row>
    <row r="60" spans="1:34" ht="16.5" thickBot="1" x14ac:dyDescent="0.3">
      <c r="D60" s="139" t="s">
        <v>24</v>
      </c>
      <c r="E60" s="59" t="s">
        <v>25</v>
      </c>
      <c r="F60" s="140">
        <v>54555.199999999997</v>
      </c>
      <c r="P60" s="127"/>
      <c r="Q60" s="36"/>
      <c r="V60" s="8"/>
      <c r="AA60" s="8"/>
    </row>
    <row r="61" spans="1:34" ht="20.25" thickTop="1" thickBot="1" x14ac:dyDescent="0.35">
      <c r="C61" s="231">
        <v>44104</v>
      </c>
      <c r="D61" s="629" t="s">
        <v>26</v>
      </c>
      <c r="E61" s="630"/>
      <c r="F61" s="142">
        <v>313820.27</v>
      </c>
      <c r="I61" s="676" t="s">
        <v>582</v>
      </c>
      <c r="J61" s="677"/>
      <c r="K61" s="678">
        <f>K57+K59</f>
        <v>-289468.55999999976</v>
      </c>
      <c r="L61" s="679"/>
      <c r="P61" s="406"/>
      <c r="Q61" s="36"/>
    </row>
    <row r="62" spans="1:34" ht="18.75" x14ac:dyDescent="0.3">
      <c r="C62" s="143"/>
      <c r="D62" s="144"/>
      <c r="E62" s="61"/>
      <c r="F62" s="145"/>
      <c r="J62" s="337"/>
      <c r="M62" s="146"/>
      <c r="P62" s="36"/>
      <c r="Q62" s="36"/>
    </row>
    <row r="63" spans="1:34" x14ac:dyDescent="0.25">
      <c r="P63" s="36"/>
      <c r="Q63" s="36"/>
    </row>
    <row r="64" spans="1:34" x14ac:dyDescent="0.25">
      <c r="B64"/>
      <c r="C64"/>
      <c r="D64" s="635"/>
      <c r="E64" s="635"/>
      <c r="M64" s="147"/>
      <c r="N64" s="59"/>
      <c r="O64" s="59"/>
      <c r="P64" s="404"/>
      <c r="Q64" s="191"/>
      <c r="R64" s="186"/>
    </row>
    <row r="65" spans="2:18" x14ac:dyDescent="0.25">
      <c r="B65"/>
      <c r="C65"/>
      <c r="M65" s="147"/>
      <c r="N65" s="59"/>
      <c r="O65" s="59"/>
      <c r="P65" s="191"/>
      <c r="Q65" s="191"/>
      <c r="R65" s="186"/>
    </row>
    <row r="66" spans="2:18" x14ac:dyDescent="0.25">
      <c r="F66" s="148"/>
      <c r="K66" s="382"/>
      <c r="L66" s="382"/>
      <c r="M66" s="4"/>
    </row>
    <row r="67" spans="2:18" x14ac:dyDescent="0.25">
      <c r="M67" s="4"/>
    </row>
    <row r="68" spans="2:18" x14ac:dyDescent="0.25">
      <c r="M68" s="4"/>
    </row>
    <row r="69" spans="2:18" x14ac:dyDescent="0.25">
      <c r="M69" s="4"/>
    </row>
    <row r="70" spans="2:18" x14ac:dyDescent="0.25">
      <c r="M70" s="4"/>
    </row>
    <row r="71" spans="2:18" x14ac:dyDescent="0.25">
      <c r="M71" s="4"/>
    </row>
    <row r="72" spans="2:18" x14ac:dyDescent="0.25">
      <c r="M72" s="4"/>
    </row>
    <row r="73" spans="2:18" x14ac:dyDescent="0.25">
      <c r="M73" s="4"/>
    </row>
    <row r="74" spans="2:18" x14ac:dyDescent="0.25">
      <c r="M74" s="4"/>
    </row>
    <row r="75" spans="2:18" x14ac:dyDescent="0.25">
      <c r="M75" s="4"/>
    </row>
    <row r="76" spans="2:18" x14ac:dyDescent="0.25">
      <c r="M76" s="4"/>
    </row>
    <row r="77" spans="2:18" x14ac:dyDescent="0.25">
      <c r="M77" s="4"/>
    </row>
    <row r="78" spans="2:18" x14ac:dyDescent="0.25">
      <c r="M78" s="4"/>
    </row>
    <row r="79" spans="2:18" x14ac:dyDescent="0.25">
      <c r="M79" s="4"/>
    </row>
  </sheetData>
  <sortState xmlns:xlrd2="http://schemas.microsoft.com/office/spreadsheetml/2017/richdata2" ref="B44:D46">
    <sortCondition ref="B44:B46"/>
  </sortState>
  <mergeCells count="23">
    <mergeCell ref="D64:E64"/>
    <mergeCell ref="P55:Q55"/>
    <mergeCell ref="D56:E56"/>
    <mergeCell ref="D57:E57"/>
    <mergeCell ref="I57:J57"/>
    <mergeCell ref="K57:L57"/>
    <mergeCell ref="K59:L59"/>
    <mergeCell ref="M55:N55"/>
    <mergeCell ref="E4:F4"/>
    <mergeCell ref="H4:I4"/>
    <mergeCell ref="H55:I55"/>
    <mergeCell ref="K55:L55"/>
    <mergeCell ref="D61:E61"/>
    <mergeCell ref="I61:J61"/>
    <mergeCell ref="K61:L61"/>
    <mergeCell ref="K41:K42"/>
    <mergeCell ref="C1:K1"/>
    <mergeCell ref="AK1:AL2"/>
    <mergeCell ref="W2:X3"/>
    <mergeCell ref="AB2:AC3"/>
    <mergeCell ref="AF2:AH2"/>
    <mergeCell ref="B3:C3"/>
    <mergeCell ref="H3:I3"/>
  </mergeCells>
  <phoneticPr fontId="30" type="noConversion"/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032C-3739-4731-8148-910E01535E53}">
  <sheetPr>
    <tabColor rgb="FF00FF00"/>
  </sheetPr>
  <dimension ref="A1:G80"/>
  <sheetViews>
    <sheetView topLeftCell="A22" workbookViewId="0">
      <selection activeCell="E39" sqref="E39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7" ht="36.75" customHeight="1" x14ac:dyDescent="0.35">
      <c r="B1" s="185" t="s">
        <v>192</v>
      </c>
      <c r="C1" s="182"/>
      <c r="D1" s="183"/>
      <c r="E1" s="182"/>
      <c r="F1" s="184"/>
    </row>
    <row r="2" spans="1:7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7" ht="18.75" x14ac:dyDescent="0.3">
      <c r="A3" s="271">
        <v>44076</v>
      </c>
      <c r="B3" s="272"/>
      <c r="C3" s="176"/>
      <c r="D3" s="270" t="s">
        <v>550</v>
      </c>
      <c r="E3" s="5"/>
      <c r="F3" s="482">
        <v>-3814.17</v>
      </c>
    </row>
    <row r="4" spans="1:7" ht="18.75" x14ac:dyDescent="0.3">
      <c r="A4" s="271">
        <v>44077</v>
      </c>
      <c r="B4" s="272" t="s">
        <v>552</v>
      </c>
      <c r="C4" s="176">
        <v>122113.7</v>
      </c>
      <c r="D4" s="273">
        <v>44078</v>
      </c>
      <c r="E4" s="176">
        <v>122113.7</v>
      </c>
      <c r="F4" s="444">
        <f>F3+C4-E4</f>
        <v>-3814.1699999999983</v>
      </c>
      <c r="G4" s="451" t="s">
        <v>465</v>
      </c>
    </row>
    <row r="5" spans="1:7" x14ac:dyDescent="0.25">
      <c r="A5" s="273">
        <v>44078</v>
      </c>
      <c r="B5" s="272" t="s">
        <v>553</v>
      </c>
      <c r="C5" s="176">
        <v>107449.24</v>
      </c>
      <c r="D5" s="273"/>
      <c r="E5" s="176"/>
      <c r="F5" s="442">
        <f t="shared" ref="F5:F43" si="0">F4+C5-E5</f>
        <v>103635.07</v>
      </c>
    </row>
    <row r="6" spans="1:7" x14ac:dyDescent="0.25">
      <c r="A6" s="273">
        <v>44079</v>
      </c>
      <c r="B6" s="272" t="s">
        <v>551</v>
      </c>
      <c r="C6" s="176">
        <v>1535</v>
      </c>
      <c r="D6" s="273"/>
      <c r="E6" s="176"/>
      <c r="F6" s="442">
        <f t="shared" si="0"/>
        <v>105170.07</v>
      </c>
    </row>
    <row r="7" spans="1:7" x14ac:dyDescent="0.25">
      <c r="A7" s="273">
        <v>44079</v>
      </c>
      <c r="B7" s="272" t="s">
        <v>554</v>
      </c>
      <c r="C7" s="176">
        <v>69758.399999999994</v>
      </c>
      <c r="D7" s="273"/>
      <c r="E7" s="176"/>
      <c r="F7" s="442">
        <f t="shared" si="0"/>
        <v>174928.47</v>
      </c>
    </row>
    <row r="8" spans="1:7" x14ac:dyDescent="0.25">
      <c r="A8" s="273">
        <v>44081</v>
      </c>
      <c r="B8" s="272" t="s">
        <v>555</v>
      </c>
      <c r="C8" s="176">
        <v>121326.06</v>
      </c>
      <c r="D8" s="273"/>
      <c r="E8" s="176"/>
      <c r="F8" s="442">
        <f t="shared" si="0"/>
        <v>296254.53000000003</v>
      </c>
    </row>
    <row r="9" spans="1:7" x14ac:dyDescent="0.25">
      <c r="A9" s="273">
        <v>44081</v>
      </c>
      <c r="B9" s="272" t="s">
        <v>556</v>
      </c>
      <c r="C9" s="176">
        <v>5143.6000000000004</v>
      </c>
      <c r="D9" s="273"/>
      <c r="E9" s="176"/>
      <c r="F9" s="442">
        <f t="shared" si="0"/>
        <v>301398.13</v>
      </c>
    </row>
    <row r="10" spans="1:7" ht="18.75" x14ac:dyDescent="0.3">
      <c r="A10" s="273">
        <v>44082</v>
      </c>
      <c r="B10" s="272" t="s">
        <v>557</v>
      </c>
      <c r="C10" s="176">
        <v>99829.08</v>
      </c>
      <c r="D10" s="273">
        <v>44091</v>
      </c>
      <c r="E10" s="176">
        <v>405041.38</v>
      </c>
      <c r="F10" s="444">
        <f t="shared" si="0"/>
        <v>-3814.1699999999837</v>
      </c>
      <c r="G10" s="451" t="s">
        <v>465</v>
      </c>
    </row>
    <row r="11" spans="1:7" x14ac:dyDescent="0.25">
      <c r="A11" s="271">
        <v>44083</v>
      </c>
      <c r="B11" s="272" t="s">
        <v>558</v>
      </c>
      <c r="C11" s="176">
        <v>109665.60000000001</v>
      </c>
      <c r="D11" s="273"/>
      <c r="E11" s="176"/>
      <c r="F11" s="442">
        <f t="shared" si="0"/>
        <v>105851.43000000002</v>
      </c>
    </row>
    <row r="12" spans="1:7" x14ac:dyDescent="0.25">
      <c r="A12" s="273">
        <v>44084</v>
      </c>
      <c r="B12" s="272" t="s">
        <v>559</v>
      </c>
      <c r="C12" s="176">
        <v>71233.3</v>
      </c>
      <c r="D12" s="273"/>
      <c r="E12" s="176"/>
      <c r="F12" s="442">
        <f t="shared" si="0"/>
        <v>177084.73000000004</v>
      </c>
    </row>
    <row r="13" spans="1:7" x14ac:dyDescent="0.25">
      <c r="A13" s="273">
        <v>44084</v>
      </c>
      <c r="B13" s="272" t="s">
        <v>560</v>
      </c>
      <c r="C13" s="176">
        <v>1789.3</v>
      </c>
      <c r="D13" s="273"/>
      <c r="E13" s="176"/>
      <c r="F13" s="442">
        <f t="shared" si="0"/>
        <v>178874.03000000003</v>
      </c>
    </row>
    <row r="14" spans="1:7" x14ac:dyDescent="0.25">
      <c r="A14" s="273">
        <v>44085</v>
      </c>
      <c r="B14" s="272" t="s">
        <v>561</v>
      </c>
      <c r="C14" s="176">
        <v>196837.64</v>
      </c>
      <c r="D14" s="273"/>
      <c r="E14" s="176"/>
      <c r="F14" s="442">
        <f t="shared" si="0"/>
        <v>375711.67000000004</v>
      </c>
    </row>
    <row r="15" spans="1:7" x14ac:dyDescent="0.25">
      <c r="A15" s="273">
        <v>44086</v>
      </c>
      <c r="B15" s="272" t="s">
        <v>562</v>
      </c>
      <c r="C15" s="176">
        <v>13974</v>
      </c>
      <c r="D15" s="273"/>
      <c r="E15" s="176"/>
      <c r="F15" s="442">
        <f t="shared" si="0"/>
        <v>389685.67000000004</v>
      </c>
    </row>
    <row r="16" spans="1:7" x14ac:dyDescent="0.25">
      <c r="A16" s="273">
        <v>44086</v>
      </c>
      <c r="B16" s="272" t="s">
        <v>563</v>
      </c>
      <c r="C16" s="176">
        <v>92279.3</v>
      </c>
      <c r="D16" s="273"/>
      <c r="E16" s="176"/>
      <c r="F16" s="442">
        <f t="shared" si="0"/>
        <v>481964.97000000003</v>
      </c>
    </row>
    <row r="17" spans="1:7" x14ac:dyDescent="0.25">
      <c r="A17" s="273">
        <v>44088</v>
      </c>
      <c r="B17" s="272" t="s">
        <v>564</v>
      </c>
      <c r="C17" s="176">
        <v>40355.699999999997</v>
      </c>
      <c r="D17" s="273"/>
      <c r="E17" s="176"/>
      <c r="F17" s="442">
        <f t="shared" si="0"/>
        <v>522320.67000000004</v>
      </c>
    </row>
    <row r="18" spans="1:7" x14ac:dyDescent="0.25">
      <c r="A18" s="273">
        <v>44088</v>
      </c>
      <c r="B18" s="272" t="s">
        <v>565</v>
      </c>
      <c r="C18" s="176">
        <v>12562.2</v>
      </c>
      <c r="D18" s="273"/>
      <c r="E18" s="176"/>
      <c r="F18" s="442">
        <f t="shared" si="0"/>
        <v>534882.87</v>
      </c>
    </row>
    <row r="19" spans="1:7" x14ac:dyDescent="0.25">
      <c r="A19" s="273">
        <v>44089</v>
      </c>
      <c r="B19" s="272" t="s">
        <v>566</v>
      </c>
      <c r="C19" s="176">
        <v>51840.2</v>
      </c>
      <c r="D19" s="273"/>
      <c r="E19" s="176"/>
      <c r="F19" s="442">
        <f t="shared" si="0"/>
        <v>586723.06999999995</v>
      </c>
    </row>
    <row r="20" spans="1:7" x14ac:dyDescent="0.25">
      <c r="A20" s="273">
        <v>44089</v>
      </c>
      <c r="B20" s="272" t="s">
        <v>567</v>
      </c>
      <c r="C20" s="176">
        <v>64935.92</v>
      </c>
      <c r="D20" s="273"/>
      <c r="E20" s="176"/>
      <c r="F20" s="442">
        <f t="shared" si="0"/>
        <v>651658.99</v>
      </c>
    </row>
    <row r="21" spans="1:7" x14ac:dyDescent="0.25">
      <c r="A21" s="273">
        <v>44090</v>
      </c>
      <c r="B21" s="272" t="s">
        <v>568</v>
      </c>
      <c r="C21" s="176">
        <v>112809</v>
      </c>
      <c r="D21" s="273"/>
      <c r="E21" s="176"/>
      <c r="F21" s="442">
        <f t="shared" si="0"/>
        <v>764467.99</v>
      </c>
    </row>
    <row r="22" spans="1:7" ht="18.75" x14ac:dyDescent="0.3">
      <c r="A22" s="273">
        <v>44091</v>
      </c>
      <c r="B22" s="272" t="s">
        <v>513</v>
      </c>
      <c r="C22" s="176">
        <v>74971.899999999994</v>
      </c>
      <c r="D22" s="273">
        <v>44091</v>
      </c>
      <c r="E22" s="176">
        <v>800000</v>
      </c>
      <c r="F22" s="483">
        <f t="shared" si="0"/>
        <v>39439.890000000014</v>
      </c>
      <c r="G22" s="451"/>
    </row>
    <row r="23" spans="1:7" x14ac:dyDescent="0.25">
      <c r="A23" s="273">
        <v>44092</v>
      </c>
      <c r="B23" s="272" t="s">
        <v>515</v>
      </c>
      <c r="C23" s="176">
        <v>163004.66</v>
      </c>
      <c r="D23" s="273"/>
      <c r="E23" s="176"/>
      <c r="F23" s="442">
        <f t="shared" si="0"/>
        <v>202444.55000000002</v>
      </c>
    </row>
    <row r="24" spans="1:7" x14ac:dyDescent="0.25">
      <c r="A24" s="273">
        <v>44093</v>
      </c>
      <c r="B24" s="272" t="s">
        <v>514</v>
      </c>
      <c r="C24" s="176">
        <v>108245.9</v>
      </c>
      <c r="D24" s="273"/>
      <c r="E24" s="176"/>
      <c r="F24" s="442">
        <f t="shared" si="0"/>
        <v>310690.45</v>
      </c>
    </row>
    <row r="25" spans="1:7" x14ac:dyDescent="0.25">
      <c r="A25" s="273">
        <v>44094</v>
      </c>
      <c r="B25" s="272" t="s">
        <v>516</v>
      </c>
      <c r="C25" s="176">
        <v>37348.6</v>
      </c>
      <c r="D25" s="273"/>
      <c r="E25" s="176"/>
      <c r="F25" s="442">
        <f t="shared" si="0"/>
        <v>348039.05</v>
      </c>
    </row>
    <row r="26" spans="1:7" x14ac:dyDescent="0.25">
      <c r="A26" s="273">
        <v>44096</v>
      </c>
      <c r="B26" s="272" t="s">
        <v>517</v>
      </c>
      <c r="C26" s="176">
        <v>134706.20000000001</v>
      </c>
      <c r="D26" s="273"/>
      <c r="E26" s="176"/>
      <c r="F26" s="442">
        <f t="shared" si="0"/>
        <v>482745.25</v>
      </c>
    </row>
    <row r="27" spans="1:7" x14ac:dyDescent="0.25">
      <c r="A27" s="273">
        <v>44098</v>
      </c>
      <c r="B27" s="272" t="s">
        <v>569</v>
      </c>
      <c r="C27" s="176">
        <v>38365.75</v>
      </c>
      <c r="D27" s="273"/>
      <c r="E27" s="176"/>
      <c r="F27" s="442">
        <f t="shared" si="0"/>
        <v>521111</v>
      </c>
    </row>
    <row r="28" spans="1:7" x14ac:dyDescent="0.25">
      <c r="A28" s="273">
        <v>44098</v>
      </c>
      <c r="B28" s="272" t="s">
        <v>570</v>
      </c>
      <c r="C28" s="176">
        <v>190359.36</v>
      </c>
      <c r="D28" s="273">
        <v>44098</v>
      </c>
      <c r="E28" s="176">
        <v>358096</v>
      </c>
      <c r="F28" s="442">
        <f t="shared" si="0"/>
        <v>353374.36</v>
      </c>
    </row>
    <row r="29" spans="1:7" x14ac:dyDescent="0.25">
      <c r="A29" s="273">
        <v>44099</v>
      </c>
      <c r="B29" s="272" t="s">
        <v>571</v>
      </c>
      <c r="C29" s="176">
        <v>7329</v>
      </c>
      <c r="D29" s="273"/>
      <c r="E29" s="176"/>
      <c r="F29" s="442">
        <f t="shared" si="0"/>
        <v>360703.36</v>
      </c>
    </row>
    <row r="30" spans="1:7" ht="18.75" x14ac:dyDescent="0.3">
      <c r="A30" s="273">
        <v>44099</v>
      </c>
      <c r="B30" s="272" t="s">
        <v>572</v>
      </c>
      <c r="C30" s="176">
        <v>24229.8</v>
      </c>
      <c r="D30" s="273"/>
      <c r="E30" s="176"/>
      <c r="F30" s="483">
        <f t="shared" si="0"/>
        <v>384933.16</v>
      </c>
      <c r="G30" s="451"/>
    </row>
    <row r="31" spans="1:7" x14ac:dyDescent="0.25">
      <c r="A31" s="273">
        <v>44100</v>
      </c>
      <c r="B31" s="272" t="s">
        <v>573</v>
      </c>
      <c r="C31" s="176">
        <v>4552.5</v>
      </c>
      <c r="D31" s="273"/>
      <c r="E31" s="176"/>
      <c r="F31" s="442">
        <f t="shared" si="0"/>
        <v>389485.66</v>
      </c>
    </row>
    <row r="32" spans="1:7" x14ac:dyDescent="0.25">
      <c r="A32" s="271">
        <v>44100</v>
      </c>
      <c r="B32" s="272" t="s">
        <v>574</v>
      </c>
      <c r="C32" s="176">
        <v>152483.64000000001</v>
      </c>
      <c r="D32" s="410"/>
      <c r="E32" s="36"/>
      <c r="F32" s="442">
        <f t="shared" si="0"/>
        <v>541969.30000000005</v>
      </c>
    </row>
    <row r="33" spans="1:6" x14ac:dyDescent="0.25">
      <c r="A33" s="271">
        <v>44103</v>
      </c>
      <c r="B33" s="272" t="s">
        <v>575</v>
      </c>
      <c r="C33" s="176">
        <v>118285.72</v>
      </c>
      <c r="D33" s="410"/>
      <c r="E33" s="36"/>
      <c r="F33" s="442">
        <f t="shared" si="0"/>
        <v>660255.02</v>
      </c>
    </row>
    <row r="34" spans="1:6" x14ac:dyDescent="0.25">
      <c r="A34" s="271">
        <v>44103</v>
      </c>
      <c r="B34" s="272" t="s">
        <v>576</v>
      </c>
      <c r="C34" s="176">
        <v>94006.080000000002</v>
      </c>
      <c r="D34" s="410">
        <v>44105</v>
      </c>
      <c r="E34" s="36">
        <v>664075.19999999995</v>
      </c>
      <c r="F34" s="442">
        <f t="shared" si="0"/>
        <v>90185.900000000023</v>
      </c>
    </row>
    <row r="35" spans="1:6" x14ac:dyDescent="0.25">
      <c r="A35" s="271"/>
      <c r="B35" s="272"/>
      <c r="C35" s="176"/>
      <c r="D35" s="410">
        <v>44107</v>
      </c>
      <c r="E35" s="36">
        <v>90185.9</v>
      </c>
      <c r="F35" s="442">
        <f t="shared" si="0"/>
        <v>0</v>
      </c>
    </row>
    <row r="36" spans="1:6" x14ac:dyDescent="0.25">
      <c r="A36" s="271"/>
      <c r="B36" s="272"/>
      <c r="C36" s="176"/>
      <c r="D36" s="410"/>
      <c r="E36" s="36"/>
      <c r="F36" s="442">
        <f t="shared" si="0"/>
        <v>0</v>
      </c>
    </row>
    <row r="37" spans="1:6" x14ac:dyDescent="0.25">
      <c r="A37" s="273"/>
      <c r="B37" s="272"/>
      <c r="C37" s="176"/>
      <c r="D37" s="410"/>
      <c r="E37" s="36"/>
      <c r="F37" s="442">
        <f t="shared" si="0"/>
        <v>0</v>
      </c>
    </row>
    <row r="38" spans="1:6" x14ac:dyDescent="0.25">
      <c r="A38" s="273"/>
      <c r="B38" s="272"/>
      <c r="C38" s="176"/>
      <c r="D38" s="410"/>
      <c r="E38" s="36"/>
      <c r="F38" s="442">
        <f t="shared" si="0"/>
        <v>0</v>
      </c>
    </row>
    <row r="39" spans="1:6" x14ac:dyDescent="0.25">
      <c r="A39" s="273"/>
      <c r="B39" s="272"/>
      <c r="C39" s="176"/>
      <c r="D39" s="410"/>
      <c r="E39" s="36"/>
      <c r="F39" s="442">
        <f t="shared" si="0"/>
        <v>0</v>
      </c>
    </row>
    <row r="40" spans="1:6" x14ac:dyDescent="0.25">
      <c r="A40" s="271"/>
      <c r="B40" s="272"/>
      <c r="C40" s="176"/>
      <c r="D40" s="410"/>
      <c r="E40" s="36"/>
      <c r="F40" s="442">
        <f t="shared" si="0"/>
        <v>0</v>
      </c>
    </row>
    <row r="41" spans="1:6" x14ac:dyDescent="0.25">
      <c r="A41" s="271"/>
      <c r="B41" s="272"/>
      <c r="C41" s="176"/>
      <c r="D41" s="410"/>
      <c r="E41" s="36"/>
      <c r="F41" s="442">
        <f t="shared" si="0"/>
        <v>0</v>
      </c>
    </row>
    <row r="42" spans="1:6" x14ac:dyDescent="0.25">
      <c r="A42" s="271"/>
      <c r="B42" s="272"/>
      <c r="C42" s="176"/>
      <c r="D42" s="410"/>
      <c r="E42" s="36"/>
      <c r="F42" s="442">
        <f t="shared" si="0"/>
        <v>0</v>
      </c>
    </row>
    <row r="43" spans="1:6" ht="15.75" thickBot="1" x14ac:dyDescent="0.3">
      <c r="A43" s="178"/>
      <c r="B43" s="411"/>
      <c r="C43" s="104">
        <v>0</v>
      </c>
      <c r="D43" s="180"/>
      <c r="E43" s="104"/>
      <c r="F43" s="173">
        <f t="shared" si="0"/>
        <v>0</v>
      </c>
    </row>
    <row r="44" spans="1:6" ht="19.5" thickTop="1" x14ac:dyDescent="0.3">
      <c r="B44" s="59"/>
      <c r="C44" s="4">
        <f>SUM(C3:C43)</f>
        <v>2443326.35</v>
      </c>
      <c r="D44" s="1"/>
      <c r="E44" s="4">
        <f>SUM(E3:E43)</f>
        <v>2439512.1800000002</v>
      </c>
      <c r="F44" s="181">
        <f>F43</f>
        <v>0</v>
      </c>
    </row>
    <row r="45" spans="1:6" x14ac:dyDescent="0.25">
      <c r="B45" s="59"/>
      <c r="C45" s="4"/>
      <c r="D45" s="1"/>
      <c r="E45" s="8"/>
      <c r="F45" s="4"/>
    </row>
    <row r="46" spans="1:6" x14ac:dyDescent="0.25">
      <c r="B46" s="59"/>
      <c r="C46" s="4"/>
      <c r="D46" s="1"/>
      <c r="E46" s="8"/>
      <c r="F46" s="4"/>
    </row>
    <row r="47" spans="1:6" x14ac:dyDescent="0.25">
      <c r="A47"/>
      <c r="B47" s="30"/>
      <c r="D47" s="30"/>
    </row>
    <row r="48" spans="1:6" x14ac:dyDescent="0.25">
      <c r="A48"/>
      <c r="B48" s="30"/>
      <c r="D48" s="30"/>
    </row>
    <row r="49" spans="1:6" x14ac:dyDescent="0.25">
      <c r="A49"/>
      <c r="B49" s="30"/>
      <c r="D49" s="30"/>
    </row>
    <row r="50" spans="1:6" x14ac:dyDescent="0.25">
      <c r="A50"/>
      <c r="B50" s="30"/>
      <c r="D50" s="30"/>
      <c r="F50"/>
    </row>
    <row r="51" spans="1:6" x14ac:dyDescent="0.25">
      <c r="A51"/>
      <c r="B51" s="30"/>
      <c r="D51" s="30"/>
      <c r="F51"/>
    </row>
    <row r="52" spans="1:6" x14ac:dyDescent="0.25">
      <c r="A52"/>
      <c r="B52" s="30"/>
      <c r="D52" s="30"/>
      <c r="F52"/>
    </row>
    <row r="53" spans="1:6" x14ac:dyDescent="0.25">
      <c r="A53"/>
      <c r="B53" s="30"/>
      <c r="D53" s="30"/>
      <c r="F53"/>
    </row>
    <row r="54" spans="1:6" x14ac:dyDescent="0.25">
      <c r="A54"/>
      <c r="B54" s="30"/>
      <c r="D54" s="30"/>
      <c r="F54"/>
    </row>
    <row r="55" spans="1:6" x14ac:dyDescent="0.25">
      <c r="A55"/>
      <c r="B55" s="30"/>
      <c r="D55" s="30"/>
      <c r="F55"/>
    </row>
    <row r="56" spans="1:6" x14ac:dyDescent="0.25">
      <c r="A56"/>
      <c r="B56" s="30"/>
      <c r="D56" s="30"/>
      <c r="F56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E59"/>
      <c r="F59"/>
    </row>
    <row r="60" spans="1:6" x14ac:dyDescent="0.25">
      <c r="A60"/>
      <c r="B60" s="30"/>
      <c r="D60" s="30"/>
      <c r="E60"/>
      <c r="F60"/>
    </row>
    <row r="61" spans="1:6" x14ac:dyDescent="0.25">
      <c r="A61"/>
      <c r="B61" s="30"/>
      <c r="D61" s="30"/>
      <c r="E61"/>
      <c r="F61"/>
    </row>
    <row r="62" spans="1:6" x14ac:dyDescent="0.25">
      <c r="A62"/>
      <c r="B62" s="30"/>
      <c r="D62" s="30"/>
      <c r="E62"/>
      <c r="F62"/>
    </row>
    <row r="63" spans="1:6" x14ac:dyDescent="0.25">
      <c r="A63"/>
      <c r="B63" s="30"/>
      <c r="D63" s="30"/>
      <c r="E63"/>
      <c r="F63"/>
    </row>
    <row r="64" spans="1:6" x14ac:dyDescent="0.25">
      <c r="A64"/>
      <c r="B64" s="30"/>
      <c r="D64" s="30"/>
      <c r="E64"/>
      <c r="F64"/>
    </row>
    <row r="65" spans="2:5" x14ac:dyDescent="0.25">
      <c r="B65" s="30"/>
      <c r="D65" s="30"/>
      <c r="E65"/>
    </row>
    <row r="66" spans="2:5" x14ac:dyDescent="0.25">
      <c r="B66" s="30"/>
      <c r="D66" s="30"/>
      <c r="E66"/>
    </row>
    <row r="67" spans="2:5" x14ac:dyDescent="0.25">
      <c r="B67" s="30"/>
      <c r="D67" s="30"/>
      <c r="E67"/>
    </row>
    <row r="68" spans="2:5" x14ac:dyDescent="0.25">
      <c r="B68" s="30"/>
      <c r="D68" s="30"/>
      <c r="E68"/>
    </row>
    <row r="69" spans="2:5" x14ac:dyDescent="0.25">
      <c r="B69" s="30"/>
      <c r="D69" s="30"/>
      <c r="E69"/>
    </row>
    <row r="70" spans="2:5" x14ac:dyDescent="0.25">
      <c r="B70" s="30"/>
      <c r="D70" s="30"/>
      <c r="E70"/>
    </row>
    <row r="71" spans="2:5" x14ac:dyDescent="0.25">
      <c r="B71" s="30"/>
      <c r="D71" s="30"/>
      <c r="E71"/>
    </row>
    <row r="72" spans="2:5" x14ac:dyDescent="0.25">
      <c r="B72" s="30"/>
      <c r="D72" s="30"/>
      <c r="E72"/>
    </row>
    <row r="73" spans="2:5" x14ac:dyDescent="0.25">
      <c r="B73" s="30"/>
      <c r="D73" s="30"/>
      <c r="E73"/>
    </row>
    <row r="74" spans="2:5" x14ac:dyDescent="0.25">
      <c r="B74" s="30"/>
    </row>
    <row r="75" spans="2:5" x14ac:dyDescent="0.25">
      <c r="B75" s="30"/>
    </row>
    <row r="76" spans="2:5" x14ac:dyDescent="0.25">
      <c r="B76" s="30"/>
      <c r="D76" s="30"/>
    </row>
    <row r="77" spans="2:5" x14ac:dyDescent="0.25">
      <c r="B77" s="30"/>
    </row>
    <row r="78" spans="2:5" x14ac:dyDescent="0.25">
      <c r="B78" s="30"/>
    </row>
    <row r="79" spans="2:5" x14ac:dyDescent="0.25">
      <c r="B79" s="30"/>
    </row>
    <row r="80" spans="2:5" ht="18.75" x14ac:dyDescent="0.3">
      <c r="C80" s="146"/>
    </row>
  </sheetData>
  <phoneticPr fontId="3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3BAF-98F2-41FF-BBC3-19ACFA02479E}">
  <sheetPr>
    <tabColor rgb="FFFFCC99"/>
  </sheetPr>
  <dimension ref="A1:AL79"/>
  <sheetViews>
    <sheetView topLeftCell="B35" workbookViewId="0">
      <selection activeCell="F54" sqref="F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6.5703125" style="582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7.4257812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660" t="s">
        <v>594</v>
      </c>
      <c r="D1" s="660"/>
      <c r="E1" s="660"/>
      <c r="F1" s="660"/>
      <c r="G1" s="660"/>
      <c r="H1" s="660"/>
      <c r="I1" s="660"/>
      <c r="J1" s="660"/>
      <c r="K1" s="660"/>
      <c r="L1" s="2"/>
      <c r="M1" s="3"/>
      <c r="AK1" s="643" t="s">
        <v>45</v>
      </c>
      <c r="AL1" s="644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83"/>
      <c r="W2" s="651" t="s">
        <v>4</v>
      </c>
      <c r="X2" s="652"/>
      <c r="AB2" s="651" t="s">
        <v>4</v>
      </c>
      <c r="AC2" s="652"/>
      <c r="AF2" s="648" t="s">
        <v>43</v>
      </c>
      <c r="AG2" s="649"/>
      <c r="AH2" s="650"/>
      <c r="AJ2" s="193" t="s">
        <v>44</v>
      </c>
      <c r="AK2" s="645"/>
      <c r="AL2" s="646"/>
    </row>
    <row r="3" spans="1:38" ht="18" customHeight="1" thickBot="1" x14ac:dyDescent="0.35">
      <c r="B3" s="661" t="s">
        <v>1</v>
      </c>
      <c r="C3" s="662"/>
      <c r="D3" s="15"/>
      <c r="E3" s="374"/>
      <c r="F3" s="374"/>
      <c r="H3" s="669" t="s">
        <v>190</v>
      </c>
      <c r="I3" s="669"/>
      <c r="K3" s="234" t="s">
        <v>2</v>
      </c>
      <c r="L3" s="236" t="s">
        <v>191</v>
      </c>
      <c r="M3" s="236"/>
      <c r="W3" s="653"/>
      <c r="X3" s="654"/>
      <c r="Y3" s="195" t="s">
        <v>37</v>
      </c>
      <c r="AB3" s="653"/>
      <c r="AC3" s="654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313820.27</v>
      </c>
      <c r="D4" s="308">
        <v>44104</v>
      </c>
      <c r="E4" s="663" t="s">
        <v>6</v>
      </c>
      <c r="F4" s="664"/>
      <c r="H4" s="665" t="s">
        <v>7</v>
      </c>
      <c r="I4" s="666"/>
      <c r="J4" s="326"/>
      <c r="K4" s="24"/>
      <c r="L4" s="24"/>
      <c r="M4" s="25" t="s">
        <v>8</v>
      </c>
      <c r="N4" s="26" t="s">
        <v>9</v>
      </c>
      <c r="O4" s="584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44105</v>
      </c>
      <c r="C5" s="408">
        <v>8507.2000000000007</v>
      </c>
      <c r="D5" s="493" t="s">
        <v>625</v>
      </c>
      <c r="E5" s="352">
        <v>44105</v>
      </c>
      <c r="F5" s="407">
        <v>90850</v>
      </c>
      <c r="G5" s="494"/>
      <c r="H5" s="495">
        <v>44105</v>
      </c>
      <c r="I5" s="496">
        <v>904</v>
      </c>
      <c r="M5" s="497">
        <v>117366</v>
      </c>
      <c r="N5" s="498">
        <v>3611</v>
      </c>
      <c r="O5" s="585"/>
      <c r="P5" s="36">
        <f>C5+I5+M5+N5</f>
        <v>130388.2</v>
      </c>
      <c r="Q5" s="198">
        <f>P5-F5</f>
        <v>39538.199999999997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44106</v>
      </c>
      <c r="C6" s="320">
        <v>1380</v>
      </c>
      <c r="D6" s="310" t="s">
        <v>72</v>
      </c>
      <c r="E6" s="151">
        <v>44106</v>
      </c>
      <c r="F6" s="32">
        <v>127821</v>
      </c>
      <c r="G6" s="152"/>
      <c r="H6" s="153">
        <v>44106</v>
      </c>
      <c r="I6" s="39">
        <v>12565</v>
      </c>
      <c r="J6" s="60"/>
      <c r="K6" s="443"/>
      <c r="L6" s="47"/>
      <c r="M6" s="34">
        <v>108345</v>
      </c>
      <c r="N6" s="35">
        <v>5531</v>
      </c>
      <c r="O6" s="586"/>
      <c r="P6" s="36">
        <f>C6+I6+M6+N6+L6</f>
        <v>127821</v>
      </c>
      <c r="Q6" s="5">
        <f>P6-F6</f>
        <v>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44107</v>
      </c>
      <c r="C7" s="320">
        <v>8581</v>
      </c>
      <c r="D7" s="311" t="s">
        <v>597</v>
      </c>
      <c r="E7" s="151">
        <v>44107</v>
      </c>
      <c r="F7" s="32">
        <v>150064</v>
      </c>
      <c r="G7" s="152"/>
      <c r="H7" s="153">
        <v>44107</v>
      </c>
      <c r="I7" s="39">
        <v>2019</v>
      </c>
      <c r="J7" s="60">
        <v>44107</v>
      </c>
      <c r="K7" s="20" t="s">
        <v>589</v>
      </c>
      <c r="L7" s="55">
        <f>16738.16+400+4000</f>
        <v>21138.16</v>
      </c>
      <c r="M7" s="34">
        <v>114841</v>
      </c>
      <c r="N7" s="35">
        <v>12330</v>
      </c>
      <c r="O7" s="587"/>
      <c r="P7" s="36">
        <f>C7+I7+M7+N7+L7</f>
        <v>158909.16</v>
      </c>
      <c r="Q7" s="201">
        <f>P7-F7</f>
        <v>8845.1600000000035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44108</v>
      </c>
      <c r="C8" s="320">
        <v>9289</v>
      </c>
      <c r="D8" s="312" t="s">
        <v>598</v>
      </c>
      <c r="E8" s="151">
        <v>44108</v>
      </c>
      <c r="F8" s="32">
        <v>83701</v>
      </c>
      <c r="G8" s="152"/>
      <c r="H8" s="153">
        <v>44108</v>
      </c>
      <c r="I8" s="39">
        <v>499</v>
      </c>
      <c r="J8" s="414"/>
      <c r="K8" s="342"/>
      <c r="L8" s="343"/>
      <c r="M8" s="34">
        <v>71030</v>
      </c>
      <c r="N8" s="35">
        <v>2883</v>
      </c>
      <c r="O8" s="586"/>
      <c r="P8" s="36">
        <f>C8+I8+M8+N8</f>
        <v>83701</v>
      </c>
      <c r="Q8" s="5">
        <f>P8-F8</f>
        <v>0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44109</v>
      </c>
      <c r="C9" s="320">
        <v>1231</v>
      </c>
      <c r="D9" s="313" t="s">
        <v>72</v>
      </c>
      <c r="E9" s="151">
        <v>44109</v>
      </c>
      <c r="F9" s="32">
        <v>75146</v>
      </c>
      <c r="G9" s="152"/>
      <c r="H9" s="153">
        <v>44109</v>
      </c>
      <c r="I9" s="39">
        <v>360</v>
      </c>
      <c r="J9" s="415"/>
      <c r="K9" s="200"/>
      <c r="L9" s="343"/>
      <c r="M9" s="34">
        <v>71930</v>
      </c>
      <c r="N9" s="35">
        <v>1625</v>
      </c>
      <c r="O9" s="586"/>
      <c r="P9" s="36">
        <f>C9+I9+M9+N9</f>
        <v>75146</v>
      </c>
      <c r="Q9" s="5" t="s">
        <v>503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44110</v>
      </c>
      <c r="C10" s="320">
        <v>0</v>
      </c>
      <c r="D10" s="311"/>
      <c r="E10" s="151">
        <v>44110</v>
      </c>
      <c r="F10" s="32">
        <v>87928</v>
      </c>
      <c r="G10" s="152"/>
      <c r="H10" s="153">
        <v>44110</v>
      </c>
      <c r="I10" s="39">
        <v>550</v>
      </c>
      <c r="J10" s="415"/>
      <c r="K10" s="366"/>
      <c r="L10" s="68"/>
      <c r="M10" s="34">
        <f>72327+9955</f>
        <v>82282</v>
      </c>
      <c r="N10" s="35">
        <v>5186</v>
      </c>
      <c r="O10" s="588" t="s">
        <v>220</v>
      </c>
      <c r="P10" s="36">
        <f>C10+I10+M10+N10+L11</f>
        <v>88018</v>
      </c>
      <c r="Q10" s="198">
        <f t="shared" ref="Q10:Q11" si="0">P10-F10</f>
        <v>90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44111</v>
      </c>
      <c r="C11" s="320">
        <v>1467</v>
      </c>
      <c r="D11" s="310" t="s">
        <v>48</v>
      </c>
      <c r="E11" s="151">
        <v>44111</v>
      </c>
      <c r="F11" s="32">
        <v>72277</v>
      </c>
      <c r="G11" s="152"/>
      <c r="H11" s="153">
        <v>44111</v>
      </c>
      <c r="I11" s="39">
        <v>2402</v>
      </c>
      <c r="J11" s="331"/>
      <c r="K11" s="57"/>
      <c r="L11" s="55"/>
      <c r="M11" s="34">
        <f>64690+1144</f>
        <v>65834</v>
      </c>
      <c r="N11" s="35">
        <v>2998</v>
      </c>
      <c r="O11" s="586"/>
      <c r="P11" s="36">
        <f>C11+I11+M11+N11+L13</f>
        <v>72701</v>
      </c>
      <c r="Q11" s="499">
        <f t="shared" si="0"/>
        <v>424</v>
      </c>
      <c r="R11" s="499">
        <v>615</v>
      </c>
      <c r="S11" s="58">
        <v>8845.16</v>
      </c>
      <c r="T11" s="61" t="s">
        <v>589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44112</v>
      </c>
      <c r="C12" s="320">
        <v>13919.4</v>
      </c>
      <c r="D12" s="310" t="s">
        <v>599</v>
      </c>
      <c r="E12" s="151">
        <v>44112</v>
      </c>
      <c r="F12" s="32">
        <v>94490</v>
      </c>
      <c r="G12" s="152"/>
      <c r="H12" s="153">
        <v>44112</v>
      </c>
      <c r="I12" s="39">
        <v>360</v>
      </c>
      <c r="J12" s="60"/>
      <c r="K12" s="20"/>
      <c r="L12" s="55"/>
      <c r="M12" s="34">
        <v>79016</v>
      </c>
      <c r="N12" s="35">
        <v>1194</v>
      </c>
      <c r="O12" s="588"/>
      <c r="P12" s="36">
        <f>C12+I12+M12+N12</f>
        <v>94489.4</v>
      </c>
      <c r="Q12" s="5">
        <f>P12-F12</f>
        <v>-0.60000000000582077</v>
      </c>
      <c r="S12" s="58">
        <v>8693.86</v>
      </c>
      <c r="T12" s="61" t="s">
        <v>590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44113</v>
      </c>
      <c r="C13" s="320">
        <v>1538</v>
      </c>
      <c r="D13" s="312" t="s">
        <v>72</v>
      </c>
      <c r="E13" s="151">
        <v>44113</v>
      </c>
      <c r="F13" s="32">
        <v>105512</v>
      </c>
      <c r="G13" s="152"/>
      <c r="H13" s="153">
        <v>44113</v>
      </c>
      <c r="I13" s="39">
        <v>10808</v>
      </c>
      <c r="J13" s="60"/>
      <c r="K13" s="20"/>
      <c r="L13" s="55"/>
      <c r="M13" s="34">
        <v>96648</v>
      </c>
      <c r="N13" s="35">
        <v>2540</v>
      </c>
      <c r="O13" s="586"/>
      <c r="P13" s="36">
        <f>C13+I13+M13+N13+L19</f>
        <v>111534</v>
      </c>
      <c r="Q13" s="198">
        <f>P13-F13</f>
        <v>6022</v>
      </c>
      <c r="S13" s="58">
        <v>8763.58</v>
      </c>
      <c r="T13" s="61" t="s">
        <v>591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44114</v>
      </c>
      <c r="C14" s="320">
        <v>4938</v>
      </c>
      <c r="D14" s="311" t="s">
        <v>600</v>
      </c>
      <c r="E14" s="151">
        <v>44114</v>
      </c>
      <c r="F14" s="32">
        <v>139810</v>
      </c>
      <c r="G14" s="152"/>
      <c r="H14" s="153">
        <v>44114</v>
      </c>
      <c r="I14" s="39">
        <v>450</v>
      </c>
      <c r="J14" s="60">
        <v>44114</v>
      </c>
      <c r="K14" s="20" t="s">
        <v>590</v>
      </c>
      <c r="L14" s="55">
        <f>15786.1+400+4000</f>
        <v>20186.099999999999</v>
      </c>
      <c r="M14" s="34">
        <f>114229+130.76+218</f>
        <v>114577.76</v>
      </c>
      <c r="N14" s="35">
        <v>12053</v>
      </c>
      <c r="O14" s="588"/>
      <c r="P14" s="36">
        <f>C14+I14+M14+N14+L14</f>
        <v>152204.86000000002</v>
      </c>
      <c r="Q14" s="201">
        <f>P14-F14</f>
        <v>12394.860000000015</v>
      </c>
      <c r="R14" s="198"/>
      <c r="S14" s="58">
        <v>8845.2999999999993</v>
      </c>
      <c r="T14" s="61" t="s">
        <v>592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44115</v>
      </c>
      <c r="C15" s="320">
        <v>15530</v>
      </c>
      <c r="D15" s="310" t="s">
        <v>601</v>
      </c>
      <c r="E15" s="151">
        <v>44115</v>
      </c>
      <c r="F15" s="32">
        <v>95362</v>
      </c>
      <c r="G15" s="152"/>
      <c r="H15" s="153">
        <v>44115</v>
      </c>
      <c r="I15" s="39">
        <v>405</v>
      </c>
      <c r="J15" s="60"/>
      <c r="K15" s="20"/>
      <c r="L15" s="55"/>
      <c r="M15" s="34">
        <v>77165</v>
      </c>
      <c r="N15" s="35">
        <v>2262</v>
      </c>
      <c r="O15" s="589"/>
      <c r="P15" s="36">
        <f>C15+I15+M15+N15</f>
        <v>95362</v>
      </c>
      <c r="Q15" s="5">
        <f t="shared" ref="Q15:Q21" si="1">P15-F15</f>
        <v>0</v>
      </c>
      <c r="S15" s="58">
        <v>3686.12</v>
      </c>
      <c r="T15" s="61" t="s">
        <v>593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44116</v>
      </c>
      <c r="C16" s="320">
        <v>8263</v>
      </c>
      <c r="D16" s="310" t="s">
        <v>602</v>
      </c>
      <c r="E16" s="151">
        <v>44116</v>
      </c>
      <c r="F16" s="32">
        <v>107536</v>
      </c>
      <c r="G16" s="152"/>
      <c r="H16" s="153">
        <v>44116</v>
      </c>
      <c r="I16" s="39">
        <v>400</v>
      </c>
      <c r="J16" s="60"/>
      <c r="K16" s="20"/>
      <c r="L16" s="5"/>
      <c r="M16" s="34">
        <f>75123+21615+54</f>
        <v>96792</v>
      </c>
      <c r="N16" s="35">
        <v>2080</v>
      </c>
      <c r="O16" s="589"/>
      <c r="P16" s="36">
        <f>C16+I16+M16+N16+L16</f>
        <v>107535</v>
      </c>
      <c r="Q16" s="5">
        <f t="shared" si="1"/>
        <v>-1</v>
      </c>
      <c r="S16" s="58">
        <v>0</v>
      </c>
      <c r="T16" s="61"/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44117</v>
      </c>
      <c r="C17" s="320">
        <v>1622</v>
      </c>
      <c r="D17" s="312" t="s">
        <v>48</v>
      </c>
      <c r="E17" s="151">
        <v>44117</v>
      </c>
      <c r="F17" s="32">
        <v>81477</v>
      </c>
      <c r="G17" s="152"/>
      <c r="H17" s="153">
        <v>44117</v>
      </c>
      <c r="I17" s="39">
        <v>420</v>
      </c>
      <c r="J17" s="67"/>
      <c r="K17" s="20"/>
      <c r="L17" s="68"/>
      <c r="M17" s="34">
        <f>75215+3000</f>
        <v>78215</v>
      </c>
      <c r="N17" s="35">
        <v>1220</v>
      </c>
      <c r="O17" s="586"/>
      <c r="P17" s="36">
        <f>C17+I17+M17+N17+L15</f>
        <v>81477</v>
      </c>
      <c r="Q17" s="5">
        <f t="shared" si="1"/>
        <v>0</v>
      </c>
      <c r="S17" s="58">
        <v>0</v>
      </c>
      <c r="T17" s="61"/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44118</v>
      </c>
      <c r="C18" s="320">
        <v>11056</v>
      </c>
      <c r="D18" s="310" t="s">
        <v>603</v>
      </c>
      <c r="E18" s="151">
        <v>44118</v>
      </c>
      <c r="F18" s="32">
        <v>94108</v>
      </c>
      <c r="G18" s="152"/>
      <c r="H18" s="153">
        <v>44118</v>
      </c>
      <c r="I18" s="39">
        <v>2360</v>
      </c>
      <c r="J18" s="67"/>
      <c r="K18" s="71"/>
      <c r="L18" s="55"/>
      <c r="M18" s="34">
        <f>73343+5372</f>
        <v>78715</v>
      </c>
      <c r="N18" s="35">
        <v>1977</v>
      </c>
      <c r="O18" s="586"/>
      <c r="P18" s="36">
        <f t="shared" ref="P18" si="2">C18+I18+M18+N18</f>
        <v>94108</v>
      </c>
      <c r="Q18" s="5">
        <f t="shared" si="1"/>
        <v>0</v>
      </c>
      <c r="S18" s="5">
        <f>SUM(S11:S17)</f>
        <v>38834.019999999997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44119</v>
      </c>
      <c r="C19" s="320">
        <v>4678</v>
      </c>
      <c r="D19" s="310" t="s">
        <v>604</v>
      </c>
      <c r="E19" s="151">
        <v>44119</v>
      </c>
      <c r="F19" s="32">
        <v>75123</v>
      </c>
      <c r="G19" s="152"/>
      <c r="H19" s="153">
        <v>44119</v>
      </c>
      <c r="I19" s="39">
        <v>315</v>
      </c>
      <c r="J19" s="67"/>
      <c r="K19" s="464"/>
      <c r="L19" s="73"/>
      <c r="M19" s="34">
        <v>61451</v>
      </c>
      <c r="N19" s="35">
        <v>8679</v>
      </c>
      <c r="O19" s="589"/>
      <c r="P19" s="36">
        <f>C19+I19+M19+N19+L19</f>
        <v>75123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44120</v>
      </c>
      <c r="C20" s="320">
        <v>4747</v>
      </c>
      <c r="D20" s="310" t="s">
        <v>614</v>
      </c>
      <c r="E20" s="151">
        <v>44120</v>
      </c>
      <c r="F20" s="32">
        <v>131352</v>
      </c>
      <c r="G20" s="152"/>
      <c r="H20" s="153">
        <v>44120</v>
      </c>
      <c r="I20" s="39">
        <v>12511</v>
      </c>
      <c r="J20" s="60"/>
      <c r="K20" s="220"/>
      <c r="L20" s="68"/>
      <c r="M20" s="34">
        <f>107606+1008</f>
        <v>108614</v>
      </c>
      <c r="N20" s="35">
        <v>5480</v>
      </c>
      <c r="O20" s="589"/>
      <c r="P20" s="36">
        <f>C20+I20+M20+N20+L8</f>
        <v>131352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44121</v>
      </c>
      <c r="C21" s="320">
        <v>2999</v>
      </c>
      <c r="D21" s="310" t="s">
        <v>615</v>
      </c>
      <c r="E21" s="151">
        <v>44121</v>
      </c>
      <c r="F21" s="32">
        <v>105154</v>
      </c>
      <c r="G21" s="152"/>
      <c r="H21" s="153">
        <v>44121</v>
      </c>
      <c r="I21" s="39">
        <v>510</v>
      </c>
      <c r="J21" s="67"/>
      <c r="K21" s="71" t="s">
        <v>591</v>
      </c>
      <c r="L21" s="68">
        <f>15557.58+400+4000</f>
        <v>19957.580000000002</v>
      </c>
      <c r="M21" s="34">
        <f>74524+1722+10254</f>
        <v>86500</v>
      </c>
      <c r="N21" s="35">
        <v>3951</v>
      </c>
      <c r="O21" s="589"/>
      <c r="P21" s="36">
        <f>C21+I21+M21+N21+L21</f>
        <v>113917.58</v>
      </c>
      <c r="Q21" s="201">
        <f t="shared" si="1"/>
        <v>8763.5800000000017</v>
      </c>
      <c r="T21" s="8"/>
      <c r="U21" s="8"/>
      <c r="V21" s="432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44122</v>
      </c>
      <c r="C22" s="320">
        <v>13517</v>
      </c>
      <c r="D22" s="310" t="s">
        <v>616</v>
      </c>
      <c r="E22" s="151">
        <v>44122</v>
      </c>
      <c r="F22" s="32">
        <v>114982</v>
      </c>
      <c r="G22" s="152"/>
      <c r="H22" s="153">
        <v>44122</v>
      </c>
      <c r="I22" s="39">
        <v>450</v>
      </c>
      <c r="J22" s="76"/>
      <c r="K22" s="59"/>
      <c r="L22" s="77"/>
      <c r="M22" s="34">
        <v>95913</v>
      </c>
      <c r="N22" s="35">
        <v>5102</v>
      </c>
      <c r="O22" s="589"/>
      <c r="P22" s="36">
        <f>C22+I22+M22+N22+L15</f>
        <v>114982</v>
      </c>
      <c r="Q22" s="5">
        <f>P22-F22</f>
        <v>0</v>
      </c>
      <c r="T22" s="8"/>
      <c r="U22" s="8"/>
      <c r="V22" s="432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44123</v>
      </c>
      <c r="C23" s="320">
        <v>1943</v>
      </c>
      <c r="D23" s="310" t="s">
        <v>48</v>
      </c>
      <c r="E23" s="151">
        <v>44123</v>
      </c>
      <c r="F23" s="32">
        <v>82862</v>
      </c>
      <c r="G23" s="152"/>
      <c r="H23" s="153">
        <v>44123</v>
      </c>
      <c r="I23" s="39">
        <v>360</v>
      </c>
      <c r="J23" s="284"/>
      <c r="K23" s="289"/>
      <c r="L23" s="285"/>
      <c r="M23" s="34">
        <v>77383</v>
      </c>
      <c r="N23" s="35">
        <v>3176</v>
      </c>
      <c r="O23" s="588"/>
      <c r="P23" s="36">
        <f>C23+I23+M23+N23</f>
        <v>82862</v>
      </c>
      <c r="Q23" s="5">
        <f>P23-F23</f>
        <v>0</v>
      </c>
      <c r="T23" s="8"/>
      <c r="U23" s="8"/>
      <c r="V23" s="432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44124</v>
      </c>
      <c r="C24" s="320">
        <v>9398</v>
      </c>
      <c r="D24" s="310" t="s">
        <v>617</v>
      </c>
      <c r="E24" s="151">
        <v>44124</v>
      </c>
      <c r="F24" s="32">
        <v>83696</v>
      </c>
      <c r="G24" s="152"/>
      <c r="H24" s="153">
        <v>44124</v>
      </c>
      <c r="I24" s="39">
        <v>405</v>
      </c>
      <c r="J24" s="416"/>
      <c r="K24" s="290" t="s">
        <v>618</v>
      </c>
      <c r="L24" s="417">
        <v>8357</v>
      </c>
      <c r="M24" s="34">
        <v>61907</v>
      </c>
      <c r="N24" s="35">
        <v>3629</v>
      </c>
      <c r="O24" s="586"/>
      <c r="P24" s="36">
        <f>C24+I24+M24+N24+L24</f>
        <v>83696</v>
      </c>
      <c r="Q24" s="5">
        <f t="shared" ref="Q24:Q32" si="3">P24-F24</f>
        <v>0</v>
      </c>
      <c r="T24" s="8"/>
      <c r="U24" s="8"/>
      <c r="V24" s="432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44125</v>
      </c>
      <c r="C25" s="320">
        <v>5035</v>
      </c>
      <c r="D25" s="310" t="s">
        <v>619</v>
      </c>
      <c r="E25" s="151">
        <v>44125</v>
      </c>
      <c r="F25" s="32">
        <v>84900</v>
      </c>
      <c r="G25" s="152"/>
      <c r="H25" s="153">
        <v>44125</v>
      </c>
      <c r="I25" s="39">
        <v>440</v>
      </c>
      <c r="J25" s="418"/>
      <c r="K25" s="163"/>
      <c r="L25" s="102"/>
      <c r="M25" s="34">
        <f>63419+12000</f>
        <v>75419</v>
      </c>
      <c r="N25" s="35">
        <v>4006</v>
      </c>
      <c r="O25" s="586"/>
      <c r="P25" s="36">
        <f>C25+I25+M25+N25</f>
        <v>84900</v>
      </c>
      <c r="Q25" s="5">
        <f t="shared" si="3"/>
        <v>0</v>
      </c>
      <c r="V25" s="432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44126</v>
      </c>
      <c r="C26" s="320">
        <v>8623</v>
      </c>
      <c r="D26" s="310" t="s">
        <v>620</v>
      </c>
      <c r="E26" s="151">
        <v>44126</v>
      </c>
      <c r="F26" s="32">
        <v>82405</v>
      </c>
      <c r="G26" s="152"/>
      <c r="H26" s="153">
        <v>44126</v>
      </c>
      <c r="I26" s="39">
        <v>440</v>
      </c>
      <c r="J26" s="60"/>
      <c r="K26" s="290"/>
      <c r="L26" s="285"/>
      <c r="M26" s="34">
        <f>59352+11000</f>
        <v>70352</v>
      </c>
      <c r="N26" s="35">
        <v>2990</v>
      </c>
      <c r="O26" s="586"/>
      <c r="P26" s="36">
        <f>C26+I26+M26+N26</f>
        <v>82405</v>
      </c>
      <c r="Q26" s="5">
        <f t="shared" si="3"/>
        <v>0</v>
      </c>
      <c r="S26" s="86"/>
      <c r="T26" s="86"/>
      <c r="U26" s="86"/>
      <c r="V26" s="432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44127</v>
      </c>
      <c r="C27" s="320">
        <v>1898</v>
      </c>
      <c r="D27" s="310" t="s">
        <v>72</v>
      </c>
      <c r="E27" s="151">
        <v>44127</v>
      </c>
      <c r="F27" s="32">
        <v>136927</v>
      </c>
      <c r="G27" s="152"/>
      <c r="H27" s="153">
        <v>44127</v>
      </c>
      <c r="I27" s="39">
        <v>12609</v>
      </c>
      <c r="J27" s="217"/>
      <c r="K27" s="164"/>
      <c r="L27" s="102"/>
      <c r="M27" s="34">
        <f>106100+12841</f>
        <v>118941</v>
      </c>
      <c r="N27" s="35">
        <v>3480</v>
      </c>
      <c r="O27" s="586"/>
      <c r="P27" s="36">
        <f t="shared" ref="P27:P31" si="4">C27+I27+M27+N27</f>
        <v>136928</v>
      </c>
      <c r="Q27" s="5">
        <f t="shared" si="3"/>
        <v>1</v>
      </c>
      <c r="V27" s="432">
        <v>44071</v>
      </c>
      <c r="W27" s="38" t="s">
        <v>10</v>
      </c>
      <c r="X27" s="196">
        <v>5000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44128</v>
      </c>
      <c r="C28" s="320">
        <v>6183</v>
      </c>
      <c r="D28" s="311" t="s">
        <v>621</v>
      </c>
      <c r="E28" s="151">
        <v>44128</v>
      </c>
      <c r="F28" s="32">
        <v>105861</v>
      </c>
      <c r="G28" s="152"/>
      <c r="H28" s="153">
        <v>44128</v>
      </c>
      <c r="I28" s="39">
        <v>2018</v>
      </c>
      <c r="J28" s="217"/>
      <c r="K28" s="459" t="s">
        <v>592</v>
      </c>
      <c r="L28" s="102">
        <f>16495.3+4000</f>
        <v>20495.3</v>
      </c>
      <c r="M28" s="34">
        <v>77590</v>
      </c>
      <c r="N28" s="35">
        <v>8420</v>
      </c>
      <c r="O28" s="586"/>
      <c r="P28" s="36">
        <f>C28+I28+M28+N28+L28</f>
        <v>114706.3</v>
      </c>
      <c r="Q28" s="201">
        <f>P28-F28</f>
        <v>8845.3000000000029</v>
      </c>
      <c r="V28" s="432">
        <v>44071</v>
      </c>
      <c r="W28" s="44" t="s">
        <v>11</v>
      </c>
      <c r="X28" s="196">
        <v>5000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44129</v>
      </c>
      <c r="C29" s="320">
        <v>12395</v>
      </c>
      <c r="D29" s="317" t="s">
        <v>387</v>
      </c>
      <c r="E29" s="151">
        <v>44129</v>
      </c>
      <c r="F29" s="32">
        <v>88986</v>
      </c>
      <c r="G29" s="152"/>
      <c r="H29" s="153">
        <v>44129</v>
      </c>
      <c r="I29" s="39">
        <v>495</v>
      </c>
      <c r="J29" s="217"/>
      <c r="K29" s="449"/>
      <c r="L29" s="102"/>
      <c r="M29" s="34">
        <v>74966</v>
      </c>
      <c r="N29" s="35">
        <v>1130</v>
      </c>
      <c r="O29" s="586"/>
      <c r="P29" s="36">
        <f t="shared" si="4"/>
        <v>88986</v>
      </c>
      <c r="Q29" s="5">
        <f>P29-F29</f>
        <v>0</v>
      </c>
      <c r="R29" s="450"/>
      <c r="S29" s="6" t="s">
        <v>12</v>
      </c>
      <c r="V29" s="432">
        <v>44078</v>
      </c>
      <c r="W29" s="38" t="s">
        <v>10</v>
      </c>
      <c r="X29" s="196">
        <v>5000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44130</v>
      </c>
      <c r="C30" s="320">
        <v>2400</v>
      </c>
      <c r="D30" s="316" t="s">
        <v>622</v>
      </c>
      <c r="E30" s="151">
        <v>44130</v>
      </c>
      <c r="F30" s="32">
        <v>89748</v>
      </c>
      <c r="G30" s="152"/>
      <c r="H30" s="153">
        <v>44130</v>
      </c>
      <c r="I30" s="244">
        <v>468</v>
      </c>
      <c r="J30" s="217"/>
      <c r="K30" s="342"/>
      <c r="L30" s="343"/>
      <c r="M30" s="34">
        <v>84244</v>
      </c>
      <c r="N30" s="35">
        <v>4276</v>
      </c>
      <c r="O30" s="586"/>
      <c r="P30" s="36">
        <f t="shared" si="4"/>
        <v>91388</v>
      </c>
      <c r="Q30" s="198">
        <f t="shared" si="3"/>
        <v>1640</v>
      </c>
      <c r="V30" s="432">
        <v>44078</v>
      </c>
      <c r="W30" s="44" t="s">
        <v>11</v>
      </c>
      <c r="X30" s="196">
        <v>5000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44131</v>
      </c>
      <c r="C31" s="321">
        <v>1978</v>
      </c>
      <c r="D31" s="317" t="s">
        <v>210</v>
      </c>
      <c r="E31" s="151">
        <v>44131</v>
      </c>
      <c r="F31" s="32">
        <v>80319</v>
      </c>
      <c r="G31" s="152"/>
      <c r="H31" s="153">
        <v>44131</v>
      </c>
      <c r="I31" s="244">
        <v>440</v>
      </c>
      <c r="J31" s="217"/>
      <c r="K31" s="163"/>
      <c r="L31" s="102"/>
      <c r="M31" s="34">
        <v>75221</v>
      </c>
      <c r="N31" s="35">
        <v>2680</v>
      </c>
      <c r="O31" s="586"/>
      <c r="P31" s="36">
        <f t="shared" si="4"/>
        <v>80319</v>
      </c>
      <c r="Q31" s="5">
        <f t="shared" si="3"/>
        <v>0</v>
      </c>
      <c r="V31" s="432">
        <v>44085</v>
      </c>
      <c r="W31" s="38" t="s">
        <v>10</v>
      </c>
      <c r="X31" s="196">
        <v>5000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5.75" thickBot="1" x14ac:dyDescent="0.3">
      <c r="A32" s="30"/>
      <c r="B32" s="319">
        <v>44132</v>
      </c>
      <c r="C32" s="321">
        <v>1984</v>
      </c>
      <c r="D32" s="317" t="s">
        <v>623</v>
      </c>
      <c r="E32" s="151">
        <v>44132</v>
      </c>
      <c r="F32" s="237">
        <v>84267</v>
      </c>
      <c r="G32" s="152"/>
      <c r="H32" s="153">
        <v>44132</v>
      </c>
      <c r="I32" s="244">
        <v>385</v>
      </c>
      <c r="J32" s="217"/>
      <c r="K32" s="20"/>
      <c r="L32" s="343"/>
      <c r="M32" s="34">
        <f>66201+6000</f>
        <v>72201</v>
      </c>
      <c r="N32" s="35">
        <v>9697</v>
      </c>
      <c r="O32" s="586"/>
      <c r="P32" s="36">
        <f>C32+I32+M32+N32+L32</f>
        <v>84267</v>
      </c>
      <c r="Q32" s="5">
        <f t="shared" si="3"/>
        <v>0</v>
      </c>
      <c r="V32" s="432">
        <v>44085</v>
      </c>
      <c r="W32" s="44" t="s">
        <v>11</v>
      </c>
      <c r="X32" s="196">
        <v>5000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>
        <v>44133</v>
      </c>
      <c r="C33" s="140">
        <v>0</v>
      </c>
      <c r="D33" s="420"/>
      <c r="E33" s="151">
        <v>44133</v>
      </c>
      <c r="F33" s="176">
        <v>76147</v>
      </c>
      <c r="G33" s="152"/>
      <c r="H33" s="153">
        <v>44133</v>
      </c>
      <c r="I33" s="244">
        <v>385</v>
      </c>
      <c r="J33" s="217"/>
      <c r="K33" s="20"/>
      <c r="L33" s="446"/>
      <c r="M33" s="34">
        <v>72942</v>
      </c>
      <c r="N33" s="35">
        <v>2820</v>
      </c>
      <c r="O33" s="586"/>
      <c r="P33" s="36">
        <f t="shared" ref="P33:P35" si="5">C33+I33+M33+N33+L33</f>
        <v>76147</v>
      </c>
      <c r="Q33" s="5">
        <f t="shared" ref="Q33:Q37" si="6">P33-F33</f>
        <v>0</v>
      </c>
      <c r="R33" s="36"/>
      <c r="V33" s="432">
        <v>44092</v>
      </c>
      <c r="W33" s="44" t="s">
        <v>11</v>
      </c>
      <c r="X33" s="196">
        <v>5000</v>
      </c>
      <c r="Y33" s="41"/>
      <c r="AA33" s="29">
        <v>43966</v>
      </c>
      <c r="AB33" s="44" t="s">
        <v>11</v>
      </c>
      <c r="AC33" s="196">
        <v>5010</v>
      </c>
      <c r="AD33" s="41"/>
      <c r="AF33" s="19" t="s">
        <v>156</v>
      </c>
      <c r="AG33" s="167">
        <v>44083</v>
      </c>
      <c r="AH33" s="21">
        <v>2000</v>
      </c>
    </row>
    <row r="34" spans="1:34" ht="16.5" thickBot="1" x14ac:dyDescent="0.3">
      <c r="A34" s="30"/>
      <c r="B34" s="319">
        <v>44134</v>
      </c>
      <c r="C34" s="140">
        <v>10873</v>
      </c>
      <c r="D34" s="163" t="s">
        <v>624</v>
      </c>
      <c r="E34" s="151">
        <v>44134</v>
      </c>
      <c r="F34" s="176">
        <v>118128</v>
      </c>
      <c r="G34" s="152"/>
      <c r="H34" s="153">
        <v>44134</v>
      </c>
      <c r="I34" s="244">
        <v>13454</v>
      </c>
      <c r="J34" s="217"/>
      <c r="K34" s="505"/>
      <c r="L34" s="162"/>
      <c r="M34" s="34">
        <v>82564</v>
      </c>
      <c r="N34" s="35">
        <v>11237</v>
      </c>
      <c r="O34" s="586"/>
      <c r="P34" s="36">
        <f t="shared" si="5"/>
        <v>118128</v>
      </c>
      <c r="Q34" s="5">
        <f t="shared" si="6"/>
        <v>0</v>
      </c>
      <c r="R34" s="36"/>
      <c r="V34" s="432">
        <v>44092</v>
      </c>
      <c r="W34" s="38" t="s">
        <v>10</v>
      </c>
      <c r="X34" s="196">
        <v>5000</v>
      </c>
      <c r="Y34" s="41"/>
      <c r="AA34" s="29"/>
      <c r="AB34" s="44"/>
      <c r="AC34" s="196"/>
      <c r="AD34" s="41"/>
      <c r="AF34" s="19" t="s">
        <v>157</v>
      </c>
      <c r="AG34" s="167">
        <v>44092</v>
      </c>
      <c r="AH34" s="21">
        <v>2000</v>
      </c>
    </row>
    <row r="35" spans="1:34" ht="16.5" thickBot="1" x14ac:dyDescent="0.3">
      <c r="A35" s="30"/>
      <c r="B35" s="319">
        <v>44135</v>
      </c>
      <c r="C35" s="140">
        <v>1200</v>
      </c>
      <c r="D35" s="163" t="s">
        <v>77</v>
      </c>
      <c r="E35" s="151">
        <v>44135</v>
      </c>
      <c r="F35" s="176">
        <v>131243</v>
      </c>
      <c r="G35" s="152"/>
      <c r="H35" s="153">
        <v>44135</v>
      </c>
      <c r="I35" s="244">
        <v>1390</v>
      </c>
      <c r="J35" s="217"/>
      <c r="K35" s="509" t="s">
        <v>672</v>
      </c>
      <c r="L35" s="446">
        <f>20000+13013.12</f>
        <v>33013.120000000003</v>
      </c>
      <c r="M35" s="34">
        <v>91529</v>
      </c>
      <c r="N35" s="35">
        <v>7797</v>
      </c>
      <c r="O35" s="586"/>
      <c r="P35" s="36">
        <f t="shared" si="5"/>
        <v>134929.12</v>
      </c>
      <c r="Q35" s="201">
        <f t="shared" si="6"/>
        <v>3686.1199999999953</v>
      </c>
      <c r="R35" s="36"/>
      <c r="V35" s="432">
        <v>44099</v>
      </c>
      <c r="W35" s="44" t="s">
        <v>11</v>
      </c>
      <c r="X35" s="196">
        <v>5000</v>
      </c>
      <c r="Y35" s="41"/>
      <c r="AA35" s="29"/>
      <c r="AB35" s="44"/>
      <c r="AC35" s="196"/>
      <c r="AD35" s="41"/>
      <c r="AF35" s="19" t="s">
        <v>158</v>
      </c>
      <c r="AG35" s="167">
        <v>44099</v>
      </c>
      <c r="AH35" s="21">
        <v>2000</v>
      </c>
    </row>
    <row r="36" spans="1:34" ht="16.5" thickBot="1" x14ac:dyDescent="0.3">
      <c r="A36" s="30"/>
      <c r="B36" s="463"/>
      <c r="C36" s="140"/>
      <c r="D36" s="163"/>
      <c r="E36" s="151"/>
      <c r="F36" s="176"/>
      <c r="G36" s="152"/>
      <c r="H36" s="153"/>
      <c r="I36" s="244"/>
      <c r="J36" s="217"/>
      <c r="K36" s="378" t="s">
        <v>14</v>
      </c>
      <c r="L36" s="50">
        <v>0</v>
      </c>
      <c r="M36" s="34">
        <v>0</v>
      </c>
      <c r="N36" s="35">
        <v>0</v>
      </c>
      <c r="O36" s="586"/>
      <c r="P36" s="36">
        <v>0</v>
      </c>
      <c r="Q36" s="5">
        <f t="shared" si="6"/>
        <v>0</v>
      </c>
      <c r="R36" s="36"/>
      <c r="V36" s="432">
        <v>44099</v>
      </c>
      <c r="W36" s="38" t="s">
        <v>10</v>
      </c>
      <c r="X36" s="196">
        <v>5000</v>
      </c>
      <c r="Y36" s="41"/>
      <c r="AA36" s="29"/>
      <c r="AB36" s="44"/>
      <c r="AC36" s="196"/>
      <c r="AD36" s="41"/>
      <c r="AF36" s="19" t="s">
        <v>159</v>
      </c>
      <c r="AG36" s="167">
        <v>44104</v>
      </c>
      <c r="AH36" s="21">
        <v>2000</v>
      </c>
    </row>
    <row r="37" spans="1:34" ht="16.5" thickBot="1" x14ac:dyDescent="0.3">
      <c r="A37" s="30"/>
      <c r="B37" s="463">
        <v>44107</v>
      </c>
      <c r="C37" s="140">
        <v>7065.88</v>
      </c>
      <c r="D37" s="163" t="s">
        <v>611</v>
      </c>
      <c r="E37" s="151" t="s">
        <v>613</v>
      </c>
      <c r="F37" s="176"/>
      <c r="G37" s="152"/>
      <c r="H37" s="153"/>
      <c r="I37" s="244"/>
      <c r="J37" s="217">
        <v>44111</v>
      </c>
      <c r="K37" s="342" t="s">
        <v>484</v>
      </c>
      <c r="L37" s="446">
        <v>5916</v>
      </c>
      <c r="M37" s="34">
        <v>0</v>
      </c>
      <c r="N37" s="35">
        <v>0</v>
      </c>
      <c r="O37" s="586"/>
      <c r="P37" s="36">
        <v>0</v>
      </c>
      <c r="Q37" s="5">
        <f t="shared" si="6"/>
        <v>0</v>
      </c>
      <c r="R37" s="36"/>
      <c r="V37" s="432">
        <v>44106</v>
      </c>
      <c r="W37" s="44" t="s">
        <v>11</v>
      </c>
      <c r="X37" s="196">
        <v>5000</v>
      </c>
      <c r="Y37" s="41"/>
      <c r="AA37" s="29"/>
      <c r="AB37" s="44"/>
      <c r="AC37" s="196"/>
      <c r="AD37" s="41"/>
      <c r="AF37" s="19" t="s">
        <v>160</v>
      </c>
      <c r="AG37" s="167">
        <v>44111</v>
      </c>
      <c r="AH37" s="21">
        <v>2000</v>
      </c>
    </row>
    <row r="38" spans="1:34" ht="16.5" thickBot="1" x14ac:dyDescent="0.3">
      <c r="A38" s="30"/>
      <c r="B38" s="463">
        <v>44109</v>
      </c>
      <c r="C38" s="140">
        <v>17235.97</v>
      </c>
      <c r="D38" s="163" t="s">
        <v>609</v>
      </c>
      <c r="E38" s="151" t="s">
        <v>613</v>
      </c>
      <c r="F38" s="176"/>
      <c r="G38" s="152"/>
      <c r="H38" s="153"/>
      <c r="I38" s="244"/>
      <c r="J38" s="217">
        <v>44111</v>
      </c>
      <c r="K38" s="342" t="s">
        <v>15</v>
      </c>
      <c r="L38" s="446">
        <v>5800</v>
      </c>
      <c r="M38" s="34">
        <v>0</v>
      </c>
      <c r="N38" s="35">
        <v>0</v>
      </c>
      <c r="O38" s="586"/>
      <c r="P38" s="36"/>
      <c r="Q38" s="36"/>
      <c r="R38" s="36"/>
      <c r="V38" s="432">
        <v>44106</v>
      </c>
      <c r="W38" s="38" t="s">
        <v>10</v>
      </c>
      <c r="X38" s="196">
        <v>5000</v>
      </c>
      <c r="Y38" s="41"/>
      <c r="AA38" s="29"/>
      <c r="AB38" s="44"/>
      <c r="AC38" s="196"/>
      <c r="AD38" s="41"/>
      <c r="AF38" s="19" t="s">
        <v>161</v>
      </c>
      <c r="AG38" s="167">
        <v>44118</v>
      </c>
      <c r="AH38" s="21">
        <v>2000</v>
      </c>
    </row>
    <row r="39" spans="1:34" ht="16.5" thickBot="1" x14ac:dyDescent="0.3">
      <c r="A39" s="30"/>
      <c r="B39" s="463">
        <v>44111</v>
      </c>
      <c r="C39" s="140">
        <v>19285.3</v>
      </c>
      <c r="D39" s="163" t="s">
        <v>595</v>
      </c>
      <c r="E39" s="151" t="s">
        <v>613</v>
      </c>
      <c r="F39" s="176"/>
      <c r="G39" s="152"/>
      <c r="H39" s="153"/>
      <c r="I39" s="244"/>
      <c r="J39" s="217">
        <v>44111</v>
      </c>
      <c r="K39" s="342" t="s">
        <v>307</v>
      </c>
      <c r="L39" s="446">
        <f>9720+9345</f>
        <v>19065</v>
      </c>
      <c r="M39" s="34">
        <v>0</v>
      </c>
      <c r="N39" s="35">
        <v>0</v>
      </c>
      <c r="O39" s="586"/>
      <c r="P39" s="36"/>
      <c r="Q39" s="36"/>
      <c r="R39" s="36"/>
      <c r="V39" s="432">
        <v>44113</v>
      </c>
      <c r="W39" s="44" t="s">
        <v>11</v>
      </c>
      <c r="X39" s="196">
        <v>5000</v>
      </c>
      <c r="Y39" s="41"/>
      <c r="AA39" s="29"/>
      <c r="AB39" s="44"/>
      <c r="AC39" s="196"/>
      <c r="AD39" s="41"/>
      <c r="AF39" s="19" t="s">
        <v>162</v>
      </c>
      <c r="AG39" s="167">
        <v>44127</v>
      </c>
      <c r="AH39" s="21">
        <v>2000</v>
      </c>
    </row>
    <row r="40" spans="1:34" ht="16.5" thickBot="1" x14ac:dyDescent="0.3">
      <c r="A40" s="30"/>
      <c r="B40" s="463">
        <v>44112</v>
      </c>
      <c r="C40" s="140">
        <v>4173.84</v>
      </c>
      <c r="D40" s="163" t="s">
        <v>610</v>
      </c>
      <c r="E40" s="151" t="s">
        <v>613</v>
      </c>
      <c r="F40" s="176"/>
      <c r="G40" s="152"/>
      <c r="H40" s="153"/>
      <c r="I40" s="244"/>
      <c r="J40" s="217">
        <v>44116</v>
      </c>
      <c r="K40" s="342" t="s">
        <v>224</v>
      </c>
      <c r="L40" s="446">
        <v>10000</v>
      </c>
      <c r="M40" s="34">
        <v>0</v>
      </c>
      <c r="N40" s="35">
        <v>0</v>
      </c>
      <c r="O40" s="586"/>
      <c r="P40" s="36"/>
      <c r="Q40" s="36"/>
      <c r="R40" s="36"/>
      <c r="V40" s="432">
        <v>44113</v>
      </c>
      <c r="W40" s="38" t="s">
        <v>10</v>
      </c>
      <c r="X40" s="196">
        <v>5000</v>
      </c>
      <c r="Y40" s="41"/>
      <c r="AA40" s="29"/>
      <c r="AB40" s="44"/>
      <c r="AC40" s="196"/>
      <c r="AD40" s="41"/>
      <c r="AF40" s="19" t="s">
        <v>163</v>
      </c>
      <c r="AG40" s="167">
        <v>44134</v>
      </c>
      <c r="AH40" s="21">
        <v>2000</v>
      </c>
    </row>
    <row r="41" spans="1:34" ht="16.5" thickBot="1" x14ac:dyDescent="0.3">
      <c r="A41" s="30"/>
      <c r="B41" s="481">
        <v>44114</v>
      </c>
      <c r="C41" s="506">
        <v>22161.23</v>
      </c>
      <c r="D41" s="468" t="s">
        <v>596</v>
      </c>
      <c r="E41" s="151" t="s">
        <v>613</v>
      </c>
      <c r="F41" s="176"/>
      <c r="G41" s="152"/>
      <c r="H41" s="153"/>
      <c r="I41" s="244"/>
      <c r="J41" s="217">
        <v>44117</v>
      </c>
      <c r="K41" s="510" t="s">
        <v>673</v>
      </c>
      <c r="L41" s="446">
        <v>2784</v>
      </c>
      <c r="M41" s="34">
        <v>0</v>
      </c>
      <c r="N41" s="35">
        <v>0</v>
      </c>
      <c r="O41" s="586"/>
      <c r="P41" s="36"/>
      <c r="Q41" s="36"/>
      <c r="R41" s="36"/>
      <c r="V41" s="432">
        <v>44120</v>
      </c>
      <c r="W41" s="44" t="s">
        <v>11</v>
      </c>
      <c r="X41" s="196">
        <v>5000</v>
      </c>
      <c r="Y41" s="41"/>
      <c r="AA41" s="29"/>
      <c r="AB41" s="44"/>
      <c r="AC41" s="196"/>
      <c r="AD41" s="41"/>
      <c r="AF41" s="19" t="s">
        <v>164</v>
      </c>
      <c r="AG41" s="167"/>
      <c r="AH41" s="21"/>
    </row>
    <row r="42" spans="1:34" ht="16.5" thickBot="1" x14ac:dyDescent="0.3">
      <c r="A42" s="30"/>
      <c r="B42" s="500">
        <v>44117</v>
      </c>
      <c r="C42" s="176">
        <v>18062.57</v>
      </c>
      <c r="D42" s="507" t="s">
        <v>605</v>
      </c>
      <c r="E42" s="508" t="s">
        <v>613</v>
      </c>
      <c r="F42" s="176"/>
      <c r="G42" s="152"/>
      <c r="H42" s="153"/>
      <c r="I42" s="244"/>
      <c r="J42" s="217">
        <v>44117</v>
      </c>
      <c r="K42" s="511" t="s">
        <v>674</v>
      </c>
      <c r="L42" s="161">
        <v>15544</v>
      </c>
      <c r="M42" s="34">
        <v>0</v>
      </c>
      <c r="N42" s="35">
        <v>0</v>
      </c>
      <c r="O42" s="586"/>
      <c r="P42" s="36"/>
      <c r="Q42" s="36"/>
      <c r="R42" s="36"/>
      <c r="V42" s="432">
        <v>44120</v>
      </c>
      <c r="W42" s="38" t="s">
        <v>10</v>
      </c>
      <c r="X42" s="196">
        <v>5000</v>
      </c>
      <c r="Y42" s="41"/>
      <c r="AA42" s="29"/>
      <c r="AB42" s="44"/>
      <c r="AC42" s="196"/>
      <c r="AD42" s="41"/>
      <c r="AF42" s="19" t="s">
        <v>165</v>
      </c>
      <c r="AG42" s="167"/>
      <c r="AH42" s="21"/>
    </row>
    <row r="43" spans="1:34" ht="16.5" thickBot="1" x14ac:dyDescent="0.3">
      <c r="A43" s="30"/>
      <c r="B43" s="500">
        <v>44120</v>
      </c>
      <c r="C43" s="176">
        <v>19514.38</v>
      </c>
      <c r="D43" s="507" t="s">
        <v>606</v>
      </c>
      <c r="E43" s="508" t="s">
        <v>613</v>
      </c>
      <c r="F43" s="176"/>
      <c r="G43" s="152"/>
      <c r="H43" s="153"/>
      <c r="I43" s="244"/>
      <c r="J43" s="217">
        <v>44120</v>
      </c>
      <c r="K43" s="457" t="s">
        <v>675</v>
      </c>
      <c r="L43" s="161">
        <v>9931</v>
      </c>
      <c r="M43" s="445">
        <v>0</v>
      </c>
      <c r="N43" s="35">
        <v>0</v>
      </c>
      <c r="O43" s="586"/>
      <c r="P43" s="36"/>
      <c r="Q43" s="36"/>
      <c r="R43" s="36"/>
      <c r="V43" s="432">
        <v>44127</v>
      </c>
      <c r="W43" s="44" t="s">
        <v>11</v>
      </c>
      <c r="X43" s="196">
        <v>6000</v>
      </c>
      <c r="Y43" s="41"/>
      <c r="AA43" s="29"/>
      <c r="AB43" s="44"/>
      <c r="AC43" s="196"/>
      <c r="AD43" s="41"/>
      <c r="AF43" s="19" t="s">
        <v>166</v>
      </c>
      <c r="AG43" s="167"/>
      <c r="AH43" s="21"/>
    </row>
    <row r="44" spans="1:34" ht="16.5" thickBot="1" x14ac:dyDescent="0.3">
      <c r="A44" s="30"/>
      <c r="B44" s="500">
        <v>44121</v>
      </c>
      <c r="C44" s="176">
        <v>4046</v>
      </c>
      <c r="D44" s="507" t="s">
        <v>607</v>
      </c>
      <c r="E44" s="508" t="s">
        <v>613</v>
      </c>
      <c r="F44" s="176"/>
      <c r="G44" s="152"/>
      <c r="H44" s="153"/>
      <c r="I44" s="244"/>
      <c r="J44" s="217">
        <v>44120</v>
      </c>
      <c r="K44" s="160" t="s">
        <v>243</v>
      </c>
      <c r="L44" s="512">
        <v>986</v>
      </c>
      <c r="M44" s="445"/>
      <c r="N44" s="35"/>
      <c r="O44" s="586"/>
      <c r="P44" s="36"/>
      <c r="Q44" s="36"/>
      <c r="R44" s="36"/>
      <c r="V44" s="432">
        <v>44127</v>
      </c>
      <c r="W44" s="38" t="s">
        <v>10</v>
      </c>
      <c r="X44" s="196">
        <v>4000</v>
      </c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30"/>
      <c r="B45" s="500">
        <v>44123</v>
      </c>
      <c r="C45" s="176">
        <v>10241.040000000001</v>
      </c>
      <c r="D45" s="507" t="s">
        <v>608</v>
      </c>
      <c r="E45" s="508" t="s">
        <v>613</v>
      </c>
      <c r="F45" s="176"/>
      <c r="G45" s="152"/>
      <c r="H45" s="153"/>
      <c r="I45" s="244"/>
      <c r="J45" s="217">
        <v>44123</v>
      </c>
      <c r="K45" s="457" t="s">
        <v>492</v>
      </c>
      <c r="L45" s="161">
        <v>9321.14</v>
      </c>
      <c r="M45" s="445"/>
      <c r="N45" s="35"/>
      <c r="O45" s="586"/>
      <c r="P45" s="36"/>
      <c r="Q45" s="36"/>
      <c r="R45" s="36"/>
      <c r="V45" s="432">
        <v>44134</v>
      </c>
      <c r="W45" s="44" t="s">
        <v>11</v>
      </c>
      <c r="X45" s="196">
        <v>5000</v>
      </c>
      <c r="Y45" s="41"/>
      <c r="AA45" s="29"/>
      <c r="AB45" s="44"/>
      <c r="AC45" s="196"/>
      <c r="AD45" s="41"/>
      <c r="AF45" s="19"/>
      <c r="AG45" s="167"/>
      <c r="AH45" s="21"/>
    </row>
    <row r="46" spans="1:34" ht="16.5" thickBot="1" x14ac:dyDescent="0.3">
      <c r="A46" s="30"/>
      <c r="B46" s="319">
        <v>44127</v>
      </c>
      <c r="C46" s="321">
        <v>19725</v>
      </c>
      <c r="D46" s="593" t="s">
        <v>755</v>
      </c>
      <c r="E46" s="151" t="s">
        <v>613</v>
      </c>
      <c r="F46" s="176"/>
      <c r="G46" s="152"/>
      <c r="H46" s="153"/>
      <c r="I46" s="244"/>
      <c r="J46" s="217">
        <v>44123</v>
      </c>
      <c r="K46" s="457" t="s">
        <v>677</v>
      </c>
      <c r="L46" s="161">
        <v>1247</v>
      </c>
      <c r="M46" s="445"/>
      <c r="N46" s="35"/>
      <c r="O46" s="586"/>
      <c r="P46" s="36"/>
      <c r="Q46" s="36"/>
      <c r="R46" s="36"/>
      <c r="V46" s="432">
        <v>44134</v>
      </c>
      <c r="W46" s="38" t="s">
        <v>10</v>
      </c>
      <c r="X46" s="196">
        <v>5000</v>
      </c>
      <c r="Y46" s="41"/>
      <c r="AA46" s="29"/>
      <c r="AB46" s="44"/>
      <c r="AC46" s="196"/>
      <c r="AD46" s="41"/>
      <c r="AF46" s="19"/>
      <c r="AG46" s="167"/>
      <c r="AH46" s="21"/>
    </row>
    <row r="47" spans="1:34" ht="16.5" thickBot="1" x14ac:dyDescent="0.3">
      <c r="A47" s="30"/>
      <c r="B47" s="319">
        <v>44131</v>
      </c>
      <c r="C47" s="321">
        <v>13069.6</v>
      </c>
      <c r="D47" s="593" t="s">
        <v>756</v>
      </c>
      <c r="E47" s="151" t="s">
        <v>613</v>
      </c>
      <c r="F47" s="176"/>
      <c r="G47" s="152"/>
      <c r="H47" s="153"/>
      <c r="I47" s="244"/>
      <c r="J47" s="217">
        <v>44124</v>
      </c>
      <c r="K47" s="457" t="s">
        <v>584</v>
      </c>
      <c r="L47" s="161">
        <v>928</v>
      </c>
      <c r="M47" s="445"/>
      <c r="N47" s="35"/>
      <c r="O47" s="586"/>
      <c r="P47" s="36"/>
      <c r="Q47" s="36"/>
      <c r="R47" s="36"/>
      <c r="V47" s="432"/>
      <c r="W47" s="44" t="s">
        <v>11</v>
      </c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6.5" thickBot="1" x14ac:dyDescent="0.3">
      <c r="A48" s="30"/>
      <c r="B48" s="319">
        <v>44134</v>
      </c>
      <c r="C48" s="321">
        <v>13301</v>
      </c>
      <c r="D48" s="593" t="s">
        <v>757</v>
      </c>
      <c r="E48" s="151" t="s">
        <v>613</v>
      </c>
      <c r="F48" s="176"/>
      <c r="G48" s="152"/>
      <c r="H48" s="153"/>
      <c r="I48" s="244"/>
      <c r="J48" s="217">
        <v>44130</v>
      </c>
      <c r="K48" s="457" t="s">
        <v>676</v>
      </c>
      <c r="L48" s="161">
        <v>10000</v>
      </c>
      <c r="M48" s="445"/>
      <c r="N48" s="35"/>
      <c r="O48" s="586"/>
      <c r="P48" s="36"/>
      <c r="Q48" s="36"/>
      <c r="R48" s="36"/>
      <c r="V48" s="432"/>
      <c r="W48" s="38" t="s">
        <v>10</v>
      </c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thickBot="1" x14ac:dyDescent="0.3">
      <c r="A49" s="30"/>
      <c r="B49" s="319"/>
      <c r="C49" s="321"/>
      <c r="D49" s="468"/>
      <c r="E49" s="151"/>
      <c r="F49" s="176"/>
      <c r="G49" s="152"/>
      <c r="H49" s="153"/>
      <c r="I49" s="244"/>
      <c r="J49" s="217">
        <v>44133</v>
      </c>
      <c r="K49" s="457" t="s">
        <v>308</v>
      </c>
      <c r="L49" s="161">
        <v>2469.69</v>
      </c>
      <c r="M49" s="445"/>
      <c r="N49" s="35"/>
      <c r="O49" s="586"/>
      <c r="P49" s="36"/>
      <c r="Q49" s="36"/>
      <c r="R49" s="36"/>
      <c r="V49" s="432"/>
      <c r="W49" s="44" t="s">
        <v>11</v>
      </c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thickBot="1" x14ac:dyDescent="0.3">
      <c r="A50" s="30"/>
      <c r="B50" s="319"/>
      <c r="C50" s="321"/>
      <c r="D50" s="468">
        <v>0</v>
      </c>
      <c r="E50" s="151"/>
      <c r="F50" s="176"/>
      <c r="G50" s="152"/>
      <c r="H50" s="153"/>
      <c r="I50" s="244"/>
      <c r="J50" s="217">
        <v>44134</v>
      </c>
      <c r="K50" s="457" t="s">
        <v>135</v>
      </c>
      <c r="L50" s="161">
        <v>1394.81</v>
      </c>
      <c r="M50" s="34"/>
      <c r="N50" s="35"/>
      <c r="O50" s="586"/>
      <c r="P50" s="36"/>
      <c r="Q50" s="36"/>
      <c r="R50" s="36"/>
      <c r="V50" s="432"/>
      <c r="W50" s="38" t="s">
        <v>10</v>
      </c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thickBot="1" x14ac:dyDescent="0.3">
      <c r="A51" s="30"/>
      <c r="B51" s="319"/>
      <c r="C51" s="321"/>
      <c r="D51" s="468"/>
      <c r="E51" s="151"/>
      <c r="F51" s="176"/>
      <c r="G51" s="152"/>
      <c r="H51" s="153"/>
      <c r="I51" s="244"/>
      <c r="J51" s="217">
        <v>44134</v>
      </c>
      <c r="K51" s="514" t="s">
        <v>678</v>
      </c>
      <c r="L51" s="515">
        <v>6267.97</v>
      </c>
      <c r="M51" s="34">
        <v>0</v>
      </c>
      <c r="N51" s="35">
        <v>0</v>
      </c>
      <c r="O51" s="586"/>
      <c r="P51" s="36"/>
      <c r="Q51" s="36"/>
      <c r="R51" s="36"/>
      <c r="V51" s="432"/>
      <c r="W51" s="44" t="s">
        <v>11</v>
      </c>
      <c r="X51" s="196">
        <v>0</v>
      </c>
      <c r="Y51" s="41"/>
      <c r="AA51" s="29"/>
      <c r="AB51" s="38" t="s">
        <v>10</v>
      </c>
      <c r="AC51" s="196"/>
      <c r="AD51" s="41"/>
      <c r="AF51" s="19" t="s">
        <v>167</v>
      </c>
      <c r="AG51" s="167"/>
      <c r="AH51" s="21">
        <v>0</v>
      </c>
    </row>
    <row r="52" spans="1:34" ht="15.75" thickBot="1" x14ac:dyDescent="0.3">
      <c r="A52" s="30"/>
      <c r="B52" s="319"/>
      <c r="C52" s="455"/>
      <c r="D52" s="469"/>
      <c r="E52" s="456"/>
      <c r="F52" s="412"/>
      <c r="G52" s="152"/>
      <c r="H52" s="153"/>
      <c r="I52" s="344"/>
      <c r="J52" s="217">
        <v>44134</v>
      </c>
      <c r="K52" s="516" t="s">
        <v>679</v>
      </c>
      <c r="L52" s="513">
        <v>4585.25</v>
      </c>
      <c r="M52" s="34">
        <v>0</v>
      </c>
      <c r="N52" s="35">
        <v>0</v>
      </c>
      <c r="O52" s="586"/>
      <c r="P52" s="36"/>
      <c r="Q52" s="36"/>
      <c r="R52" s="36"/>
      <c r="V52" s="432"/>
      <c r="W52" s="38" t="s">
        <v>10</v>
      </c>
      <c r="X52" s="196"/>
      <c r="Y52" s="41"/>
      <c r="AA52" s="29"/>
      <c r="AB52" s="38"/>
      <c r="AC52" s="196"/>
      <c r="AD52" s="41"/>
      <c r="AF52" s="19" t="s">
        <v>532</v>
      </c>
      <c r="AG52" s="167"/>
      <c r="AH52" s="21"/>
    </row>
    <row r="53" spans="1:34" ht="16.5" thickBot="1" x14ac:dyDescent="0.3">
      <c r="B53" s="385" t="s">
        <v>16</v>
      </c>
      <c r="C53" s="386">
        <f>SUM(C5:C52)</f>
        <v>345054.41</v>
      </c>
      <c r="D53" s="117"/>
      <c r="E53" s="303" t="s">
        <v>16</v>
      </c>
      <c r="F53" s="304">
        <f>SUM(F5:F52)</f>
        <v>3078182</v>
      </c>
      <c r="G53" s="117"/>
      <c r="H53" s="120" t="s">
        <v>303</v>
      </c>
      <c r="I53" s="121">
        <f>SUM(I5:I52)</f>
        <v>81577</v>
      </c>
      <c r="J53" s="332"/>
      <c r="K53" s="122" t="s">
        <v>304</v>
      </c>
      <c r="L53" s="123">
        <f>SUM(L6:L52)</f>
        <v>229387.12000000002</v>
      </c>
      <c r="M53" s="131">
        <f>SUM(M5:M52)</f>
        <v>2640493.7599999998</v>
      </c>
      <c r="N53" s="131">
        <f>SUM(N5:N52)</f>
        <v>146040</v>
      </c>
      <c r="O53" s="590"/>
      <c r="P53" s="36">
        <f>SUM(P5:P52)</f>
        <v>3168430.62</v>
      </c>
      <c r="Q53" s="36">
        <f>SUM(Q5:Q52)</f>
        <v>90248.62000000001</v>
      </c>
      <c r="R53" s="36"/>
      <c r="V53" s="29"/>
      <c r="W53" s="44" t="s">
        <v>11</v>
      </c>
      <c r="X53" s="196">
        <v>0</v>
      </c>
      <c r="Y53" s="41"/>
      <c r="AA53" s="29"/>
      <c r="AB53" s="38" t="s">
        <v>10</v>
      </c>
      <c r="AC53" s="196"/>
      <c r="AD53" s="41"/>
      <c r="AF53" s="19" t="s">
        <v>533</v>
      </c>
      <c r="AG53" s="167"/>
      <c r="AH53" s="21">
        <v>0</v>
      </c>
    </row>
    <row r="54" spans="1:34" ht="17.25" customHeight="1" thickTop="1" thickBot="1" x14ac:dyDescent="0.3">
      <c r="C54" s="8" t="s">
        <v>12</v>
      </c>
      <c r="O54" s="591"/>
      <c r="P54" s="114"/>
      <c r="Q54" s="114"/>
      <c r="V54" s="29"/>
      <c r="W54" s="38" t="s">
        <v>10</v>
      </c>
      <c r="X54" s="196">
        <v>0</v>
      </c>
      <c r="Y54" s="41"/>
      <c r="AA54" s="29"/>
      <c r="AB54" s="44" t="s">
        <v>11</v>
      </c>
      <c r="AC54" s="196"/>
      <c r="AD54" s="41"/>
      <c r="AF54" s="19" t="s">
        <v>534</v>
      </c>
      <c r="AG54" s="167"/>
      <c r="AH54" s="21">
        <v>0</v>
      </c>
    </row>
    <row r="55" spans="1:34" ht="19.5" thickBot="1" x14ac:dyDescent="0.3">
      <c r="A55" s="59"/>
      <c r="B55" s="125"/>
      <c r="C55" s="4"/>
      <c r="H55" s="638" t="s">
        <v>18</v>
      </c>
      <c r="I55" s="639"/>
      <c r="J55" s="333"/>
      <c r="K55" s="640">
        <f>I53+L53</f>
        <v>310964.12</v>
      </c>
      <c r="L55" s="641"/>
      <c r="M55" s="636">
        <f>M53+N53</f>
        <v>2786533.76</v>
      </c>
      <c r="N55" s="637"/>
      <c r="P55" s="670">
        <f>P53+Q53</f>
        <v>3258679.24</v>
      </c>
      <c r="Q55" s="671"/>
      <c r="S55" s="5"/>
      <c r="T55" s="128"/>
      <c r="U55" s="128"/>
      <c r="V55" s="29"/>
      <c r="W55" s="44" t="s">
        <v>11</v>
      </c>
      <c r="X55" s="196">
        <v>0</v>
      </c>
      <c r="Y55" s="41"/>
      <c r="Z55" s="128"/>
      <c r="AA55" s="29"/>
      <c r="AB55" s="38" t="s">
        <v>10</v>
      </c>
      <c r="AC55" s="196"/>
      <c r="AD55" s="41"/>
      <c r="AF55" s="19" t="s">
        <v>535</v>
      </c>
      <c r="AG55" s="167"/>
      <c r="AH55" s="21">
        <v>0</v>
      </c>
    </row>
    <row r="56" spans="1:34" ht="15.75" x14ac:dyDescent="0.25">
      <c r="D56" s="642" t="s">
        <v>19</v>
      </c>
      <c r="E56" s="642"/>
      <c r="F56" s="129">
        <f>F53-K55-C53</f>
        <v>2422163.4699999997</v>
      </c>
      <c r="I56" s="130"/>
      <c r="J56" s="334"/>
      <c r="P56" s="127"/>
      <c r="V56" s="29"/>
      <c r="W56" s="38" t="s">
        <v>10</v>
      </c>
      <c r="X56" s="196">
        <v>0</v>
      </c>
      <c r="Y56" s="41"/>
      <c r="AA56" s="29"/>
      <c r="AB56" s="44" t="s">
        <v>11</v>
      </c>
      <c r="AC56" s="196"/>
      <c r="AD56" s="41"/>
      <c r="AF56" s="19" t="s">
        <v>536</v>
      </c>
      <c r="AG56" s="167"/>
      <c r="AH56" s="21">
        <v>0</v>
      </c>
    </row>
    <row r="57" spans="1:34" ht="18.75" x14ac:dyDescent="0.3">
      <c r="D57" s="655" t="s">
        <v>20</v>
      </c>
      <c r="E57" s="655"/>
      <c r="F57" s="131">
        <v>-2442248.4</v>
      </c>
      <c r="I57" s="656" t="s">
        <v>21</v>
      </c>
      <c r="J57" s="657"/>
      <c r="K57" s="658">
        <f>F59+F60+F61</f>
        <v>-1872.9300000001676</v>
      </c>
      <c r="L57" s="659"/>
      <c r="P57" s="405"/>
      <c r="Q57" s="36"/>
      <c r="V57" s="29"/>
      <c r="W57" s="38"/>
      <c r="X57" s="196">
        <v>0</v>
      </c>
      <c r="Y57" s="41"/>
      <c r="AA57" s="29"/>
      <c r="AB57" s="38" t="s">
        <v>10</v>
      </c>
      <c r="AC57" s="196"/>
      <c r="AD57" s="41"/>
      <c r="AF57" s="19" t="s">
        <v>537</v>
      </c>
      <c r="AG57" s="167"/>
      <c r="AH57" s="21">
        <v>0</v>
      </c>
    </row>
    <row r="58" spans="1:34" ht="4.5" customHeight="1" thickBot="1" x14ac:dyDescent="0.35">
      <c r="D58" s="132"/>
      <c r="E58" s="133"/>
      <c r="F58" s="134">
        <v>0</v>
      </c>
      <c r="I58" s="135"/>
      <c r="J58" s="335"/>
      <c r="K58" s="136"/>
      <c r="L58" s="136"/>
      <c r="P58" s="127"/>
      <c r="Q58" s="36"/>
      <c r="V58" s="8"/>
      <c r="W58" s="44" t="s">
        <v>11</v>
      </c>
      <c r="X58" s="196">
        <v>0</v>
      </c>
      <c r="AA58" s="8"/>
      <c r="AB58" s="44" t="s">
        <v>11</v>
      </c>
      <c r="AC58" s="196">
        <v>0</v>
      </c>
    </row>
    <row r="59" spans="1:34" ht="20.25" thickTop="1" thickBot="1" x14ac:dyDescent="0.35">
      <c r="C59" s="16" t="s">
        <v>12</v>
      </c>
      <c r="E59" s="59" t="s">
        <v>22</v>
      </c>
      <c r="F59" s="131">
        <f>SUM(F56:F58)</f>
        <v>-20084.930000000168</v>
      </c>
      <c r="H59" s="30"/>
      <c r="I59" s="137" t="s">
        <v>23</v>
      </c>
      <c r="J59" s="336"/>
      <c r="K59" s="627">
        <f>-C4</f>
        <v>-313820.27</v>
      </c>
      <c r="L59" s="628"/>
      <c r="M59" s="214"/>
      <c r="P59" s="127"/>
      <c r="Q59" s="36"/>
      <c r="V59" s="8"/>
      <c r="W59" s="65" t="s">
        <v>16</v>
      </c>
      <c r="X59" s="66">
        <f>SUM(X4:X14)</f>
        <v>105110</v>
      </c>
      <c r="AA59" s="8"/>
      <c r="AB59" s="65" t="s">
        <v>323</v>
      </c>
      <c r="AC59" s="66">
        <f>SUM(AC4:AC14)</f>
        <v>55110</v>
      </c>
    </row>
    <row r="60" spans="1:34" ht="16.5" thickBot="1" x14ac:dyDescent="0.3">
      <c r="D60" s="139" t="s">
        <v>24</v>
      </c>
      <c r="E60" s="59" t="s">
        <v>25</v>
      </c>
      <c r="F60" s="140">
        <v>18212</v>
      </c>
      <c r="P60" s="127"/>
      <c r="Q60" s="36"/>
      <c r="V60" s="8"/>
      <c r="AA60" s="8"/>
    </row>
    <row r="61" spans="1:34" ht="20.25" thickTop="1" thickBot="1" x14ac:dyDescent="0.35">
      <c r="C61" s="231"/>
      <c r="D61" s="629" t="s">
        <v>26</v>
      </c>
      <c r="E61" s="630"/>
      <c r="F61" s="142">
        <v>0</v>
      </c>
      <c r="I61" s="676" t="s">
        <v>582</v>
      </c>
      <c r="J61" s="677"/>
      <c r="K61" s="678">
        <f>K57+K59</f>
        <v>-315693.20000000019</v>
      </c>
      <c r="L61" s="679"/>
      <c r="P61" s="406"/>
      <c r="Q61" s="36"/>
    </row>
    <row r="62" spans="1:34" ht="18.75" x14ac:dyDescent="0.3">
      <c r="C62" s="143"/>
      <c r="D62" s="144"/>
      <c r="E62" s="61"/>
      <c r="F62" s="145"/>
      <c r="J62" s="337"/>
      <c r="M62" s="146"/>
      <c r="P62" s="36"/>
      <c r="Q62" s="36"/>
    </row>
    <row r="63" spans="1:34" x14ac:dyDescent="0.25">
      <c r="P63" s="36"/>
      <c r="Q63" s="36"/>
    </row>
    <row r="64" spans="1:34" ht="15.75" x14ac:dyDescent="0.25">
      <c r="B64" s="501"/>
      <c r="C64" s="502"/>
      <c r="D64" s="503"/>
      <c r="E64" s="36"/>
      <c r="M64" s="147"/>
      <c r="N64" s="59"/>
      <c r="O64" s="592"/>
      <c r="P64" s="404"/>
      <c r="Q64" s="191"/>
      <c r="R64" s="186"/>
    </row>
    <row r="65" spans="2:18" ht="15.75" x14ac:dyDescent="0.25">
      <c r="B65" s="501"/>
      <c r="C65" s="504"/>
      <c r="D65" s="382"/>
      <c r="E65" s="36"/>
      <c r="M65" s="147"/>
      <c r="N65" s="59"/>
      <c r="O65" s="592"/>
      <c r="P65" s="191"/>
      <c r="Q65" s="191"/>
      <c r="R65" s="186"/>
    </row>
    <row r="66" spans="2:18" ht="15.75" x14ac:dyDescent="0.25">
      <c r="B66" s="501"/>
      <c r="C66" s="504"/>
      <c r="D66" s="382"/>
      <c r="E66" s="36"/>
      <c r="F66" s="148"/>
      <c r="K66" s="382"/>
      <c r="L66" s="382"/>
      <c r="M66" s="4"/>
    </row>
    <row r="67" spans="2:18" ht="15.75" x14ac:dyDescent="0.25">
      <c r="B67" s="501"/>
      <c r="C67" s="504"/>
      <c r="D67" s="382"/>
      <c r="E67" s="36"/>
      <c r="M67" s="4"/>
    </row>
    <row r="68" spans="2:18" ht="15.75" x14ac:dyDescent="0.25">
      <c r="B68" s="501"/>
      <c r="C68" s="504"/>
      <c r="D68" s="382"/>
      <c r="E68" s="36"/>
      <c r="M68" s="4"/>
    </row>
    <row r="69" spans="2:18" x14ac:dyDescent="0.25">
      <c r="M69" s="4"/>
    </row>
    <row r="70" spans="2:18" x14ac:dyDescent="0.25">
      <c r="M70" s="4"/>
    </row>
    <row r="71" spans="2:18" x14ac:dyDescent="0.25">
      <c r="M71" s="4"/>
    </row>
    <row r="72" spans="2:18" x14ac:dyDescent="0.25">
      <c r="M72" s="4"/>
    </row>
    <row r="73" spans="2:18" x14ac:dyDescent="0.25">
      <c r="M73" s="4"/>
    </row>
    <row r="74" spans="2:18" x14ac:dyDescent="0.25">
      <c r="M74" s="4"/>
    </row>
    <row r="75" spans="2:18" x14ac:dyDescent="0.25">
      <c r="M75" s="4"/>
    </row>
    <row r="76" spans="2:18" x14ac:dyDescent="0.25">
      <c r="M76" s="4"/>
    </row>
    <row r="77" spans="2:18" x14ac:dyDescent="0.25">
      <c r="M77" s="4"/>
    </row>
    <row r="78" spans="2:18" x14ac:dyDescent="0.25">
      <c r="M78" s="4"/>
    </row>
    <row r="79" spans="2:18" x14ac:dyDescent="0.25">
      <c r="M79" s="4"/>
    </row>
  </sheetData>
  <mergeCells count="21">
    <mergeCell ref="D61:E61"/>
    <mergeCell ref="I61:J61"/>
    <mergeCell ref="K61:L61"/>
    <mergeCell ref="P55:Q55"/>
    <mergeCell ref="D56:E56"/>
    <mergeCell ref="D57:E57"/>
    <mergeCell ref="I57:J57"/>
    <mergeCell ref="K57:L57"/>
    <mergeCell ref="K59:L59"/>
    <mergeCell ref="M55:N55"/>
    <mergeCell ref="E4:F4"/>
    <mergeCell ref="H4:I4"/>
    <mergeCell ref="H55:I55"/>
    <mergeCell ref="K55:L55"/>
    <mergeCell ref="C1:K1"/>
    <mergeCell ref="AK1:AL2"/>
    <mergeCell ref="W2:X3"/>
    <mergeCell ref="AB2:AC3"/>
    <mergeCell ref="AF2:AH2"/>
    <mergeCell ref="B3:C3"/>
    <mergeCell ref="H3:I3"/>
  </mergeCells>
  <phoneticPr fontId="30" type="noConversion"/>
  <pageMargins left="0.15748031496062992" right="0.15748031496062992" top="0.31496062992125984" bottom="0.27559055118110237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9DF8-7691-428B-BFC6-DC539BAE1398}">
  <sheetPr>
    <tabColor theme="5" tint="-0.499984740745262"/>
  </sheetPr>
  <dimension ref="A1:F87"/>
  <sheetViews>
    <sheetView workbookViewId="0">
      <selection activeCell="B2" sqref="B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43837</v>
      </c>
      <c r="B3" s="172" t="s">
        <v>86</v>
      </c>
      <c r="C3" s="5">
        <v>72594</v>
      </c>
      <c r="D3" s="63"/>
      <c r="E3" s="5"/>
      <c r="F3" s="173">
        <f>C3-E3</f>
        <v>72594</v>
      </c>
    </row>
    <row r="4" spans="1:6" x14ac:dyDescent="0.25">
      <c r="A4" s="174">
        <v>43838</v>
      </c>
      <c r="B4" s="175" t="s">
        <v>87</v>
      </c>
      <c r="C4" s="176">
        <v>132399.22</v>
      </c>
      <c r="D4" s="177"/>
      <c r="E4" s="176"/>
      <c r="F4" s="173">
        <f>F3+C4-E4</f>
        <v>204993.22</v>
      </c>
    </row>
    <row r="5" spans="1:6" x14ac:dyDescent="0.25">
      <c r="A5" s="177">
        <v>43839</v>
      </c>
      <c r="B5" s="175" t="s">
        <v>88</v>
      </c>
      <c r="C5" s="176">
        <v>2328</v>
      </c>
      <c r="D5" s="177"/>
      <c r="E5" s="176"/>
      <c r="F5" s="173">
        <f t="shared" ref="F5:F50" si="0">F4+C5-E5</f>
        <v>207321.22</v>
      </c>
    </row>
    <row r="6" spans="1:6" x14ac:dyDescent="0.25">
      <c r="A6" s="177">
        <v>43839</v>
      </c>
      <c r="B6" s="175" t="s">
        <v>89</v>
      </c>
      <c r="C6" s="176">
        <v>128075.49</v>
      </c>
      <c r="D6" s="177"/>
      <c r="E6" s="176"/>
      <c r="F6" s="173">
        <f t="shared" si="0"/>
        <v>335396.71000000002</v>
      </c>
    </row>
    <row r="7" spans="1:6" x14ac:dyDescent="0.25">
      <c r="A7" s="177">
        <v>43840</v>
      </c>
      <c r="B7" s="175" t="s">
        <v>90</v>
      </c>
      <c r="C7" s="176">
        <v>120189.55</v>
      </c>
      <c r="D7" s="177"/>
      <c r="E7" s="176"/>
      <c r="F7" s="173">
        <f t="shared" si="0"/>
        <v>455586.26</v>
      </c>
    </row>
    <row r="8" spans="1:6" x14ac:dyDescent="0.25">
      <c r="A8" s="177">
        <v>43840</v>
      </c>
      <c r="B8" s="175" t="s">
        <v>91</v>
      </c>
      <c r="C8" s="176">
        <v>3031</v>
      </c>
      <c r="D8" s="177"/>
      <c r="E8" s="176"/>
      <c r="F8" s="173">
        <f t="shared" si="0"/>
        <v>458617.26</v>
      </c>
    </row>
    <row r="9" spans="1:6" x14ac:dyDescent="0.25">
      <c r="A9" s="177">
        <v>43841</v>
      </c>
      <c r="B9" s="175" t="s">
        <v>92</v>
      </c>
      <c r="C9" s="176">
        <v>136774.39999999999</v>
      </c>
      <c r="D9" s="177"/>
      <c r="E9" s="176"/>
      <c r="F9" s="173">
        <f t="shared" si="0"/>
        <v>595391.66</v>
      </c>
    </row>
    <row r="10" spans="1:6" x14ac:dyDescent="0.25">
      <c r="A10" s="177">
        <v>43841</v>
      </c>
      <c r="B10" s="175" t="s">
        <v>93</v>
      </c>
      <c r="C10" s="176">
        <v>1766.6</v>
      </c>
      <c r="D10" s="177"/>
      <c r="E10" s="176"/>
      <c r="F10" s="173">
        <f t="shared" si="0"/>
        <v>597158.26</v>
      </c>
    </row>
    <row r="11" spans="1:6" x14ac:dyDescent="0.25">
      <c r="A11" s="174">
        <v>43842</v>
      </c>
      <c r="B11" s="175" t="s">
        <v>94</v>
      </c>
      <c r="C11" s="176">
        <v>9876</v>
      </c>
      <c r="D11" s="177">
        <v>43843</v>
      </c>
      <c r="E11" s="176">
        <v>607034.26</v>
      </c>
      <c r="F11" s="173">
        <f t="shared" si="0"/>
        <v>0</v>
      </c>
    </row>
    <row r="12" spans="1:6" x14ac:dyDescent="0.25">
      <c r="A12" s="177">
        <v>43843</v>
      </c>
      <c r="B12" s="175" t="s">
        <v>95</v>
      </c>
      <c r="C12" s="176">
        <v>51267.96</v>
      </c>
      <c r="D12" s="177"/>
      <c r="E12" s="176"/>
      <c r="F12" s="173">
        <f t="shared" si="0"/>
        <v>51267.96</v>
      </c>
    </row>
    <row r="13" spans="1:6" x14ac:dyDescent="0.25">
      <c r="A13" s="177">
        <v>43844</v>
      </c>
      <c r="B13" s="175" t="s">
        <v>96</v>
      </c>
      <c r="C13" s="176">
        <v>100845.65</v>
      </c>
      <c r="D13" s="177"/>
      <c r="E13" s="176"/>
      <c r="F13" s="173">
        <f t="shared" si="0"/>
        <v>152113.60999999999</v>
      </c>
    </row>
    <row r="14" spans="1:6" x14ac:dyDescent="0.25">
      <c r="A14" s="177">
        <v>43845</v>
      </c>
      <c r="B14" s="175" t="s">
        <v>97</v>
      </c>
      <c r="C14" s="176">
        <v>138607.79999999999</v>
      </c>
      <c r="D14" s="177"/>
      <c r="E14" s="176"/>
      <c r="F14" s="173">
        <f t="shared" si="0"/>
        <v>290721.40999999997</v>
      </c>
    </row>
    <row r="15" spans="1:6" x14ac:dyDescent="0.25">
      <c r="A15" s="177">
        <v>43845</v>
      </c>
      <c r="B15" s="175" t="s">
        <v>98</v>
      </c>
      <c r="C15" s="176">
        <v>7932.6</v>
      </c>
      <c r="D15" s="177"/>
      <c r="E15" s="176"/>
      <c r="F15" s="173">
        <f t="shared" si="0"/>
        <v>298654.00999999995</v>
      </c>
    </row>
    <row r="16" spans="1:6" x14ac:dyDescent="0.25">
      <c r="A16" s="177">
        <v>43846</v>
      </c>
      <c r="B16" s="175" t="s">
        <v>99</v>
      </c>
      <c r="C16" s="176">
        <v>2014.8</v>
      </c>
      <c r="D16" s="177"/>
      <c r="E16" s="176"/>
      <c r="F16" s="173">
        <f t="shared" si="0"/>
        <v>300668.80999999994</v>
      </c>
    </row>
    <row r="17" spans="1:6" x14ac:dyDescent="0.25">
      <c r="A17" s="177">
        <v>43846</v>
      </c>
      <c r="B17" s="175" t="s">
        <v>100</v>
      </c>
      <c r="C17" s="176">
        <v>114829.3</v>
      </c>
      <c r="D17" s="177"/>
      <c r="E17" s="176"/>
      <c r="F17" s="173">
        <f t="shared" si="0"/>
        <v>415498.10999999993</v>
      </c>
    </row>
    <row r="18" spans="1:6" x14ac:dyDescent="0.25">
      <c r="A18" s="177">
        <v>43847</v>
      </c>
      <c r="B18" s="175" t="s">
        <v>101</v>
      </c>
      <c r="C18" s="176">
        <v>2560</v>
      </c>
      <c r="D18" s="177"/>
      <c r="E18" s="176"/>
      <c r="F18" s="173">
        <f t="shared" si="0"/>
        <v>418058.10999999993</v>
      </c>
    </row>
    <row r="19" spans="1:6" x14ac:dyDescent="0.25">
      <c r="A19" s="177">
        <v>43847</v>
      </c>
      <c r="B19" s="175" t="s">
        <v>102</v>
      </c>
      <c r="C19" s="176">
        <v>14896</v>
      </c>
      <c r="D19" s="177">
        <v>43848</v>
      </c>
      <c r="E19" s="176">
        <v>432954.11</v>
      </c>
      <c r="F19" s="173">
        <f t="shared" si="0"/>
        <v>0</v>
      </c>
    </row>
    <row r="20" spans="1:6" x14ac:dyDescent="0.25">
      <c r="A20" s="177">
        <v>43848</v>
      </c>
      <c r="B20" s="175" t="s">
        <v>103</v>
      </c>
      <c r="C20" s="176">
        <v>133304</v>
      </c>
      <c r="D20" s="177"/>
      <c r="E20" s="176"/>
      <c r="F20" s="173">
        <f t="shared" si="0"/>
        <v>133304</v>
      </c>
    </row>
    <row r="21" spans="1:6" x14ac:dyDescent="0.25">
      <c r="A21" s="177">
        <v>43848</v>
      </c>
      <c r="B21" s="175" t="s">
        <v>104</v>
      </c>
      <c r="C21" s="176">
        <v>71669.45</v>
      </c>
      <c r="D21" s="177"/>
      <c r="E21" s="176"/>
      <c r="F21" s="173">
        <f t="shared" si="0"/>
        <v>204973.45</v>
      </c>
    </row>
    <row r="22" spans="1:6" x14ac:dyDescent="0.25">
      <c r="A22" s="177">
        <v>43849</v>
      </c>
      <c r="B22" s="175" t="s">
        <v>105</v>
      </c>
      <c r="C22" s="176">
        <v>3967.2</v>
      </c>
      <c r="D22" s="177"/>
      <c r="E22" s="176"/>
      <c r="F22" s="173">
        <f t="shared" si="0"/>
        <v>208940.65000000002</v>
      </c>
    </row>
    <row r="23" spans="1:6" x14ac:dyDescent="0.25">
      <c r="A23" s="177">
        <v>43849</v>
      </c>
      <c r="B23" s="175" t="s">
        <v>106</v>
      </c>
      <c r="C23" s="176">
        <v>2893.2</v>
      </c>
      <c r="D23" s="177"/>
      <c r="E23" s="176"/>
      <c r="F23" s="173">
        <f t="shared" si="0"/>
        <v>211833.85000000003</v>
      </c>
    </row>
    <row r="24" spans="1:6" x14ac:dyDescent="0.25">
      <c r="A24" s="177">
        <v>43851</v>
      </c>
      <c r="B24" s="175" t="s">
        <v>107</v>
      </c>
      <c r="C24" s="176">
        <v>137808.56</v>
      </c>
      <c r="D24" s="177"/>
      <c r="E24" s="176"/>
      <c r="F24" s="173">
        <f t="shared" si="0"/>
        <v>349642.41000000003</v>
      </c>
    </row>
    <row r="25" spans="1:6" x14ac:dyDescent="0.25">
      <c r="A25" s="177">
        <v>43851</v>
      </c>
      <c r="B25" s="175" t="s">
        <v>108</v>
      </c>
      <c r="C25" s="176">
        <v>1036</v>
      </c>
      <c r="D25" s="177">
        <v>43852</v>
      </c>
      <c r="E25" s="176">
        <v>350678.41</v>
      </c>
      <c r="F25" s="173">
        <f t="shared" si="0"/>
        <v>0</v>
      </c>
    </row>
    <row r="26" spans="1:6" x14ac:dyDescent="0.25">
      <c r="A26" s="177">
        <v>43850</v>
      </c>
      <c r="B26" s="175" t="s">
        <v>109</v>
      </c>
      <c r="C26" s="176">
        <v>95296.9</v>
      </c>
      <c r="D26" s="177"/>
      <c r="E26" s="176"/>
      <c r="F26" s="173">
        <f t="shared" si="0"/>
        <v>95296.9</v>
      </c>
    </row>
    <row r="27" spans="1:6" x14ac:dyDescent="0.25">
      <c r="A27" s="177">
        <v>43853</v>
      </c>
      <c r="B27" s="175" t="s">
        <v>110</v>
      </c>
      <c r="C27" s="176">
        <v>114983.8</v>
      </c>
      <c r="D27" s="177"/>
      <c r="E27" s="176"/>
      <c r="F27" s="173">
        <f t="shared" si="0"/>
        <v>210280.7</v>
      </c>
    </row>
    <row r="28" spans="1:6" x14ac:dyDescent="0.25">
      <c r="A28" s="174">
        <v>43854</v>
      </c>
      <c r="B28" s="175" t="s">
        <v>111</v>
      </c>
      <c r="C28" s="176">
        <v>97328.45</v>
      </c>
      <c r="D28" s="177"/>
      <c r="E28" s="176"/>
      <c r="F28" s="173">
        <f t="shared" si="0"/>
        <v>307609.15000000002</v>
      </c>
    </row>
    <row r="29" spans="1:6" x14ac:dyDescent="0.25">
      <c r="A29" s="174">
        <v>43855</v>
      </c>
      <c r="B29" s="175" t="s">
        <v>112</v>
      </c>
      <c r="C29" s="176">
        <v>158655.5</v>
      </c>
      <c r="D29" s="177"/>
      <c r="E29" s="176"/>
      <c r="F29" s="173">
        <f t="shared" si="0"/>
        <v>466264.65</v>
      </c>
    </row>
    <row r="30" spans="1:6" x14ac:dyDescent="0.25">
      <c r="A30" s="174">
        <v>43856</v>
      </c>
      <c r="B30" s="175" t="s">
        <v>113</v>
      </c>
      <c r="C30" s="176">
        <v>1244.4000000000001</v>
      </c>
      <c r="D30" s="177"/>
      <c r="E30" s="176"/>
      <c r="F30" s="173">
        <f t="shared" si="0"/>
        <v>467509.05000000005</v>
      </c>
    </row>
    <row r="31" spans="1:6" x14ac:dyDescent="0.25">
      <c r="A31" s="174">
        <v>43856</v>
      </c>
      <c r="B31" s="175" t="s">
        <v>114</v>
      </c>
      <c r="C31" s="176">
        <v>3303</v>
      </c>
      <c r="D31" s="177"/>
      <c r="E31" s="176"/>
      <c r="F31" s="173">
        <f t="shared" si="0"/>
        <v>470812.05000000005</v>
      </c>
    </row>
    <row r="32" spans="1:6" x14ac:dyDescent="0.25">
      <c r="A32" s="174">
        <v>43857</v>
      </c>
      <c r="B32" s="175" t="s">
        <v>115</v>
      </c>
      <c r="C32" s="176">
        <v>8468.2000000000007</v>
      </c>
      <c r="D32" s="177">
        <v>43857</v>
      </c>
      <c r="E32" s="176">
        <v>479280.25</v>
      </c>
      <c r="F32" s="173">
        <f t="shared" si="0"/>
        <v>0</v>
      </c>
    </row>
    <row r="33" spans="1:6" x14ac:dyDescent="0.25">
      <c r="A33" s="174">
        <v>43858</v>
      </c>
      <c r="B33" s="175" t="s">
        <v>116</v>
      </c>
      <c r="C33" s="176">
        <v>43621.7</v>
      </c>
      <c r="D33" s="177"/>
      <c r="E33" s="176"/>
      <c r="F33" s="173">
        <f t="shared" si="0"/>
        <v>43621.7</v>
      </c>
    </row>
    <row r="34" spans="1:6" x14ac:dyDescent="0.25">
      <c r="A34" s="174">
        <v>43859</v>
      </c>
      <c r="B34" s="175" t="s">
        <v>117</v>
      </c>
      <c r="C34" s="176">
        <v>65222.16</v>
      </c>
      <c r="D34" s="177"/>
      <c r="E34" s="176"/>
      <c r="F34" s="173">
        <f t="shared" si="0"/>
        <v>108843.86</v>
      </c>
    </row>
    <row r="35" spans="1:6" x14ac:dyDescent="0.25">
      <c r="A35" s="174">
        <v>43861</v>
      </c>
      <c r="B35" s="175" t="s">
        <v>118</v>
      </c>
      <c r="C35" s="176">
        <v>7226.75</v>
      </c>
      <c r="D35" s="177"/>
      <c r="E35" s="176"/>
      <c r="F35" s="173">
        <f t="shared" si="0"/>
        <v>116070.61</v>
      </c>
    </row>
    <row r="36" spans="1:6" x14ac:dyDescent="0.25">
      <c r="A36" s="174">
        <v>43861</v>
      </c>
      <c r="B36" s="175" t="s">
        <v>119</v>
      </c>
      <c r="C36" s="176">
        <v>107062.39999999999</v>
      </c>
      <c r="D36" s="177">
        <v>43861</v>
      </c>
      <c r="E36" s="176">
        <v>223133.01</v>
      </c>
      <c r="F36" s="173">
        <f t="shared" si="0"/>
        <v>0</v>
      </c>
    </row>
    <row r="37" spans="1:6" x14ac:dyDescent="0.25">
      <c r="A37" s="174">
        <v>43861</v>
      </c>
      <c r="B37" s="175" t="s">
        <v>122</v>
      </c>
      <c r="C37" s="176">
        <v>11099.6</v>
      </c>
      <c r="D37" s="177"/>
      <c r="E37" s="176"/>
      <c r="F37" s="173">
        <f t="shared" si="0"/>
        <v>11099.6</v>
      </c>
    </row>
    <row r="38" spans="1:6" x14ac:dyDescent="0.25">
      <c r="A38" s="174">
        <v>43862</v>
      </c>
      <c r="B38" s="175" t="s">
        <v>123</v>
      </c>
      <c r="C38" s="176">
        <v>122864.8</v>
      </c>
      <c r="D38" s="177"/>
      <c r="E38" s="176"/>
      <c r="F38" s="173">
        <f t="shared" si="0"/>
        <v>133964.4</v>
      </c>
    </row>
    <row r="39" spans="1:6" x14ac:dyDescent="0.25">
      <c r="A39" s="174">
        <v>43863</v>
      </c>
      <c r="B39" s="175" t="s">
        <v>124</v>
      </c>
      <c r="C39" s="176">
        <v>8621.7999999999993</v>
      </c>
      <c r="D39" s="177"/>
      <c r="E39" s="176"/>
      <c r="F39" s="173">
        <f t="shared" si="0"/>
        <v>142586.19999999998</v>
      </c>
    </row>
    <row r="40" spans="1:6" x14ac:dyDescent="0.25">
      <c r="A40" s="174">
        <v>43864</v>
      </c>
      <c r="B40" s="175" t="s">
        <v>125</v>
      </c>
      <c r="C40" s="176">
        <v>109336</v>
      </c>
      <c r="D40" s="177"/>
      <c r="E40" s="176"/>
      <c r="F40" s="173">
        <f t="shared" si="0"/>
        <v>251922.19999999998</v>
      </c>
    </row>
    <row r="41" spans="1:6" x14ac:dyDescent="0.25">
      <c r="A41" s="174">
        <v>43866</v>
      </c>
      <c r="B41" s="175" t="s">
        <v>126</v>
      </c>
      <c r="C41" s="176">
        <v>85830.3</v>
      </c>
      <c r="D41" s="177"/>
      <c r="E41" s="176"/>
      <c r="F41" s="173">
        <f t="shared" si="0"/>
        <v>337752.5</v>
      </c>
    </row>
    <row r="42" spans="1:6" x14ac:dyDescent="0.25">
      <c r="A42" s="174">
        <v>43867</v>
      </c>
      <c r="B42" s="175" t="s">
        <v>127</v>
      </c>
      <c r="C42" s="176">
        <v>87095.91</v>
      </c>
      <c r="D42" s="177"/>
      <c r="E42" s="176"/>
      <c r="F42" s="173">
        <f t="shared" si="0"/>
        <v>424848.41000000003</v>
      </c>
    </row>
    <row r="43" spans="1:6" x14ac:dyDescent="0.25">
      <c r="A43" s="174">
        <v>43867</v>
      </c>
      <c r="B43" s="175" t="s">
        <v>128</v>
      </c>
      <c r="C43" s="176">
        <v>540</v>
      </c>
      <c r="D43" s="177">
        <v>43869</v>
      </c>
      <c r="E43" s="176">
        <v>425388.41</v>
      </c>
      <c r="F43" s="173">
        <f t="shared" si="0"/>
        <v>0</v>
      </c>
    </row>
    <row r="44" spans="1:6" x14ac:dyDescent="0.25">
      <c r="A44" s="174"/>
      <c r="B44" s="175"/>
      <c r="C44" s="176"/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/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2518468.4499999993</v>
      </c>
      <c r="D51" s="1"/>
      <c r="E51" s="4">
        <f>SUM(E3:E50)</f>
        <v>2518468.4500000002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625D-1020-410F-95CE-CFD3F4FCACAE}">
  <sheetPr>
    <tabColor rgb="FFFFCC99"/>
  </sheetPr>
  <dimension ref="A1:G80"/>
  <sheetViews>
    <sheetView topLeftCell="A28" workbookViewId="0">
      <selection activeCell="B48" sqref="B4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8" bestFit="1" customWidth="1"/>
  </cols>
  <sheetData>
    <row r="1" spans="1:7" ht="36.75" customHeight="1" x14ac:dyDescent="0.35">
      <c r="B1" s="185" t="s">
        <v>192</v>
      </c>
      <c r="C1" s="182"/>
      <c r="D1" s="183"/>
      <c r="E1" s="182"/>
      <c r="F1" s="184"/>
    </row>
    <row r="2" spans="1:7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7" ht="18.75" x14ac:dyDescent="0.3">
      <c r="A3" s="271">
        <v>44105</v>
      </c>
      <c r="B3" s="272" t="s">
        <v>626</v>
      </c>
      <c r="C3" s="176">
        <v>5107.2</v>
      </c>
      <c r="D3" s="270"/>
      <c r="E3" s="5"/>
      <c r="F3" s="488">
        <f>C3-E3</f>
        <v>5107.2</v>
      </c>
    </row>
    <row r="4" spans="1:7" ht="18.75" x14ac:dyDescent="0.3">
      <c r="A4" s="271">
        <v>44105</v>
      </c>
      <c r="B4" s="272" t="s">
        <v>627</v>
      </c>
      <c r="C4" s="176">
        <v>147506.9</v>
      </c>
      <c r="D4" s="273"/>
      <c r="E4" s="176"/>
      <c r="F4" s="483">
        <f>F3+C4-E4</f>
        <v>152614.1</v>
      </c>
      <c r="G4" s="451"/>
    </row>
    <row r="5" spans="1:7" x14ac:dyDescent="0.25">
      <c r="A5" s="273">
        <v>44106</v>
      </c>
      <c r="B5" s="272" t="s">
        <v>628</v>
      </c>
      <c r="C5" s="176">
        <v>15001.1</v>
      </c>
      <c r="D5" s="273">
        <v>44107</v>
      </c>
      <c r="E5" s="176">
        <v>167615.20000000001</v>
      </c>
      <c r="F5" s="489">
        <f t="shared" ref="F5:F43" si="0">F4+C5-E5</f>
        <v>0</v>
      </c>
    </row>
    <row r="6" spans="1:7" x14ac:dyDescent="0.25">
      <c r="A6" s="273">
        <v>44107</v>
      </c>
      <c r="B6" s="272" t="s">
        <v>629</v>
      </c>
      <c r="C6" s="176">
        <v>14942.9</v>
      </c>
      <c r="D6" s="273"/>
      <c r="E6" s="176"/>
      <c r="F6" s="489">
        <f t="shared" si="0"/>
        <v>14942.9</v>
      </c>
    </row>
    <row r="7" spans="1:7" x14ac:dyDescent="0.25">
      <c r="A7" s="273">
        <v>44107</v>
      </c>
      <c r="B7" s="272" t="s">
        <v>631</v>
      </c>
      <c r="C7" s="176">
        <v>164778.4</v>
      </c>
      <c r="D7" s="273"/>
      <c r="E7" s="176"/>
      <c r="F7" s="489">
        <f t="shared" si="0"/>
        <v>179721.3</v>
      </c>
    </row>
    <row r="8" spans="1:7" x14ac:dyDescent="0.25">
      <c r="A8" s="273">
        <v>44109</v>
      </c>
      <c r="B8" s="272" t="s">
        <v>630</v>
      </c>
      <c r="C8" s="176">
        <v>134492.48000000001</v>
      </c>
      <c r="D8" s="273"/>
      <c r="E8" s="176"/>
      <c r="F8" s="489">
        <f t="shared" si="0"/>
        <v>314213.78000000003</v>
      </c>
    </row>
    <row r="9" spans="1:7" x14ac:dyDescent="0.25">
      <c r="A9" s="273">
        <v>44111</v>
      </c>
      <c r="B9" s="272" t="s">
        <v>632</v>
      </c>
      <c r="C9" s="176">
        <v>11158.9</v>
      </c>
      <c r="D9" s="273"/>
      <c r="E9" s="176"/>
      <c r="F9" s="489">
        <f t="shared" si="0"/>
        <v>325372.68000000005</v>
      </c>
    </row>
    <row r="10" spans="1:7" ht="18.75" x14ac:dyDescent="0.3">
      <c r="A10" s="273">
        <v>44111</v>
      </c>
      <c r="B10" s="272" t="s">
        <v>633</v>
      </c>
      <c r="C10" s="176">
        <v>11547</v>
      </c>
      <c r="D10" s="273">
        <v>44113</v>
      </c>
      <c r="E10" s="176">
        <v>336919.68</v>
      </c>
      <c r="F10" s="483">
        <f t="shared" si="0"/>
        <v>0</v>
      </c>
      <c r="G10" s="451"/>
    </row>
    <row r="11" spans="1:7" x14ac:dyDescent="0.25">
      <c r="A11" s="271">
        <v>44112</v>
      </c>
      <c r="B11" s="272" t="s">
        <v>634</v>
      </c>
      <c r="C11" s="176">
        <v>143921.1</v>
      </c>
      <c r="D11" s="273"/>
      <c r="E11" s="176"/>
      <c r="F11" s="489">
        <f t="shared" si="0"/>
        <v>143921.1</v>
      </c>
    </row>
    <row r="12" spans="1:7" x14ac:dyDescent="0.25">
      <c r="A12" s="273">
        <v>44112</v>
      </c>
      <c r="B12" s="272" t="s">
        <v>635</v>
      </c>
      <c r="C12" s="176">
        <v>249.69</v>
      </c>
      <c r="D12" s="273"/>
      <c r="E12" s="176"/>
      <c r="F12" s="489">
        <f t="shared" si="0"/>
        <v>144170.79</v>
      </c>
    </row>
    <row r="13" spans="1:7" x14ac:dyDescent="0.25">
      <c r="A13" s="273">
        <v>44113</v>
      </c>
      <c r="B13" s="272" t="s">
        <v>636</v>
      </c>
      <c r="C13" s="176">
        <v>18932.8</v>
      </c>
      <c r="D13" s="273"/>
      <c r="E13" s="176"/>
      <c r="F13" s="489">
        <f t="shared" si="0"/>
        <v>163103.59</v>
      </c>
    </row>
    <row r="14" spans="1:7" x14ac:dyDescent="0.25">
      <c r="A14" s="273">
        <v>44114</v>
      </c>
      <c r="B14" s="272" t="s">
        <v>637</v>
      </c>
      <c r="C14" s="176">
        <v>200979.44</v>
      </c>
      <c r="D14" s="273"/>
      <c r="E14" s="176"/>
      <c r="F14" s="489">
        <f t="shared" si="0"/>
        <v>364083.03</v>
      </c>
    </row>
    <row r="15" spans="1:7" x14ac:dyDescent="0.25">
      <c r="A15" s="273">
        <v>44116</v>
      </c>
      <c r="B15" s="272" t="s">
        <v>638</v>
      </c>
      <c r="C15" s="176">
        <v>65985.600000000006</v>
      </c>
      <c r="D15" s="273"/>
      <c r="E15" s="176"/>
      <c r="F15" s="489">
        <f t="shared" si="0"/>
        <v>430068.63</v>
      </c>
    </row>
    <row r="16" spans="1:7" x14ac:dyDescent="0.25">
      <c r="A16" s="273">
        <v>44117</v>
      </c>
      <c r="B16" s="272" t="s">
        <v>639</v>
      </c>
      <c r="C16" s="176">
        <v>36035.4</v>
      </c>
      <c r="D16" s="273"/>
      <c r="E16" s="176"/>
      <c r="F16" s="489">
        <f t="shared" si="0"/>
        <v>466104.03</v>
      </c>
    </row>
    <row r="17" spans="1:7" x14ac:dyDescent="0.25">
      <c r="A17" s="273">
        <v>44117</v>
      </c>
      <c r="B17" s="272" t="s">
        <v>640</v>
      </c>
      <c r="C17" s="176">
        <v>177654.5</v>
      </c>
      <c r="D17" s="273">
        <v>44119</v>
      </c>
      <c r="E17" s="176">
        <v>643758.53</v>
      </c>
      <c r="F17" s="489">
        <f t="shared" si="0"/>
        <v>0</v>
      </c>
    </row>
    <row r="18" spans="1:7" x14ac:dyDescent="0.25">
      <c r="A18" s="273">
        <v>44120</v>
      </c>
      <c r="B18" s="272" t="s">
        <v>641</v>
      </c>
      <c r="C18" s="176">
        <v>86177.34</v>
      </c>
      <c r="D18" s="273"/>
      <c r="E18" s="176"/>
      <c r="F18" s="489">
        <f t="shared" si="0"/>
        <v>86177.34</v>
      </c>
    </row>
    <row r="19" spans="1:7" x14ac:dyDescent="0.25">
      <c r="A19" s="273">
        <v>44120</v>
      </c>
      <c r="B19" s="272" t="s">
        <v>642</v>
      </c>
      <c r="C19" s="176">
        <v>11891</v>
      </c>
      <c r="D19" s="273"/>
      <c r="E19" s="176"/>
      <c r="F19" s="489">
        <f t="shared" si="0"/>
        <v>98068.34</v>
      </c>
    </row>
    <row r="20" spans="1:7" x14ac:dyDescent="0.25">
      <c r="A20" s="273">
        <v>44121</v>
      </c>
      <c r="B20" s="272" t="s">
        <v>643</v>
      </c>
      <c r="C20" s="176">
        <v>136431.29999999999</v>
      </c>
      <c r="D20" s="273"/>
      <c r="E20" s="176"/>
      <c r="F20" s="489">
        <f t="shared" si="0"/>
        <v>234499.63999999998</v>
      </c>
    </row>
    <row r="21" spans="1:7" x14ac:dyDescent="0.25">
      <c r="A21" s="273">
        <v>44121</v>
      </c>
      <c r="B21" s="272" t="s">
        <v>644</v>
      </c>
      <c r="C21" s="176">
        <v>2970</v>
      </c>
      <c r="D21" s="273"/>
      <c r="E21" s="176"/>
      <c r="F21" s="489">
        <f t="shared" si="0"/>
        <v>237469.63999999998</v>
      </c>
    </row>
    <row r="22" spans="1:7" ht="18.75" x14ac:dyDescent="0.3">
      <c r="A22" s="273">
        <v>44123</v>
      </c>
      <c r="B22" s="272" t="s">
        <v>645</v>
      </c>
      <c r="C22" s="176">
        <v>87621.6</v>
      </c>
      <c r="D22" s="273"/>
      <c r="E22" s="176"/>
      <c r="F22" s="483">
        <f t="shared" si="0"/>
        <v>325091.24</v>
      </c>
      <c r="G22" s="451"/>
    </row>
    <row r="23" spans="1:7" x14ac:dyDescent="0.25">
      <c r="A23" s="273">
        <v>44124</v>
      </c>
      <c r="B23" s="272" t="s">
        <v>646</v>
      </c>
      <c r="C23" s="176">
        <v>21062.2</v>
      </c>
      <c r="D23" s="273"/>
      <c r="E23" s="176"/>
      <c r="F23" s="489">
        <f t="shared" si="0"/>
        <v>346153.44</v>
      </c>
    </row>
    <row r="24" spans="1:7" x14ac:dyDescent="0.25">
      <c r="A24" s="273">
        <v>44126</v>
      </c>
      <c r="B24" s="272" t="s">
        <v>647</v>
      </c>
      <c r="C24" s="176">
        <v>191516.94</v>
      </c>
      <c r="D24" s="273">
        <v>44127</v>
      </c>
      <c r="E24" s="176">
        <v>459955</v>
      </c>
      <c r="F24" s="489">
        <f t="shared" si="0"/>
        <v>77715.38</v>
      </c>
    </row>
    <row r="25" spans="1:7" x14ac:dyDescent="0.25">
      <c r="A25" s="273">
        <v>44126</v>
      </c>
      <c r="B25" s="272" t="s">
        <v>648</v>
      </c>
      <c r="C25" s="176">
        <v>4518.3999999999996</v>
      </c>
      <c r="D25" s="273"/>
      <c r="E25" s="176"/>
      <c r="F25" s="489">
        <f t="shared" si="0"/>
        <v>82233.78</v>
      </c>
    </row>
    <row r="26" spans="1:7" x14ac:dyDescent="0.25">
      <c r="A26" s="273">
        <v>44128</v>
      </c>
      <c r="B26" s="272" t="s">
        <v>649</v>
      </c>
      <c r="C26" s="176">
        <v>85229.31</v>
      </c>
      <c r="D26" s="273"/>
      <c r="E26" s="176"/>
      <c r="F26" s="489">
        <f t="shared" si="0"/>
        <v>167463.09</v>
      </c>
    </row>
    <row r="27" spans="1:7" x14ac:dyDescent="0.25">
      <c r="A27" s="273">
        <v>44128</v>
      </c>
      <c r="B27" s="272" t="s">
        <v>650</v>
      </c>
      <c r="C27" s="176">
        <v>192459.34</v>
      </c>
      <c r="D27" s="273"/>
      <c r="E27" s="176"/>
      <c r="F27" s="489">
        <f t="shared" si="0"/>
        <v>359922.43</v>
      </c>
    </row>
    <row r="28" spans="1:7" x14ac:dyDescent="0.25">
      <c r="A28" s="273">
        <v>44128</v>
      </c>
      <c r="B28" s="272" t="s">
        <v>651</v>
      </c>
      <c r="C28" s="176">
        <v>37082.199999999997</v>
      </c>
      <c r="D28" s="273"/>
      <c r="E28" s="176"/>
      <c r="F28" s="489">
        <f t="shared" si="0"/>
        <v>397004.63</v>
      </c>
    </row>
    <row r="29" spans="1:7" x14ac:dyDescent="0.25">
      <c r="A29" s="273">
        <v>44131</v>
      </c>
      <c r="B29" s="272" t="s">
        <v>652</v>
      </c>
      <c r="C29" s="176">
        <v>97266.72</v>
      </c>
      <c r="D29" s="273">
        <v>44132</v>
      </c>
      <c r="E29" s="176">
        <v>494271.35</v>
      </c>
      <c r="F29" s="489">
        <f t="shared" si="0"/>
        <v>0</v>
      </c>
    </row>
    <row r="30" spans="1:7" ht="18.75" x14ac:dyDescent="0.3">
      <c r="A30" s="273">
        <v>44133</v>
      </c>
      <c r="B30" s="272" t="s">
        <v>653</v>
      </c>
      <c r="C30" s="176">
        <v>171457.14</v>
      </c>
      <c r="D30" s="273"/>
      <c r="E30" s="176"/>
      <c r="F30" s="483">
        <f t="shared" si="0"/>
        <v>171457.14</v>
      </c>
      <c r="G30" s="451"/>
    </row>
    <row r="31" spans="1:7" x14ac:dyDescent="0.25">
      <c r="A31" s="273">
        <v>44134</v>
      </c>
      <c r="B31" s="272" t="s">
        <v>654</v>
      </c>
      <c r="C31" s="176">
        <v>94679.3</v>
      </c>
      <c r="D31" s="273"/>
      <c r="E31" s="176"/>
      <c r="F31" s="489">
        <f t="shared" si="0"/>
        <v>266136.44</v>
      </c>
    </row>
    <row r="32" spans="1:7" x14ac:dyDescent="0.25">
      <c r="A32" s="271">
        <v>44134</v>
      </c>
      <c r="B32" s="272" t="s">
        <v>655</v>
      </c>
      <c r="C32" s="176">
        <v>160</v>
      </c>
      <c r="D32" s="410"/>
      <c r="E32" s="36"/>
      <c r="F32" s="489">
        <f t="shared" si="0"/>
        <v>266296.44</v>
      </c>
    </row>
    <row r="33" spans="1:6" x14ac:dyDescent="0.25">
      <c r="A33" s="271">
        <v>44135</v>
      </c>
      <c r="B33" s="272" t="s">
        <v>656</v>
      </c>
      <c r="C33" s="176">
        <v>36710.5</v>
      </c>
      <c r="D33" s="410"/>
      <c r="E33" s="36"/>
      <c r="F33" s="489">
        <f t="shared" si="0"/>
        <v>303006.94</v>
      </c>
    </row>
    <row r="34" spans="1:6" x14ac:dyDescent="0.25">
      <c r="A34" s="271">
        <v>44135</v>
      </c>
      <c r="B34" s="272" t="s">
        <v>657</v>
      </c>
      <c r="C34" s="176">
        <v>36721.699999999997</v>
      </c>
      <c r="D34" s="410">
        <v>44141</v>
      </c>
      <c r="E34" s="36">
        <v>339728.64000000001</v>
      </c>
      <c r="F34" s="489">
        <f t="shared" si="0"/>
        <v>0</v>
      </c>
    </row>
    <row r="35" spans="1:6" x14ac:dyDescent="0.25">
      <c r="A35" s="271"/>
      <c r="B35" s="272"/>
      <c r="C35" s="176"/>
      <c r="D35" s="410"/>
      <c r="E35" s="36"/>
      <c r="F35" s="489">
        <f t="shared" si="0"/>
        <v>0</v>
      </c>
    </row>
    <row r="36" spans="1:6" x14ac:dyDescent="0.25">
      <c r="A36" s="271"/>
      <c r="B36" s="272"/>
      <c r="C36" s="176"/>
      <c r="D36" s="410"/>
      <c r="E36" s="36"/>
      <c r="F36" s="489">
        <f t="shared" si="0"/>
        <v>0</v>
      </c>
    </row>
    <row r="37" spans="1:6" x14ac:dyDescent="0.25">
      <c r="A37" s="273"/>
      <c r="B37" s="272"/>
      <c r="C37" s="176"/>
      <c r="D37" s="410"/>
      <c r="E37" s="36"/>
      <c r="F37" s="489">
        <f t="shared" si="0"/>
        <v>0</v>
      </c>
    </row>
    <row r="38" spans="1:6" x14ac:dyDescent="0.25">
      <c r="A38" s="273"/>
      <c r="B38" s="272"/>
      <c r="C38" s="176"/>
      <c r="D38" s="410"/>
      <c r="E38" s="36"/>
      <c r="F38" s="489">
        <f t="shared" si="0"/>
        <v>0</v>
      </c>
    </row>
    <row r="39" spans="1:6" x14ac:dyDescent="0.25">
      <c r="A39" s="273"/>
      <c r="B39" s="272"/>
      <c r="C39" s="176"/>
      <c r="D39" s="410"/>
      <c r="E39" s="36"/>
      <c r="F39" s="489">
        <f t="shared" si="0"/>
        <v>0</v>
      </c>
    </row>
    <row r="40" spans="1:6" x14ac:dyDescent="0.25">
      <c r="A40" s="271"/>
      <c r="B40" s="272"/>
      <c r="C40" s="176"/>
      <c r="D40" s="410"/>
      <c r="E40" s="36"/>
      <c r="F40" s="489">
        <f t="shared" si="0"/>
        <v>0</v>
      </c>
    </row>
    <row r="41" spans="1:6" x14ac:dyDescent="0.25">
      <c r="A41" s="271"/>
      <c r="B41" s="272"/>
      <c r="C41" s="176"/>
      <c r="D41" s="410"/>
      <c r="E41" s="36"/>
      <c r="F41" s="489">
        <f t="shared" si="0"/>
        <v>0</v>
      </c>
    </row>
    <row r="42" spans="1:6" x14ac:dyDescent="0.25">
      <c r="A42" s="271"/>
      <c r="B42" s="272"/>
      <c r="C42" s="176"/>
      <c r="D42" s="410"/>
      <c r="E42" s="36"/>
      <c r="F42" s="489">
        <f t="shared" si="0"/>
        <v>0</v>
      </c>
    </row>
    <row r="43" spans="1:6" ht="15.75" thickBot="1" x14ac:dyDescent="0.3">
      <c r="A43" s="178"/>
      <c r="B43" s="411"/>
      <c r="C43" s="104">
        <v>0</v>
      </c>
      <c r="D43" s="180"/>
      <c r="E43" s="104"/>
      <c r="F43" s="490">
        <f t="shared" si="0"/>
        <v>0</v>
      </c>
    </row>
    <row r="44" spans="1:6" ht="19.5" thickTop="1" x14ac:dyDescent="0.3">
      <c r="B44" s="59"/>
      <c r="C44" s="4">
        <f>SUM(C3:C43)</f>
        <v>2442248.4000000004</v>
      </c>
      <c r="D44" s="1"/>
      <c r="E44" s="4">
        <f>SUM(E3:E43)</f>
        <v>2442248.4000000004</v>
      </c>
      <c r="F44" s="491">
        <f>F43</f>
        <v>0</v>
      </c>
    </row>
    <row r="45" spans="1:6" x14ac:dyDescent="0.25">
      <c r="B45" s="59"/>
      <c r="C45" s="4"/>
      <c r="D45" s="1"/>
      <c r="E45" s="8"/>
      <c r="F45" s="4"/>
    </row>
    <row r="46" spans="1:6" x14ac:dyDescent="0.25">
      <c r="B46" s="59"/>
      <c r="C46" s="4"/>
      <c r="D46" s="1"/>
      <c r="E46" s="8"/>
      <c r="F46" s="4"/>
    </row>
    <row r="47" spans="1:6" x14ac:dyDescent="0.25">
      <c r="A47"/>
      <c r="B47" s="30"/>
      <c r="D47" s="30"/>
    </row>
    <row r="48" spans="1:6" x14ac:dyDescent="0.25">
      <c r="A48"/>
      <c r="B48" s="30"/>
      <c r="D48" s="30"/>
    </row>
    <row r="49" spans="1:6" x14ac:dyDescent="0.25">
      <c r="A49"/>
      <c r="B49" s="30"/>
      <c r="D49" s="30"/>
    </row>
    <row r="50" spans="1:6" x14ac:dyDescent="0.25">
      <c r="A50"/>
      <c r="B50" s="30"/>
      <c r="D50" s="30"/>
      <c r="F50" s="492"/>
    </row>
    <row r="51" spans="1:6" x14ac:dyDescent="0.25">
      <c r="A51"/>
      <c r="B51" s="30"/>
      <c r="D51" s="30"/>
      <c r="F51" s="492"/>
    </row>
    <row r="52" spans="1:6" x14ac:dyDescent="0.25">
      <c r="A52"/>
      <c r="B52" s="30"/>
      <c r="D52" s="30"/>
      <c r="F52" s="492"/>
    </row>
    <row r="53" spans="1:6" x14ac:dyDescent="0.25">
      <c r="A53"/>
      <c r="B53" s="30"/>
      <c r="D53" s="30"/>
      <c r="F53" s="492"/>
    </row>
    <row r="54" spans="1:6" x14ac:dyDescent="0.25">
      <c r="A54"/>
      <c r="B54" s="30"/>
      <c r="D54" s="30"/>
      <c r="F54" s="492"/>
    </row>
    <row r="55" spans="1:6" x14ac:dyDescent="0.25">
      <c r="A55"/>
      <c r="B55" s="30"/>
      <c r="D55" s="30"/>
      <c r="F55" s="492"/>
    </row>
    <row r="56" spans="1:6" x14ac:dyDescent="0.25">
      <c r="A56"/>
      <c r="B56" s="30"/>
      <c r="D56" s="30"/>
      <c r="F56" s="492"/>
    </row>
    <row r="57" spans="1:6" x14ac:dyDescent="0.25">
      <c r="A57"/>
      <c r="B57" s="30"/>
      <c r="D57" s="30"/>
      <c r="F57" s="492"/>
    </row>
    <row r="58" spans="1:6" x14ac:dyDescent="0.25">
      <c r="A58"/>
      <c r="B58" s="30"/>
      <c r="D58" s="30"/>
      <c r="F58" s="492"/>
    </row>
    <row r="59" spans="1:6" x14ac:dyDescent="0.25">
      <c r="A59"/>
      <c r="B59" s="30"/>
      <c r="D59" s="30"/>
      <c r="E59"/>
      <c r="F59" s="492"/>
    </row>
    <row r="60" spans="1:6" x14ac:dyDescent="0.25">
      <c r="A60"/>
      <c r="B60" s="30"/>
      <c r="D60" s="30"/>
      <c r="E60"/>
      <c r="F60" s="492"/>
    </row>
    <row r="61" spans="1:6" x14ac:dyDescent="0.25">
      <c r="A61"/>
      <c r="B61" s="30"/>
      <c r="D61" s="30"/>
      <c r="E61"/>
      <c r="F61" s="492"/>
    </row>
    <row r="62" spans="1:6" x14ac:dyDescent="0.25">
      <c r="A62"/>
      <c r="B62" s="30"/>
      <c r="D62" s="30"/>
      <c r="E62"/>
      <c r="F62" s="492"/>
    </row>
    <row r="63" spans="1:6" x14ac:dyDescent="0.25">
      <c r="A63"/>
      <c r="B63" s="30"/>
      <c r="D63" s="30"/>
      <c r="E63"/>
      <c r="F63" s="492"/>
    </row>
    <row r="64" spans="1:6" x14ac:dyDescent="0.25">
      <c r="A64"/>
      <c r="B64" s="30"/>
      <c r="D64" s="30"/>
      <c r="E64"/>
      <c r="F64" s="492"/>
    </row>
    <row r="65" spans="2:5" x14ac:dyDescent="0.25">
      <c r="B65" s="30"/>
      <c r="D65" s="30"/>
      <c r="E65"/>
    </row>
    <row r="66" spans="2:5" x14ac:dyDescent="0.25">
      <c r="B66" s="30"/>
      <c r="D66" s="30"/>
      <c r="E66"/>
    </row>
    <row r="67" spans="2:5" x14ac:dyDescent="0.25">
      <c r="B67" s="30"/>
      <c r="D67" s="30"/>
      <c r="E67"/>
    </row>
    <row r="68" spans="2:5" x14ac:dyDescent="0.25">
      <c r="B68" s="30"/>
      <c r="D68" s="30"/>
      <c r="E68"/>
    </row>
    <row r="69" spans="2:5" x14ac:dyDescent="0.25">
      <c r="B69" s="30"/>
      <c r="D69" s="30"/>
      <c r="E69"/>
    </row>
    <row r="70" spans="2:5" x14ac:dyDescent="0.25">
      <c r="B70" s="30"/>
      <c r="D70" s="30"/>
      <c r="E70"/>
    </row>
    <row r="71" spans="2:5" x14ac:dyDescent="0.25">
      <c r="B71" s="30"/>
      <c r="D71" s="30"/>
      <c r="E71"/>
    </row>
    <row r="72" spans="2:5" x14ac:dyDescent="0.25">
      <c r="B72" s="30"/>
      <c r="D72" s="30"/>
      <c r="E72"/>
    </row>
    <row r="73" spans="2:5" x14ac:dyDescent="0.25">
      <c r="B73" s="30"/>
      <c r="D73" s="30"/>
      <c r="E73"/>
    </row>
    <row r="74" spans="2:5" x14ac:dyDescent="0.25">
      <c r="B74" s="30"/>
    </row>
    <row r="75" spans="2:5" x14ac:dyDescent="0.25">
      <c r="B75" s="30"/>
    </row>
    <row r="76" spans="2:5" x14ac:dyDescent="0.25">
      <c r="B76" s="30"/>
      <c r="D76" s="30"/>
    </row>
    <row r="77" spans="2:5" x14ac:dyDescent="0.25">
      <c r="B77" s="30"/>
    </row>
    <row r="78" spans="2:5" x14ac:dyDescent="0.25">
      <c r="B78" s="30"/>
    </row>
    <row r="79" spans="2:5" x14ac:dyDescent="0.25">
      <c r="B79" s="30"/>
    </row>
    <row r="80" spans="2:5" ht="18.75" x14ac:dyDescent="0.3">
      <c r="C80" s="14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BB03-E89B-4E41-9328-C980A2A47F9D}">
  <sheetPr>
    <tabColor rgb="FF00B050"/>
  </sheetPr>
  <dimension ref="A1:AL82"/>
  <sheetViews>
    <sheetView topLeftCell="A40" workbookViewId="0">
      <selection activeCell="C63" sqref="C6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7.5703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7.4257812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660" t="s">
        <v>664</v>
      </c>
      <c r="D1" s="660"/>
      <c r="E1" s="660"/>
      <c r="F1" s="660"/>
      <c r="G1" s="660"/>
      <c r="H1" s="660"/>
      <c r="I1" s="660"/>
      <c r="J1" s="660"/>
      <c r="K1" s="660"/>
      <c r="L1" s="2"/>
      <c r="M1" s="3"/>
      <c r="AK1" s="643" t="s">
        <v>45</v>
      </c>
      <c r="AL1" s="644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651" t="s">
        <v>4</v>
      </c>
      <c r="X2" s="652"/>
      <c r="AB2" s="651" t="s">
        <v>4</v>
      </c>
      <c r="AC2" s="652"/>
      <c r="AF2" s="648" t="s">
        <v>43</v>
      </c>
      <c r="AG2" s="649"/>
      <c r="AH2" s="650"/>
      <c r="AJ2" s="193" t="s">
        <v>44</v>
      </c>
      <c r="AK2" s="645"/>
      <c r="AL2" s="646"/>
    </row>
    <row r="3" spans="1:38" ht="18" customHeight="1" thickBot="1" x14ac:dyDescent="0.35">
      <c r="B3" s="661" t="s">
        <v>1</v>
      </c>
      <c r="C3" s="662"/>
      <c r="D3" s="15"/>
      <c r="E3" s="374"/>
      <c r="F3" s="374"/>
      <c r="H3" s="669" t="s">
        <v>190</v>
      </c>
      <c r="I3" s="669"/>
      <c r="K3" s="234" t="s">
        <v>2</v>
      </c>
      <c r="L3" s="236" t="s">
        <v>191</v>
      </c>
      <c r="M3" s="236"/>
      <c r="W3" s="653"/>
      <c r="X3" s="654"/>
      <c r="Y3" s="195" t="s">
        <v>37</v>
      </c>
      <c r="AB3" s="653"/>
      <c r="AC3" s="654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313820.27</v>
      </c>
      <c r="D4" s="308">
        <v>44104</v>
      </c>
      <c r="E4" s="663" t="s">
        <v>6</v>
      </c>
      <c r="F4" s="664"/>
      <c r="H4" s="665" t="s">
        <v>7</v>
      </c>
      <c r="I4" s="666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44136</v>
      </c>
      <c r="C5" s="320">
        <v>19305</v>
      </c>
      <c r="D5" s="309" t="s">
        <v>665</v>
      </c>
      <c r="E5" s="151">
        <v>44136</v>
      </c>
      <c r="F5" s="32">
        <v>105375</v>
      </c>
      <c r="G5" s="152"/>
      <c r="H5" s="153">
        <v>44136</v>
      </c>
      <c r="I5" s="33">
        <v>440</v>
      </c>
      <c r="M5" s="34">
        <v>76071</v>
      </c>
      <c r="N5" s="35">
        <v>9559</v>
      </c>
      <c r="O5" s="36"/>
      <c r="P5" s="36">
        <f>C5+I5+M5+N5</f>
        <v>105375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44137</v>
      </c>
      <c r="C6" s="320">
        <v>828</v>
      </c>
      <c r="D6" s="310" t="s">
        <v>48</v>
      </c>
      <c r="E6" s="151">
        <v>44137</v>
      </c>
      <c r="F6" s="32">
        <v>80318</v>
      </c>
      <c r="G6" s="152"/>
      <c r="H6" s="153">
        <v>44137</v>
      </c>
      <c r="I6" s="39">
        <v>440</v>
      </c>
      <c r="J6" s="60"/>
      <c r="K6" s="443"/>
      <c r="L6" s="47"/>
      <c r="M6" s="34">
        <v>85989</v>
      </c>
      <c r="N6" s="35">
        <v>5277</v>
      </c>
      <c r="O6" s="276"/>
      <c r="P6" s="36">
        <f>C6+I6+M6+N6+L6</f>
        <v>92534</v>
      </c>
      <c r="Q6" s="198">
        <f>P6-F6</f>
        <v>12216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44138</v>
      </c>
      <c r="C7" s="320">
        <v>13764</v>
      </c>
      <c r="D7" s="311" t="s">
        <v>666</v>
      </c>
      <c r="E7" s="151">
        <v>44138</v>
      </c>
      <c r="F7" s="32">
        <v>74355</v>
      </c>
      <c r="G7" s="152"/>
      <c r="H7" s="153">
        <v>44138</v>
      </c>
      <c r="I7" s="39">
        <v>495</v>
      </c>
      <c r="J7" s="60"/>
      <c r="K7" s="20"/>
      <c r="L7" s="55"/>
      <c r="M7" s="34">
        <f>42718+15000</f>
        <v>57718</v>
      </c>
      <c r="N7" s="35">
        <v>2378</v>
      </c>
      <c r="O7" s="127"/>
      <c r="P7" s="36">
        <f>C7+I7+M7+N7+L7</f>
        <v>74355</v>
      </c>
      <c r="Q7" s="5">
        <f>P7-F7</f>
        <v>0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44139</v>
      </c>
      <c r="C8" s="320">
        <v>7006</v>
      </c>
      <c r="D8" s="312" t="s">
        <v>667</v>
      </c>
      <c r="E8" s="151">
        <v>44139</v>
      </c>
      <c r="F8" s="32">
        <v>75644</v>
      </c>
      <c r="G8" s="152"/>
      <c r="H8" s="153">
        <v>44139</v>
      </c>
      <c r="I8" s="39">
        <v>440</v>
      </c>
      <c r="J8" s="414"/>
      <c r="K8" s="342"/>
      <c r="L8" s="343"/>
      <c r="M8" s="34">
        <v>65202</v>
      </c>
      <c r="N8" s="35">
        <v>2996</v>
      </c>
      <c r="O8" s="276"/>
      <c r="P8" s="36">
        <f>C8+I8+M8+N8</f>
        <v>75644</v>
      </c>
      <c r="Q8" s="5">
        <f>P8-F8</f>
        <v>0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44140</v>
      </c>
      <c r="C9" s="320">
        <v>1218</v>
      </c>
      <c r="D9" s="313" t="s">
        <v>72</v>
      </c>
      <c r="E9" s="151">
        <v>44140</v>
      </c>
      <c r="F9" s="32">
        <v>69294</v>
      </c>
      <c r="G9" s="152"/>
      <c r="H9" s="153">
        <v>44140</v>
      </c>
      <c r="I9" s="39">
        <v>440</v>
      </c>
      <c r="J9" s="415"/>
      <c r="K9" s="200"/>
      <c r="L9" s="343"/>
      <c r="M9" s="34">
        <v>64976</v>
      </c>
      <c r="N9" s="35">
        <v>2660</v>
      </c>
      <c r="O9" s="276"/>
      <c r="P9" s="36">
        <f>C9+I9+M9+N9</f>
        <v>69294</v>
      </c>
      <c r="Q9" s="5">
        <f t="shared" ref="Q9:Q13" si="0">P9-F9</f>
        <v>0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44141</v>
      </c>
      <c r="C10" s="320">
        <v>6882</v>
      </c>
      <c r="D10" s="311" t="s">
        <v>668</v>
      </c>
      <c r="E10" s="151">
        <v>44141</v>
      </c>
      <c r="F10" s="32">
        <v>137358</v>
      </c>
      <c r="G10" s="152"/>
      <c r="H10" s="153">
        <v>44141</v>
      </c>
      <c r="I10" s="39">
        <v>16261</v>
      </c>
      <c r="J10" s="415"/>
      <c r="K10" s="366"/>
      <c r="L10" s="68"/>
      <c r="M10" s="34">
        <f>103513+248+150+100</f>
        <v>104011</v>
      </c>
      <c r="N10" s="35">
        <v>10279</v>
      </c>
      <c r="O10" s="257"/>
      <c r="P10" s="36">
        <f>C10+I10+M10+N10+L11</f>
        <v>154171.16</v>
      </c>
      <c r="Q10" s="198">
        <f t="shared" si="0"/>
        <v>16813.160000000003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44142</v>
      </c>
      <c r="C11" s="320">
        <v>4986</v>
      </c>
      <c r="D11" s="310" t="s">
        <v>669</v>
      </c>
      <c r="E11" s="151">
        <v>44142</v>
      </c>
      <c r="F11" s="32">
        <v>100106</v>
      </c>
      <c r="G11" s="152"/>
      <c r="H11" s="153">
        <v>44142</v>
      </c>
      <c r="I11" s="39">
        <v>589</v>
      </c>
      <c r="J11" s="331"/>
      <c r="K11" s="57" t="s">
        <v>670</v>
      </c>
      <c r="L11" s="55">
        <v>16738.16</v>
      </c>
      <c r="M11" s="34">
        <v>76080</v>
      </c>
      <c r="N11" s="35">
        <v>6558</v>
      </c>
      <c r="O11" s="276"/>
      <c r="P11" s="36">
        <f>C11+I11+M11+N11+L11</f>
        <v>104951.16</v>
      </c>
      <c r="Q11" s="201">
        <f t="shared" si="0"/>
        <v>4845.1600000000035</v>
      </c>
      <c r="S11" s="58">
        <v>4845.16</v>
      </c>
      <c r="T11" s="61" t="s">
        <v>686</v>
      </c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44143</v>
      </c>
      <c r="C12" s="320">
        <v>2274</v>
      </c>
      <c r="D12" s="310" t="s">
        <v>604</v>
      </c>
      <c r="E12" s="151">
        <v>44143</v>
      </c>
      <c r="F12" s="32">
        <v>97449</v>
      </c>
      <c r="G12" s="152"/>
      <c r="H12" s="153">
        <v>44143</v>
      </c>
      <c r="I12" s="39">
        <v>585</v>
      </c>
      <c r="J12" s="60"/>
      <c r="K12" s="20"/>
      <c r="L12" s="55"/>
      <c r="M12" s="34">
        <v>89230</v>
      </c>
      <c r="N12" s="35">
        <v>5360</v>
      </c>
      <c r="O12" s="298"/>
      <c r="P12" s="36">
        <f>C12+I12+M12+N12</f>
        <v>97449</v>
      </c>
      <c r="Q12" s="5">
        <f t="shared" si="0"/>
        <v>0</v>
      </c>
      <c r="S12" s="58">
        <v>9245.19</v>
      </c>
      <c r="T12" s="61" t="s">
        <v>687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44144</v>
      </c>
      <c r="C13" s="320">
        <v>966</v>
      </c>
      <c r="D13" s="312" t="s">
        <v>72</v>
      </c>
      <c r="E13" s="151">
        <v>44144</v>
      </c>
      <c r="F13" s="32">
        <v>75509</v>
      </c>
      <c r="G13" s="152"/>
      <c r="H13" s="153">
        <v>44144</v>
      </c>
      <c r="I13" s="39">
        <v>360</v>
      </c>
      <c r="J13" s="60"/>
      <c r="K13" s="509" t="s">
        <v>671</v>
      </c>
      <c r="L13" s="55">
        <v>2863</v>
      </c>
      <c r="M13" s="34">
        <v>59999</v>
      </c>
      <c r="N13" s="35">
        <v>12726</v>
      </c>
      <c r="O13" s="276"/>
      <c r="P13" s="36">
        <f>C13+I13+M13+N13+L19+L13</f>
        <v>76914</v>
      </c>
      <c r="Q13" s="201">
        <f t="shared" si="0"/>
        <v>1405</v>
      </c>
      <c r="S13" s="58">
        <v>0</v>
      </c>
      <c r="T13" s="61" t="s">
        <v>688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44145</v>
      </c>
      <c r="C14" s="320">
        <v>12502</v>
      </c>
      <c r="D14" s="311" t="s">
        <v>680</v>
      </c>
      <c r="E14" s="151">
        <v>44145</v>
      </c>
      <c r="F14" s="32">
        <v>82738</v>
      </c>
      <c r="G14" s="152"/>
      <c r="H14" s="153">
        <v>44145</v>
      </c>
      <c r="I14" s="39">
        <v>430</v>
      </c>
      <c r="J14" s="60"/>
      <c r="K14" s="20"/>
      <c r="L14" s="55"/>
      <c r="M14" s="34">
        <v>68793</v>
      </c>
      <c r="N14" s="35">
        <v>4085</v>
      </c>
      <c r="O14" s="257"/>
      <c r="P14" s="36">
        <f>C14+I14+M14+N14+L14</f>
        <v>85810</v>
      </c>
      <c r="Q14" s="198">
        <f>P14-F14</f>
        <v>3072</v>
      </c>
      <c r="S14" s="58">
        <v>0</v>
      </c>
      <c r="T14" s="61" t="s">
        <v>689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44146</v>
      </c>
      <c r="C15" s="320">
        <v>10155</v>
      </c>
      <c r="D15" s="310" t="s">
        <v>681</v>
      </c>
      <c r="E15" s="151">
        <v>44146</v>
      </c>
      <c r="F15" s="32">
        <v>67942</v>
      </c>
      <c r="G15" s="152"/>
      <c r="H15" s="153">
        <v>44146</v>
      </c>
      <c r="I15" s="39">
        <v>360</v>
      </c>
      <c r="J15" s="60"/>
      <c r="K15" s="20"/>
      <c r="L15" s="55"/>
      <c r="M15" s="34">
        <f>44406+421.64+209</f>
        <v>45036.639999999999</v>
      </c>
      <c r="N15" s="35">
        <v>13021</v>
      </c>
      <c r="O15" s="433"/>
      <c r="P15" s="36">
        <f>C15+I15+M15+N15</f>
        <v>68572.639999999999</v>
      </c>
      <c r="Q15" s="198">
        <f t="shared" ref="Q15:Q21" si="1">P15-F15</f>
        <v>630.63999999999942</v>
      </c>
      <c r="S15" s="58">
        <v>0</v>
      </c>
      <c r="T15" s="61" t="s">
        <v>690</v>
      </c>
      <c r="U15" s="61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44147</v>
      </c>
      <c r="C16" s="320">
        <v>4360</v>
      </c>
      <c r="D16" s="310" t="s">
        <v>682</v>
      </c>
      <c r="E16" s="151">
        <v>44147</v>
      </c>
      <c r="F16" s="32">
        <v>98917</v>
      </c>
      <c r="G16" s="152"/>
      <c r="H16" s="153">
        <v>44147</v>
      </c>
      <c r="I16" s="39">
        <v>486</v>
      </c>
      <c r="J16" s="60"/>
      <c r="K16" s="20"/>
      <c r="L16" s="5"/>
      <c r="M16" s="34">
        <f>66000+19880</f>
        <v>85880</v>
      </c>
      <c r="N16" s="35">
        <v>8192</v>
      </c>
      <c r="O16" s="433" t="s">
        <v>220</v>
      </c>
      <c r="P16" s="36">
        <f>C16+I16+M16+N16+L16</f>
        <v>98918</v>
      </c>
      <c r="Q16" s="5">
        <f t="shared" si="1"/>
        <v>1</v>
      </c>
      <c r="S16" s="58">
        <v>0</v>
      </c>
      <c r="T16" s="61"/>
      <c r="U16" s="61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44148</v>
      </c>
      <c r="C17" s="320">
        <v>8956</v>
      </c>
      <c r="D17" s="312" t="s">
        <v>683</v>
      </c>
      <c r="E17" s="151">
        <v>44148</v>
      </c>
      <c r="F17" s="32">
        <v>128898</v>
      </c>
      <c r="G17" s="152"/>
      <c r="H17" s="153">
        <v>44148</v>
      </c>
      <c r="I17" s="39">
        <v>12570</v>
      </c>
      <c r="J17" s="67"/>
      <c r="K17" s="20"/>
      <c r="L17" s="68"/>
      <c r="M17" s="34">
        <v>103473</v>
      </c>
      <c r="N17" s="35">
        <v>3899</v>
      </c>
      <c r="O17" s="276"/>
      <c r="P17" s="36">
        <f>C17+I17+M17+N17+L15</f>
        <v>128898</v>
      </c>
      <c r="Q17" s="5">
        <f t="shared" si="1"/>
        <v>0</v>
      </c>
      <c r="S17" s="58">
        <v>0</v>
      </c>
      <c r="T17" s="61"/>
      <c r="U17" s="221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44149</v>
      </c>
      <c r="C18" s="320">
        <v>9530</v>
      </c>
      <c r="D18" s="310" t="s">
        <v>684</v>
      </c>
      <c r="E18" s="151">
        <v>44149</v>
      </c>
      <c r="F18" s="32">
        <v>148565</v>
      </c>
      <c r="G18" s="152"/>
      <c r="H18" s="153">
        <v>44149</v>
      </c>
      <c r="I18" s="39">
        <v>950</v>
      </c>
      <c r="J18" s="67">
        <v>44149</v>
      </c>
      <c r="K18" s="71" t="s">
        <v>685</v>
      </c>
      <c r="L18" s="55">
        <f>16738.19+400+4000</f>
        <v>21138.19</v>
      </c>
      <c r="M18" s="34">
        <f>117618+75</f>
        <v>117693</v>
      </c>
      <c r="N18" s="35">
        <v>10053</v>
      </c>
      <c r="O18" s="276"/>
      <c r="P18" s="36">
        <f>C18+I18+M18+N18+L18</f>
        <v>159364.19</v>
      </c>
      <c r="Q18" s="201">
        <f t="shared" si="1"/>
        <v>10799.190000000002</v>
      </c>
      <c r="R18" s="198"/>
      <c r="S18" s="5">
        <f>SUM(S11:S17)</f>
        <v>14090.35</v>
      </c>
      <c r="T18" s="37" t="s">
        <v>17</v>
      </c>
      <c r="U18" s="37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44150</v>
      </c>
      <c r="C19" s="320">
        <v>28676</v>
      </c>
      <c r="D19" s="310" t="s">
        <v>691</v>
      </c>
      <c r="E19" s="151">
        <v>44150</v>
      </c>
      <c r="F19" s="32">
        <v>109601</v>
      </c>
      <c r="G19" s="152"/>
      <c r="H19" s="153">
        <v>44150</v>
      </c>
      <c r="I19" s="39">
        <v>950</v>
      </c>
      <c r="J19" s="67"/>
      <c r="K19" s="464"/>
      <c r="L19" s="73"/>
      <c r="M19" s="34">
        <v>72099</v>
      </c>
      <c r="N19" s="35">
        <v>7876</v>
      </c>
      <c r="O19" s="433"/>
      <c r="P19" s="36">
        <f>C19+I19+M19+N19+L19</f>
        <v>109601</v>
      </c>
      <c r="Q19" s="5">
        <f t="shared" si="1"/>
        <v>0</v>
      </c>
      <c r="T19" s="8"/>
      <c r="U19" s="8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44151</v>
      </c>
      <c r="C20" s="320">
        <v>4241</v>
      </c>
      <c r="D20" s="310" t="s">
        <v>692</v>
      </c>
      <c r="E20" s="151">
        <v>44151</v>
      </c>
      <c r="F20" s="32">
        <v>142949</v>
      </c>
      <c r="G20" s="152"/>
      <c r="H20" s="153">
        <v>44151</v>
      </c>
      <c r="I20" s="39">
        <v>440</v>
      </c>
      <c r="J20" s="60"/>
      <c r="K20" s="220"/>
      <c r="L20" s="68"/>
      <c r="M20" s="34">
        <v>136499</v>
      </c>
      <c r="N20" s="35">
        <v>1769</v>
      </c>
      <c r="O20" s="433"/>
      <c r="P20" s="36">
        <f>C20+I20+M20+N20+L8</f>
        <v>142949</v>
      </c>
      <c r="Q20" s="5">
        <f t="shared" si="1"/>
        <v>0</v>
      </c>
      <c r="T20" s="8"/>
      <c r="U20" s="8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44152</v>
      </c>
      <c r="C21" s="320">
        <v>1799</v>
      </c>
      <c r="D21" s="310" t="s">
        <v>72</v>
      </c>
      <c r="E21" s="151">
        <v>44152</v>
      </c>
      <c r="F21" s="32">
        <v>87608</v>
      </c>
      <c r="G21" s="152"/>
      <c r="H21" s="153">
        <v>44152</v>
      </c>
      <c r="I21" s="39">
        <v>495</v>
      </c>
      <c r="J21" s="67"/>
      <c r="K21" s="71"/>
      <c r="L21" s="68"/>
      <c r="M21" s="34">
        <f>78115+3000</f>
        <v>81115</v>
      </c>
      <c r="N21" s="35">
        <v>4199</v>
      </c>
      <c r="O21" s="433"/>
      <c r="P21" s="36">
        <f>C21+I21+M21+N21+L21</f>
        <v>87608</v>
      </c>
      <c r="Q21" s="5">
        <f t="shared" si="1"/>
        <v>0</v>
      </c>
      <c r="T21" s="8"/>
      <c r="U21" s="8"/>
      <c r="V21" s="432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44153</v>
      </c>
      <c r="C22" s="320">
        <v>6064.9</v>
      </c>
      <c r="D22" s="310" t="s">
        <v>693</v>
      </c>
      <c r="E22" s="151">
        <v>44153</v>
      </c>
      <c r="F22" s="32">
        <v>95565</v>
      </c>
      <c r="G22" s="152"/>
      <c r="H22" s="153">
        <v>44153</v>
      </c>
      <c r="I22" s="39">
        <v>840</v>
      </c>
      <c r="J22" s="76"/>
      <c r="K22" s="59"/>
      <c r="L22" s="77"/>
      <c r="M22" s="34">
        <f>74017+339+459+610+9484</f>
        <v>84909</v>
      </c>
      <c r="N22" s="35">
        <v>4090</v>
      </c>
      <c r="O22" s="433" t="s">
        <v>220</v>
      </c>
      <c r="P22" s="36">
        <f>C22+I22+M22+N22+L15</f>
        <v>95903.9</v>
      </c>
      <c r="Q22" s="198">
        <f>P22-F22</f>
        <v>338.89999999999418</v>
      </c>
      <c r="T22" s="8"/>
      <c r="U22" s="8"/>
      <c r="V22" s="432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44154</v>
      </c>
      <c r="C23" s="320">
        <v>2984</v>
      </c>
      <c r="D23" s="310" t="s">
        <v>694</v>
      </c>
      <c r="E23" s="151">
        <v>44154</v>
      </c>
      <c r="F23" s="32">
        <v>87249</v>
      </c>
      <c r="G23" s="152"/>
      <c r="H23" s="153">
        <v>44154</v>
      </c>
      <c r="I23" s="39">
        <v>385</v>
      </c>
      <c r="J23" s="284"/>
      <c r="K23" s="289"/>
      <c r="L23" s="285"/>
      <c r="M23" s="34">
        <v>80194</v>
      </c>
      <c r="N23" s="35">
        <v>3686</v>
      </c>
      <c r="O23" s="257"/>
      <c r="P23" s="36">
        <f>C23+I23+M23+N23</f>
        <v>87249</v>
      </c>
      <c r="Q23" s="5" t="s">
        <v>12</v>
      </c>
      <c r="T23" s="8"/>
      <c r="U23" s="8"/>
      <c r="V23" s="432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44155</v>
      </c>
      <c r="C24" s="320">
        <v>6500</v>
      </c>
      <c r="D24" s="310" t="s">
        <v>695</v>
      </c>
      <c r="E24" s="151">
        <v>44155</v>
      </c>
      <c r="F24" s="32">
        <v>106616</v>
      </c>
      <c r="G24" s="152"/>
      <c r="H24" s="153">
        <v>44155</v>
      </c>
      <c r="I24" s="39">
        <v>12554</v>
      </c>
      <c r="J24" s="416"/>
      <c r="K24" s="290" t="s">
        <v>13</v>
      </c>
      <c r="L24" s="417">
        <v>1300</v>
      </c>
      <c r="M24" s="34">
        <v>83061</v>
      </c>
      <c r="N24" s="35">
        <v>3201</v>
      </c>
      <c r="O24" s="276"/>
      <c r="P24" s="36">
        <f>C24+I24+M24+N24+L24</f>
        <v>106616</v>
      </c>
      <c r="Q24" s="5">
        <f t="shared" ref="Q24:Q34" si="2">P24-F24</f>
        <v>0</v>
      </c>
      <c r="T24" s="8"/>
      <c r="U24" s="8"/>
      <c r="V24" s="432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44156</v>
      </c>
      <c r="C25" s="320">
        <v>5662</v>
      </c>
      <c r="D25" s="310" t="s">
        <v>696</v>
      </c>
      <c r="E25" s="151">
        <v>44156</v>
      </c>
      <c r="F25" s="32">
        <v>135717</v>
      </c>
      <c r="G25" s="152"/>
      <c r="H25" s="153">
        <v>44156</v>
      </c>
      <c r="I25" s="39">
        <v>605</v>
      </c>
      <c r="J25" s="418">
        <v>44156</v>
      </c>
      <c r="K25" s="163" t="s">
        <v>688</v>
      </c>
      <c r="L25" s="102">
        <f>17238.19+400+4000</f>
        <v>21638.19</v>
      </c>
      <c r="M25" s="34">
        <v>108083</v>
      </c>
      <c r="N25" s="35">
        <v>8574</v>
      </c>
      <c r="O25" s="276"/>
      <c r="P25" s="36">
        <f>C25+I25+M25+N25+L25</f>
        <v>144562.19</v>
      </c>
      <c r="Q25" s="201">
        <f t="shared" si="2"/>
        <v>8845.1900000000023</v>
      </c>
      <c r="V25" s="432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44157</v>
      </c>
      <c r="C26" s="320">
        <v>12258</v>
      </c>
      <c r="D26" s="310" t="s">
        <v>697</v>
      </c>
      <c r="E26" s="151">
        <v>44157</v>
      </c>
      <c r="F26" s="32">
        <v>165125</v>
      </c>
      <c r="G26" s="152"/>
      <c r="H26" s="153">
        <v>44157</v>
      </c>
      <c r="I26" s="39">
        <v>550</v>
      </c>
      <c r="J26" s="60"/>
      <c r="K26" s="290"/>
      <c r="L26" s="285"/>
      <c r="M26" s="34">
        <v>146152</v>
      </c>
      <c r="N26" s="35">
        <v>6165</v>
      </c>
      <c r="O26" s="276"/>
      <c r="P26" s="36">
        <f>C26+I26+M26+N26</f>
        <v>165125</v>
      </c>
      <c r="Q26" s="5">
        <f t="shared" si="2"/>
        <v>0</v>
      </c>
      <c r="S26" s="86"/>
      <c r="T26" s="86"/>
      <c r="U26" s="86"/>
      <c r="V26" s="432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44158</v>
      </c>
      <c r="C27" s="320">
        <v>8882.7000000000007</v>
      </c>
      <c r="D27" s="310" t="s">
        <v>698</v>
      </c>
      <c r="E27" s="151">
        <v>44158</v>
      </c>
      <c r="F27" s="32">
        <v>75229</v>
      </c>
      <c r="G27" s="152"/>
      <c r="H27" s="153">
        <v>44158</v>
      </c>
      <c r="I27" s="39">
        <v>440</v>
      </c>
      <c r="J27" s="217"/>
      <c r="K27" s="164"/>
      <c r="L27" s="102"/>
      <c r="M27" s="34">
        <v>64289</v>
      </c>
      <c r="N27" s="35">
        <v>1617</v>
      </c>
      <c r="O27" s="276"/>
      <c r="P27" s="36">
        <f t="shared" ref="P27:P31" si="3">C27+I27+M27+N27</f>
        <v>75228.7</v>
      </c>
      <c r="Q27" s="5">
        <f t="shared" si="2"/>
        <v>-0.30000000000291038</v>
      </c>
      <c r="V27" s="432">
        <v>44071</v>
      </c>
      <c r="W27" s="38" t="s">
        <v>10</v>
      </c>
      <c r="X27" s="196">
        <v>5000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44159</v>
      </c>
      <c r="C28" s="320">
        <v>1659</v>
      </c>
      <c r="D28" s="311" t="s">
        <v>72</v>
      </c>
      <c r="E28" s="151">
        <v>44159</v>
      </c>
      <c r="F28" s="32">
        <v>78158</v>
      </c>
      <c r="G28" s="152"/>
      <c r="H28" s="153">
        <v>44159</v>
      </c>
      <c r="I28" s="39">
        <v>495</v>
      </c>
      <c r="J28" s="217"/>
      <c r="K28" s="459"/>
      <c r="L28" s="102"/>
      <c r="M28" s="34">
        <f>65072+8000</f>
        <v>73072</v>
      </c>
      <c r="N28" s="35">
        <v>2932</v>
      </c>
      <c r="O28" s="276"/>
      <c r="P28" s="36">
        <f>C28+I28+M28+N28+L28</f>
        <v>78158</v>
      </c>
      <c r="Q28" s="5">
        <f>P28-F28</f>
        <v>0</v>
      </c>
      <c r="V28" s="432">
        <v>44071</v>
      </c>
      <c r="W28" s="44" t="s">
        <v>11</v>
      </c>
      <c r="X28" s="196">
        <v>5000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44160</v>
      </c>
      <c r="C29" s="320">
        <v>11667</v>
      </c>
      <c r="D29" s="317" t="s">
        <v>699</v>
      </c>
      <c r="E29" s="151">
        <v>44160</v>
      </c>
      <c r="F29" s="32">
        <v>78604</v>
      </c>
      <c r="G29" s="152"/>
      <c r="H29" s="153">
        <v>44160</v>
      </c>
      <c r="I29" s="39">
        <v>2495</v>
      </c>
      <c r="J29" s="217"/>
      <c r="K29" s="449"/>
      <c r="L29" s="102"/>
      <c r="M29" s="34">
        <f>47406+2754+11607</f>
        <v>61767</v>
      </c>
      <c r="N29" s="35">
        <v>2675</v>
      </c>
      <c r="O29" s="257" t="s">
        <v>220</v>
      </c>
      <c r="P29" s="36">
        <f t="shared" si="3"/>
        <v>78604</v>
      </c>
      <c r="Q29" s="5">
        <f>P29-F29</f>
        <v>0</v>
      </c>
      <c r="R29" s="450"/>
      <c r="S29" s="6" t="s">
        <v>12</v>
      </c>
      <c r="V29" s="432">
        <v>44078</v>
      </c>
      <c r="W29" s="38" t="s">
        <v>10</v>
      </c>
      <c r="X29" s="196">
        <v>5000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44161</v>
      </c>
      <c r="C30" s="320">
        <v>6409</v>
      </c>
      <c r="D30" s="316" t="s">
        <v>700</v>
      </c>
      <c r="E30" s="151">
        <v>44161</v>
      </c>
      <c r="F30" s="32">
        <v>117133</v>
      </c>
      <c r="G30" s="152"/>
      <c r="H30" s="153">
        <v>44161</v>
      </c>
      <c r="I30" s="244">
        <v>440</v>
      </c>
      <c r="J30" s="217"/>
      <c r="K30" s="342"/>
      <c r="L30" s="343"/>
      <c r="M30" s="34">
        <f>101344+574+2483</f>
        <v>104401</v>
      </c>
      <c r="N30" s="35">
        <v>5883</v>
      </c>
      <c r="O30" s="276"/>
      <c r="P30" s="36">
        <f t="shared" si="3"/>
        <v>117133</v>
      </c>
      <c r="Q30" s="5">
        <f t="shared" si="2"/>
        <v>0</v>
      </c>
      <c r="V30" s="432">
        <v>44078</v>
      </c>
      <c r="W30" s="44" t="s">
        <v>11</v>
      </c>
      <c r="X30" s="196">
        <v>5000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44162</v>
      </c>
      <c r="C31" s="321">
        <v>2034</v>
      </c>
      <c r="D31" s="317" t="s">
        <v>72</v>
      </c>
      <c r="E31" s="151">
        <v>44162</v>
      </c>
      <c r="F31" s="32">
        <v>161750</v>
      </c>
      <c r="G31" s="152"/>
      <c r="H31" s="153">
        <v>44162</v>
      </c>
      <c r="I31" s="244">
        <v>12868</v>
      </c>
      <c r="J31" s="217"/>
      <c r="K31" s="163"/>
      <c r="L31" s="102"/>
      <c r="M31" s="34">
        <f>131807+10190</f>
        <v>141997</v>
      </c>
      <c r="N31" s="35">
        <v>4851</v>
      </c>
      <c r="O31" s="257" t="s">
        <v>220</v>
      </c>
      <c r="P31" s="36">
        <f t="shared" si="3"/>
        <v>161750</v>
      </c>
      <c r="Q31" s="5">
        <f t="shared" si="2"/>
        <v>0</v>
      </c>
      <c r="V31" s="432">
        <v>44085</v>
      </c>
      <c r="W31" s="38" t="s">
        <v>10</v>
      </c>
      <c r="X31" s="196">
        <v>5000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5.75" thickBot="1" x14ac:dyDescent="0.3">
      <c r="A32" s="30"/>
      <c r="B32" s="319">
        <v>44163</v>
      </c>
      <c r="C32" s="321">
        <v>7010</v>
      </c>
      <c r="D32" s="317" t="s">
        <v>701</v>
      </c>
      <c r="E32" s="151">
        <v>44163</v>
      </c>
      <c r="F32" s="237">
        <v>132742</v>
      </c>
      <c r="G32" s="152"/>
      <c r="H32" s="153">
        <v>44163</v>
      </c>
      <c r="I32" s="244">
        <v>4320</v>
      </c>
      <c r="J32" s="217">
        <v>44163</v>
      </c>
      <c r="K32" s="20" t="s">
        <v>702</v>
      </c>
      <c r="L32" s="343">
        <f>16533.44+4000</f>
        <v>20533.439999999999</v>
      </c>
      <c r="M32" s="34">
        <v>102660</v>
      </c>
      <c r="N32" s="35">
        <v>7064</v>
      </c>
      <c r="O32" s="276"/>
      <c r="P32" s="36">
        <f>C32+I32+M32+N32+L32</f>
        <v>141587.44</v>
      </c>
      <c r="Q32" s="201">
        <f t="shared" si="2"/>
        <v>8845.4400000000023</v>
      </c>
      <c r="V32" s="432">
        <v>44085</v>
      </c>
      <c r="W32" s="44" t="s">
        <v>11</v>
      </c>
      <c r="X32" s="196">
        <v>5000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5.75" thickBot="1" x14ac:dyDescent="0.3">
      <c r="A33" s="30"/>
      <c r="B33" s="319">
        <v>44164</v>
      </c>
      <c r="C33" s="176">
        <v>8723</v>
      </c>
      <c r="D33" s="164" t="s">
        <v>81</v>
      </c>
      <c r="E33" s="151">
        <v>44164</v>
      </c>
      <c r="F33" s="176">
        <v>144263</v>
      </c>
      <c r="G33" s="152"/>
      <c r="H33" s="153">
        <v>44164</v>
      </c>
      <c r="I33" s="244">
        <v>550</v>
      </c>
      <c r="J33" s="217">
        <v>44164</v>
      </c>
      <c r="K33" s="20" t="s">
        <v>754</v>
      </c>
      <c r="L33" s="446">
        <v>400</v>
      </c>
      <c r="M33" s="34">
        <v>128595</v>
      </c>
      <c r="N33" s="35">
        <v>5995</v>
      </c>
      <c r="O33" s="276"/>
      <c r="P33" s="36">
        <f t="shared" ref="P33" si="4">C33+I33+M33+N33+L33</f>
        <v>144263</v>
      </c>
      <c r="Q33" s="5">
        <f t="shared" si="2"/>
        <v>0</v>
      </c>
      <c r="R33" s="36"/>
      <c r="V33" s="432">
        <v>44092</v>
      </c>
      <c r="W33" s="44" t="s">
        <v>11</v>
      </c>
      <c r="X33" s="196">
        <v>5000</v>
      </c>
      <c r="Y33" s="41"/>
      <c r="AA33" s="29">
        <v>43966</v>
      </c>
      <c r="AB33" s="44" t="s">
        <v>11</v>
      </c>
      <c r="AC33" s="196">
        <v>5010</v>
      </c>
      <c r="AD33" s="41"/>
      <c r="AF33" s="19" t="s">
        <v>156</v>
      </c>
      <c r="AG33" s="167">
        <v>44083</v>
      </c>
      <c r="AH33" s="21">
        <v>2000</v>
      </c>
    </row>
    <row r="34" spans="1:34" ht="16.5" thickBot="1" x14ac:dyDescent="0.3">
      <c r="A34" s="30"/>
      <c r="B34" s="319">
        <v>44165</v>
      </c>
      <c r="C34" s="140">
        <v>4301</v>
      </c>
      <c r="D34" s="163" t="s">
        <v>703</v>
      </c>
      <c r="E34" s="151">
        <v>44165</v>
      </c>
      <c r="F34" s="176">
        <v>147017</v>
      </c>
      <c r="G34" s="152"/>
      <c r="H34" s="153">
        <v>44165</v>
      </c>
      <c r="I34" s="244">
        <v>550</v>
      </c>
      <c r="J34" s="217"/>
      <c r="K34" s="505"/>
      <c r="L34" s="162"/>
      <c r="M34" s="34">
        <f>134423+6000+629+507</f>
        <v>141559</v>
      </c>
      <c r="N34" s="35">
        <v>3227</v>
      </c>
      <c r="O34" s="276"/>
      <c r="P34" s="36">
        <f>C34+I34+M34+N34+L34</f>
        <v>149637</v>
      </c>
      <c r="Q34" s="198">
        <f t="shared" si="2"/>
        <v>2620</v>
      </c>
      <c r="R34" s="36"/>
      <c r="V34" s="432">
        <v>44092</v>
      </c>
      <c r="W34" s="38" t="s">
        <v>10</v>
      </c>
      <c r="X34" s="196">
        <v>5000</v>
      </c>
      <c r="Y34" s="41"/>
      <c r="AA34" s="29"/>
      <c r="AB34" s="44"/>
      <c r="AC34" s="196"/>
      <c r="AD34" s="41"/>
      <c r="AF34" s="19" t="s">
        <v>157</v>
      </c>
      <c r="AG34" s="167">
        <v>44092</v>
      </c>
      <c r="AH34" s="21">
        <v>2000</v>
      </c>
    </row>
    <row r="35" spans="1:34" ht="16.5" thickBot="1" x14ac:dyDescent="0.3">
      <c r="A35" s="30"/>
      <c r="B35" s="390"/>
      <c r="C35" s="524"/>
      <c r="D35" s="525"/>
      <c r="E35" s="526"/>
      <c r="F35" s="527"/>
      <c r="G35" s="528"/>
      <c r="H35" s="529"/>
      <c r="I35" s="530"/>
      <c r="J35" s="531"/>
      <c r="K35" s="532"/>
      <c r="L35" s="533"/>
      <c r="M35" s="534">
        <v>0</v>
      </c>
      <c r="N35" s="535">
        <v>0</v>
      </c>
      <c r="O35" s="276"/>
      <c r="P35" s="36"/>
      <c r="R35" s="36"/>
      <c r="V35" s="432">
        <v>44099</v>
      </c>
      <c r="W35" s="44" t="s">
        <v>11</v>
      </c>
      <c r="X35" s="196">
        <v>5000</v>
      </c>
      <c r="Y35" s="41"/>
      <c r="AA35" s="29"/>
      <c r="AB35" s="44"/>
      <c r="AC35" s="196"/>
      <c r="AD35" s="41"/>
      <c r="AF35" s="19" t="s">
        <v>158</v>
      </c>
      <c r="AG35" s="167">
        <v>44099</v>
      </c>
      <c r="AH35" s="21">
        <v>2000</v>
      </c>
    </row>
    <row r="36" spans="1:34" ht="16.5" thickBot="1" x14ac:dyDescent="0.3">
      <c r="A36" s="30"/>
      <c r="B36" s="517">
        <v>44138</v>
      </c>
      <c r="C36" s="176">
        <v>17506</v>
      </c>
      <c r="D36" s="520" t="s">
        <v>758</v>
      </c>
      <c r="E36" s="151"/>
      <c r="F36" s="176"/>
      <c r="G36" s="152"/>
      <c r="H36" s="153"/>
      <c r="I36" s="244"/>
      <c r="J36" s="217" t="s">
        <v>739</v>
      </c>
      <c r="K36" s="342" t="s">
        <v>307</v>
      </c>
      <c r="L36" s="446">
        <f>9720+9885</f>
        <v>19605</v>
      </c>
      <c r="M36" s="34">
        <v>0</v>
      </c>
      <c r="N36" s="35">
        <v>0</v>
      </c>
      <c r="O36" s="276"/>
      <c r="P36" s="36"/>
      <c r="R36" s="36"/>
      <c r="V36" s="432">
        <v>44099</v>
      </c>
      <c r="W36" s="38" t="s">
        <v>10</v>
      </c>
      <c r="X36" s="196">
        <v>5000</v>
      </c>
      <c r="Y36" s="41"/>
      <c r="AA36" s="29"/>
      <c r="AB36" s="44"/>
      <c r="AC36" s="196"/>
      <c r="AD36" s="41"/>
      <c r="AF36" s="19" t="s">
        <v>159</v>
      </c>
      <c r="AG36" s="167">
        <v>44104</v>
      </c>
      <c r="AH36" s="21">
        <v>2000</v>
      </c>
    </row>
    <row r="37" spans="1:34" ht="16.5" thickBot="1" x14ac:dyDescent="0.3">
      <c r="A37" s="30"/>
      <c r="B37" s="517">
        <v>44141</v>
      </c>
      <c r="C37" s="176">
        <v>13243</v>
      </c>
      <c r="D37" s="520" t="s">
        <v>759</v>
      </c>
      <c r="E37" s="151"/>
      <c r="F37" s="176"/>
      <c r="G37" s="152"/>
      <c r="H37" s="153"/>
      <c r="I37" s="244"/>
      <c r="J37" s="217" t="s">
        <v>739</v>
      </c>
      <c r="K37" s="342" t="s">
        <v>740</v>
      </c>
      <c r="L37" s="446">
        <v>15660</v>
      </c>
      <c r="M37" s="34">
        <v>0</v>
      </c>
      <c r="N37" s="35">
        <v>0</v>
      </c>
      <c r="O37" s="276"/>
      <c r="P37" s="36"/>
      <c r="R37" s="36"/>
      <c r="V37" s="432">
        <v>44106</v>
      </c>
      <c r="W37" s="44" t="s">
        <v>11</v>
      </c>
      <c r="X37" s="196">
        <v>5000</v>
      </c>
      <c r="Y37" s="41"/>
      <c r="AA37" s="29"/>
      <c r="AB37" s="44"/>
      <c r="AC37" s="196"/>
      <c r="AD37" s="41"/>
      <c r="AF37" s="19" t="s">
        <v>160</v>
      </c>
      <c r="AG37" s="167">
        <v>44111</v>
      </c>
      <c r="AH37" s="21">
        <v>2000</v>
      </c>
    </row>
    <row r="38" spans="1:34" ht="16.5" thickBot="1" x14ac:dyDescent="0.3">
      <c r="A38" s="30"/>
      <c r="B38" s="518">
        <v>44144</v>
      </c>
      <c r="C38" s="176">
        <v>15119.09</v>
      </c>
      <c r="D38" s="520" t="s">
        <v>760</v>
      </c>
      <c r="E38" s="151"/>
      <c r="F38" s="176"/>
      <c r="G38" s="152"/>
      <c r="H38" s="153"/>
      <c r="I38" s="244"/>
      <c r="J38" s="217" t="s">
        <v>739</v>
      </c>
      <c r="K38" s="342" t="s">
        <v>15</v>
      </c>
      <c r="L38" s="446">
        <v>5800</v>
      </c>
      <c r="M38" s="34">
        <v>0</v>
      </c>
      <c r="N38" s="35">
        <v>0</v>
      </c>
      <c r="O38" s="276"/>
      <c r="P38" s="36"/>
      <c r="Q38" s="36"/>
      <c r="R38" s="36"/>
      <c r="V38" s="432">
        <v>44106</v>
      </c>
      <c r="W38" s="38" t="s">
        <v>10</v>
      </c>
      <c r="X38" s="196">
        <v>5000</v>
      </c>
      <c r="Y38" s="41"/>
      <c r="AA38" s="29"/>
      <c r="AB38" s="44"/>
      <c r="AC38" s="196"/>
      <c r="AD38" s="41"/>
      <c r="AF38" s="19" t="s">
        <v>161</v>
      </c>
      <c r="AG38" s="167">
        <v>44118</v>
      </c>
      <c r="AH38" s="21">
        <v>2000</v>
      </c>
    </row>
    <row r="39" spans="1:34" ht="16.5" thickBot="1" x14ac:dyDescent="0.3">
      <c r="A39" s="30"/>
      <c r="B39" s="518">
        <v>44145</v>
      </c>
      <c r="C39" s="176">
        <v>16956.75</v>
      </c>
      <c r="D39" s="520" t="s">
        <v>761</v>
      </c>
      <c r="E39" s="151"/>
      <c r="F39" s="176"/>
      <c r="G39" s="152"/>
      <c r="H39" s="153"/>
      <c r="I39" s="244"/>
      <c r="J39" s="217" t="s">
        <v>739</v>
      </c>
      <c r="K39" s="342" t="s">
        <v>243</v>
      </c>
      <c r="L39" s="446">
        <v>986</v>
      </c>
      <c r="M39" s="34">
        <v>0</v>
      </c>
      <c r="N39" s="35">
        <v>0</v>
      </c>
      <c r="O39" s="276"/>
      <c r="P39" s="36"/>
      <c r="Q39" s="36"/>
      <c r="R39" s="36"/>
      <c r="V39" s="432">
        <v>44113</v>
      </c>
      <c r="W39" s="44" t="s">
        <v>11</v>
      </c>
      <c r="X39" s="196">
        <v>5000</v>
      </c>
      <c r="Y39" s="41"/>
      <c r="AA39" s="29"/>
      <c r="AB39" s="44"/>
      <c r="AC39" s="196"/>
      <c r="AD39" s="41"/>
      <c r="AF39" s="19" t="s">
        <v>162</v>
      </c>
      <c r="AG39" s="167">
        <v>44127</v>
      </c>
      <c r="AH39" s="21">
        <v>2000</v>
      </c>
    </row>
    <row r="40" spans="1:34" ht="16.5" thickBot="1" x14ac:dyDescent="0.3">
      <c r="A40" s="30"/>
      <c r="B40" s="518">
        <v>44147</v>
      </c>
      <c r="C40" s="176">
        <v>10102.870000000001</v>
      </c>
      <c r="D40" s="520" t="s">
        <v>762</v>
      </c>
      <c r="E40" s="151"/>
      <c r="F40" s="176"/>
      <c r="G40" s="152"/>
      <c r="H40" s="153"/>
      <c r="I40" s="244"/>
      <c r="J40" s="217" t="s">
        <v>739</v>
      </c>
      <c r="K40" s="342" t="s">
        <v>741</v>
      </c>
      <c r="L40" s="446">
        <v>7000</v>
      </c>
      <c r="M40" s="34">
        <v>0</v>
      </c>
      <c r="N40" s="35">
        <v>0</v>
      </c>
      <c r="O40" s="276"/>
      <c r="P40" s="36"/>
      <c r="Q40" s="36"/>
      <c r="R40" s="36"/>
      <c r="V40" s="432">
        <v>44113</v>
      </c>
      <c r="W40" s="38" t="s">
        <v>10</v>
      </c>
      <c r="X40" s="196">
        <v>5000</v>
      </c>
      <c r="Y40" s="41"/>
      <c r="AA40" s="29"/>
      <c r="AB40" s="44"/>
      <c r="AC40" s="196"/>
      <c r="AD40" s="41"/>
      <c r="AF40" s="19" t="s">
        <v>163</v>
      </c>
      <c r="AG40" s="167">
        <v>44134</v>
      </c>
      <c r="AH40" s="21">
        <v>2000</v>
      </c>
    </row>
    <row r="41" spans="1:34" ht="16.5" thickBot="1" x14ac:dyDescent="0.3">
      <c r="A41" s="30"/>
      <c r="B41" s="519">
        <v>44148</v>
      </c>
      <c r="C41" s="302">
        <v>18677.03</v>
      </c>
      <c r="D41" s="520" t="s">
        <v>763</v>
      </c>
      <c r="E41" s="151"/>
      <c r="F41" s="176"/>
      <c r="G41" s="152"/>
      <c r="H41" s="153"/>
      <c r="I41" s="244"/>
      <c r="J41" s="217" t="s">
        <v>739</v>
      </c>
      <c r="K41" s="558" t="s">
        <v>310</v>
      </c>
      <c r="L41" s="446">
        <v>5303.4</v>
      </c>
      <c r="M41" s="34">
        <v>0</v>
      </c>
      <c r="N41" s="35">
        <v>0</v>
      </c>
      <c r="O41" s="276"/>
      <c r="P41" s="36"/>
      <c r="Q41" s="36"/>
      <c r="R41" s="36"/>
      <c r="V41" s="432">
        <v>44120</v>
      </c>
      <c r="W41" s="44" t="s">
        <v>11</v>
      </c>
      <c r="X41" s="196">
        <v>5000</v>
      </c>
      <c r="Y41" s="41"/>
      <c r="AA41" s="29"/>
      <c r="AB41" s="44"/>
      <c r="AC41" s="196"/>
      <c r="AD41" s="41"/>
      <c r="AF41" s="19" t="s">
        <v>164</v>
      </c>
      <c r="AG41" s="167"/>
      <c r="AH41" s="21"/>
    </row>
    <row r="42" spans="1:34" ht="16.5" thickBot="1" x14ac:dyDescent="0.3">
      <c r="A42" s="30"/>
      <c r="B42" s="519">
        <v>44151</v>
      </c>
      <c r="C42" s="302">
        <v>17259.34</v>
      </c>
      <c r="D42" s="520" t="s">
        <v>764</v>
      </c>
      <c r="E42" s="273"/>
      <c r="F42" s="176"/>
      <c r="G42" s="152"/>
      <c r="H42" s="153"/>
      <c r="I42" s="244"/>
      <c r="J42" s="217" t="s">
        <v>739</v>
      </c>
      <c r="K42" s="559" t="s">
        <v>224</v>
      </c>
      <c r="L42" s="161">
        <v>10000</v>
      </c>
      <c r="M42" s="34">
        <v>0</v>
      </c>
      <c r="N42" s="35">
        <v>0</v>
      </c>
      <c r="O42" s="276"/>
      <c r="P42" s="36"/>
      <c r="Q42" s="36"/>
      <c r="R42" s="36"/>
      <c r="V42" s="432">
        <v>44120</v>
      </c>
      <c r="W42" s="38" t="s">
        <v>10</v>
      </c>
      <c r="X42" s="196">
        <v>5000</v>
      </c>
      <c r="Y42" s="41"/>
      <c r="AA42" s="29"/>
      <c r="AB42" s="44"/>
      <c r="AC42" s="196"/>
      <c r="AD42" s="41"/>
      <c r="AF42" s="19" t="s">
        <v>165</v>
      </c>
      <c r="AG42" s="167"/>
      <c r="AH42" s="21"/>
    </row>
    <row r="43" spans="1:34" ht="16.5" thickBot="1" x14ac:dyDescent="0.3">
      <c r="A43" s="30"/>
      <c r="B43" s="521">
        <v>44153</v>
      </c>
      <c r="C43" s="302">
        <v>22594.37</v>
      </c>
      <c r="D43" s="520" t="s">
        <v>765</v>
      </c>
      <c r="E43" s="508"/>
      <c r="F43" s="176"/>
      <c r="G43" s="152"/>
      <c r="H43" s="153"/>
      <c r="I43" s="244"/>
      <c r="J43" s="217" t="s">
        <v>739</v>
      </c>
      <c r="K43" s="460" t="s">
        <v>135</v>
      </c>
      <c r="L43" s="77">
        <v>1394.81</v>
      </c>
      <c r="M43" s="34">
        <v>0</v>
      </c>
      <c r="N43" s="35">
        <v>0</v>
      </c>
      <c r="O43" s="276"/>
      <c r="P43" s="36"/>
      <c r="Q43" s="36"/>
      <c r="R43" s="36"/>
      <c r="V43" s="432">
        <v>44127</v>
      </c>
      <c r="W43" s="44" t="s">
        <v>11</v>
      </c>
      <c r="X43" s="196">
        <v>6000</v>
      </c>
      <c r="Y43" s="41"/>
      <c r="AA43" s="29"/>
      <c r="AB43" s="44"/>
      <c r="AC43" s="196"/>
      <c r="AD43" s="41"/>
      <c r="AF43" s="19" t="s">
        <v>166</v>
      </c>
      <c r="AG43" s="167"/>
      <c r="AH43" s="21"/>
    </row>
    <row r="44" spans="1:34" ht="16.5" thickBot="1" x14ac:dyDescent="0.3">
      <c r="A44" s="30"/>
      <c r="B44" s="521">
        <v>44155</v>
      </c>
      <c r="C44" s="302">
        <v>17005.52</v>
      </c>
      <c r="D44" s="520" t="s">
        <v>766</v>
      </c>
      <c r="E44" s="273"/>
      <c r="F44" s="176"/>
      <c r="G44" s="152"/>
      <c r="H44" s="153"/>
      <c r="I44" s="244"/>
      <c r="J44" s="217" t="s">
        <v>739</v>
      </c>
      <c r="K44" s="560" t="s">
        <v>742</v>
      </c>
      <c r="L44" s="50">
        <f>1696.04+198.99</f>
        <v>1895.03</v>
      </c>
      <c r="M44" s="34"/>
      <c r="N44" s="35"/>
      <c r="O44" s="276"/>
      <c r="P44" s="36"/>
      <c r="Q44" s="36"/>
      <c r="R44" s="36"/>
      <c r="V44" s="432">
        <v>44127</v>
      </c>
      <c r="W44" s="38" t="s">
        <v>10</v>
      </c>
      <c r="X44" s="196">
        <v>4000</v>
      </c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30"/>
      <c r="B45" s="521">
        <v>44158</v>
      </c>
      <c r="C45" s="302">
        <v>24006.639999999999</v>
      </c>
      <c r="D45" s="520" t="s">
        <v>767</v>
      </c>
      <c r="E45" s="273"/>
      <c r="F45" s="176"/>
      <c r="G45" s="152"/>
      <c r="H45" s="153"/>
      <c r="I45" s="244"/>
      <c r="J45" s="217" t="s">
        <v>739</v>
      </c>
      <c r="K45" s="460" t="s">
        <v>743</v>
      </c>
      <c r="L45" s="77">
        <v>60000</v>
      </c>
      <c r="M45" s="34"/>
      <c r="N45" s="35"/>
      <c r="O45" s="276"/>
      <c r="P45" s="36"/>
      <c r="Q45" s="36"/>
      <c r="R45" s="36"/>
      <c r="V45" s="432">
        <v>44134</v>
      </c>
      <c r="W45" s="44" t="s">
        <v>11</v>
      </c>
      <c r="X45" s="196">
        <v>5000</v>
      </c>
      <c r="Y45" s="41"/>
      <c r="AA45" s="29"/>
      <c r="AB45" s="44"/>
      <c r="AC45" s="196"/>
      <c r="AD45" s="41"/>
      <c r="AF45" s="19"/>
      <c r="AG45" s="167"/>
      <c r="AH45" s="21"/>
    </row>
    <row r="46" spans="1:34" ht="16.5" thickBot="1" x14ac:dyDescent="0.3">
      <c r="A46" s="30"/>
      <c r="B46" s="523">
        <v>44160</v>
      </c>
      <c r="C46" s="176">
        <v>33230.230000000003</v>
      </c>
      <c r="D46" s="520" t="s">
        <v>768</v>
      </c>
      <c r="E46" s="151"/>
      <c r="F46" s="176"/>
      <c r="G46" s="152"/>
      <c r="H46" s="153"/>
      <c r="I46" s="244"/>
      <c r="J46" s="217" t="s">
        <v>739</v>
      </c>
      <c r="K46" s="378" t="s">
        <v>14</v>
      </c>
      <c r="L46" s="77">
        <v>24530</v>
      </c>
      <c r="M46" s="34"/>
      <c r="N46" s="35"/>
      <c r="O46" s="276"/>
      <c r="P46" s="36"/>
      <c r="Q46" s="36"/>
      <c r="R46" s="36"/>
      <c r="V46" s="432">
        <v>44134</v>
      </c>
      <c r="W46" s="38" t="s">
        <v>10</v>
      </c>
      <c r="X46" s="196">
        <v>5000</v>
      </c>
      <c r="Y46" s="41"/>
      <c r="AA46" s="29"/>
      <c r="AB46" s="44"/>
      <c r="AC46" s="196"/>
      <c r="AD46" s="41"/>
      <c r="AF46" s="19"/>
      <c r="AG46" s="167"/>
      <c r="AH46" s="21"/>
    </row>
    <row r="47" spans="1:34" ht="16.5" thickBot="1" x14ac:dyDescent="0.3">
      <c r="A47" s="30"/>
      <c r="B47" s="523">
        <v>44162</v>
      </c>
      <c r="C47" s="176">
        <v>13708.67</v>
      </c>
      <c r="D47" s="520" t="s">
        <v>769</v>
      </c>
      <c r="E47" s="151"/>
      <c r="F47" s="176"/>
      <c r="G47" s="152"/>
      <c r="H47" s="153"/>
      <c r="I47" s="244"/>
      <c r="J47" s="217" t="s">
        <v>739</v>
      </c>
      <c r="K47" s="460" t="s">
        <v>278</v>
      </c>
      <c r="L47" s="77">
        <v>4922.97</v>
      </c>
      <c r="M47" s="34"/>
      <c r="N47" s="35"/>
      <c r="O47" s="276"/>
      <c r="P47" s="36"/>
      <c r="Q47" s="36"/>
      <c r="R47" s="36"/>
      <c r="V47" s="432">
        <v>44141</v>
      </c>
      <c r="W47" s="44" t="s">
        <v>11</v>
      </c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6.5" hidden="1" thickBot="1" x14ac:dyDescent="0.3">
      <c r="A48" s="30"/>
      <c r="B48" s="523"/>
      <c r="C48" s="176"/>
      <c r="D48" s="522"/>
      <c r="E48" s="151"/>
      <c r="F48" s="176"/>
      <c r="G48" s="152"/>
      <c r="H48" s="153"/>
      <c r="I48" s="244"/>
      <c r="J48" s="217"/>
      <c r="K48" s="460"/>
      <c r="L48" s="77"/>
      <c r="M48" s="34"/>
      <c r="N48" s="35"/>
      <c r="O48" s="276"/>
      <c r="P48" s="36"/>
      <c r="Q48" s="36"/>
      <c r="R48" s="36"/>
      <c r="V48" s="432">
        <v>44141</v>
      </c>
      <c r="W48" s="38" t="s">
        <v>10</v>
      </c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hidden="1" thickBot="1" x14ac:dyDescent="0.3">
      <c r="A49" s="30"/>
      <c r="B49" s="319"/>
      <c r="C49" s="321"/>
      <c r="D49" s="468"/>
      <c r="E49" s="151"/>
      <c r="F49" s="176"/>
      <c r="G49" s="152"/>
      <c r="H49" s="153"/>
      <c r="I49" s="244"/>
      <c r="J49" s="217"/>
      <c r="K49" s="460"/>
      <c r="L49" s="77"/>
      <c r="M49" s="34"/>
      <c r="N49" s="35"/>
      <c r="O49" s="276"/>
      <c r="P49" s="36"/>
      <c r="Q49" s="36"/>
      <c r="R49" s="36"/>
      <c r="V49" s="432">
        <v>44148</v>
      </c>
      <c r="W49" s="44" t="s">
        <v>11</v>
      </c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hidden="1" thickBot="1" x14ac:dyDescent="0.3">
      <c r="A50" s="30"/>
      <c r="B50" s="319"/>
      <c r="C50" s="321"/>
      <c r="D50" s="468"/>
      <c r="E50" s="151"/>
      <c r="F50" s="176"/>
      <c r="G50" s="152"/>
      <c r="H50" s="153"/>
      <c r="I50" s="244"/>
      <c r="J50" s="217"/>
      <c r="K50" s="460"/>
      <c r="L50" s="77"/>
      <c r="M50" s="34"/>
      <c r="N50" s="35"/>
      <c r="O50" s="276"/>
      <c r="P50" s="36"/>
      <c r="Q50" s="36"/>
      <c r="R50" s="36"/>
      <c r="V50" s="432">
        <v>44148</v>
      </c>
      <c r="W50" s="38" t="s">
        <v>10</v>
      </c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hidden="1" thickBot="1" x14ac:dyDescent="0.3">
      <c r="A51" s="30"/>
      <c r="B51" s="319"/>
      <c r="C51" s="553"/>
      <c r="D51" s="468"/>
      <c r="E51" s="151"/>
      <c r="F51" s="176"/>
      <c r="G51" s="152"/>
      <c r="H51" s="153"/>
      <c r="I51" s="244"/>
      <c r="J51" s="217"/>
      <c r="K51" s="457"/>
      <c r="L51" s="161"/>
      <c r="M51" s="34">
        <v>0</v>
      </c>
      <c r="N51" s="35">
        <v>0</v>
      </c>
      <c r="O51" s="276"/>
      <c r="P51" s="36"/>
      <c r="Q51" s="36"/>
      <c r="R51" s="36"/>
      <c r="V51" s="432">
        <v>44155</v>
      </c>
      <c r="W51" s="44" t="s">
        <v>11</v>
      </c>
      <c r="X51" s="196">
        <v>0</v>
      </c>
      <c r="Y51" s="41"/>
      <c r="AA51" s="29"/>
      <c r="AB51" s="38" t="s">
        <v>10</v>
      </c>
      <c r="AC51" s="196"/>
      <c r="AD51" s="41"/>
      <c r="AF51" s="19" t="s">
        <v>167</v>
      </c>
      <c r="AG51" s="167"/>
      <c r="AH51" s="21">
        <v>0</v>
      </c>
    </row>
    <row r="52" spans="1:34" ht="15.75" thickBot="1" x14ac:dyDescent="0.3">
      <c r="A52" s="30"/>
      <c r="B52" s="319"/>
      <c r="C52" s="176"/>
      <c r="D52" s="469"/>
      <c r="E52" s="456"/>
      <c r="F52" s="412"/>
      <c r="G52" s="152"/>
      <c r="H52" s="153"/>
      <c r="I52" s="344"/>
      <c r="J52" s="217" t="s">
        <v>739</v>
      </c>
      <c r="K52" s="457" t="s">
        <v>744</v>
      </c>
      <c r="L52" s="161">
        <f>8768+24802.77+1240</f>
        <v>34810.770000000004</v>
      </c>
      <c r="M52" s="34">
        <v>0</v>
      </c>
      <c r="N52" s="35">
        <v>0</v>
      </c>
      <c r="O52" s="276"/>
      <c r="P52" s="104"/>
      <c r="Q52" s="104"/>
      <c r="R52" s="36"/>
      <c r="V52" s="432">
        <v>44155</v>
      </c>
      <c r="W52" s="38" t="s">
        <v>10</v>
      </c>
      <c r="X52" s="196"/>
      <c r="Y52" s="41"/>
      <c r="AA52" s="29"/>
      <c r="AB52" s="38"/>
      <c r="AC52" s="196"/>
      <c r="AD52" s="41"/>
      <c r="AF52" s="19" t="s">
        <v>532</v>
      </c>
      <c r="AG52" s="167"/>
      <c r="AH52" s="21"/>
    </row>
    <row r="53" spans="1:34" ht="16.5" thickBot="1" x14ac:dyDescent="0.3">
      <c r="B53" s="556" t="s">
        <v>16</v>
      </c>
      <c r="C53" s="557">
        <f>SUM(C5:C52)</f>
        <v>441012.11</v>
      </c>
      <c r="D53" s="117"/>
      <c r="E53" s="303" t="s">
        <v>16</v>
      </c>
      <c r="F53" s="304">
        <f>SUM(F5:F52)</f>
        <v>3207794</v>
      </c>
      <c r="G53" s="117"/>
      <c r="H53" s="120" t="s">
        <v>303</v>
      </c>
      <c r="I53" s="121">
        <f>SUM(I5:I52)</f>
        <v>73823</v>
      </c>
      <c r="J53" s="332"/>
      <c r="K53" s="122" t="s">
        <v>304</v>
      </c>
      <c r="L53" s="123">
        <f>SUM(L6:L52)</f>
        <v>276518.95999999996</v>
      </c>
      <c r="M53" s="131">
        <f>SUM(M5:M52)</f>
        <v>2710603.64</v>
      </c>
      <c r="N53" s="131">
        <f>SUM(N5:N52)</f>
        <v>170847</v>
      </c>
      <c r="O53" s="278"/>
      <c r="P53" s="36">
        <f>SUM(P5:P52)</f>
        <v>3278225.38</v>
      </c>
      <c r="Q53" s="36">
        <f>SUM(Q5:Q52)</f>
        <v>70431.38</v>
      </c>
      <c r="R53" s="36"/>
      <c r="V53" s="29">
        <v>44162</v>
      </c>
      <c r="W53" s="44" t="s">
        <v>11</v>
      </c>
      <c r="X53" s="196">
        <v>5000</v>
      </c>
      <c r="Y53" s="41"/>
      <c r="AA53" s="29"/>
      <c r="AB53" s="38" t="s">
        <v>10</v>
      </c>
      <c r="AC53" s="196"/>
      <c r="AD53" s="41"/>
      <c r="AF53" s="19" t="s">
        <v>533</v>
      </c>
      <c r="AG53" s="167"/>
      <c r="AH53" s="21">
        <v>0</v>
      </c>
    </row>
    <row r="54" spans="1:34" ht="17.25" thickTop="1" thickBot="1" x14ac:dyDescent="0.3">
      <c r="B54" s="554" t="s">
        <v>704</v>
      </c>
      <c r="C54" s="555">
        <v>177172.6</v>
      </c>
      <c r="D54" s="468" t="s">
        <v>705</v>
      </c>
      <c r="E54" s="526" t="s">
        <v>704</v>
      </c>
      <c r="F54" s="140">
        <v>3078182</v>
      </c>
      <c r="G54" s="152"/>
      <c r="H54" s="529" t="s">
        <v>704</v>
      </c>
      <c r="I54" s="538">
        <v>81577</v>
      </c>
      <c r="J54" s="217"/>
      <c r="K54" s="536" t="s">
        <v>706</v>
      </c>
      <c r="L54" s="77">
        <v>229387.12</v>
      </c>
      <c r="M54" s="534">
        <v>2523127.46</v>
      </c>
      <c r="N54" s="535">
        <v>146040</v>
      </c>
      <c r="O54" s="278"/>
      <c r="P54" s="36">
        <v>3051064.62</v>
      </c>
      <c r="Q54" s="36">
        <v>27117.38</v>
      </c>
      <c r="R54" s="36"/>
      <c r="V54" s="29"/>
      <c r="W54" s="44"/>
      <c r="X54" s="196"/>
      <c r="Y54" s="41"/>
      <c r="AA54" s="29"/>
      <c r="AB54" s="38"/>
      <c r="AC54" s="196"/>
      <c r="AD54" s="41"/>
      <c r="AF54" s="19"/>
      <c r="AG54" s="167"/>
      <c r="AH54" s="21"/>
    </row>
    <row r="55" spans="1:34" ht="15.75" thickBot="1" x14ac:dyDescent="0.3">
      <c r="B55" s="546" t="s">
        <v>704</v>
      </c>
      <c r="C55" s="399">
        <v>167881.81</v>
      </c>
      <c r="D55" s="468" t="s">
        <v>80</v>
      </c>
      <c r="E55" s="456"/>
      <c r="F55" s="399">
        <v>0</v>
      </c>
      <c r="G55" s="152"/>
      <c r="H55" s="153"/>
      <c r="I55" s="399">
        <v>0</v>
      </c>
      <c r="J55" s="217"/>
      <c r="K55" s="539"/>
      <c r="L55" s="540">
        <v>0</v>
      </c>
      <c r="M55" s="550">
        <v>0</v>
      </c>
      <c r="N55" s="551">
        <v>0</v>
      </c>
      <c r="O55" s="278"/>
      <c r="P55" s="36"/>
      <c r="Q55" s="36"/>
      <c r="R55" s="36"/>
      <c r="V55" s="29"/>
      <c r="W55" s="44"/>
      <c r="X55" s="196"/>
      <c r="Y55" s="41"/>
      <c r="AA55" s="29"/>
      <c r="AB55" s="38"/>
      <c r="AC55" s="196"/>
      <c r="AD55" s="41"/>
      <c r="AF55" s="19"/>
      <c r="AG55" s="167"/>
      <c r="AH55" s="21"/>
    </row>
    <row r="56" spans="1:34" ht="16.5" thickBot="1" x14ac:dyDescent="0.3">
      <c r="B56" s="547" t="s">
        <v>737</v>
      </c>
      <c r="C56" s="548">
        <f>SUM(C53:C55)</f>
        <v>786066.52</v>
      </c>
      <c r="D56" s="382"/>
      <c r="E56" s="544" t="s">
        <v>738</v>
      </c>
      <c r="F56" s="545">
        <f>SUM(F53:F55)</f>
        <v>6285976</v>
      </c>
      <c r="G56" s="382"/>
      <c r="H56" s="543" t="s">
        <v>738</v>
      </c>
      <c r="I56" s="549">
        <f>SUM(I53:I55)</f>
        <v>155400</v>
      </c>
      <c r="J56" s="332"/>
      <c r="K56" s="541" t="s">
        <v>738</v>
      </c>
      <c r="L56" s="542">
        <f>SUM(L53:L55)</f>
        <v>505906.07999999996</v>
      </c>
      <c r="M56" s="552">
        <f>SUM(M53:M55)</f>
        <v>5233731.0999999996</v>
      </c>
      <c r="N56" s="549">
        <f>SUM(N53:N55)</f>
        <v>316887</v>
      </c>
      <c r="O56" s="278"/>
      <c r="P56" s="36"/>
      <c r="Q56" s="36"/>
      <c r="R56" s="36"/>
      <c r="V56" s="29"/>
      <c r="W56" s="44"/>
      <c r="X56" s="196"/>
      <c r="Y56" s="41"/>
      <c r="AA56" s="29"/>
      <c r="AB56" s="38"/>
      <c r="AC56" s="196"/>
      <c r="AD56" s="41"/>
      <c r="AF56" s="19"/>
      <c r="AG56" s="167"/>
      <c r="AH56" s="21"/>
    </row>
    <row r="57" spans="1:34" ht="17.25" customHeight="1" thickBot="1" x14ac:dyDescent="0.3">
      <c r="C57" s="537"/>
      <c r="O57" s="279"/>
      <c r="P57" s="114"/>
      <c r="Q57" s="114"/>
      <c r="V57" s="29">
        <v>44162</v>
      </c>
      <c r="W57" s="38" t="s">
        <v>10</v>
      </c>
      <c r="X57" s="196">
        <v>5000</v>
      </c>
      <c r="Y57" s="41"/>
      <c r="AA57" s="29"/>
      <c r="AB57" s="44" t="s">
        <v>11</v>
      </c>
      <c r="AC57" s="196"/>
      <c r="AD57" s="41"/>
      <c r="AF57" s="19" t="s">
        <v>534</v>
      </c>
      <c r="AG57" s="167"/>
      <c r="AH57" s="21">
        <v>0</v>
      </c>
    </row>
    <row r="58" spans="1:34" ht="19.5" thickBot="1" x14ac:dyDescent="0.3">
      <c r="A58" s="59"/>
      <c r="B58" s="125"/>
      <c r="C58" s="8" t="s">
        <v>12</v>
      </c>
      <c r="H58" s="638" t="s">
        <v>18</v>
      </c>
      <c r="I58" s="639"/>
      <c r="J58" s="333"/>
      <c r="K58" s="640">
        <f>I53+L53+I54+L54</f>
        <v>661306.07999999996</v>
      </c>
      <c r="L58" s="641"/>
      <c r="M58" s="636">
        <f>M53+N53</f>
        <v>2881450.64</v>
      </c>
      <c r="N58" s="637"/>
      <c r="P58" s="670">
        <f>P53+Q53+P54+Q54</f>
        <v>6426838.7599999998</v>
      </c>
      <c r="Q58" s="671"/>
      <c r="S58" s="5"/>
      <c r="T58" s="128"/>
      <c r="U58" s="128"/>
      <c r="V58" s="29"/>
      <c r="W58" s="44" t="s">
        <v>11</v>
      </c>
      <c r="X58" s="196">
        <v>0</v>
      </c>
      <c r="Y58" s="41"/>
      <c r="Z58" s="128"/>
      <c r="AA58" s="29"/>
      <c r="AB58" s="38" t="s">
        <v>10</v>
      </c>
      <c r="AC58" s="196"/>
      <c r="AD58" s="41"/>
      <c r="AF58" s="19" t="s">
        <v>535</v>
      </c>
      <c r="AG58" s="167"/>
      <c r="AH58" s="21">
        <v>0</v>
      </c>
    </row>
    <row r="59" spans="1:34" ht="15.75" x14ac:dyDescent="0.25">
      <c r="C59" s="4"/>
      <c r="D59" s="642" t="s">
        <v>19</v>
      </c>
      <c r="E59" s="642"/>
      <c r="F59" s="129">
        <f>F56-K58-C56</f>
        <v>4838603.4000000004</v>
      </c>
      <c r="I59" s="130"/>
      <c r="J59" s="334"/>
      <c r="P59" s="127"/>
      <c r="V59" s="29"/>
      <c r="W59" s="38" t="s">
        <v>10</v>
      </c>
      <c r="X59" s="196">
        <v>0</v>
      </c>
      <c r="Y59" s="41"/>
      <c r="AA59" s="29"/>
      <c r="AB59" s="44" t="s">
        <v>11</v>
      </c>
      <c r="AC59" s="196"/>
      <c r="AD59" s="41"/>
      <c r="AF59" s="19" t="s">
        <v>536</v>
      </c>
      <c r="AG59" s="167"/>
      <c r="AH59" s="21">
        <v>0</v>
      </c>
    </row>
    <row r="60" spans="1:34" ht="18.75" x14ac:dyDescent="0.3">
      <c r="D60" s="655" t="s">
        <v>20</v>
      </c>
      <c r="E60" s="655"/>
      <c r="F60" s="131">
        <f>-2442248.4-2336836.32</f>
        <v>-4779084.72</v>
      </c>
      <c r="I60" s="656" t="s">
        <v>21</v>
      </c>
      <c r="J60" s="657"/>
      <c r="K60" s="658">
        <f>F62+F63+F64</f>
        <v>393383.74000000063</v>
      </c>
      <c r="L60" s="659"/>
      <c r="P60" s="405"/>
      <c r="Q60" s="36"/>
      <c r="V60" s="29"/>
      <c r="W60" s="38"/>
      <c r="X60" s="196">
        <v>0</v>
      </c>
      <c r="Y60" s="41"/>
      <c r="AA60" s="29"/>
      <c r="AB60" s="38" t="s">
        <v>10</v>
      </c>
      <c r="AC60" s="196"/>
      <c r="AD60" s="41"/>
      <c r="AF60" s="19" t="s">
        <v>537</v>
      </c>
      <c r="AG60" s="167"/>
      <c r="AH60" s="21">
        <v>0</v>
      </c>
    </row>
    <row r="61" spans="1:34" ht="4.5" customHeight="1" thickBot="1" x14ac:dyDescent="0.35">
      <c r="D61" s="132"/>
      <c r="E61" s="133"/>
      <c r="F61" s="134">
        <v>0</v>
      </c>
      <c r="I61" s="135"/>
      <c r="J61" s="335"/>
      <c r="K61" s="136"/>
      <c r="L61" s="136"/>
      <c r="P61" s="127"/>
      <c r="Q61" s="36"/>
      <c r="V61" s="8"/>
      <c r="W61" s="44" t="s">
        <v>11</v>
      </c>
      <c r="X61" s="196">
        <v>0</v>
      </c>
      <c r="AA61" s="8"/>
      <c r="AB61" s="44" t="s">
        <v>11</v>
      </c>
      <c r="AC61" s="196">
        <v>0</v>
      </c>
    </row>
    <row r="62" spans="1:34" ht="20.25" thickTop="1" thickBot="1" x14ac:dyDescent="0.35">
      <c r="E62" s="59" t="s">
        <v>22</v>
      </c>
      <c r="F62" s="131">
        <f>SUM(F59:F61)</f>
        <v>59518.680000000633</v>
      </c>
      <c r="H62" s="30"/>
      <c r="I62" s="137" t="s">
        <v>23</v>
      </c>
      <c r="J62" s="336"/>
      <c r="K62" s="627">
        <f>-C4</f>
        <v>-313820.27</v>
      </c>
      <c r="L62" s="628"/>
      <c r="M62" s="214"/>
      <c r="P62" s="127"/>
      <c r="Q62" s="36"/>
      <c r="V62" s="8"/>
      <c r="W62" s="65" t="s">
        <v>16</v>
      </c>
      <c r="X62" s="66">
        <f>SUM(X4:X14)</f>
        <v>105110</v>
      </c>
      <c r="AA62" s="8"/>
      <c r="AB62" s="65" t="s">
        <v>323</v>
      </c>
      <c r="AC62" s="66">
        <f>SUM(AC4:AC14)</f>
        <v>55110</v>
      </c>
    </row>
    <row r="63" spans="1:34" ht="16.5" thickBot="1" x14ac:dyDescent="0.3">
      <c r="C63" s="16" t="s">
        <v>12</v>
      </c>
      <c r="D63" s="139" t="s">
        <v>24</v>
      </c>
      <c r="E63" s="59" t="s">
        <v>25</v>
      </c>
      <c r="F63" s="140">
        <f>18212+42136</f>
        <v>60348</v>
      </c>
      <c r="P63" s="127"/>
      <c r="Q63" s="36"/>
      <c r="V63" s="8"/>
      <c r="AA63" s="8"/>
    </row>
    <row r="64" spans="1:34" ht="20.25" thickTop="1" thickBot="1" x14ac:dyDescent="0.35">
      <c r="C64" s="581">
        <v>44165</v>
      </c>
      <c r="D64" s="629" t="s">
        <v>26</v>
      </c>
      <c r="E64" s="630"/>
      <c r="F64" s="142">
        <v>273517.06</v>
      </c>
      <c r="I64" s="682" t="s">
        <v>129</v>
      </c>
      <c r="J64" s="683"/>
      <c r="K64" s="684">
        <f>K60+K62</f>
        <v>79563.470000000612</v>
      </c>
      <c r="L64" s="685"/>
      <c r="P64" s="406"/>
      <c r="Q64" s="36"/>
    </row>
    <row r="65" spans="2:18" ht="18.75" x14ac:dyDescent="0.3">
      <c r="C65" s="231"/>
      <c r="D65" s="144"/>
      <c r="E65" s="61"/>
      <c r="F65" s="145"/>
      <c r="J65" s="337"/>
      <c r="M65" s="146"/>
      <c r="P65" s="36"/>
      <c r="Q65" s="36"/>
    </row>
    <row r="66" spans="2:18" x14ac:dyDescent="0.25">
      <c r="C66" s="143"/>
      <c r="P66" s="36"/>
      <c r="Q66" s="36"/>
    </row>
    <row r="67" spans="2:18" x14ac:dyDescent="0.25">
      <c r="B67" s="501"/>
      <c r="D67" s="503"/>
      <c r="E67" s="36"/>
      <c r="M67" s="147"/>
      <c r="N67" s="59"/>
      <c r="O67" s="59"/>
      <c r="P67" s="404"/>
      <c r="Q67" s="191"/>
      <c r="R67" s="186"/>
    </row>
    <row r="68" spans="2:18" ht="15.75" x14ac:dyDescent="0.25">
      <c r="B68" s="501"/>
      <c r="C68" s="502"/>
      <c r="D68" s="382"/>
      <c r="E68" s="36"/>
      <c r="M68" s="147"/>
      <c r="N68" s="59"/>
      <c r="O68" s="59"/>
      <c r="P68" s="191"/>
      <c r="Q68" s="191"/>
      <c r="R68" s="186"/>
    </row>
    <row r="69" spans="2:18" ht="15.75" x14ac:dyDescent="0.25">
      <c r="B69" s="501"/>
      <c r="C69" s="504"/>
      <c r="D69" s="382"/>
      <c r="E69" s="36"/>
      <c r="F69" s="148"/>
      <c r="K69" s="382"/>
      <c r="L69" s="382"/>
      <c r="M69" s="4"/>
    </row>
    <row r="70" spans="2:18" ht="15.75" x14ac:dyDescent="0.25">
      <c r="B70" s="501"/>
      <c r="C70" s="504"/>
      <c r="D70" s="382"/>
      <c r="E70" s="36"/>
      <c r="M70" s="4"/>
    </row>
    <row r="71" spans="2:18" ht="15.75" x14ac:dyDescent="0.25">
      <c r="B71" s="501"/>
      <c r="C71" s="504"/>
      <c r="D71" s="382"/>
      <c r="E71" s="36"/>
      <c r="M71" s="4"/>
    </row>
    <row r="72" spans="2:18" ht="15.75" x14ac:dyDescent="0.25">
      <c r="C72" s="504"/>
      <c r="M72" s="4"/>
    </row>
    <row r="73" spans="2:18" x14ac:dyDescent="0.25">
      <c r="M73" s="4"/>
    </row>
    <row r="74" spans="2:18" x14ac:dyDescent="0.25">
      <c r="M74" s="4"/>
    </row>
    <row r="75" spans="2:18" x14ac:dyDescent="0.25">
      <c r="M75" s="4"/>
    </row>
    <row r="76" spans="2:18" x14ac:dyDescent="0.25">
      <c r="M76" s="4"/>
    </row>
    <row r="77" spans="2:18" x14ac:dyDescent="0.25">
      <c r="M77" s="4"/>
    </row>
    <row r="78" spans="2:18" x14ac:dyDescent="0.25">
      <c r="M78" s="4"/>
    </row>
    <row r="79" spans="2:18" x14ac:dyDescent="0.25">
      <c r="M79" s="4"/>
    </row>
    <row r="80" spans="2:18" x14ac:dyDescent="0.25">
      <c r="M80" s="4"/>
    </row>
    <row r="81" spans="13:13" x14ac:dyDescent="0.25">
      <c r="M81" s="4"/>
    </row>
    <row r="82" spans="13:13" x14ac:dyDescent="0.25">
      <c r="M82" s="4"/>
    </row>
  </sheetData>
  <mergeCells count="21">
    <mergeCell ref="D64:E64"/>
    <mergeCell ref="I64:J64"/>
    <mergeCell ref="K64:L64"/>
    <mergeCell ref="P58:Q58"/>
    <mergeCell ref="D59:E59"/>
    <mergeCell ref="D60:E60"/>
    <mergeCell ref="I60:J60"/>
    <mergeCell ref="K60:L60"/>
    <mergeCell ref="K62:L62"/>
    <mergeCell ref="M58:N58"/>
    <mergeCell ref="E4:F4"/>
    <mergeCell ref="H4:I4"/>
    <mergeCell ref="H58:I58"/>
    <mergeCell ref="K58:L58"/>
    <mergeCell ref="C1:K1"/>
    <mergeCell ref="AK1:AL2"/>
    <mergeCell ref="W2:X3"/>
    <mergeCell ref="AB2:AC3"/>
    <mergeCell ref="AF2:AH2"/>
    <mergeCell ref="B3:C3"/>
    <mergeCell ref="H3:I3"/>
  </mergeCells>
  <phoneticPr fontId="30" type="noConversion"/>
  <pageMargins left="0.15748031496062992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E6F58-B10C-4975-8150-170014AD48D6}">
  <sheetPr>
    <tabColor rgb="FF00B050"/>
  </sheetPr>
  <dimension ref="A1:G80"/>
  <sheetViews>
    <sheetView topLeftCell="A25" workbookViewId="0">
      <selection activeCell="D48" sqref="D4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8" bestFit="1" customWidth="1"/>
  </cols>
  <sheetData>
    <row r="1" spans="1:7" ht="36.75" customHeight="1" x14ac:dyDescent="0.35">
      <c r="B1" s="185" t="s">
        <v>192</v>
      </c>
      <c r="C1" s="182"/>
      <c r="D1" s="183"/>
      <c r="E1" s="182"/>
      <c r="F1" s="184"/>
    </row>
    <row r="2" spans="1:7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7" ht="18.75" x14ac:dyDescent="0.3">
      <c r="A3" s="271">
        <v>44137</v>
      </c>
      <c r="B3" s="272" t="s">
        <v>658</v>
      </c>
      <c r="C3" s="176">
        <v>18990.3</v>
      </c>
      <c r="D3" s="270"/>
      <c r="E3" s="5"/>
      <c r="F3" s="488">
        <f>C3-E3</f>
        <v>18990.3</v>
      </c>
    </row>
    <row r="4" spans="1:7" ht="18.75" x14ac:dyDescent="0.3">
      <c r="A4" s="271">
        <v>44137</v>
      </c>
      <c r="B4" s="272" t="s">
        <v>659</v>
      </c>
      <c r="C4" s="176">
        <v>155798.6</v>
      </c>
      <c r="D4" s="273"/>
      <c r="E4" s="176"/>
      <c r="F4" s="483">
        <f>F3+C4-E4</f>
        <v>174788.9</v>
      </c>
      <c r="G4" s="451"/>
    </row>
    <row r="5" spans="1:7" x14ac:dyDescent="0.25">
      <c r="A5" s="273">
        <v>44139</v>
      </c>
      <c r="B5" s="272" t="s">
        <v>660</v>
      </c>
      <c r="C5" s="176">
        <v>56285.41</v>
      </c>
      <c r="D5" s="273"/>
      <c r="E5" s="176"/>
      <c r="F5" s="489">
        <f t="shared" ref="F5:F43" si="0">F4+C5-E5</f>
        <v>231074.31</v>
      </c>
    </row>
    <row r="6" spans="1:7" x14ac:dyDescent="0.25">
      <c r="A6" s="273">
        <v>44139</v>
      </c>
      <c r="B6" s="272" t="s">
        <v>661</v>
      </c>
      <c r="C6" s="176">
        <v>73655.990000000005</v>
      </c>
      <c r="D6" s="273"/>
      <c r="E6" s="176"/>
      <c r="F6" s="489">
        <f t="shared" si="0"/>
        <v>304730.3</v>
      </c>
    </row>
    <row r="7" spans="1:7" x14ac:dyDescent="0.25">
      <c r="A7" s="273">
        <v>44140</v>
      </c>
      <c r="B7" s="272" t="s">
        <v>662</v>
      </c>
      <c r="C7" s="176">
        <v>3114.6</v>
      </c>
      <c r="D7" s="273"/>
      <c r="E7" s="176"/>
      <c r="F7" s="489">
        <f t="shared" si="0"/>
        <v>307844.89999999997</v>
      </c>
    </row>
    <row r="8" spans="1:7" x14ac:dyDescent="0.25">
      <c r="A8" s="273">
        <v>44141</v>
      </c>
      <c r="B8" s="272" t="s">
        <v>663</v>
      </c>
      <c r="C8" s="176">
        <v>111461.4</v>
      </c>
      <c r="D8" s="273">
        <v>44141</v>
      </c>
      <c r="E8" s="176">
        <v>419306.3</v>
      </c>
      <c r="F8" s="489">
        <f t="shared" si="0"/>
        <v>0</v>
      </c>
    </row>
    <row r="9" spans="1:7" x14ac:dyDescent="0.25">
      <c r="A9" s="273">
        <v>44142</v>
      </c>
      <c r="B9" s="272" t="s">
        <v>707</v>
      </c>
      <c r="C9" s="176">
        <v>145869.51999999999</v>
      </c>
      <c r="D9" s="273"/>
      <c r="E9" s="176"/>
      <c r="F9" s="489">
        <f t="shared" si="0"/>
        <v>145869.51999999999</v>
      </c>
    </row>
    <row r="10" spans="1:7" ht="18.75" x14ac:dyDescent="0.3">
      <c r="A10" s="273">
        <v>44142</v>
      </c>
      <c r="B10" s="272" t="s">
        <v>708</v>
      </c>
      <c r="C10" s="176">
        <v>3062.4</v>
      </c>
      <c r="D10" s="273"/>
      <c r="E10" s="176"/>
      <c r="F10" s="489">
        <f t="shared" si="0"/>
        <v>148931.91999999998</v>
      </c>
      <c r="G10" s="451"/>
    </row>
    <row r="11" spans="1:7" x14ac:dyDescent="0.25">
      <c r="A11" s="271">
        <v>44142</v>
      </c>
      <c r="B11" s="272" t="s">
        <v>709</v>
      </c>
      <c r="C11" s="176">
        <v>2500</v>
      </c>
      <c r="D11" s="273"/>
      <c r="E11" s="176"/>
      <c r="F11" s="489">
        <f t="shared" si="0"/>
        <v>151431.91999999998</v>
      </c>
    </row>
    <row r="12" spans="1:7" x14ac:dyDescent="0.25">
      <c r="A12" s="273">
        <v>44145</v>
      </c>
      <c r="B12" s="272" t="s">
        <v>710</v>
      </c>
      <c r="C12" s="176">
        <v>1900</v>
      </c>
      <c r="D12" s="273"/>
      <c r="E12" s="176"/>
      <c r="F12" s="489">
        <f t="shared" si="0"/>
        <v>153331.91999999998</v>
      </c>
    </row>
    <row r="13" spans="1:7" x14ac:dyDescent="0.25">
      <c r="A13" s="273">
        <v>44145</v>
      </c>
      <c r="B13" s="272" t="s">
        <v>711</v>
      </c>
      <c r="C13" s="176">
        <v>109829.8</v>
      </c>
      <c r="D13" s="273"/>
      <c r="E13" s="176"/>
      <c r="F13" s="489">
        <f t="shared" si="0"/>
        <v>263161.71999999997</v>
      </c>
    </row>
    <row r="14" spans="1:7" x14ac:dyDescent="0.25">
      <c r="A14" s="273">
        <v>44145</v>
      </c>
      <c r="B14" s="272" t="s">
        <v>712</v>
      </c>
      <c r="C14" s="176">
        <v>1202.5</v>
      </c>
      <c r="D14" s="273"/>
      <c r="E14" s="176"/>
      <c r="F14" s="489">
        <f t="shared" si="0"/>
        <v>264364.21999999997</v>
      </c>
    </row>
    <row r="15" spans="1:7" x14ac:dyDescent="0.25">
      <c r="A15" s="273">
        <v>44147</v>
      </c>
      <c r="B15" s="272" t="s">
        <v>713</v>
      </c>
      <c r="C15" s="176">
        <v>198596.98</v>
      </c>
      <c r="D15" s="273">
        <v>44148</v>
      </c>
      <c r="E15" s="176">
        <v>462961.2</v>
      </c>
      <c r="F15" s="489">
        <f t="shared" si="0"/>
        <v>0</v>
      </c>
    </row>
    <row r="16" spans="1:7" x14ac:dyDescent="0.25">
      <c r="A16" s="273">
        <v>44149</v>
      </c>
      <c r="B16" s="272" t="s">
        <v>714</v>
      </c>
      <c r="C16" s="176">
        <v>166683.74</v>
      </c>
      <c r="D16" s="273"/>
      <c r="E16" s="176"/>
      <c r="F16" s="489">
        <f t="shared" si="0"/>
        <v>166683.74</v>
      </c>
    </row>
    <row r="17" spans="1:7" x14ac:dyDescent="0.25">
      <c r="A17" s="273">
        <v>44149</v>
      </c>
      <c r="B17" s="272" t="s">
        <v>715</v>
      </c>
      <c r="C17" s="176">
        <v>13311.2</v>
      </c>
      <c r="D17" s="273"/>
      <c r="E17" s="176"/>
      <c r="F17" s="489">
        <f t="shared" si="0"/>
        <v>179994.94</v>
      </c>
    </row>
    <row r="18" spans="1:7" x14ac:dyDescent="0.25">
      <c r="A18" s="273">
        <v>44151</v>
      </c>
      <c r="B18" s="272" t="s">
        <v>716</v>
      </c>
      <c r="C18" s="176">
        <v>122611.55</v>
      </c>
      <c r="D18" s="273"/>
      <c r="E18" s="176"/>
      <c r="F18" s="489">
        <f t="shared" si="0"/>
        <v>302606.49</v>
      </c>
    </row>
    <row r="19" spans="1:7" x14ac:dyDescent="0.25">
      <c r="A19" s="273">
        <v>44152</v>
      </c>
      <c r="B19" s="272" t="s">
        <v>717</v>
      </c>
      <c r="C19" s="176">
        <v>163622.29999999999</v>
      </c>
      <c r="D19" s="273"/>
      <c r="E19" s="176"/>
      <c r="F19" s="489">
        <f t="shared" si="0"/>
        <v>466228.79</v>
      </c>
    </row>
    <row r="20" spans="1:7" x14ac:dyDescent="0.25">
      <c r="A20" s="273">
        <v>44153</v>
      </c>
      <c r="B20" s="272" t="s">
        <v>718</v>
      </c>
      <c r="C20" s="176">
        <v>1792</v>
      </c>
      <c r="D20" s="273"/>
      <c r="E20" s="176"/>
      <c r="F20" s="489">
        <f t="shared" si="0"/>
        <v>468020.79</v>
      </c>
    </row>
    <row r="21" spans="1:7" x14ac:dyDescent="0.25">
      <c r="A21" s="273">
        <v>44153</v>
      </c>
      <c r="B21" s="272" t="s">
        <v>719</v>
      </c>
      <c r="C21" s="176">
        <v>13714.4</v>
      </c>
      <c r="D21" s="273"/>
      <c r="E21" s="176"/>
      <c r="F21" s="489">
        <f t="shared" si="0"/>
        <v>481735.19</v>
      </c>
    </row>
    <row r="22" spans="1:7" ht="18.75" x14ac:dyDescent="0.3">
      <c r="A22" s="273">
        <v>44154</v>
      </c>
      <c r="B22" s="272" t="s">
        <v>720</v>
      </c>
      <c r="C22" s="176">
        <v>3150.6</v>
      </c>
      <c r="D22" s="273"/>
      <c r="E22" s="176"/>
      <c r="F22" s="483">
        <f t="shared" si="0"/>
        <v>484885.79</v>
      </c>
      <c r="G22" s="451"/>
    </row>
    <row r="23" spans="1:7" x14ac:dyDescent="0.25">
      <c r="A23" s="273">
        <v>44154</v>
      </c>
      <c r="B23" s="272" t="s">
        <v>721</v>
      </c>
      <c r="C23" s="176">
        <v>145158.70000000001</v>
      </c>
      <c r="D23" s="273"/>
      <c r="E23" s="176"/>
      <c r="F23" s="489">
        <f t="shared" si="0"/>
        <v>630044.49</v>
      </c>
    </row>
    <row r="24" spans="1:7" x14ac:dyDescent="0.25">
      <c r="A24" s="273">
        <v>44154</v>
      </c>
      <c r="B24" s="272" t="s">
        <v>722</v>
      </c>
      <c r="C24" s="176">
        <v>6658.4</v>
      </c>
      <c r="D24" s="273">
        <v>44155</v>
      </c>
      <c r="E24" s="176">
        <v>636702.89</v>
      </c>
      <c r="F24" s="489">
        <f t="shared" si="0"/>
        <v>0</v>
      </c>
    </row>
    <row r="25" spans="1:7" x14ac:dyDescent="0.25">
      <c r="A25" s="273">
        <v>44156</v>
      </c>
      <c r="B25" s="272" t="s">
        <v>723</v>
      </c>
      <c r="C25" s="176">
        <v>158737.54999999999</v>
      </c>
      <c r="D25" s="273"/>
      <c r="E25" s="176"/>
      <c r="F25" s="489">
        <f t="shared" si="0"/>
        <v>158737.54999999999</v>
      </c>
    </row>
    <row r="26" spans="1:7" x14ac:dyDescent="0.25">
      <c r="A26" s="273">
        <v>44156</v>
      </c>
      <c r="B26" s="272" t="s">
        <v>724</v>
      </c>
      <c r="C26" s="176">
        <v>3434</v>
      </c>
      <c r="D26" s="273"/>
      <c r="E26" s="176"/>
      <c r="F26" s="489">
        <f t="shared" si="0"/>
        <v>162171.54999999999</v>
      </c>
    </row>
    <row r="27" spans="1:7" x14ac:dyDescent="0.25">
      <c r="A27" s="273">
        <v>44156</v>
      </c>
      <c r="B27" s="272" t="s">
        <v>725</v>
      </c>
      <c r="C27" s="176">
        <v>1713.6</v>
      </c>
      <c r="D27" s="273"/>
      <c r="E27" s="176"/>
      <c r="F27" s="489">
        <f t="shared" si="0"/>
        <v>163885.15</v>
      </c>
    </row>
    <row r="28" spans="1:7" x14ac:dyDescent="0.25">
      <c r="A28" s="273">
        <v>44159</v>
      </c>
      <c r="B28" s="272" t="s">
        <v>726</v>
      </c>
      <c r="C28" s="176">
        <v>6126.4</v>
      </c>
      <c r="D28" s="273"/>
      <c r="E28" s="176"/>
      <c r="F28" s="489">
        <f t="shared" si="0"/>
        <v>170011.55</v>
      </c>
    </row>
    <row r="29" spans="1:7" x14ac:dyDescent="0.25">
      <c r="A29" s="273">
        <v>44159</v>
      </c>
      <c r="B29" s="272" t="s">
        <v>727</v>
      </c>
      <c r="C29" s="176">
        <v>187829.2</v>
      </c>
      <c r="D29" s="273"/>
      <c r="E29" s="176"/>
      <c r="F29" s="489">
        <f t="shared" si="0"/>
        <v>357840.75</v>
      </c>
    </row>
    <row r="30" spans="1:7" ht="18.75" x14ac:dyDescent="0.3">
      <c r="A30" s="273">
        <v>44159</v>
      </c>
      <c r="B30" s="272" t="s">
        <v>728</v>
      </c>
      <c r="C30" s="176">
        <v>20780.400000000001</v>
      </c>
      <c r="D30" s="273"/>
      <c r="E30" s="176"/>
      <c r="F30" s="483">
        <f t="shared" si="0"/>
        <v>378621.15</v>
      </c>
      <c r="G30" s="451"/>
    </row>
    <row r="31" spans="1:7" x14ac:dyDescent="0.25">
      <c r="A31" s="273">
        <v>44160</v>
      </c>
      <c r="B31" s="272" t="s">
        <v>729</v>
      </c>
      <c r="C31" s="176">
        <v>1552</v>
      </c>
      <c r="D31" s="273"/>
      <c r="E31" s="176"/>
      <c r="F31" s="489">
        <f t="shared" si="0"/>
        <v>380173.15</v>
      </c>
    </row>
    <row r="32" spans="1:7" x14ac:dyDescent="0.25">
      <c r="A32" s="271">
        <v>44161</v>
      </c>
      <c r="B32" s="272" t="s">
        <v>730</v>
      </c>
      <c r="C32" s="176">
        <v>6423.2</v>
      </c>
      <c r="D32" s="410"/>
      <c r="E32" s="36"/>
      <c r="F32" s="489">
        <f t="shared" si="0"/>
        <v>386596.35000000003</v>
      </c>
    </row>
    <row r="33" spans="1:6" x14ac:dyDescent="0.25">
      <c r="A33" s="271">
        <v>44161</v>
      </c>
      <c r="B33" s="272" t="s">
        <v>731</v>
      </c>
      <c r="C33" s="176">
        <v>138787.35999999999</v>
      </c>
      <c r="D33" s="410"/>
      <c r="E33" s="36"/>
      <c r="F33" s="489">
        <f t="shared" si="0"/>
        <v>525383.71</v>
      </c>
    </row>
    <row r="34" spans="1:6" x14ac:dyDescent="0.25">
      <c r="A34" s="271">
        <v>44161</v>
      </c>
      <c r="B34" s="272" t="s">
        <v>732</v>
      </c>
      <c r="C34" s="176">
        <v>13658.4</v>
      </c>
      <c r="D34" s="410">
        <v>44161</v>
      </c>
      <c r="E34" s="36">
        <v>539042.11</v>
      </c>
      <c r="F34" s="489">
        <f t="shared" si="0"/>
        <v>0</v>
      </c>
    </row>
    <row r="35" spans="1:6" x14ac:dyDescent="0.25">
      <c r="A35" s="271">
        <v>44163</v>
      </c>
      <c r="B35" s="272" t="s">
        <v>733</v>
      </c>
      <c r="C35" s="176">
        <v>40781.9</v>
      </c>
      <c r="D35" s="410"/>
      <c r="E35" s="36"/>
      <c r="F35" s="489">
        <f t="shared" si="0"/>
        <v>40781.9</v>
      </c>
    </row>
    <row r="36" spans="1:6" x14ac:dyDescent="0.25">
      <c r="A36" s="271">
        <v>44163</v>
      </c>
      <c r="B36" s="272" t="s">
        <v>734</v>
      </c>
      <c r="C36" s="176">
        <v>46375.16</v>
      </c>
      <c r="D36" s="410"/>
      <c r="E36" s="36"/>
      <c r="F36" s="489">
        <f t="shared" si="0"/>
        <v>87157.06</v>
      </c>
    </row>
    <row r="37" spans="1:6" x14ac:dyDescent="0.25">
      <c r="A37" s="273">
        <v>44163</v>
      </c>
      <c r="B37" s="272" t="s">
        <v>735</v>
      </c>
      <c r="C37" s="176">
        <v>96817.9</v>
      </c>
      <c r="D37" s="410"/>
      <c r="E37" s="36"/>
      <c r="F37" s="489">
        <f t="shared" si="0"/>
        <v>183974.96</v>
      </c>
    </row>
    <row r="38" spans="1:6" x14ac:dyDescent="0.25">
      <c r="A38" s="273">
        <v>44165</v>
      </c>
      <c r="B38" s="272" t="s">
        <v>736</v>
      </c>
      <c r="C38" s="176">
        <v>94848.86</v>
      </c>
      <c r="D38" s="410">
        <v>44169</v>
      </c>
      <c r="E38" s="36">
        <v>278823.82</v>
      </c>
      <c r="F38" s="489">
        <f t="shared" si="0"/>
        <v>0</v>
      </c>
    </row>
    <row r="39" spans="1:6" x14ac:dyDescent="0.25">
      <c r="A39" s="273"/>
      <c r="B39" s="272"/>
      <c r="C39" s="176"/>
      <c r="D39" s="410"/>
      <c r="E39" s="36"/>
      <c r="F39" s="489">
        <f t="shared" si="0"/>
        <v>0</v>
      </c>
    </row>
    <row r="40" spans="1:6" x14ac:dyDescent="0.25">
      <c r="A40" s="271"/>
      <c r="B40" s="272"/>
      <c r="C40" s="176"/>
      <c r="D40" s="410"/>
      <c r="E40" s="36"/>
      <c r="F40" s="489">
        <f t="shared" si="0"/>
        <v>0</v>
      </c>
    </row>
    <row r="41" spans="1:6" x14ac:dyDescent="0.25">
      <c r="A41" s="271"/>
      <c r="B41" s="272"/>
      <c r="C41" s="176"/>
      <c r="D41" s="410"/>
      <c r="E41" s="36"/>
      <c r="F41" s="489">
        <f t="shared" si="0"/>
        <v>0</v>
      </c>
    </row>
    <row r="42" spans="1:6" x14ac:dyDescent="0.25">
      <c r="A42" s="271"/>
      <c r="B42" s="272"/>
      <c r="C42" s="176"/>
      <c r="D42" s="410"/>
      <c r="E42" s="36"/>
      <c r="F42" s="489">
        <f t="shared" si="0"/>
        <v>0</v>
      </c>
    </row>
    <row r="43" spans="1:6" ht="15.75" thickBot="1" x14ac:dyDescent="0.3">
      <c r="A43" s="178"/>
      <c r="B43" s="411"/>
      <c r="C43" s="104">
        <v>0</v>
      </c>
      <c r="D43" s="180"/>
      <c r="E43" s="104"/>
      <c r="F43" s="490">
        <f t="shared" si="0"/>
        <v>0</v>
      </c>
    </row>
    <row r="44" spans="1:6" ht="19.5" thickTop="1" x14ac:dyDescent="0.3">
      <c r="B44" s="59"/>
      <c r="C44" s="4">
        <f>SUM(C3:C43)</f>
        <v>2336836.3199999994</v>
      </c>
      <c r="D44" s="1"/>
      <c r="E44" s="4">
        <f>SUM(E3:E43)</f>
        <v>2336836.3199999998</v>
      </c>
      <c r="F44" s="491">
        <f>F43</f>
        <v>0</v>
      </c>
    </row>
    <row r="45" spans="1:6" x14ac:dyDescent="0.25">
      <c r="B45" s="59"/>
      <c r="C45" s="4"/>
      <c r="D45" s="1"/>
      <c r="E45" s="8"/>
      <c r="F45" s="4"/>
    </row>
    <row r="46" spans="1:6" x14ac:dyDescent="0.25">
      <c r="B46" s="59"/>
      <c r="C46" s="4"/>
      <c r="D46" s="1"/>
      <c r="E46" s="8"/>
      <c r="F46" s="4"/>
    </row>
    <row r="47" spans="1:6" x14ac:dyDescent="0.25">
      <c r="A47"/>
      <c r="B47" s="30"/>
      <c r="D47" s="30"/>
    </row>
    <row r="48" spans="1:6" x14ac:dyDescent="0.25">
      <c r="A48"/>
      <c r="B48" s="30"/>
      <c r="D48" s="30"/>
    </row>
    <row r="49" spans="1:6" x14ac:dyDescent="0.25">
      <c r="A49"/>
      <c r="B49" s="30"/>
      <c r="D49" s="30"/>
    </row>
    <row r="50" spans="1:6" x14ac:dyDescent="0.25">
      <c r="A50"/>
      <c r="B50" s="30"/>
      <c r="D50" s="30"/>
      <c r="F50" s="492"/>
    </row>
    <row r="51" spans="1:6" x14ac:dyDescent="0.25">
      <c r="A51"/>
      <c r="B51" s="30"/>
      <c r="D51" s="30"/>
      <c r="F51" s="492"/>
    </row>
    <row r="52" spans="1:6" x14ac:dyDescent="0.25">
      <c r="A52"/>
      <c r="B52" s="30"/>
      <c r="D52" s="30"/>
      <c r="F52" s="492"/>
    </row>
    <row r="53" spans="1:6" x14ac:dyDescent="0.25">
      <c r="A53"/>
      <c r="B53" s="30"/>
      <c r="D53" s="30"/>
      <c r="F53" s="492"/>
    </row>
    <row r="54" spans="1:6" x14ac:dyDescent="0.25">
      <c r="A54"/>
      <c r="B54" s="30"/>
      <c r="D54" s="30"/>
      <c r="F54" s="492"/>
    </row>
    <row r="55" spans="1:6" x14ac:dyDescent="0.25">
      <c r="A55"/>
      <c r="B55" s="30"/>
      <c r="D55" s="30"/>
      <c r="F55" s="492"/>
    </row>
    <row r="56" spans="1:6" x14ac:dyDescent="0.25">
      <c r="A56"/>
      <c r="B56" s="30"/>
      <c r="D56" s="30"/>
      <c r="F56" s="492"/>
    </row>
    <row r="57" spans="1:6" x14ac:dyDescent="0.25">
      <c r="A57"/>
      <c r="B57" s="30"/>
      <c r="D57" s="30"/>
      <c r="F57" s="492"/>
    </row>
    <row r="58" spans="1:6" x14ac:dyDescent="0.25">
      <c r="A58"/>
      <c r="B58" s="30"/>
      <c r="D58" s="30"/>
      <c r="F58" s="492"/>
    </row>
    <row r="59" spans="1:6" x14ac:dyDescent="0.25">
      <c r="A59"/>
      <c r="B59" s="30"/>
      <c r="D59" s="30"/>
      <c r="E59"/>
      <c r="F59" s="492"/>
    </row>
    <row r="60" spans="1:6" x14ac:dyDescent="0.25">
      <c r="A60"/>
      <c r="B60" s="30"/>
      <c r="D60" s="30"/>
      <c r="E60"/>
      <c r="F60" s="492"/>
    </row>
    <row r="61" spans="1:6" x14ac:dyDescent="0.25">
      <c r="A61"/>
      <c r="B61" s="30"/>
      <c r="D61" s="30"/>
      <c r="E61"/>
      <c r="F61" s="492"/>
    </row>
    <row r="62" spans="1:6" x14ac:dyDescent="0.25">
      <c r="A62"/>
      <c r="B62" s="30"/>
      <c r="D62" s="30"/>
      <c r="E62"/>
      <c r="F62" s="492"/>
    </row>
    <row r="63" spans="1:6" x14ac:dyDescent="0.25">
      <c r="A63"/>
      <c r="B63" s="30"/>
      <c r="D63" s="30"/>
      <c r="E63"/>
      <c r="F63" s="492"/>
    </row>
    <row r="64" spans="1:6" x14ac:dyDescent="0.25">
      <c r="A64"/>
      <c r="B64" s="30"/>
      <c r="D64" s="30"/>
      <c r="E64"/>
      <c r="F64" s="492"/>
    </row>
    <row r="65" spans="2:5" x14ac:dyDescent="0.25">
      <c r="B65" s="30"/>
      <c r="D65" s="30"/>
      <c r="E65"/>
    </row>
    <row r="66" spans="2:5" x14ac:dyDescent="0.25">
      <c r="B66" s="30"/>
      <c r="D66" s="30"/>
      <c r="E66"/>
    </row>
    <row r="67" spans="2:5" x14ac:dyDescent="0.25">
      <c r="B67" s="30"/>
      <c r="D67" s="30"/>
      <c r="E67"/>
    </row>
    <row r="68" spans="2:5" x14ac:dyDescent="0.25">
      <c r="B68" s="30"/>
      <c r="D68" s="30"/>
      <c r="E68"/>
    </row>
    <row r="69" spans="2:5" x14ac:dyDescent="0.25">
      <c r="B69" s="30"/>
      <c r="D69" s="30"/>
      <c r="E69"/>
    </row>
    <row r="70" spans="2:5" x14ac:dyDescent="0.25">
      <c r="B70" s="30"/>
      <c r="D70" s="30"/>
      <c r="E70"/>
    </row>
    <row r="71" spans="2:5" x14ac:dyDescent="0.25">
      <c r="B71" s="30"/>
      <c r="D71" s="30"/>
      <c r="E71"/>
    </row>
    <row r="72" spans="2:5" x14ac:dyDescent="0.25">
      <c r="B72" s="30"/>
      <c r="D72" s="30"/>
      <c r="E72"/>
    </row>
    <row r="73" spans="2:5" x14ac:dyDescent="0.25">
      <c r="B73" s="30"/>
      <c r="D73" s="30"/>
      <c r="E73"/>
    </row>
    <row r="74" spans="2:5" x14ac:dyDescent="0.25">
      <c r="B74" s="30"/>
    </row>
    <row r="75" spans="2:5" x14ac:dyDescent="0.25">
      <c r="B75" s="30"/>
    </row>
    <row r="76" spans="2:5" x14ac:dyDescent="0.25">
      <c r="B76" s="30"/>
      <c r="D76" s="30"/>
    </row>
    <row r="77" spans="2:5" x14ac:dyDescent="0.25">
      <c r="B77" s="30"/>
    </row>
    <row r="78" spans="2:5" x14ac:dyDescent="0.25">
      <c r="B78" s="30"/>
    </row>
    <row r="79" spans="2:5" x14ac:dyDescent="0.25">
      <c r="B79" s="30"/>
    </row>
    <row r="80" spans="2:5" ht="18.75" x14ac:dyDescent="0.3">
      <c r="C80" s="14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21EA3-D9EC-4FFC-95DD-DEA3A5E3AD96}">
  <sheetPr>
    <tabColor rgb="FF0070C0"/>
  </sheetPr>
  <dimension ref="A1:AL87"/>
  <sheetViews>
    <sheetView workbookViewId="0">
      <selection activeCell="H21" sqref="H21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style="8" customWidth="1"/>
    <col min="13" max="13" width="18.140625" style="16" customWidth="1"/>
    <col min="14" max="14" width="14.140625" style="4" customWidth="1"/>
    <col min="15" max="15" width="7.5703125" style="600" customWidth="1"/>
    <col min="16" max="16" width="15.5703125" style="5" bestFit="1" customWidth="1"/>
    <col min="17" max="17" width="14.42578125" style="5" customWidth="1"/>
    <col min="18" max="18" width="7.5703125" style="4" customWidth="1"/>
    <col min="19" max="19" width="15.5703125" style="36" bestFit="1" customWidth="1"/>
    <col min="20" max="20" width="14.42578125" style="36" customWidth="1"/>
    <col min="21" max="21" width="9" style="5" bestFit="1" customWidth="1"/>
    <col min="22" max="22" width="13.85546875" customWidth="1"/>
    <col min="24" max="24" width="17.4257812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660" t="s">
        <v>745</v>
      </c>
      <c r="D1" s="660"/>
      <c r="E1" s="660"/>
      <c r="F1" s="660"/>
      <c r="G1" s="660"/>
      <c r="H1" s="660"/>
      <c r="I1" s="660"/>
      <c r="J1" s="660"/>
      <c r="K1" s="660"/>
      <c r="L1" s="147"/>
      <c r="M1" s="3"/>
      <c r="AK1" s="643" t="s">
        <v>45</v>
      </c>
      <c r="AL1" s="644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572"/>
      <c r="M2" s="3"/>
      <c r="N2" s="5"/>
      <c r="O2" s="601"/>
      <c r="R2" s="5"/>
      <c r="W2" s="651" t="s">
        <v>4</v>
      </c>
      <c r="X2" s="652"/>
      <c r="AB2" s="651" t="s">
        <v>4</v>
      </c>
      <c r="AC2" s="652"/>
      <c r="AF2" s="648" t="s">
        <v>43</v>
      </c>
      <c r="AG2" s="649"/>
      <c r="AH2" s="650"/>
      <c r="AJ2" s="193" t="s">
        <v>44</v>
      </c>
      <c r="AK2" s="645"/>
      <c r="AL2" s="646"/>
    </row>
    <row r="3" spans="1:38" ht="18" customHeight="1" thickBot="1" x14ac:dyDescent="0.35">
      <c r="B3" s="661" t="s">
        <v>1</v>
      </c>
      <c r="C3" s="662"/>
      <c r="D3" s="15"/>
      <c r="E3" s="374"/>
      <c r="F3" s="374"/>
      <c r="H3" s="669" t="s">
        <v>190</v>
      </c>
      <c r="I3" s="669"/>
      <c r="K3" s="234" t="s">
        <v>2</v>
      </c>
      <c r="L3" s="234" t="s">
        <v>191</v>
      </c>
      <c r="M3" s="236"/>
      <c r="W3" s="653"/>
      <c r="X3" s="654"/>
      <c r="Y3" s="195" t="s">
        <v>37</v>
      </c>
      <c r="AB3" s="653"/>
      <c r="AC3" s="654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273517.06</v>
      </c>
      <c r="D4" s="308">
        <v>44165</v>
      </c>
      <c r="E4" s="663" t="s">
        <v>6</v>
      </c>
      <c r="F4" s="664"/>
      <c r="H4" s="691" t="s">
        <v>7</v>
      </c>
      <c r="I4" s="666"/>
      <c r="J4" s="326"/>
      <c r="K4" s="24"/>
      <c r="L4" s="573"/>
      <c r="M4" s="25" t="s">
        <v>8</v>
      </c>
      <c r="N4" s="26" t="s">
        <v>9</v>
      </c>
      <c r="O4" s="599"/>
      <c r="P4" s="27"/>
      <c r="Q4" s="28"/>
      <c r="R4" s="27"/>
      <c r="S4" s="27"/>
      <c r="T4" s="27"/>
      <c r="U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44166</v>
      </c>
      <c r="C5" s="320">
        <v>5538</v>
      </c>
      <c r="D5" s="309" t="s">
        <v>82</v>
      </c>
      <c r="E5" s="151">
        <v>44166</v>
      </c>
      <c r="F5" s="32">
        <v>72150</v>
      </c>
      <c r="G5" s="152"/>
      <c r="H5" s="570">
        <v>44166</v>
      </c>
      <c r="I5" s="568">
        <v>534</v>
      </c>
      <c r="J5" s="571">
        <v>44166</v>
      </c>
      <c r="K5" s="378" t="s">
        <v>15</v>
      </c>
      <c r="L5" s="5">
        <v>20000</v>
      </c>
      <c r="M5" s="34">
        <v>76528</v>
      </c>
      <c r="N5" s="35">
        <v>3074</v>
      </c>
      <c r="O5" s="599"/>
      <c r="P5" s="36">
        <f>C5+I5+M5+N5</f>
        <v>85674</v>
      </c>
      <c r="Q5" s="198">
        <f>P5-F5</f>
        <v>13524</v>
      </c>
      <c r="R5" s="36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44167</v>
      </c>
      <c r="C6" s="320">
        <v>9474</v>
      </c>
      <c r="D6" s="310" t="s">
        <v>746</v>
      </c>
      <c r="E6" s="151">
        <v>44167</v>
      </c>
      <c r="F6" s="32">
        <v>107821</v>
      </c>
      <c r="G6" s="152"/>
      <c r="H6" s="570">
        <v>44167</v>
      </c>
      <c r="I6" s="569">
        <v>2495</v>
      </c>
      <c r="J6" s="60">
        <v>44167</v>
      </c>
      <c r="K6" s="443" t="s">
        <v>747</v>
      </c>
      <c r="L6" s="55">
        <v>1253</v>
      </c>
      <c r="M6" s="34">
        <v>89232</v>
      </c>
      <c r="N6" s="35">
        <v>5367</v>
      </c>
      <c r="O6" s="598"/>
      <c r="P6" s="36">
        <f>C6+I6+M6+N6+L6</f>
        <v>107821</v>
      </c>
      <c r="Q6" s="5">
        <f>P6-F6</f>
        <v>0</v>
      </c>
      <c r="R6" s="276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44168</v>
      </c>
      <c r="C7" s="320">
        <v>0</v>
      </c>
      <c r="D7" s="311"/>
      <c r="E7" s="151">
        <v>44168</v>
      </c>
      <c r="F7" s="32">
        <v>134989</v>
      </c>
      <c r="G7" s="152"/>
      <c r="H7" s="570">
        <v>44168</v>
      </c>
      <c r="I7" s="39">
        <v>440</v>
      </c>
      <c r="J7" s="60"/>
      <c r="K7" s="342"/>
      <c r="L7" s="55"/>
      <c r="M7" s="34">
        <v>131617</v>
      </c>
      <c r="N7" s="35">
        <v>2932</v>
      </c>
      <c r="O7" s="599"/>
      <c r="P7" s="36">
        <f>C7+I7+M7+N7+L7</f>
        <v>134989</v>
      </c>
      <c r="Q7" s="5">
        <f>P7-F7</f>
        <v>0</v>
      </c>
      <c r="R7" s="127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44169</v>
      </c>
      <c r="C8" s="320">
        <v>1812</v>
      </c>
      <c r="D8" s="312" t="s">
        <v>72</v>
      </c>
      <c r="E8" s="151">
        <v>44169</v>
      </c>
      <c r="F8" s="32">
        <v>167319</v>
      </c>
      <c r="G8" s="152"/>
      <c r="H8" s="570">
        <v>44169</v>
      </c>
      <c r="I8" s="39">
        <v>562</v>
      </c>
      <c r="J8" s="414"/>
      <c r="K8" s="342"/>
      <c r="L8" s="55"/>
      <c r="M8" s="34">
        <v>141612</v>
      </c>
      <c r="N8" s="35">
        <v>23333</v>
      </c>
      <c r="O8" s="598"/>
      <c r="P8" s="36">
        <f>C8+I8+M8+N8</f>
        <v>167319</v>
      </c>
      <c r="Q8" s="5">
        <f>P8-F8</f>
        <v>0</v>
      </c>
      <c r="R8" s="276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44170</v>
      </c>
      <c r="C9" s="320">
        <v>7275</v>
      </c>
      <c r="D9" s="313" t="s">
        <v>463</v>
      </c>
      <c r="E9" s="151">
        <v>44170</v>
      </c>
      <c r="F9" s="32">
        <v>163094</v>
      </c>
      <c r="G9" s="152"/>
      <c r="H9" s="570">
        <v>44170</v>
      </c>
      <c r="I9" s="39">
        <v>10625</v>
      </c>
      <c r="J9" s="415">
        <v>44170</v>
      </c>
      <c r="K9" s="561" t="s">
        <v>690</v>
      </c>
      <c r="L9" s="55">
        <f>17023.87+400+4000</f>
        <v>21423.87</v>
      </c>
      <c r="M9" s="34">
        <v>126670</v>
      </c>
      <c r="N9" s="35">
        <v>9772</v>
      </c>
      <c r="O9" s="598"/>
      <c r="P9" s="36">
        <f>C9+I9+M9+N9+L9</f>
        <v>175765.87</v>
      </c>
      <c r="Q9" s="201">
        <f t="shared" ref="Q9:Q13" si="0">P9-F9</f>
        <v>12671.869999999995</v>
      </c>
      <c r="R9" s="574"/>
      <c r="U9" s="5" t="s">
        <v>12</v>
      </c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44171</v>
      </c>
      <c r="C10" s="320">
        <v>17156</v>
      </c>
      <c r="D10" s="311" t="s">
        <v>748</v>
      </c>
      <c r="E10" s="151">
        <v>44171</v>
      </c>
      <c r="F10" s="32">
        <v>112067</v>
      </c>
      <c r="G10" s="152"/>
      <c r="H10" s="570">
        <v>44171</v>
      </c>
      <c r="I10" s="39">
        <v>605</v>
      </c>
      <c r="J10" s="415">
        <v>44171</v>
      </c>
      <c r="K10" s="366" t="s">
        <v>749</v>
      </c>
      <c r="L10" s="68">
        <v>1400</v>
      </c>
      <c r="M10" s="34">
        <v>86874</v>
      </c>
      <c r="N10" s="35">
        <v>6032</v>
      </c>
      <c r="O10" s="598"/>
      <c r="P10" s="36">
        <f>C10+I10+M10+N10+L10</f>
        <v>112067</v>
      </c>
      <c r="Q10" s="5">
        <f t="shared" si="0"/>
        <v>0</v>
      </c>
      <c r="R10" s="25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44172</v>
      </c>
      <c r="C11" s="320">
        <v>6622</v>
      </c>
      <c r="D11" s="310" t="s">
        <v>770</v>
      </c>
      <c r="E11" s="151">
        <v>44172</v>
      </c>
      <c r="F11" s="32">
        <v>108374</v>
      </c>
      <c r="G11" s="152"/>
      <c r="H11" s="570">
        <v>44172</v>
      </c>
      <c r="I11" s="39">
        <v>495</v>
      </c>
      <c r="J11" s="331"/>
      <c r="K11" s="562"/>
      <c r="L11" s="55"/>
      <c r="M11" s="34">
        <v>96029</v>
      </c>
      <c r="N11" s="35">
        <v>5228</v>
      </c>
      <c r="O11" s="598"/>
      <c r="P11" s="36">
        <f>C11+I11+M11+N11+L11</f>
        <v>108374</v>
      </c>
      <c r="Q11" s="5">
        <f t="shared" si="0"/>
        <v>0</v>
      </c>
      <c r="R11" s="276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44173</v>
      </c>
      <c r="C12" s="320">
        <v>1104</v>
      </c>
      <c r="D12" s="310" t="s">
        <v>72</v>
      </c>
      <c r="E12" s="151">
        <v>44173</v>
      </c>
      <c r="F12" s="32">
        <v>96636</v>
      </c>
      <c r="G12" s="152"/>
      <c r="H12" s="570">
        <v>44173</v>
      </c>
      <c r="I12" s="39">
        <v>589</v>
      </c>
      <c r="J12" s="60"/>
      <c r="K12" s="342"/>
      <c r="L12" s="55"/>
      <c r="M12" s="34">
        <f>69282+20900</f>
        <v>90182</v>
      </c>
      <c r="N12" s="35">
        <v>4761</v>
      </c>
      <c r="O12" s="598"/>
      <c r="P12" s="36">
        <f>C12+I12+M12+N12</f>
        <v>96636</v>
      </c>
      <c r="Q12" s="5">
        <f t="shared" si="0"/>
        <v>0</v>
      </c>
      <c r="R12" s="298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44174</v>
      </c>
      <c r="C13" s="320">
        <v>16976</v>
      </c>
      <c r="D13" s="312" t="s">
        <v>771</v>
      </c>
      <c r="E13" s="151">
        <v>44174</v>
      </c>
      <c r="F13" s="32">
        <v>75835</v>
      </c>
      <c r="G13" s="152"/>
      <c r="H13" s="570">
        <v>44174</v>
      </c>
      <c r="I13" s="39">
        <v>947</v>
      </c>
      <c r="J13" s="60"/>
      <c r="K13" s="342"/>
      <c r="L13" s="55"/>
      <c r="M13" s="34">
        <f>38089+2904.5+13900</f>
        <v>54893.5</v>
      </c>
      <c r="N13" s="35">
        <v>3018</v>
      </c>
      <c r="O13" s="598"/>
      <c r="P13" s="36">
        <f>C13+I13+M13+N13+L19+L13</f>
        <v>75834.5</v>
      </c>
      <c r="Q13" s="5">
        <f t="shared" si="0"/>
        <v>-0.5</v>
      </c>
      <c r="R13" s="276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44175</v>
      </c>
      <c r="C14" s="320">
        <v>5363</v>
      </c>
      <c r="D14" s="311" t="s">
        <v>772</v>
      </c>
      <c r="E14" s="151">
        <v>44175</v>
      </c>
      <c r="F14" s="32">
        <v>123193</v>
      </c>
      <c r="G14" s="152"/>
      <c r="H14" s="570">
        <v>44175</v>
      </c>
      <c r="I14" s="39">
        <v>5547</v>
      </c>
      <c r="J14" s="60"/>
      <c r="K14" s="342"/>
      <c r="L14" s="55"/>
      <c r="M14" s="34">
        <f>36016+2308+69991</f>
        <v>108315</v>
      </c>
      <c r="N14" s="35">
        <v>3968</v>
      </c>
      <c r="O14" s="598"/>
      <c r="P14" s="36">
        <f>C14+I14+M14+N14+L14</f>
        <v>123193</v>
      </c>
      <c r="Q14" s="5">
        <f>P14-F14</f>
        <v>0</v>
      </c>
      <c r="R14" s="257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44176</v>
      </c>
      <c r="C15" s="320">
        <v>3927</v>
      </c>
      <c r="D15" s="310" t="s">
        <v>180</v>
      </c>
      <c r="E15" s="151">
        <v>44176</v>
      </c>
      <c r="F15" s="32">
        <v>243040</v>
      </c>
      <c r="G15" s="152"/>
      <c r="H15" s="570">
        <v>44176</v>
      </c>
      <c r="I15" s="39">
        <v>14230.92</v>
      </c>
      <c r="J15" s="60"/>
      <c r="K15" s="342"/>
      <c r="L15" s="55"/>
      <c r="M15" s="34">
        <f>183364+35496</f>
        <v>218860</v>
      </c>
      <c r="N15" s="35">
        <v>6022</v>
      </c>
      <c r="O15" s="598"/>
      <c r="P15" s="36">
        <f>C15+I15+M15+N15</f>
        <v>243039.91999999998</v>
      </c>
      <c r="Q15" s="5">
        <f t="shared" ref="Q15:Q21" si="1">P15-F15</f>
        <v>-8.0000000016298145E-2</v>
      </c>
      <c r="R15" s="433"/>
      <c r="V15" s="29">
        <v>44029</v>
      </c>
      <c r="W15" s="38" t="s">
        <v>10</v>
      </c>
      <c r="X15" s="196">
        <v>5000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44177</v>
      </c>
      <c r="C16" s="320">
        <v>8466</v>
      </c>
      <c r="D16" s="310" t="s">
        <v>419</v>
      </c>
      <c r="E16" s="151">
        <v>44177</v>
      </c>
      <c r="F16" s="32">
        <v>276595</v>
      </c>
      <c r="G16" s="152"/>
      <c r="H16" s="570">
        <v>44177</v>
      </c>
      <c r="I16" s="39">
        <v>660</v>
      </c>
      <c r="J16" s="60">
        <v>44177</v>
      </c>
      <c r="K16" s="342" t="s">
        <v>773</v>
      </c>
      <c r="L16" s="5">
        <f>17542.97+400+4000</f>
        <v>21942.97</v>
      </c>
      <c r="M16" s="34">
        <v>240891</v>
      </c>
      <c r="N16" s="35">
        <v>13289</v>
      </c>
      <c r="O16" s="598"/>
      <c r="P16" s="36">
        <f>C16+I16+M16+N16+L16</f>
        <v>285248.96999999997</v>
      </c>
      <c r="Q16" s="201">
        <f t="shared" si="1"/>
        <v>8653.9699999999721</v>
      </c>
      <c r="R16" s="433"/>
      <c r="V16" s="430">
        <v>44029</v>
      </c>
      <c r="W16" s="44" t="s">
        <v>11</v>
      </c>
      <c r="X16" s="196">
        <v>5000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44178</v>
      </c>
      <c r="C17" s="320">
        <v>23318</v>
      </c>
      <c r="D17" s="312" t="s">
        <v>774</v>
      </c>
      <c r="E17" s="151">
        <v>44178</v>
      </c>
      <c r="F17" s="32">
        <v>106343</v>
      </c>
      <c r="G17" s="152"/>
      <c r="H17" s="570">
        <v>44178</v>
      </c>
      <c r="I17" s="39">
        <v>550</v>
      </c>
      <c r="J17" s="60"/>
      <c r="K17" s="342"/>
      <c r="L17" s="68"/>
      <c r="M17" s="34">
        <f>70376+6000</f>
        <v>76376</v>
      </c>
      <c r="N17" s="35">
        <v>6099</v>
      </c>
      <c r="O17" s="598"/>
      <c r="P17" s="36">
        <f>C17+I17+M17+N17+L15</f>
        <v>106343</v>
      </c>
      <c r="Q17" s="5">
        <f t="shared" si="1"/>
        <v>0</v>
      </c>
      <c r="R17" s="276"/>
      <c r="V17" s="431">
        <v>44036</v>
      </c>
      <c r="W17" s="38" t="s">
        <v>10</v>
      </c>
      <c r="X17" s="196">
        <v>5000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44179</v>
      </c>
      <c r="C18" s="320">
        <v>1704</v>
      </c>
      <c r="D18" s="310" t="s">
        <v>48</v>
      </c>
      <c r="E18" s="151">
        <v>44179</v>
      </c>
      <c r="F18" s="32">
        <v>72644</v>
      </c>
      <c r="G18" s="152"/>
      <c r="H18" s="570">
        <v>44179</v>
      </c>
      <c r="I18" s="39">
        <v>550</v>
      </c>
      <c r="J18" s="60"/>
      <c r="K18" s="564"/>
      <c r="L18" s="55"/>
      <c r="M18" s="34">
        <v>67868</v>
      </c>
      <c r="N18" s="35">
        <v>4600</v>
      </c>
      <c r="O18" s="598"/>
      <c r="P18" s="36">
        <f>C18+I18+M18+N18+L18</f>
        <v>74722</v>
      </c>
      <c r="Q18" s="198">
        <f t="shared" si="1"/>
        <v>2078</v>
      </c>
      <c r="R18" s="276"/>
      <c r="V18" s="7">
        <v>44036</v>
      </c>
      <c r="W18" s="44" t="s">
        <v>11</v>
      </c>
      <c r="X18" s="196">
        <v>5000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44180</v>
      </c>
      <c r="C19" s="320">
        <v>4297</v>
      </c>
      <c r="D19" s="310" t="s">
        <v>48</v>
      </c>
      <c r="E19" s="151">
        <v>44180</v>
      </c>
      <c r="F19" s="32">
        <v>145172</v>
      </c>
      <c r="G19" s="152"/>
      <c r="H19" s="570">
        <v>44180</v>
      </c>
      <c r="I19" s="39">
        <v>1862</v>
      </c>
      <c r="J19" s="60"/>
      <c r="K19" s="565"/>
      <c r="L19" s="73"/>
      <c r="M19" s="34">
        <f>6000+37350+2875+88830</f>
        <v>135055</v>
      </c>
      <c r="N19" s="35">
        <v>3958</v>
      </c>
      <c r="O19" s="598" t="s">
        <v>220</v>
      </c>
      <c r="P19" s="36">
        <f>C19+I19+M19+N19+L19</f>
        <v>145172</v>
      </c>
      <c r="Q19" s="5">
        <f t="shared" si="1"/>
        <v>0</v>
      </c>
      <c r="R19" s="433"/>
      <c r="V19" s="7">
        <v>44043</v>
      </c>
      <c r="W19" s="38" t="s">
        <v>10</v>
      </c>
      <c r="X19" s="196">
        <v>5000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44181</v>
      </c>
      <c r="C20" s="320">
        <v>5028</v>
      </c>
      <c r="D20" s="310" t="s">
        <v>775</v>
      </c>
      <c r="E20" s="151">
        <v>44181</v>
      </c>
      <c r="F20" s="32">
        <v>93060</v>
      </c>
      <c r="G20" s="152"/>
      <c r="H20" s="570">
        <v>44181</v>
      </c>
      <c r="I20" s="39">
        <v>2660</v>
      </c>
      <c r="J20" s="60"/>
      <c r="K20" s="220"/>
      <c r="L20" s="68"/>
      <c r="M20" s="34">
        <v>82619</v>
      </c>
      <c r="N20" s="35">
        <v>2753</v>
      </c>
      <c r="O20" s="598"/>
      <c r="P20" s="36">
        <f>C20+I20+M20+N20+L8</f>
        <v>93060</v>
      </c>
      <c r="Q20" s="5">
        <f t="shared" si="1"/>
        <v>0</v>
      </c>
      <c r="R20" s="433"/>
      <c r="V20" s="7">
        <v>44043</v>
      </c>
      <c r="W20" s="44" t="s">
        <v>11</v>
      </c>
      <c r="X20" s="196">
        <v>5000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5.75" thickBot="1" x14ac:dyDescent="0.3">
      <c r="A21" s="30"/>
      <c r="B21" s="319">
        <v>44182</v>
      </c>
      <c r="C21" s="320">
        <v>677</v>
      </c>
      <c r="D21" s="310" t="s">
        <v>72</v>
      </c>
      <c r="E21" s="151">
        <v>44182</v>
      </c>
      <c r="F21" s="32">
        <v>122886</v>
      </c>
      <c r="G21" s="152"/>
      <c r="H21" s="570">
        <v>44182</v>
      </c>
      <c r="I21" s="39">
        <v>1658</v>
      </c>
      <c r="J21" s="60"/>
      <c r="K21" s="564"/>
      <c r="L21" s="68"/>
      <c r="M21" s="34">
        <f>114414+602+454+202+741</f>
        <v>116413</v>
      </c>
      <c r="N21" s="35">
        <v>4138</v>
      </c>
      <c r="O21" s="598"/>
      <c r="P21" s="36">
        <f>C21+I21+M21+N21+L21</f>
        <v>122886</v>
      </c>
      <c r="Q21" s="5">
        <f t="shared" si="1"/>
        <v>0</v>
      </c>
      <c r="R21" s="433"/>
      <c r="V21" s="432">
        <v>44050</v>
      </c>
      <c r="W21" s="38" t="s">
        <v>10</v>
      </c>
      <c r="X21" s="196">
        <v>5000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44183</v>
      </c>
      <c r="C22" s="320">
        <v>1110</v>
      </c>
      <c r="D22" s="310" t="s">
        <v>72</v>
      </c>
      <c r="E22" s="151">
        <v>44183</v>
      </c>
      <c r="F22" s="32">
        <v>215486</v>
      </c>
      <c r="G22" s="152"/>
      <c r="H22" s="570">
        <v>44183</v>
      </c>
      <c r="I22" s="39">
        <v>10631</v>
      </c>
      <c r="J22" s="415"/>
      <c r="K22" s="186"/>
      <c r="L22" s="77"/>
      <c r="M22" s="34">
        <f>31000+166715</f>
        <v>197715</v>
      </c>
      <c r="N22" s="35">
        <v>6030</v>
      </c>
      <c r="O22" s="598" t="s">
        <v>220</v>
      </c>
      <c r="P22" s="36">
        <f>C22+I22+M22+N22+L15</f>
        <v>215486</v>
      </c>
      <c r="Q22" s="5">
        <f>P22-F22</f>
        <v>0</v>
      </c>
      <c r="R22" s="433"/>
      <c r="V22" s="432">
        <v>44050</v>
      </c>
      <c r="W22" s="44" t="s">
        <v>11</v>
      </c>
      <c r="X22" s="196">
        <v>5000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44184</v>
      </c>
      <c r="C23" s="320">
        <v>14404.5</v>
      </c>
      <c r="D23" s="310" t="s">
        <v>776</v>
      </c>
      <c r="E23" s="151">
        <v>44184</v>
      </c>
      <c r="F23" s="32">
        <v>203035</v>
      </c>
      <c r="G23" s="152"/>
      <c r="H23" s="570">
        <v>44184</v>
      </c>
      <c r="I23" s="39">
        <v>660</v>
      </c>
      <c r="J23" s="566">
        <v>44184</v>
      </c>
      <c r="K23" s="596" t="s">
        <v>777</v>
      </c>
      <c r="L23" s="285">
        <f>17452.22+400+4000+19202.36+8571.45</f>
        <v>49626.03</v>
      </c>
      <c r="M23" s="34">
        <v>146373</v>
      </c>
      <c r="N23" s="35">
        <v>12914</v>
      </c>
      <c r="O23" s="598"/>
      <c r="P23" s="36">
        <f>C23+I23+M23+N23+L23</f>
        <v>223977.53</v>
      </c>
      <c r="Q23" s="201">
        <f>P23-F23</f>
        <v>20942.53</v>
      </c>
      <c r="R23" s="257"/>
      <c r="V23" s="432">
        <v>44057</v>
      </c>
      <c r="W23" s="38" t="s">
        <v>10</v>
      </c>
      <c r="X23" s="196">
        <v>5000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44185</v>
      </c>
      <c r="C24" s="320">
        <v>22412</v>
      </c>
      <c r="D24" s="310" t="s">
        <v>778</v>
      </c>
      <c r="E24" s="151">
        <v>44185</v>
      </c>
      <c r="F24" s="32">
        <v>161911</v>
      </c>
      <c r="G24" s="152"/>
      <c r="H24" s="570">
        <v>44185</v>
      </c>
      <c r="I24" s="39">
        <v>710</v>
      </c>
      <c r="J24" s="416">
        <v>44185</v>
      </c>
      <c r="K24" s="290" t="s">
        <v>749</v>
      </c>
      <c r="L24" s="417">
        <v>1400</v>
      </c>
      <c r="M24" s="34">
        <v>131204</v>
      </c>
      <c r="N24" s="35">
        <v>6185</v>
      </c>
      <c r="O24" s="598"/>
      <c r="P24" s="36">
        <f>C24+I24+M24+N24+L24</f>
        <v>161911</v>
      </c>
      <c r="Q24" s="5">
        <f t="shared" ref="Q24:Q42" si="2">P24-F24</f>
        <v>0</v>
      </c>
      <c r="R24" s="276"/>
      <c r="V24" s="432">
        <v>44057</v>
      </c>
      <c r="W24" s="44" t="s">
        <v>11</v>
      </c>
      <c r="X24" s="196">
        <v>5000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44186</v>
      </c>
      <c r="C25" s="320">
        <v>7379</v>
      </c>
      <c r="D25" s="310" t="s">
        <v>71</v>
      </c>
      <c r="E25" s="151">
        <v>44186</v>
      </c>
      <c r="F25" s="32">
        <v>128846</v>
      </c>
      <c r="G25" s="152"/>
      <c r="H25" s="570">
        <v>44186</v>
      </c>
      <c r="I25" s="39">
        <v>660</v>
      </c>
      <c r="J25" s="418"/>
      <c r="K25" s="163"/>
      <c r="L25" s="102"/>
      <c r="M25" s="34">
        <v>111737</v>
      </c>
      <c r="N25" s="35">
        <v>9070</v>
      </c>
      <c r="O25" s="598"/>
      <c r="P25" s="36">
        <f t="shared" ref="P25:P26" si="3">C25+I25+M25+N25+L25</f>
        <v>128846</v>
      </c>
      <c r="Q25" s="5">
        <f t="shared" si="2"/>
        <v>0</v>
      </c>
      <c r="R25" s="276"/>
      <c r="V25" s="432">
        <v>44064</v>
      </c>
      <c r="W25" s="38" t="s">
        <v>10</v>
      </c>
      <c r="X25" s="196">
        <v>5000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44187</v>
      </c>
      <c r="C26" s="320">
        <v>2056</v>
      </c>
      <c r="D26" s="310" t="s">
        <v>72</v>
      </c>
      <c r="E26" s="151">
        <v>44187</v>
      </c>
      <c r="F26" s="32">
        <v>267186</v>
      </c>
      <c r="G26" s="152"/>
      <c r="H26" s="570">
        <v>44187</v>
      </c>
      <c r="I26" s="39">
        <v>660</v>
      </c>
      <c r="J26" s="60"/>
      <c r="K26" s="290"/>
      <c r="L26" s="285"/>
      <c r="M26" s="34">
        <v>251672</v>
      </c>
      <c r="N26" s="35">
        <v>14998</v>
      </c>
      <c r="O26" s="598" t="s">
        <v>220</v>
      </c>
      <c r="P26" s="36">
        <f t="shared" si="3"/>
        <v>269386</v>
      </c>
      <c r="Q26" s="198">
        <f t="shared" si="2"/>
        <v>2200</v>
      </c>
      <c r="R26" s="276"/>
      <c r="V26" s="432">
        <v>44064</v>
      </c>
      <c r="W26" s="44" t="s">
        <v>11</v>
      </c>
      <c r="X26" s="196">
        <v>5000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44188</v>
      </c>
      <c r="C27" s="320">
        <v>6635</v>
      </c>
      <c r="D27" s="310" t="s">
        <v>597</v>
      </c>
      <c r="E27" s="151">
        <v>44188</v>
      </c>
      <c r="F27" s="32">
        <v>418106</v>
      </c>
      <c r="G27" s="152"/>
      <c r="H27" s="570">
        <v>44188</v>
      </c>
      <c r="I27" s="39">
        <v>5660</v>
      </c>
      <c r="J27" s="217"/>
      <c r="K27" s="164"/>
      <c r="L27" s="102"/>
      <c r="M27" s="34">
        <v>350542</v>
      </c>
      <c r="N27" s="35">
        <v>55279</v>
      </c>
      <c r="O27" s="598" t="s">
        <v>220</v>
      </c>
      <c r="P27" s="36">
        <f t="shared" ref="P27:P29" si="4">C27+I27+M27+N27</f>
        <v>418116</v>
      </c>
      <c r="Q27" s="5">
        <f t="shared" si="2"/>
        <v>10</v>
      </c>
      <c r="R27" s="276"/>
      <c r="V27" s="432">
        <v>44071</v>
      </c>
      <c r="W27" s="38" t="s">
        <v>10</v>
      </c>
      <c r="X27" s="196">
        <v>5000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44189</v>
      </c>
      <c r="C28" s="320">
        <v>7950</v>
      </c>
      <c r="D28" s="311" t="s">
        <v>779</v>
      </c>
      <c r="E28" s="151">
        <v>44189</v>
      </c>
      <c r="F28" s="32">
        <v>280276</v>
      </c>
      <c r="G28" s="152"/>
      <c r="H28" s="570">
        <v>44189</v>
      </c>
      <c r="I28" s="39">
        <v>1147</v>
      </c>
      <c r="J28" s="217"/>
      <c r="K28" s="459"/>
      <c r="L28" s="102"/>
      <c r="M28" s="34">
        <v>259575</v>
      </c>
      <c r="N28" s="35">
        <v>11604</v>
      </c>
      <c r="O28" s="598" t="s">
        <v>220</v>
      </c>
      <c r="P28" s="36">
        <f>C28+I28+M28+N28+L28</f>
        <v>280276</v>
      </c>
      <c r="Q28" s="5">
        <f>P28-F28</f>
        <v>0</v>
      </c>
      <c r="R28" s="276"/>
      <c r="V28" s="432">
        <v>44071</v>
      </c>
      <c r="W28" s="44" t="s">
        <v>11</v>
      </c>
      <c r="X28" s="196">
        <v>5000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44190</v>
      </c>
      <c r="C29" s="604">
        <v>0</v>
      </c>
      <c r="D29" s="605"/>
      <c r="E29" s="606">
        <v>44190</v>
      </c>
      <c r="F29" s="249">
        <v>0</v>
      </c>
      <c r="G29" s="607"/>
      <c r="H29" s="608">
        <v>44190</v>
      </c>
      <c r="I29" s="250">
        <v>0</v>
      </c>
      <c r="J29" s="217"/>
      <c r="K29" s="449"/>
      <c r="L29" s="102"/>
      <c r="M29" s="251">
        <v>0</v>
      </c>
      <c r="N29" s="252">
        <v>0</v>
      </c>
      <c r="O29" s="598"/>
      <c r="P29" s="253">
        <f t="shared" si="4"/>
        <v>0</v>
      </c>
      <c r="Q29" s="620">
        <f>P29-F29</f>
        <v>0</v>
      </c>
      <c r="R29" s="276"/>
      <c r="U29" s="450"/>
      <c r="V29" s="432">
        <v>44078</v>
      </c>
      <c r="W29" s="38" t="s">
        <v>10</v>
      </c>
      <c r="X29" s="196">
        <v>5000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>
        <v>44029</v>
      </c>
      <c r="AH29" s="21">
        <v>2000</v>
      </c>
    </row>
    <row r="30" spans="1:34" ht="15.75" thickBot="1" x14ac:dyDescent="0.3">
      <c r="A30" s="30"/>
      <c r="B30" s="319">
        <v>44191</v>
      </c>
      <c r="C30" s="320">
        <v>2378</v>
      </c>
      <c r="D30" s="316" t="s">
        <v>83</v>
      </c>
      <c r="E30" s="151">
        <v>44191</v>
      </c>
      <c r="F30" s="32">
        <v>141312</v>
      </c>
      <c r="G30" s="152"/>
      <c r="H30" s="570">
        <v>44191</v>
      </c>
      <c r="I30" s="244">
        <v>10680</v>
      </c>
      <c r="J30" s="217">
        <v>44191</v>
      </c>
      <c r="K30" s="342" t="s">
        <v>780</v>
      </c>
      <c r="L30" s="55">
        <f>18595.3+4571.44+400</f>
        <v>23566.739999999998</v>
      </c>
      <c r="M30" s="34">
        <f>92398+4524+2041</f>
        <v>98963</v>
      </c>
      <c r="N30" s="35">
        <v>15141</v>
      </c>
      <c r="O30" s="598"/>
      <c r="P30" s="36">
        <f>C30+I30+M30+N30+L30</f>
        <v>150728.74</v>
      </c>
      <c r="Q30" s="201">
        <f t="shared" si="2"/>
        <v>9416.7399999999907</v>
      </c>
      <c r="R30" s="276"/>
      <c r="V30" s="432">
        <v>44078</v>
      </c>
      <c r="W30" s="44" t="s">
        <v>11</v>
      </c>
      <c r="X30" s="196">
        <v>5000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>
        <v>44034</v>
      </c>
      <c r="AH30" s="21">
        <v>2000</v>
      </c>
    </row>
    <row r="31" spans="1:34" ht="15.75" thickBot="1" x14ac:dyDescent="0.3">
      <c r="A31" s="30"/>
      <c r="B31" s="319">
        <v>44192</v>
      </c>
      <c r="C31" s="320">
        <v>3869</v>
      </c>
      <c r="D31" s="317" t="s">
        <v>463</v>
      </c>
      <c r="E31" s="151">
        <v>44192</v>
      </c>
      <c r="F31" s="32">
        <v>113002</v>
      </c>
      <c r="G31" s="152"/>
      <c r="H31" s="570">
        <v>44192</v>
      </c>
      <c r="I31" s="244">
        <v>1209</v>
      </c>
      <c r="J31" s="217">
        <v>44556</v>
      </c>
      <c r="K31" s="163" t="s">
        <v>749</v>
      </c>
      <c r="L31" s="102">
        <v>2450</v>
      </c>
      <c r="M31" s="34">
        <v>89785</v>
      </c>
      <c r="N31" s="35">
        <v>15689</v>
      </c>
      <c r="O31" s="598"/>
      <c r="P31" s="36">
        <f>C31+I31+M31+N31+L31</f>
        <v>113002</v>
      </c>
      <c r="Q31" s="5">
        <f t="shared" si="2"/>
        <v>0</v>
      </c>
      <c r="R31" s="276"/>
      <c r="V31" s="432">
        <v>44085</v>
      </c>
      <c r="W31" s="38" t="s">
        <v>10</v>
      </c>
      <c r="X31" s="196">
        <v>5000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>
        <v>44043</v>
      </c>
      <c r="AH31" s="21">
        <v>2000</v>
      </c>
    </row>
    <row r="32" spans="1:34" ht="15.75" thickBot="1" x14ac:dyDescent="0.3">
      <c r="A32" s="30"/>
      <c r="B32" s="319">
        <v>44193</v>
      </c>
      <c r="C32" s="320">
        <v>23182</v>
      </c>
      <c r="D32" s="317" t="s">
        <v>781</v>
      </c>
      <c r="E32" s="151">
        <v>44193</v>
      </c>
      <c r="F32" s="237">
        <v>122096</v>
      </c>
      <c r="G32" s="152"/>
      <c r="H32" s="570">
        <v>44193</v>
      </c>
      <c r="I32" s="244">
        <v>605</v>
      </c>
      <c r="J32" s="217"/>
      <c r="K32" s="342"/>
      <c r="L32" s="55"/>
      <c r="M32" s="34">
        <v>96226</v>
      </c>
      <c r="N32" s="35">
        <v>2083</v>
      </c>
      <c r="O32" s="598"/>
      <c r="P32" s="36">
        <f>C32+I32+M32+N32+L32</f>
        <v>122096</v>
      </c>
      <c r="Q32" s="5">
        <f t="shared" si="2"/>
        <v>0</v>
      </c>
      <c r="R32" s="276"/>
      <c r="V32" s="432">
        <v>44085</v>
      </c>
      <c r="W32" s="44" t="s">
        <v>11</v>
      </c>
      <c r="X32" s="196">
        <v>5000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>
        <v>44048</v>
      </c>
      <c r="AH32" s="21">
        <v>2000</v>
      </c>
    </row>
    <row r="33" spans="1:34" ht="16.5" thickBot="1" x14ac:dyDescent="0.3">
      <c r="A33" s="30"/>
      <c r="B33" s="319">
        <v>44194</v>
      </c>
      <c r="C33" s="320">
        <v>1856</v>
      </c>
      <c r="D33" s="420" t="s">
        <v>72</v>
      </c>
      <c r="E33" s="151">
        <v>44194</v>
      </c>
      <c r="F33" s="176">
        <v>282285</v>
      </c>
      <c r="G33" s="152"/>
      <c r="H33" s="570">
        <v>44194</v>
      </c>
      <c r="I33" s="244">
        <v>660</v>
      </c>
      <c r="J33" s="217"/>
      <c r="K33" s="342"/>
      <c r="L33" s="176"/>
      <c r="M33" s="34">
        <f>102933+167050</f>
        <v>269983</v>
      </c>
      <c r="N33" s="35">
        <v>9787</v>
      </c>
      <c r="O33" s="598" t="s">
        <v>220</v>
      </c>
      <c r="P33" s="36">
        <f t="shared" ref="P33" si="5">C33+I33+M33+N33+L33</f>
        <v>282286</v>
      </c>
      <c r="Q33" s="5">
        <f t="shared" si="2"/>
        <v>1</v>
      </c>
      <c r="R33" s="276"/>
      <c r="U33" s="36"/>
      <c r="V33" s="432">
        <v>44092</v>
      </c>
      <c r="W33" s="44" t="s">
        <v>11</v>
      </c>
      <c r="X33" s="196">
        <v>5000</v>
      </c>
      <c r="Y33" s="41"/>
      <c r="AA33" s="29">
        <v>43966</v>
      </c>
      <c r="AB33" s="44" t="s">
        <v>11</v>
      </c>
      <c r="AC33" s="196">
        <v>5010</v>
      </c>
      <c r="AD33" s="41"/>
      <c r="AF33" s="19" t="s">
        <v>156</v>
      </c>
      <c r="AG33" s="167">
        <v>44083</v>
      </c>
      <c r="AH33" s="21">
        <v>2000</v>
      </c>
    </row>
    <row r="34" spans="1:34" ht="15.75" thickBot="1" x14ac:dyDescent="0.3">
      <c r="A34" s="30"/>
      <c r="B34" s="319">
        <v>44195</v>
      </c>
      <c r="C34" s="320">
        <v>5337</v>
      </c>
      <c r="D34" s="163" t="s">
        <v>782</v>
      </c>
      <c r="E34" s="151">
        <v>44195</v>
      </c>
      <c r="F34" s="176">
        <v>368805</v>
      </c>
      <c r="G34" s="152"/>
      <c r="H34" s="570">
        <v>44195</v>
      </c>
      <c r="I34" s="244">
        <v>4215</v>
      </c>
      <c r="J34" s="217"/>
      <c r="K34" s="505"/>
      <c r="L34" s="5"/>
      <c r="M34" s="34">
        <v>320965</v>
      </c>
      <c r="N34" s="35">
        <v>38288</v>
      </c>
      <c r="O34" s="598" t="s">
        <v>220</v>
      </c>
      <c r="P34" s="36">
        <f>C34+I34+M34+N34+L34</f>
        <v>368805</v>
      </c>
      <c r="Q34" s="5">
        <f t="shared" si="2"/>
        <v>0</v>
      </c>
      <c r="R34" s="276"/>
      <c r="U34" s="36"/>
      <c r="V34" s="432">
        <v>44092</v>
      </c>
      <c r="W34" s="38" t="s">
        <v>10</v>
      </c>
      <c r="X34" s="196">
        <v>5000</v>
      </c>
      <c r="Y34" s="41"/>
      <c r="AA34" s="29"/>
      <c r="AB34" s="44"/>
      <c r="AC34" s="196"/>
      <c r="AD34" s="41"/>
      <c r="AF34" s="19" t="s">
        <v>157</v>
      </c>
      <c r="AG34" s="167">
        <v>44092</v>
      </c>
      <c r="AH34" s="21">
        <v>2000</v>
      </c>
    </row>
    <row r="35" spans="1:34" ht="15.75" thickBot="1" x14ac:dyDescent="0.3">
      <c r="A35" s="30"/>
      <c r="B35" s="319">
        <v>44196</v>
      </c>
      <c r="C35" s="320">
        <v>4610</v>
      </c>
      <c r="D35" s="163" t="s">
        <v>783</v>
      </c>
      <c r="E35" s="151">
        <v>44196</v>
      </c>
      <c r="F35" s="176">
        <v>339700</v>
      </c>
      <c r="G35" s="152"/>
      <c r="H35" s="570">
        <v>44196</v>
      </c>
      <c r="I35" s="244">
        <v>660</v>
      </c>
      <c r="J35" s="217"/>
      <c r="K35" s="563"/>
      <c r="L35" s="176"/>
      <c r="M35" s="34">
        <f>2209+4355+310965</f>
        <v>317529</v>
      </c>
      <c r="N35" s="35">
        <v>16901</v>
      </c>
      <c r="O35" s="598" t="s">
        <v>220</v>
      </c>
      <c r="P35" s="36">
        <f t="shared" ref="P35:P40" si="6">C35+I35+M35+N35+L35</f>
        <v>339700</v>
      </c>
      <c r="Q35" s="5">
        <f t="shared" si="2"/>
        <v>0</v>
      </c>
      <c r="R35" s="276"/>
      <c r="U35" s="36"/>
      <c r="V35" s="432">
        <v>44099</v>
      </c>
      <c r="W35" s="44" t="s">
        <v>11</v>
      </c>
      <c r="X35" s="196">
        <v>5000</v>
      </c>
      <c r="Y35" s="41"/>
      <c r="AA35" s="29"/>
      <c r="AB35" s="44"/>
      <c r="AC35" s="196"/>
      <c r="AD35" s="41"/>
      <c r="AF35" s="19" t="s">
        <v>158</v>
      </c>
      <c r="AG35" s="167">
        <v>44099</v>
      </c>
      <c r="AH35" s="21">
        <v>2000</v>
      </c>
    </row>
    <row r="36" spans="1:34" ht="15.75" thickBot="1" x14ac:dyDescent="0.3">
      <c r="A36" s="30"/>
      <c r="B36" s="319">
        <v>44197</v>
      </c>
      <c r="C36" s="604">
        <v>0</v>
      </c>
      <c r="D36" s="617"/>
      <c r="E36" s="606">
        <v>44197</v>
      </c>
      <c r="F36" s="618">
        <v>0</v>
      </c>
      <c r="G36" s="607">
        <v>0</v>
      </c>
      <c r="H36" s="608">
        <v>44197</v>
      </c>
      <c r="I36" s="619">
        <v>0</v>
      </c>
      <c r="J36" s="217"/>
      <c r="L36" s="4"/>
      <c r="M36" s="251">
        <v>0</v>
      </c>
      <c r="N36" s="252">
        <v>0</v>
      </c>
      <c r="O36" s="598"/>
      <c r="P36" s="253">
        <f t="shared" si="6"/>
        <v>0</v>
      </c>
      <c r="Q36" s="620">
        <f t="shared" si="2"/>
        <v>0</v>
      </c>
      <c r="R36" s="276"/>
      <c r="U36" s="36"/>
      <c r="V36" s="432">
        <v>44099</v>
      </c>
      <c r="W36" s="38" t="s">
        <v>10</v>
      </c>
      <c r="X36" s="196">
        <v>5000</v>
      </c>
      <c r="Y36" s="41"/>
      <c r="AA36" s="29"/>
      <c r="AB36" s="44"/>
      <c r="AC36" s="196"/>
      <c r="AD36" s="41"/>
      <c r="AF36" s="19" t="s">
        <v>159</v>
      </c>
      <c r="AG36" s="167">
        <v>44104</v>
      </c>
      <c r="AH36" s="21">
        <v>2000</v>
      </c>
    </row>
    <row r="37" spans="1:34" ht="19.5" customHeight="1" thickBot="1" x14ac:dyDescent="0.3">
      <c r="A37" s="30"/>
      <c r="B37" s="319">
        <v>44198</v>
      </c>
      <c r="C37" s="320">
        <v>7798.5</v>
      </c>
      <c r="D37" s="163" t="s">
        <v>845</v>
      </c>
      <c r="E37" s="151">
        <v>44198</v>
      </c>
      <c r="F37" s="176">
        <v>122367</v>
      </c>
      <c r="G37" s="152"/>
      <c r="H37" s="570">
        <v>44198</v>
      </c>
      <c r="I37" s="244">
        <v>11130</v>
      </c>
      <c r="J37" s="217">
        <v>44198</v>
      </c>
      <c r="K37" s="621" t="s">
        <v>846</v>
      </c>
      <c r="L37" s="64">
        <f>20000+18381.01+4571+400</f>
        <v>43352.009999999995</v>
      </c>
      <c r="M37" s="34">
        <v>53217</v>
      </c>
      <c r="N37" s="35">
        <v>16285</v>
      </c>
      <c r="O37" s="598"/>
      <c r="P37" s="36">
        <f>C37+I37+M37+N37+L37</f>
        <v>131782.51</v>
      </c>
      <c r="Q37" s="201">
        <f t="shared" si="2"/>
        <v>9415.5100000000093</v>
      </c>
      <c r="R37" s="276"/>
      <c r="U37" s="36"/>
      <c r="V37" s="432">
        <v>44106</v>
      </c>
      <c r="W37" s="44" t="s">
        <v>11</v>
      </c>
      <c r="X37" s="196">
        <v>5000</v>
      </c>
      <c r="Y37" s="41"/>
      <c r="AA37" s="29"/>
      <c r="AB37" s="44"/>
      <c r="AC37" s="196"/>
      <c r="AD37" s="41"/>
      <c r="AF37" s="19"/>
      <c r="AG37" s="167"/>
      <c r="AH37" s="21"/>
    </row>
    <row r="38" spans="1:34" ht="15.75" thickBot="1" x14ac:dyDescent="0.3">
      <c r="A38" s="30"/>
      <c r="B38" s="319">
        <v>44199</v>
      </c>
      <c r="C38" s="320">
        <v>8749</v>
      </c>
      <c r="D38" s="163" t="s">
        <v>847</v>
      </c>
      <c r="E38" s="151">
        <v>44199</v>
      </c>
      <c r="F38" s="176">
        <v>98731</v>
      </c>
      <c r="G38" s="152"/>
      <c r="H38" s="570">
        <v>44199</v>
      </c>
      <c r="I38" s="244">
        <v>660</v>
      </c>
      <c r="J38" s="217">
        <v>44199</v>
      </c>
      <c r="K38" s="160" t="s">
        <v>749</v>
      </c>
      <c r="L38" s="64">
        <v>2450</v>
      </c>
      <c r="M38" s="34">
        <v>78078</v>
      </c>
      <c r="N38" s="35">
        <v>8794</v>
      </c>
      <c r="O38" s="598"/>
      <c r="P38" s="36">
        <f t="shared" si="6"/>
        <v>98731</v>
      </c>
      <c r="Q38" s="5">
        <f t="shared" si="2"/>
        <v>0</v>
      </c>
      <c r="R38" s="276"/>
      <c r="U38" s="36"/>
      <c r="V38" s="432">
        <v>44106</v>
      </c>
      <c r="W38" s="38" t="s">
        <v>10</v>
      </c>
      <c r="X38" s="196">
        <v>5000</v>
      </c>
      <c r="Y38" s="41"/>
      <c r="AA38" s="29"/>
      <c r="AB38" s="44"/>
      <c r="AC38" s="196"/>
      <c r="AD38" s="41"/>
      <c r="AF38" s="19"/>
      <c r="AG38" s="167"/>
      <c r="AH38" s="21"/>
    </row>
    <row r="39" spans="1:34" ht="15.75" thickBot="1" x14ac:dyDescent="0.3">
      <c r="A39" s="30"/>
      <c r="B39" s="319">
        <v>44200</v>
      </c>
      <c r="C39" s="320">
        <v>1333</v>
      </c>
      <c r="D39" s="163" t="s">
        <v>72</v>
      </c>
      <c r="E39" s="151">
        <v>44200</v>
      </c>
      <c r="F39" s="176">
        <v>80302</v>
      </c>
      <c r="G39" s="152"/>
      <c r="H39" s="570">
        <v>44200</v>
      </c>
      <c r="I39" s="244">
        <v>550</v>
      </c>
      <c r="J39" s="217"/>
      <c r="K39" s="505"/>
      <c r="L39" s="64">
        <v>0</v>
      </c>
      <c r="M39" s="34">
        <f>59572+5500</f>
        <v>65072</v>
      </c>
      <c r="N39" s="35">
        <v>13347</v>
      </c>
      <c r="O39" s="598"/>
      <c r="P39" s="36">
        <f t="shared" si="6"/>
        <v>80302</v>
      </c>
      <c r="Q39" s="5">
        <v>0</v>
      </c>
      <c r="R39" s="276"/>
      <c r="U39" s="36"/>
      <c r="V39" s="432">
        <v>44113</v>
      </c>
      <c r="W39" s="44" t="s">
        <v>11</v>
      </c>
      <c r="X39" s="196">
        <v>5000</v>
      </c>
      <c r="Y39" s="41"/>
      <c r="AA39" s="29"/>
      <c r="AB39" s="44"/>
      <c r="AC39" s="196"/>
      <c r="AD39" s="41"/>
      <c r="AF39" s="19"/>
      <c r="AG39" s="167"/>
      <c r="AH39" s="21"/>
    </row>
    <row r="40" spans="1:34" ht="15.75" thickBot="1" x14ac:dyDescent="0.3">
      <c r="A40" s="30"/>
      <c r="B40" s="319">
        <v>44201</v>
      </c>
      <c r="C40" s="320">
        <v>3229</v>
      </c>
      <c r="D40" s="163" t="s">
        <v>419</v>
      </c>
      <c r="E40" s="151">
        <v>44201</v>
      </c>
      <c r="F40" s="176">
        <v>179840</v>
      </c>
      <c r="G40" s="152"/>
      <c r="H40" s="570">
        <v>44201</v>
      </c>
      <c r="I40" s="244">
        <v>2699</v>
      </c>
      <c r="J40" s="217"/>
      <c r="K40" s="160"/>
      <c r="L40" s="64"/>
      <c r="M40" s="34">
        <f>42608+115378</f>
        <v>157986</v>
      </c>
      <c r="N40" s="35">
        <v>15926</v>
      </c>
      <c r="O40" s="598" t="s">
        <v>220</v>
      </c>
      <c r="P40" s="36">
        <f t="shared" si="6"/>
        <v>179840</v>
      </c>
      <c r="Q40" s="5">
        <f t="shared" si="2"/>
        <v>0</v>
      </c>
      <c r="R40" s="276"/>
      <c r="U40" s="36"/>
      <c r="V40" s="432">
        <v>44113</v>
      </c>
      <c r="W40" s="38" t="s">
        <v>10</v>
      </c>
      <c r="X40" s="196">
        <v>5000</v>
      </c>
      <c r="Y40" s="41"/>
      <c r="AA40" s="29"/>
      <c r="AB40" s="44"/>
      <c r="AC40" s="196"/>
      <c r="AD40" s="41"/>
      <c r="AF40" s="19"/>
      <c r="AG40" s="167"/>
      <c r="AH40" s="21"/>
    </row>
    <row r="41" spans="1:34" ht="15.75" thickBot="1" x14ac:dyDescent="0.3">
      <c r="A41" s="30"/>
      <c r="B41" s="319"/>
      <c r="C41" s="320">
        <v>0</v>
      </c>
      <c r="D41" s="163"/>
      <c r="E41" s="151"/>
      <c r="F41" s="176"/>
      <c r="G41" s="152"/>
      <c r="H41" s="153"/>
      <c r="I41" s="244"/>
      <c r="J41" s="217"/>
      <c r="K41" s="342"/>
      <c r="L41" s="176"/>
      <c r="M41" s="34">
        <v>0</v>
      </c>
      <c r="N41" s="35">
        <v>0</v>
      </c>
      <c r="O41" s="598"/>
      <c r="P41" s="36">
        <v>0</v>
      </c>
      <c r="Q41" s="5">
        <f t="shared" si="2"/>
        <v>0</v>
      </c>
      <c r="R41" s="276"/>
      <c r="U41" s="36"/>
      <c r="V41" s="432">
        <v>44120</v>
      </c>
      <c r="W41" s="44" t="s">
        <v>11</v>
      </c>
      <c r="X41" s="196">
        <v>5000</v>
      </c>
      <c r="Y41" s="41"/>
      <c r="AA41" s="29"/>
      <c r="AB41" s="44"/>
      <c r="AC41" s="196"/>
      <c r="AD41" s="41"/>
      <c r="AF41" s="19" t="s">
        <v>160</v>
      </c>
      <c r="AG41" s="167">
        <v>44111</v>
      </c>
      <c r="AH41" s="21">
        <v>2000</v>
      </c>
    </row>
    <row r="42" spans="1:34" ht="15.75" thickBot="1" x14ac:dyDescent="0.3">
      <c r="A42" s="30"/>
      <c r="B42" s="319"/>
      <c r="C42" s="320">
        <v>0</v>
      </c>
      <c r="D42" s="163"/>
      <c r="E42" s="151"/>
      <c r="F42" s="176"/>
      <c r="G42" s="152"/>
      <c r="H42" s="153"/>
      <c r="I42" s="244"/>
      <c r="J42" s="217"/>
      <c r="K42" s="342" t="s">
        <v>852</v>
      </c>
      <c r="L42" s="176">
        <f>9720+9345</f>
        <v>19065</v>
      </c>
      <c r="M42" s="34">
        <v>0</v>
      </c>
      <c r="N42" s="35">
        <v>0</v>
      </c>
      <c r="O42" s="598"/>
      <c r="P42" s="36">
        <v>0</v>
      </c>
      <c r="Q42" s="5">
        <f t="shared" si="2"/>
        <v>0</v>
      </c>
      <c r="R42" s="276"/>
      <c r="U42" s="36"/>
      <c r="V42" s="432">
        <v>44120</v>
      </c>
      <c r="W42" s="38" t="s">
        <v>10</v>
      </c>
      <c r="X42" s="196">
        <v>5000</v>
      </c>
      <c r="Y42" s="41"/>
      <c r="AA42" s="29"/>
      <c r="AB42" s="44"/>
      <c r="AC42" s="196"/>
      <c r="AD42" s="41"/>
      <c r="AF42" s="19" t="s">
        <v>161</v>
      </c>
      <c r="AG42" s="167">
        <v>44118</v>
      </c>
      <c r="AH42" s="21">
        <v>2000</v>
      </c>
    </row>
    <row r="43" spans="1:34" ht="16.5" thickBot="1" x14ac:dyDescent="0.3">
      <c r="A43" s="30"/>
      <c r="B43" s="575">
        <v>44167</v>
      </c>
      <c r="C43" s="226">
        <v>11990.79</v>
      </c>
      <c r="D43" s="576" t="s">
        <v>750</v>
      </c>
      <c r="E43" s="151"/>
      <c r="F43" s="176"/>
      <c r="G43" s="152"/>
      <c r="H43" s="153"/>
      <c r="I43" s="244"/>
      <c r="J43" s="217"/>
      <c r="K43" s="342" t="s">
        <v>853</v>
      </c>
      <c r="L43" s="176">
        <v>5800</v>
      </c>
      <c r="M43" s="34">
        <v>0</v>
      </c>
      <c r="N43" s="35">
        <v>0</v>
      </c>
      <c r="O43" s="598"/>
      <c r="P43" s="36"/>
      <c r="R43" s="276"/>
      <c r="U43" s="36"/>
      <c r="V43" s="432">
        <v>44127</v>
      </c>
      <c r="W43" s="44" t="s">
        <v>11</v>
      </c>
      <c r="X43" s="196">
        <v>6000</v>
      </c>
      <c r="Y43" s="41"/>
      <c r="AA43" s="29"/>
      <c r="AB43" s="44"/>
      <c r="AC43" s="196"/>
      <c r="AD43" s="41"/>
      <c r="AF43" s="19" t="s">
        <v>162</v>
      </c>
      <c r="AG43" s="167">
        <v>44127</v>
      </c>
      <c r="AH43" s="21">
        <v>2000</v>
      </c>
    </row>
    <row r="44" spans="1:34" ht="16.5" thickBot="1" x14ac:dyDescent="0.3">
      <c r="A44" s="30"/>
      <c r="B44" s="575">
        <v>44168</v>
      </c>
      <c r="C44" s="226">
        <v>20508.7</v>
      </c>
      <c r="D44" s="577" t="s">
        <v>751</v>
      </c>
      <c r="E44" s="579"/>
      <c r="F44" s="578"/>
      <c r="G44" s="152"/>
      <c r="H44" s="153"/>
      <c r="I44" s="244"/>
      <c r="J44" s="217"/>
      <c r="K44" s="342" t="s">
        <v>854</v>
      </c>
      <c r="L44" s="176">
        <v>1959</v>
      </c>
      <c r="M44" s="34">
        <v>0</v>
      </c>
      <c r="N44" s="35">
        <v>0</v>
      </c>
      <c r="O44" s="598"/>
      <c r="P44" s="36"/>
      <c r="R44" s="276"/>
      <c r="U44" s="36"/>
      <c r="V44" s="432">
        <v>44127</v>
      </c>
      <c r="W44" s="38" t="s">
        <v>10</v>
      </c>
      <c r="X44" s="196">
        <v>4000</v>
      </c>
      <c r="Y44" s="41"/>
      <c r="AA44" s="29"/>
      <c r="AB44" s="44"/>
      <c r="AC44" s="196"/>
      <c r="AD44" s="41"/>
      <c r="AF44" s="19" t="s">
        <v>163</v>
      </c>
      <c r="AG44" s="167">
        <v>44134</v>
      </c>
      <c r="AH44" s="21">
        <v>2000</v>
      </c>
    </row>
    <row r="45" spans="1:34" ht="16.5" thickBot="1" x14ac:dyDescent="0.3">
      <c r="A45" s="30"/>
      <c r="B45" s="575">
        <v>44170</v>
      </c>
      <c r="C45" s="226">
        <v>29234.31</v>
      </c>
      <c r="D45" s="577" t="s">
        <v>752</v>
      </c>
      <c r="E45" s="579"/>
      <c r="F45" s="578"/>
      <c r="G45" s="152"/>
      <c r="H45" s="153"/>
      <c r="I45" s="244"/>
      <c r="J45" s="622"/>
      <c r="K45" s="623" t="s">
        <v>855</v>
      </c>
      <c r="L45" s="176">
        <v>782742.4</v>
      </c>
      <c r="M45" s="34">
        <v>0</v>
      </c>
      <c r="N45" s="35">
        <v>0</v>
      </c>
      <c r="O45" s="598"/>
      <c r="P45" s="36"/>
      <c r="R45" s="276"/>
      <c r="U45" s="36"/>
      <c r="V45" s="432">
        <v>44134</v>
      </c>
      <c r="W45" s="44" t="s">
        <v>11</v>
      </c>
      <c r="X45" s="196">
        <v>5000</v>
      </c>
      <c r="Y45" s="41"/>
      <c r="AA45" s="29"/>
      <c r="AB45" s="44"/>
      <c r="AC45" s="196"/>
      <c r="AD45" s="41"/>
      <c r="AF45" s="19" t="s">
        <v>164</v>
      </c>
      <c r="AG45" s="167"/>
      <c r="AH45" s="21"/>
    </row>
    <row r="46" spans="1:34" ht="16.5" thickBot="1" x14ac:dyDescent="0.3">
      <c r="A46" s="30"/>
      <c r="B46" s="575">
        <v>44174</v>
      </c>
      <c r="C46" s="226">
        <v>21860.19</v>
      </c>
      <c r="D46" s="577" t="s">
        <v>753</v>
      </c>
      <c r="E46" s="580"/>
      <c r="F46" s="578"/>
      <c r="G46" s="152"/>
      <c r="H46" s="153"/>
      <c r="I46" s="244"/>
      <c r="J46" s="217"/>
      <c r="K46" s="511" t="s">
        <v>856</v>
      </c>
      <c r="L46" s="161">
        <v>11410</v>
      </c>
      <c r="M46" s="34">
        <v>0</v>
      </c>
      <c r="N46" s="35">
        <v>0</v>
      </c>
      <c r="O46" s="598"/>
      <c r="P46" s="36"/>
      <c r="R46" s="276"/>
      <c r="U46" s="36"/>
      <c r="V46" s="432">
        <v>44134</v>
      </c>
      <c r="W46" s="38" t="s">
        <v>10</v>
      </c>
      <c r="X46" s="196">
        <v>5000</v>
      </c>
      <c r="Y46" s="41"/>
      <c r="AA46" s="29"/>
      <c r="AB46" s="44"/>
      <c r="AC46" s="196"/>
      <c r="AD46" s="41"/>
      <c r="AF46" s="19" t="s">
        <v>165</v>
      </c>
      <c r="AG46" s="167"/>
      <c r="AH46" s="21"/>
    </row>
    <row r="47" spans="1:34" ht="19.5" thickBot="1" x14ac:dyDescent="0.35">
      <c r="A47" s="30"/>
      <c r="B47" s="575">
        <v>44176</v>
      </c>
      <c r="C47" s="612">
        <v>17543.368999999999</v>
      </c>
      <c r="D47" s="614" t="s">
        <v>843</v>
      </c>
      <c r="E47" s="580"/>
      <c r="F47" s="578"/>
      <c r="G47" s="152"/>
      <c r="H47" s="153"/>
      <c r="I47" s="244"/>
      <c r="J47" s="217"/>
      <c r="K47" s="457" t="s">
        <v>857</v>
      </c>
      <c r="L47" s="161">
        <v>549</v>
      </c>
      <c r="M47" s="34">
        <v>0</v>
      </c>
      <c r="N47" s="35">
        <v>0</v>
      </c>
      <c r="O47" s="598"/>
      <c r="P47" s="36"/>
      <c r="R47" s="276"/>
      <c r="U47" s="36"/>
      <c r="V47" s="432">
        <v>44141</v>
      </c>
      <c r="W47" s="44" t="s">
        <v>11</v>
      </c>
      <c r="X47" s="196">
        <v>0</v>
      </c>
      <c r="Y47" s="41"/>
      <c r="AA47" s="29"/>
      <c r="AB47" s="44"/>
      <c r="AC47" s="196"/>
      <c r="AD47" s="41"/>
      <c r="AF47" s="19" t="s">
        <v>166</v>
      </c>
      <c r="AG47" s="167"/>
      <c r="AH47" s="21"/>
    </row>
    <row r="48" spans="1:34" ht="16.5" thickBot="1" x14ac:dyDescent="0.3">
      <c r="A48" s="30"/>
      <c r="B48" s="575">
        <v>44179</v>
      </c>
      <c r="C48" s="226">
        <v>22419.18</v>
      </c>
      <c r="D48" s="615">
        <v>159</v>
      </c>
      <c r="E48" s="580"/>
      <c r="F48" s="578"/>
      <c r="G48" s="152"/>
      <c r="H48" s="153"/>
      <c r="I48" s="244"/>
      <c r="J48" s="217"/>
      <c r="K48" s="457" t="s">
        <v>858</v>
      </c>
      <c r="L48" s="176">
        <v>7000</v>
      </c>
      <c r="M48" s="445"/>
      <c r="N48" s="35"/>
      <c r="O48" s="598"/>
      <c r="P48" s="36"/>
      <c r="Q48" s="36"/>
      <c r="R48" s="276"/>
      <c r="U48" s="36"/>
      <c r="V48" s="432">
        <v>44141</v>
      </c>
      <c r="W48" s="38" t="s">
        <v>10</v>
      </c>
      <c r="X48" s="196">
        <v>0</v>
      </c>
      <c r="Y48" s="41"/>
      <c r="AA48" s="29"/>
      <c r="AB48" s="44"/>
      <c r="AC48" s="196"/>
      <c r="AD48" s="41"/>
      <c r="AF48" s="19" t="s">
        <v>167</v>
      </c>
      <c r="AG48" s="167"/>
      <c r="AH48" s="21"/>
    </row>
    <row r="49" spans="1:34" ht="16.5" thickBot="1" x14ac:dyDescent="0.3">
      <c r="A49" s="30"/>
      <c r="B49" s="575">
        <v>44181</v>
      </c>
      <c r="C49" s="226">
        <v>12158.4</v>
      </c>
      <c r="D49" s="615">
        <v>165</v>
      </c>
      <c r="E49" s="580"/>
      <c r="F49" s="578"/>
      <c r="G49" s="152"/>
      <c r="H49" s="153"/>
      <c r="I49" s="244"/>
      <c r="J49" s="217"/>
      <c r="K49" s="457" t="s">
        <v>135</v>
      </c>
      <c r="L49" s="161">
        <v>1394.81</v>
      </c>
      <c r="M49" s="445"/>
      <c r="N49" s="35"/>
      <c r="O49" s="598"/>
      <c r="P49" s="36"/>
      <c r="Q49" s="36"/>
      <c r="R49" s="276"/>
      <c r="U49" s="36"/>
      <c r="V49" s="432">
        <v>44148</v>
      </c>
      <c r="W49" s="44" t="s">
        <v>11</v>
      </c>
      <c r="X49" s="196">
        <v>0</v>
      </c>
      <c r="Y49" s="41"/>
      <c r="AA49" s="29"/>
      <c r="AB49" s="44"/>
      <c r="AC49" s="196"/>
      <c r="AD49" s="41"/>
      <c r="AF49" s="19" t="s">
        <v>532</v>
      </c>
      <c r="AG49" s="167">
        <v>44167</v>
      </c>
      <c r="AH49" s="21">
        <v>2000</v>
      </c>
    </row>
    <row r="50" spans="1:34" ht="19.5" thickBot="1" x14ac:dyDescent="0.35">
      <c r="A50" s="30"/>
      <c r="B50" s="575">
        <v>44182</v>
      </c>
      <c r="C50" s="613">
        <v>9421.7000000000007</v>
      </c>
      <c r="D50" s="616" t="s">
        <v>844</v>
      </c>
      <c r="E50" s="579"/>
      <c r="F50" s="578"/>
      <c r="G50" s="152"/>
      <c r="H50" s="153"/>
      <c r="I50" s="244"/>
      <c r="J50" s="217"/>
      <c r="K50" s="457" t="s">
        <v>859</v>
      </c>
      <c r="L50" s="161">
        <v>10000</v>
      </c>
      <c r="M50" s="445"/>
      <c r="N50" s="35"/>
      <c r="O50" s="598"/>
      <c r="P50" s="36"/>
      <c r="Q50" s="36"/>
      <c r="R50" s="276"/>
      <c r="U50" s="36"/>
      <c r="V50" s="432">
        <v>44148</v>
      </c>
      <c r="W50" s="38" t="s">
        <v>10</v>
      </c>
      <c r="X50" s="196">
        <v>0</v>
      </c>
      <c r="Y50" s="41"/>
      <c r="AA50" s="29"/>
      <c r="AB50" s="44"/>
      <c r="AC50" s="196"/>
      <c r="AD50" s="41"/>
      <c r="AF50" s="19" t="s">
        <v>533</v>
      </c>
      <c r="AG50" s="167">
        <v>44176</v>
      </c>
      <c r="AH50" s="21">
        <v>2000</v>
      </c>
    </row>
    <row r="51" spans="1:34" ht="16.5" thickBot="1" x14ac:dyDescent="0.3">
      <c r="A51" s="30"/>
      <c r="B51" s="575">
        <v>44186</v>
      </c>
      <c r="C51" s="226">
        <v>19971.490000000002</v>
      </c>
      <c r="D51" s="615">
        <v>180</v>
      </c>
      <c r="E51" s="579"/>
      <c r="F51" s="578"/>
      <c r="G51" s="152"/>
      <c r="H51" s="153"/>
      <c r="I51" s="244"/>
      <c r="J51" s="217"/>
      <c r="K51" s="457" t="s">
        <v>311</v>
      </c>
      <c r="L51" s="161">
        <v>9321.14</v>
      </c>
      <c r="M51" s="445"/>
      <c r="N51" s="35"/>
      <c r="O51" s="598"/>
      <c r="P51" s="36"/>
      <c r="Q51" s="36"/>
      <c r="R51" s="276"/>
      <c r="U51" s="36"/>
      <c r="V51" s="432">
        <v>44155</v>
      </c>
      <c r="W51" s="44" t="s">
        <v>11</v>
      </c>
      <c r="X51" s="196">
        <v>0</v>
      </c>
      <c r="Y51" s="41"/>
      <c r="AA51" s="29"/>
      <c r="AB51" s="44"/>
      <c r="AC51" s="196"/>
      <c r="AD51" s="41"/>
      <c r="AF51" s="19" t="s">
        <v>534</v>
      </c>
      <c r="AG51" s="167">
        <v>44181</v>
      </c>
      <c r="AH51" s="21">
        <v>2000</v>
      </c>
    </row>
    <row r="52" spans="1:34" ht="16.5" customHeight="1" thickBot="1" x14ac:dyDescent="0.3">
      <c r="A52" s="30"/>
      <c r="B52" s="575">
        <v>44187</v>
      </c>
      <c r="C52" s="226">
        <v>24726.34</v>
      </c>
      <c r="D52" s="615">
        <v>181</v>
      </c>
      <c r="E52" s="151"/>
      <c r="F52" s="176"/>
      <c r="G52" s="152"/>
      <c r="H52" s="153"/>
      <c r="I52" s="244"/>
      <c r="J52" s="217"/>
      <c r="K52" s="457" t="s">
        <v>860</v>
      </c>
      <c r="L52" s="161">
        <v>986</v>
      </c>
      <c r="M52" s="445"/>
      <c r="N52" s="35"/>
      <c r="O52" s="598"/>
      <c r="P52" s="36"/>
      <c r="Q52" s="36"/>
      <c r="R52" s="276"/>
      <c r="U52" s="36"/>
      <c r="V52" s="432">
        <v>44155</v>
      </c>
      <c r="W52" s="38" t="s">
        <v>10</v>
      </c>
      <c r="X52" s="196">
        <v>0</v>
      </c>
      <c r="Y52" s="41"/>
      <c r="AA52" s="29"/>
      <c r="AB52" s="44"/>
      <c r="AC52" s="196"/>
      <c r="AD52" s="41"/>
      <c r="AF52" s="19" t="s">
        <v>535</v>
      </c>
      <c r="AG52" s="167">
        <v>44188</v>
      </c>
      <c r="AH52" s="21">
        <v>2000</v>
      </c>
    </row>
    <row r="53" spans="1:34" ht="15.75" customHeight="1" thickBot="1" x14ac:dyDescent="0.3">
      <c r="A53" s="30"/>
      <c r="B53" s="575">
        <v>44188</v>
      </c>
      <c r="C53" s="226">
        <v>25511.01</v>
      </c>
      <c r="D53" s="615">
        <v>182</v>
      </c>
      <c r="E53" s="151"/>
      <c r="F53" s="176"/>
      <c r="G53" s="152"/>
      <c r="H53" s="153"/>
      <c r="I53" s="244"/>
      <c r="J53" s="217"/>
      <c r="K53" s="457" t="s">
        <v>861</v>
      </c>
      <c r="L53" s="161">
        <v>1923.78</v>
      </c>
      <c r="M53" s="445"/>
      <c r="N53" s="35"/>
      <c r="O53" s="598"/>
      <c r="P53" s="36"/>
      <c r="Q53" s="36"/>
      <c r="R53" s="276"/>
      <c r="U53" s="36"/>
      <c r="V53" s="29">
        <v>44162</v>
      </c>
      <c r="W53" s="44" t="s">
        <v>11</v>
      </c>
      <c r="X53" s="196">
        <v>5000</v>
      </c>
      <c r="Y53" s="41"/>
      <c r="AA53" s="29"/>
      <c r="AB53" s="44"/>
      <c r="AC53" s="196"/>
      <c r="AD53" s="41"/>
      <c r="AF53" s="19" t="s">
        <v>536</v>
      </c>
      <c r="AG53" s="167">
        <v>44195</v>
      </c>
      <c r="AH53" s="21">
        <v>2000</v>
      </c>
    </row>
    <row r="54" spans="1:34" ht="15.75" customHeight="1" thickBot="1" x14ac:dyDescent="0.3">
      <c r="A54" s="30"/>
      <c r="B54" s="575">
        <v>44189</v>
      </c>
      <c r="C54" s="226">
        <v>27953.89</v>
      </c>
      <c r="D54" s="615">
        <v>183</v>
      </c>
      <c r="E54" s="151"/>
      <c r="F54" s="176"/>
      <c r="G54" s="152"/>
      <c r="H54" s="153"/>
      <c r="I54" s="244"/>
      <c r="J54" s="217"/>
      <c r="K54" s="505" t="s">
        <v>862</v>
      </c>
      <c r="L54" s="161">
        <v>7891.23</v>
      </c>
      <c r="M54" s="34"/>
      <c r="N54" s="35"/>
      <c r="O54" s="598"/>
      <c r="P54" s="36"/>
      <c r="Q54" s="36"/>
      <c r="R54" s="276"/>
      <c r="U54" s="36"/>
      <c r="V54" s="29">
        <v>44162</v>
      </c>
      <c r="W54" s="44" t="s">
        <v>10</v>
      </c>
      <c r="X54" s="196">
        <v>5000</v>
      </c>
      <c r="Y54" s="41"/>
      <c r="AA54" s="29"/>
      <c r="AB54" s="44"/>
      <c r="AC54" s="196"/>
      <c r="AD54" s="41"/>
      <c r="AF54" s="19" t="s">
        <v>537</v>
      </c>
      <c r="AG54" s="167"/>
      <c r="AH54" s="21"/>
    </row>
    <row r="55" spans="1:34" ht="15.75" customHeight="1" thickBot="1" x14ac:dyDescent="0.3">
      <c r="A55" s="30"/>
      <c r="B55" s="575">
        <v>44191</v>
      </c>
      <c r="C55" s="226">
        <v>13982.03</v>
      </c>
      <c r="D55" s="615">
        <v>184</v>
      </c>
      <c r="E55" s="151"/>
      <c r="F55" s="176"/>
      <c r="G55" s="152"/>
      <c r="H55" s="153"/>
      <c r="I55" s="244"/>
      <c r="J55" s="217"/>
      <c r="K55" s="457" t="s">
        <v>863</v>
      </c>
      <c r="L55" s="161">
        <v>1488</v>
      </c>
      <c r="M55" s="34">
        <v>0</v>
      </c>
      <c r="N55" s="35">
        <v>0</v>
      </c>
      <c r="O55" s="598"/>
      <c r="P55" s="36"/>
      <c r="Q55" s="36"/>
      <c r="R55" s="276"/>
      <c r="U55" s="36"/>
      <c r="V55" s="29">
        <v>44170</v>
      </c>
      <c r="W55" s="38" t="s">
        <v>10</v>
      </c>
      <c r="X55" s="196">
        <v>5000</v>
      </c>
      <c r="Y55" s="41"/>
      <c r="AA55" s="29"/>
      <c r="AB55" s="38" t="s">
        <v>10</v>
      </c>
      <c r="AC55" s="196"/>
      <c r="AD55" s="41"/>
      <c r="AF55" s="19"/>
      <c r="AG55" s="167"/>
      <c r="AH55" s="21"/>
    </row>
    <row r="56" spans="1:34" ht="15.75" customHeight="1" thickBot="1" x14ac:dyDescent="0.3">
      <c r="A56" s="30"/>
      <c r="B56" s="575">
        <v>44194</v>
      </c>
      <c r="C56" s="226">
        <v>21186.61</v>
      </c>
      <c r="D56" s="615">
        <v>185</v>
      </c>
      <c r="E56" s="456"/>
      <c r="F56" s="412"/>
      <c r="G56" s="152"/>
      <c r="H56" s="153"/>
      <c r="I56" s="344"/>
      <c r="J56" s="217"/>
      <c r="K56" s="611"/>
      <c r="L56" s="127"/>
      <c r="M56" s="34"/>
      <c r="N56" s="35"/>
      <c r="O56" s="598"/>
      <c r="P56" s="36"/>
      <c r="Q56" s="36"/>
      <c r="R56" s="276"/>
      <c r="U56" s="36"/>
      <c r="V56" s="29">
        <v>44170</v>
      </c>
      <c r="W56" s="44" t="s">
        <v>11</v>
      </c>
      <c r="X56" s="196">
        <v>5000</v>
      </c>
      <c r="Y56" s="41"/>
      <c r="AA56" s="29"/>
      <c r="AB56" s="38"/>
      <c r="AC56" s="196"/>
      <c r="AD56" s="41"/>
      <c r="AF56" s="19"/>
      <c r="AG56" s="167"/>
      <c r="AH56" s="21"/>
    </row>
    <row r="57" spans="1:34" ht="15.75" customHeight="1" thickBot="1" x14ac:dyDescent="0.3">
      <c r="A57" s="30"/>
      <c r="B57" s="575">
        <v>44195</v>
      </c>
      <c r="C57" s="226">
        <v>7088.64</v>
      </c>
      <c r="D57" s="625">
        <v>202</v>
      </c>
      <c r="E57" s="456"/>
      <c r="F57" s="412"/>
      <c r="G57" s="152"/>
      <c r="H57" s="153"/>
      <c r="I57" s="344"/>
      <c r="J57" s="217"/>
      <c r="K57" s="378" t="s">
        <v>14</v>
      </c>
      <c r="L57" s="127">
        <v>0</v>
      </c>
      <c r="M57" s="34"/>
      <c r="N57" s="35"/>
      <c r="O57" s="598"/>
      <c r="P57" s="36"/>
      <c r="Q57" s="36"/>
      <c r="R57" s="276"/>
      <c r="U57" s="36"/>
      <c r="V57" s="29">
        <v>44176</v>
      </c>
      <c r="W57" s="38" t="s">
        <v>10</v>
      </c>
      <c r="X57" s="196">
        <v>5000</v>
      </c>
      <c r="Y57" s="41"/>
      <c r="AA57" s="29"/>
      <c r="AB57" s="38"/>
      <c r="AC57" s="196"/>
      <c r="AD57" s="41"/>
      <c r="AF57" s="19"/>
      <c r="AG57" s="167"/>
      <c r="AH57" s="21"/>
    </row>
    <row r="58" spans="1:34" ht="15.75" customHeight="1" thickBot="1" x14ac:dyDescent="0.3">
      <c r="A58" s="30"/>
      <c r="B58" s="575">
        <v>44196</v>
      </c>
      <c r="C58" s="226">
        <v>21176.13</v>
      </c>
      <c r="D58" s="615">
        <v>203</v>
      </c>
      <c r="E58" s="456"/>
      <c r="F58" s="412"/>
      <c r="G58" s="152"/>
      <c r="H58" s="153"/>
      <c r="I58" s="344"/>
      <c r="J58" s="217"/>
      <c r="K58" s="611"/>
      <c r="L58" s="127"/>
      <c r="M58" s="34"/>
      <c r="N58" s="35"/>
      <c r="O58" s="598"/>
      <c r="P58" s="36"/>
      <c r="Q58" s="36"/>
      <c r="R58" s="276"/>
      <c r="U58" s="36"/>
      <c r="V58" s="29">
        <v>44176</v>
      </c>
      <c r="W58" s="38" t="s">
        <v>11</v>
      </c>
      <c r="X58" s="196">
        <v>5000</v>
      </c>
      <c r="Y58" s="41"/>
      <c r="AA58" s="29"/>
      <c r="AB58" s="38"/>
      <c r="AC58" s="196"/>
      <c r="AD58" s="41"/>
      <c r="AF58" s="19"/>
      <c r="AG58" s="167"/>
      <c r="AH58" s="21"/>
    </row>
    <row r="59" spans="1:34" ht="15.75" customHeight="1" thickBot="1" x14ac:dyDescent="0.3">
      <c r="A59" s="30"/>
      <c r="B59" s="575">
        <v>44198</v>
      </c>
      <c r="C59" s="226">
        <v>17986.400000000001</v>
      </c>
      <c r="D59" s="615">
        <v>204</v>
      </c>
      <c r="E59" s="456"/>
      <c r="F59" s="412"/>
      <c r="G59" s="152"/>
      <c r="H59" s="153"/>
      <c r="I59" s="344"/>
      <c r="J59" s="217"/>
      <c r="K59" s="611"/>
      <c r="L59" s="127"/>
      <c r="M59" s="34"/>
      <c r="N59" s="35"/>
      <c r="O59" s="598"/>
      <c r="P59" s="36"/>
      <c r="Q59" s="36"/>
      <c r="R59" s="276"/>
      <c r="U59" s="36"/>
      <c r="V59" s="29">
        <v>44177</v>
      </c>
      <c r="W59" s="38"/>
      <c r="X59" s="196">
        <v>0</v>
      </c>
      <c r="Y59" s="41"/>
      <c r="AA59" s="29"/>
      <c r="AB59" s="38"/>
      <c r="AC59" s="196"/>
      <c r="AD59" s="41"/>
      <c r="AF59" s="19"/>
      <c r="AG59" s="167"/>
      <c r="AH59" s="21"/>
    </row>
    <row r="60" spans="1:34" ht="15.75" customHeight="1" thickBot="1" x14ac:dyDescent="0.3">
      <c r="A60" s="30"/>
      <c r="B60" s="575">
        <v>44200</v>
      </c>
      <c r="C60" s="226">
        <v>22231.67</v>
      </c>
      <c r="D60" s="615">
        <v>205</v>
      </c>
      <c r="E60" s="456"/>
      <c r="F60" s="412"/>
      <c r="G60" s="152"/>
      <c r="H60" s="153"/>
      <c r="I60" s="344"/>
      <c r="J60" s="217"/>
      <c r="K60" s="611"/>
      <c r="L60" s="127"/>
      <c r="M60" s="34"/>
      <c r="N60" s="35"/>
      <c r="O60" s="598"/>
      <c r="P60" s="36"/>
      <c r="Q60" s="36"/>
      <c r="R60" s="276"/>
      <c r="U60" s="36"/>
      <c r="V60" s="29">
        <v>44183</v>
      </c>
      <c r="W60" s="38" t="s">
        <v>10</v>
      </c>
      <c r="X60" s="196">
        <v>5000</v>
      </c>
      <c r="Y60" s="41"/>
      <c r="AA60" s="29"/>
      <c r="AB60" s="38"/>
      <c r="AC60" s="196"/>
      <c r="AD60" s="41"/>
      <c r="AF60" s="19"/>
      <c r="AG60" s="167"/>
      <c r="AH60" s="21"/>
    </row>
    <row r="61" spans="1:34" ht="15.75" thickBot="1" x14ac:dyDescent="0.3">
      <c r="A61" s="30"/>
      <c r="B61" s="319"/>
      <c r="C61" s="320">
        <v>0</v>
      </c>
      <c r="D61" s="469"/>
      <c r="E61" s="456"/>
      <c r="F61" s="412"/>
      <c r="G61" s="152"/>
      <c r="H61" s="153"/>
      <c r="I61" s="344"/>
      <c r="J61" s="217"/>
      <c r="K61" s="567"/>
      <c r="L61" s="5"/>
      <c r="M61" s="34">
        <v>0</v>
      </c>
      <c r="N61" s="35">
        <v>0</v>
      </c>
      <c r="O61" s="598"/>
      <c r="P61" s="104"/>
      <c r="Q61" s="104"/>
      <c r="R61" s="276"/>
      <c r="U61" s="36"/>
      <c r="V61" s="29">
        <v>44198</v>
      </c>
      <c r="W61" s="38" t="s">
        <v>11</v>
      </c>
      <c r="X61" s="196">
        <v>5000</v>
      </c>
      <c r="Y61" s="41"/>
      <c r="AA61" s="29"/>
      <c r="AB61" s="38"/>
      <c r="AC61" s="196"/>
      <c r="AD61" s="41"/>
      <c r="AF61" s="19"/>
      <c r="AG61" s="167"/>
      <c r="AH61" s="21"/>
    </row>
    <row r="62" spans="1:34" ht="16.5" thickBot="1" x14ac:dyDescent="0.3">
      <c r="B62" s="385" t="s">
        <v>16</v>
      </c>
      <c r="C62" s="386">
        <f>SUM(C5:C61)</f>
        <v>589975.84900000016</v>
      </c>
      <c r="D62" s="117"/>
      <c r="E62" s="303" t="s">
        <v>16</v>
      </c>
      <c r="F62" s="304">
        <f>SUM(F5:F61)</f>
        <v>5744504</v>
      </c>
      <c r="G62" s="117"/>
      <c r="H62" s="120" t="s">
        <v>303</v>
      </c>
      <c r="I62" s="121">
        <f>SUM(I5:I61)</f>
        <v>98205.92</v>
      </c>
      <c r="J62" s="332"/>
      <c r="K62" s="122" t="s">
        <v>304</v>
      </c>
      <c r="L62" s="624">
        <f>SUM(L5:L61)</f>
        <v>1050394.9800000002</v>
      </c>
      <c r="M62" s="131">
        <f>SUM(M5:M61)</f>
        <v>4936656.5</v>
      </c>
      <c r="N62" s="131">
        <f>SUM(N5:N61)</f>
        <v>376665</v>
      </c>
      <c r="O62" s="602"/>
      <c r="P62" s="36">
        <f>SUM(P5:P61)</f>
        <v>5823417.0399999991</v>
      </c>
      <c r="Q62" s="36">
        <f>SUM(Q5:Q61)</f>
        <v>78913.03999999995</v>
      </c>
      <c r="R62" s="278"/>
      <c r="U62" s="36"/>
      <c r="V62" s="29"/>
      <c r="W62" s="38" t="s">
        <v>10</v>
      </c>
      <c r="X62" s="196">
        <v>0</v>
      </c>
      <c r="Y62" s="41"/>
      <c r="AA62" s="29"/>
      <c r="AB62" s="38" t="s">
        <v>10</v>
      </c>
      <c r="AC62" s="196"/>
      <c r="AD62" s="41"/>
      <c r="AF62" s="19"/>
      <c r="AG62" s="167"/>
      <c r="AH62" s="21"/>
    </row>
    <row r="63" spans="1:34" ht="20.25" thickTop="1" thickBot="1" x14ac:dyDescent="0.3">
      <c r="C63" s="8" t="s">
        <v>12</v>
      </c>
      <c r="O63" s="602"/>
      <c r="P63" s="36"/>
      <c r="Q63" s="36"/>
      <c r="R63" s="279"/>
      <c r="S63" s="114"/>
      <c r="T63" s="114"/>
      <c r="V63" s="29"/>
      <c r="W63" s="38" t="s">
        <v>11</v>
      </c>
      <c r="X63" s="196">
        <v>0</v>
      </c>
      <c r="Y63" s="41"/>
      <c r="AA63" s="29"/>
      <c r="AB63" s="38"/>
      <c r="AC63" s="196"/>
      <c r="AD63" s="41"/>
      <c r="AF63" s="19"/>
      <c r="AG63" s="167"/>
      <c r="AH63" s="21"/>
    </row>
    <row r="64" spans="1:34" ht="17.25" customHeight="1" thickBot="1" x14ac:dyDescent="0.3">
      <c r="A64" s="59"/>
      <c r="B64" s="125"/>
      <c r="C64" s="4"/>
      <c r="H64" s="638" t="s">
        <v>18</v>
      </c>
      <c r="I64" s="639"/>
      <c r="J64" s="333"/>
      <c r="K64" s="640">
        <f>I62+L62</f>
        <v>1148600.9000000001</v>
      </c>
      <c r="L64" s="641"/>
      <c r="M64" s="636">
        <f>M62+N62</f>
        <v>5313321.5</v>
      </c>
      <c r="N64" s="637"/>
      <c r="O64" s="603"/>
      <c r="P64" s="114"/>
      <c r="Q64" s="114"/>
      <c r="S64" s="690"/>
      <c r="T64" s="690"/>
      <c r="V64" s="29"/>
      <c r="W64" s="38"/>
      <c r="X64" s="196">
        <v>0</v>
      </c>
      <c r="Y64" s="41"/>
      <c r="AA64" s="29"/>
      <c r="AB64" s="44" t="s">
        <v>11</v>
      </c>
      <c r="AC64" s="196"/>
      <c r="AD64" s="41"/>
      <c r="AF64" s="19"/>
      <c r="AG64" s="167"/>
      <c r="AH64" s="21"/>
    </row>
    <row r="65" spans="2:34" ht="19.5" customHeight="1" thickBot="1" x14ac:dyDescent="0.3">
      <c r="D65" s="642" t="s">
        <v>19</v>
      </c>
      <c r="E65" s="642"/>
      <c r="F65" s="129">
        <f>F62-K64-C62</f>
        <v>4005927.2509999992</v>
      </c>
      <c r="I65" s="130"/>
      <c r="J65" s="334"/>
      <c r="P65" s="670">
        <f>P62+Q62</f>
        <v>5902330.0799999991</v>
      </c>
      <c r="Q65" s="671"/>
      <c r="S65" s="127"/>
      <c r="V65" s="29"/>
      <c r="W65" s="38" t="s">
        <v>10</v>
      </c>
      <c r="X65" s="196">
        <v>0</v>
      </c>
      <c r="Y65" s="41"/>
      <c r="Z65" s="128"/>
      <c r="AA65" s="29"/>
      <c r="AB65" s="38" t="s">
        <v>10</v>
      </c>
      <c r="AC65" s="196"/>
      <c r="AD65" s="41"/>
      <c r="AF65" s="19"/>
      <c r="AG65" s="167"/>
      <c r="AH65" s="21"/>
    </row>
    <row r="66" spans="2:34" ht="15.75" customHeight="1" thickBot="1" x14ac:dyDescent="0.35">
      <c r="D66" s="655" t="s">
        <v>20</v>
      </c>
      <c r="E66" s="655"/>
      <c r="F66" s="626">
        <v>-4423988.62</v>
      </c>
      <c r="I66" s="656" t="s">
        <v>21</v>
      </c>
      <c r="J66" s="657"/>
      <c r="K66" s="658">
        <f>F67+F68+F69</f>
        <v>-143535.68900000089</v>
      </c>
      <c r="L66" s="659"/>
      <c r="P66" s="127"/>
      <c r="S66" s="405"/>
      <c r="V66" s="29"/>
      <c r="W66" s="38" t="s">
        <v>11</v>
      </c>
      <c r="X66" s="196">
        <v>0</v>
      </c>
      <c r="Y66" s="41"/>
      <c r="AA66" s="29"/>
      <c r="AB66" s="44" t="s">
        <v>11</v>
      </c>
      <c r="AC66" s="196"/>
      <c r="AD66" s="41"/>
      <c r="AF66" s="19"/>
      <c r="AG66" s="167"/>
      <c r="AH66" s="21"/>
    </row>
    <row r="67" spans="2:34" ht="18.75" customHeight="1" thickTop="1" thickBot="1" x14ac:dyDescent="0.35">
      <c r="C67" s="16" t="s">
        <v>12</v>
      </c>
      <c r="E67" s="59" t="s">
        <v>22</v>
      </c>
      <c r="F67" s="131">
        <f>SUM(F65:F66)</f>
        <v>-418061.36900000088</v>
      </c>
      <c r="H67" s="30"/>
      <c r="I67" s="137" t="s">
        <v>23</v>
      </c>
      <c r="J67" s="336"/>
      <c r="K67" s="627">
        <f>-C4</f>
        <v>-273517.06</v>
      </c>
      <c r="L67" s="628"/>
      <c r="M67" s="214"/>
      <c r="P67" s="127"/>
      <c r="Q67" s="36"/>
      <c r="S67" s="127"/>
      <c r="V67" s="29"/>
      <c r="W67" s="38" t="s">
        <v>11</v>
      </c>
      <c r="X67" s="196">
        <v>5000</v>
      </c>
      <c r="Y67" s="41"/>
      <c r="AA67" s="8"/>
      <c r="AB67" s="44" t="s">
        <v>11</v>
      </c>
      <c r="AC67" s="196">
        <v>0</v>
      </c>
    </row>
    <row r="68" spans="2:34" ht="19.5" thickBot="1" x14ac:dyDescent="0.35">
      <c r="D68" s="139" t="s">
        <v>24</v>
      </c>
      <c r="E68" s="59" t="s">
        <v>25</v>
      </c>
      <c r="F68" s="140">
        <v>23661</v>
      </c>
      <c r="P68" s="127"/>
      <c r="Q68" s="36"/>
      <c r="S68" s="127"/>
      <c r="V68" s="29"/>
      <c r="W68" s="38" t="s">
        <v>10</v>
      </c>
      <c r="X68" s="196">
        <v>0</v>
      </c>
      <c r="Y68" s="41"/>
      <c r="AA68" s="8"/>
      <c r="AB68" s="65" t="s">
        <v>323</v>
      </c>
      <c r="AC68" s="66">
        <f>SUM(AC4:AC14)</f>
        <v>55110</v>
      </c>
    </row>
    <row r="69" spans="2:34" ht="20.25" thickTop="1" thickBot="1" x14ac:dyDescent="0.35">
      <c r="C69" s="231">
        <v>44201</v>
      </c>
      <c r="D69" s="629" t="s">
        <v>26</v>
      </c>
      <c r="E69" s="630"/>
      <c r="F69" s="142">
        <v>250864.68</v>
      </c>
      <c r="I69" s="686" t="s">
        <v>582</v>
      </c>
      <c r="J69" s="687"/>
      <c r="K69" s="688">
        <f>K66+K67</f>
        <v>-417052.74900000088</v>
      </c>
      <c r="L69" s="689"/>
      <c r="P69" s="127"/>
      <c r="Q69" s="36"/>
      <c r="S69" s="406"/>
      <c r="V69" s="29"/>
      <c r="W69" s="38" t="s">
        <v>11</v>
      </c>
      <c r="X69" s="196">
        <v>0</v>
      </c>
      <c r="Y69" s="41"/>
      <c r="AA69" s="8"/>
    </row>
    <row r="70" spans="2:34" ht="18.75" x14ac:dyDescent="0.3">
      <c r="C70" s="143"/>
      <c r="D70" s="144"/>
      <c r="E70" s="61"/>
      <c r="F70" s="145"/>
      <c r="J70" s="337"/>
      <c r="M70" s="146"/>
      <c r="P70" s="406"/>
      <c r="Q70" s="36"/>
      <c r="V70" s="29"/>
      <c r="W70" s="38" t="s">
        <v>10</v>
      </c>
      <c r="X70" s="196">
        <v>0</v>
      </c>
      <c r="Y70" s="41"/>
    </row>
    <row r="71" spans="2:34" x14ac:dyDescent="0.25">
      <c r="P71" s="36"/>
      <c r="Q71" s="36"/>
      <c r="V71" s="29"/>
      <c r="W71" s="38" t="s">
        <v>11</v>
      </c>
      <c r="X71" s="196">
        <v>0</v>
      </c>
      <c r="Y71" s="41"/>
    </row>
    <row r="72" spans="2:34" ht="15.75" x14ac:dyDescent="0.25">
      <c r="B72" s="501"/>
      <c r="C72" s="502"/>
      <c r="D72" s="503"/>
      <c r="E72" s="36"/>
      <c r="M72" s="147"/>
      <c r="N72" s="59"/>
      <c r="P72" s="36"/>
      <c r="Q72" s="36"/>
      <c r="R72" s="59"/>
      <c r="S72" s="404"/>
      <c r="T72" s="191"/>
      <c r="U72" s="186"/>
      <c r="V72" s="29"/>
      <c r="W72" s="38"/>
      <c r="X72" s="196">
        <v>0</v>
      </c>
      <c r="Y72" s="41"/>
    </row>
    <row r="73" spans="2:34" ht="15.75" x14ac:dyDescent="0.25">
      <c r="B73" s="501"/>
      <c r="C73" s="504"/>
      <c r="D73" s="382"/>
      <c r="E73" s="36"/>
      <c r="M73" s="147"/>
      <c r="N73" s="59"/>
      <c r="O73" s="597"/>
      <c r="P73" s="404"/>
      <c r="Q73" s="191"/>
      <c r="R73" s="59"/>
      <c r="S73" s="191"/>
      <c r="T73" s="191"/>
      <c r="U73" s="186"/>
      <c r="W73" s="595" t="s">
        <v>16</v>
      </c>
      <c r="X73" s="594">
        <f>SUM(X4:X72)</f>
        <v>310110</v>
      </c>
    </row>
    <row r="74" spans="2:34" ht="15.75" x14ac:dyDescent="0.25">
      <c r="B74" s="501"/>
      <c r="C74" s="504"/>
      <c r="D74" s="382"/>
      <c r="E74" s="36"/>
      <c r="F74" s="148"/>
      <c r="K74" s="382"/>
      <c r="L74" s="100"/>
      <c r="M74" s="4"/>
      <c r="O74" s="597"/>
      <c r="P74" s="191"/>
      <c r="Q74" s="191"/>
    </row>
    <row r="75" spans="2:34" ht="15.75" x14ac:dyDescent="0.25">
      <c r="B75" s="501"/>
      <c r="C75" s="504"/>
      <c r="D75" s="382"/>
      <c r="E75" s="36"/>
      <c r="M75" s="4"/>
    </row>
    <row r="76" spans="2:34" ht="15.75" x14ac:dyDescent="0.25">
      <c r="B76" s="501"/>
      <c r="C76" s="504"/>
      <c r="D76" s="382"/>
      <c r="E76" s="36"/>
      <c r="M76" s="4"/>
    </row>
    <row r="77" spans="2:34" x14ac:dyDescent="0.25">
      <c r="M77" s="4"/>
    </row>
    <row r="78" spans="2:34" x14ac:dyDescent="0.25">
      <c r="M78" s="4"/>
    </row>
    <row r="79" spans="2:34" x14ac:dyDescent="0.25">
      <c r="M79" s="4"/>
    </row>
    <row r="80" spans="2:34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</sheetData>
  <mergeCells count="22">
    <mergeCell ref="C1:K1"/>
    <mergeCell ref="AK1:AL2"/>
    <mergeCell ref="W2:X3"/>
    <mergeCell ref="AB2:AC3"/>
    <mergeCell ref="AF2:AH2"/>
    <mergeCell ref="B3:C3"/>
    <mergeCell ref="H3:I3"/>
    <mergeCell ref="E4:F4"/>
    <mergeCell ref="H4:I4"/>
    <mergeCell ref="P65:Q65"/>
    <mergeCell ref="H64:I64"/>
    <mergeCell ref="K64:L64"/>
    <mergeCell ref="M64:N64"/>
    <mergeCell ref="D65:E65"/>
    <mergeCell ref="K67:L67"/>
    <mergeCell ref="D69:E69"/>
    <mergeCell ref="I69:J69"/>
    <mergeCell ref="K69:L69"/>
    <mergeCell ref="S64:T64"/>
    <mergeCell ref="D66:E66"/>
    <mergeCell ref="I66:J66"/>
    <mergeCell ref="K66:L66"/>
  </mergeCells>
  <phoneticPr fontId="30" type="noConversion"/>
  <pageMargins left="0.23622047244094491" right="0.15748031496062992" top="0.39370078740157483" bottom="0.35433070866141736" header="0.31496062992125984" footer="0.31496062992125984"/>
  <pageSetup scale="60" orientation="landscape" verticalDpi="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1F5D9-E1BF-4ADE-9F33-60B1EC9B7DEB}">
  <sheetPr>
    <tabColor rgb="FF0070C0"/>
  </sheetPr>
  <dimension ref="A1:G103"/>
  <sheetViews>
    <sheetView topLeftCell="A46" workbookViewId="0">
      <selection activeCell="C64" sqref="C6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8" bestFit="1" customWidth="1"/>
  </cols>
  <sheetData>
    <row r="1" spans="1:7" ht="36.75" customHeight="1" x14ac:dyDescent="0.35">
      <c r="B1" s="185" t="s">
        <v>192</v>
      </c>
      <c r="C1" s="182"/>
      <c r="D1" s="183"/>
      <c r="E1" s="182"/>
      <c r="F1" s="184"/>
    </row>
    <row r="2" spans="1:7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7" ht="18.75" x14ac:dyDescent="0.3">
      <c r="A3" s="271">
        <v>44166</v>
      </c>
      <c r="B3" s="272" t="s">
        <v>784</v>
      </c>
      <c r="C3" s="176">
        <v>173442.85</v>
      </c>
      <c r="D3" s="270"/>
      <c r="E3" s="5"/>
      <c r="F3" s="488">
        <f>C3-E3</f>
        <v>173442.85</v>
      </c>
    </row>
    <row r="4" spans="1:7" ht="18.75" x14ac:dyDescent="0.3">
      <c r="A4" s="271">
        <v>44168</v>
      </c>
      <c r="B4" s="272" t="s">
        <v>785</v>
      </c>
      <c r="C4" s="176">
        <v>32268.07</v>
      </c>
      <c r="D4" s="273"/>
      <c r="E4" s="176"/>
      <c r="F4" s="483">
        <f>F3+C4-E4</f>
        <v>205710.92</v>
      </c>
      <c r="G4" s="451"/>
    </row>
    <row r="5" spans="1:7" x14ac:dyDescent="0.25">
      <c r="A5" s="273">
        <v>44168</v>
      </c>
      <c r="B5" s="272" t="s">
        <v>787</v>
      </c>
      <c r="C5" s="176">
        <v>131154.12</v>
      </c>
      <c r="D5" s="273"/>
      <c r="E5" s="176"/>
      <c r="F5" s="489">
        <f t="shared" ref="F5:F66" si="0">F4+C5-E5</f>
        <v>336865.04000000004</v>
      </c>
    </row>
    <row r="6" spans="1:7" x14ac:dyDescent="0.25">
      <c r="A6" s="273">
        <v>44169</v>
      </c>
      <c r="B6" s="272" t="s">
        <v>786</v>
      </c>
      <c r="C6" s="176">
        <v>35296.400000000001</v>
      </c>
      <c r="D6" s="273">
        <v>44169</v>
      </c>
      <c r="E6" s="176">
        <v>372161.44</v>
      </c>
      <c r="F6" s="489">
        <f t="shared" si="0"/>
        <v>0</v>
      </c>
    </row>
    <row r="7" spans="1:7" x14ac:dyDescent="0.25">
      <c r="A7" s="273">
        <v>44170</v>
      </c>
      <c r="B7" s="272" t="s">
        <v>788</v>
      </c>
      <c r="C7" s="176">
        <v>48112.5</v>
      </c>
      <c r="D7" s="273"/>
      <c r="E7" s="176"/>
      <c r="F7" s="489">
        <f t="shared" si="0"/>
        <v>48112.5</v>
      </c>
    </row>
    <row r="8" spans="1:7" x14ac:dyDescent="0.25">
      <c r="A8" s="273">
        <v>44170</v>
      </c>
      <c r="B8" s="272" t="s">
        <v>789</v>
      </c>
      <c r="C8" s="176">
        <v>175481.65</v>
      </c>
      <c r="D8" s="273"/>
      <c r="E8" s="176"/>
      <c r="F8" s="489">
        <f t="shared" si="0"/>
        <v>223594.15</v>
      </c>
    </row>
    <row r="9" spans="1:7" x14ac:dyDescent="0.25">
      <c r="A9" s="273">
        <v>44171</v>
      </c>
      <c r="B9" s="272" t="s">
        <v>790</v>
      </c>
      <c r="C9" s="176">
        <v>2832</v>
      </c>
      <c r="D9" s="273"/>
      <c r="E9" s="176"/>
      <c r="F9" s="489">
        <f t="shared" si="0"/>
        <v>226426.15</v>
      </c>
    </row>
    <row r="10" spans="1:7" ht="18.75" x14ac:dyDescent="0.3">
      <c r="A10" s="273">
        <v>44172</v>
      </c>
      <c r="B10" s="272" t="s">
        <v>791</v>
      </c>
      <c r="C10" s="176">
        <v>189434</v>
      </c>
      <c r="D10" s="273"/>
      <c r="E10" s="176"/>
      <c r="F10" s="489">
        <f t="shared" si="0"/>
        <v>415860.15</v>
      </c>
      <c r="G10" s="451"/>
    </row>
    <row r="11" spans="1:7" x14ac:dyDescent="0.25">
      <c r="A11" s="271">
        <v>44172</v>
      </c>
      <c r="B11" s="272" t="s">
        <v>792</v>
      </c>
      <c r="C11" s="176">
        <v>14802.76</v>
      </c>
      <c r="D11" s="273"/>
      <c r="E11" s="176"/>
      <c r="F11" s="489">
        <f t="shared" si="0"/>
        <v>430662.91000000003</v>
      </c>
    </row>
    <row r="12" spans="1:7" x14ac:dyDescent="0.25">
      <c r="A12" s="273">
        <v>44173</v>
      </c>
      <c r="B12" s="272" t="s">
        <v>793</v>
      </c>
      <c r="C12" s="176">
        <v>800</v>
      </c>
      <c r="D12" s="273"/>
      <c r="E12" s="176"/>
      <c r="F12" s="489">
        <f t="shared" si="0"/>
        <v>431462.91000000003</v>
      </c>
    </row>
    <row r="13" spans="1:7" x14ac:dyDescent="0.25">
      <c r="A13" s="273">
        <v>44174</v>
      </c>
      <c r="B13" s="272" t="s">
        <v>794</v>
      </c>
      <c r="C13" s="176">
        <v>138653.93</v>
      </c>
      <c r="D13" s="273"/>
      <c r="E13" s="176"/>
      <c r="F13" s="489">
        <f t="shared" si="0"/>
        <v>570116.84000000008</v>
      </c>
    </row>
    <row r="14" spans="1:7" x14ac:dyDescent="0.25">
      <c r="A14" s="273">
        <v>44175</v>
      </c>
      <c r="B14" s="272" t="s">
        <v>795</v>
      </c>
      <c r="C14" s="176">
        <v>111449.97</v>
      </c>
      <c r="D14" s="273"/>
      <c r="E14" s="176"/>
      <c r="F14" s="489">
        <f t="shared" si="0"/>
        <v>681566.81</v>
      </c>
    </row>
    <row r="15" spans="1:7" x14ac:dyDescent="0.25">
      <c r="A15" s="273">
        <v>44176</v>
      </c>
      <c r="B15" s="272" t="s">
        <v>796</v>
      </c>
      <c r="C15" s="176">
        <v>2589.6</v>
      </c>
      <c r="D15" s="273"/>
      <c r="E15" s="176"/>
      <c r="F15" s="489">
        <f t="shared" si="0"/>
        <v>684156.41</v>
      </c>
    </row>
    <row r="16" spans="1:7" x14ac:dyDescent="0.25">
      <c r="A16" s="273">
        <v>44176</v>
      </c>
      <c r="B16" s="272" t="s">
        <v>797</v>
      </c>
      <c r="C16" s="176">
        <v>58476.38</v>
      </c>
      <c r="D16" s="273"/>
      <c r="E16" s="176"/>
      <c r="F16" s="489">
        <f t="shared" si="0"/>
        <v>742632.79</v>
      </c>
    </row>
    <row r="17" spans="1:7" x14ac:dyDescent="0.25">
      <c r="A17" s="273">
        <v>44176</v>
      </c>
      <c r="B17" s="272" t="s">
        <v>798</v>
      </c>
      <c r="C17" s="176">
        <v>43765.5</v>
      </c>
      <c r="D17" s="273">
        <v>44176</v>
      </c>
      <c r="E17" s="176">
        <v>786398.29</v>
      </c>
      <c r="F17" s="489">
        <f t="shared" si="0"/>
        <v>0</v>
      </c>
    </row>
    <row r="18" spans="1:7" x14ac:dyDescent="0.25">
      <c r="A18" s="273">
        <v>44177</v>
      </c>
      <c r="B18" s="272" t="s">
        <v>799</v>
      </c>
      <c r="C18" s="176">
        <v>50809.29</v>
      </c>
      <c r="D18" s="273"/>
      <c r="E18" s="176"/>
      <c r="F18" s="489">
        <f t="shared" si="0"/>
        <v>50809.29</v>
      </c>
    </row>
    <row r="19" spans="1:7" x14ac:dyDescent="0.25">
      <c r="A19" s="273">
        <v>44177</v>
      </c>
      <c r="B19" s="272" t="s">
        <v>800</v>
      </c>
      <c r="C19" s="176">
        <v>38367.1</v>
      </c>
      <c r="D19" s="273"/>
      <c r="E19" s="176"/>
      <c r="F19" s="489">
        <f t="shared" si="0"/>
        <v>89176.39</v>
      </c>
    </row>
    <row r="20" spans="1:7" x14ac:dyDescent="0.25">
      <c r="A20" s="273">
        <v>44177</v>
      </c>
      <c r="B20" s="272" t="s">
        <v>801</v>
      </c>
      <c r="C20" s="176">
        <v>166347.4</v>
      </c>
      <c r="D20" s="273"/>
      <c r="E20" s="176"/>
      <c r="F20" s="489">
        <f t="shared" si="0"/>
        <v>255523.78999999998</v>
      </c>
    </row>
    <row r="21" spans="1:7" x14ac:dyDescent="0.25">
      <c r="A21" s="273">
        <v>44177</v>
      </c>
      <c r="B21" s="272" t="s">
        <v>802</v>
      </c>
      <c r="C21" s="176">
        <v>50816.5</v>
      </c>
      <c r="D21" s="273"/>
      <c r="E21" s="176"/>
      <c r="F21" s="489">
        <f t="shared" si="0"/>
        <v>306340.28999999998</v>
      </c>
    </row>
    <row r="22" spans="1:7" ht="18.75" x14ac:dyDescent="0.3">
      <c r="A22" s="273">
        <v>44179</v>
      </c>
      <c r="B22" s="272" t="s">
        <v>803</v>
      </c>
      <c r="C22" s="176">
        <v>193472.26</v>
      </c>
      <c r="D22" s="273"/>
      <c r="E22" s="176"/>
      <c r="F22" s="483">
        <f t="shared" si="0"/>
        <v>499812.55</v>
      </c>
      <c r="G22" s="451"/>
    </row>
    <row r="23" spans="1:7" x14ac:dyDescent="0.25">
      <c r="A23" s="273">
        <v>44179</v>
      </c>
      <c r="B23" s="272" t="s">
        <v>804</v>
      </c>
      <c r="C23" s="176">
        <v>12789</v>
      </c>
      <c r="D23" s="273"/>
      <c r="E23" s="176"/>
      <c r="F23" s="489">
        <f t="shared" si="0"/>
        <v>512601.55</v>
      </c>
    </row>
    <row r="24" spans="1:7" x14ac:dyDescent="0.25">
      <c r="A24" s="273">
        <v>44180</v>
      </c>
      <c r="B24" s="272" t="s">
        <v>805</v>
      </c>
      <c r="C24" s="176">
        <v>1280</v>
      </c>
      <c r="D24" s="273"/>
      <c r="E24" s="176"/>
      <c r="F24" s="489">
        <f t="shared" si="0"/>
        <v>513881.55</v>
      </c>
    </row>
    <row r="25" spans="1:7" x14ac:dyDescent="0.25">
      <c r="A25" s="273">
        <v>44181</v>
      </c>
      <c r="B25" s="272" t="s">
        <v>806</v>
      </c>
      <c r="C25" s="176">
        <v>12722.6</v>
      </c>
      <c r="D25" s="273"/>
      <c r="E25" s="176"/>
      <c r="F25" s="489">
        <f t="shared" si="0"/>
        <v>526604.15</v>
      </c>
    </row>
    <row r="26" spans="1:7" x14ac:dyDescent="0.25">
      <c r="A26" s="273">
        <v>44181</v>
      </c>
      <c r="B26" s="272" t="s">
        <v>807</v>
      </c>
      <c r="C26" s="176">
        <v>73381.8</v>
      </c>
      <c r="D26" s="273"/>
      <c r="E26" s="176"/>
      <c r="F26" s="489">
        <f t="shared" si="0"/>
        <v>599985.95000000007</v>
      </c>
    </row>
    <row r="27" spans="1:7" x14ac:dyDescent="0.25">
      <c r="A27" s="273">
        <v>44182</v>
      </c>
      <c r="B27" s="272" t="s">
        <v>808</v>
      </c>
      <c r="C27" s="176">
        <v>146143.25</v>
      </c>
      <c r="D27" s="273">
        <v>44183</v>
      </c>
      <c r="E27" s="176">
        <v>746129.2</v>
      </c>
      <c r="F27" s="489">
        <f t="shared" si="0"/>
        <v>0</v>
      </c>
    </row>
    <row r="28" spans="1:7" x14ac:dyDescent="0.25">
      <c r="A28" s="273">
        <v>44182</v>
      </c>
      <c r="B28" s="272" t="s">
        <v>809</v>
      </c>
      <c r="C28" s="176">
        <v>65269.1</v>
      </c>
      <c r="D28" s="273"/>
      <c r="E28" s="176"/>
      <c r="F28" s="489">
        <f t="shared" si="0"/>
        <v>65269.1</v>
      </c>
    </row>
    <row r="29" spans="1:7" x14ac:dyDescent="0.25">
      <c r="A29" s="273">
        <v>44183</v>
      </c>
      <c r="B29" s="272" t="s">
        <v>810</v>
      </c>
      <c r="C29" s="176">
        <v>2926</v>
      </c>
      <c r="D29" s="273"/>
      <c r="E29" s="176"/>
      <c r="F29" s="489">
        <f t="shared" si="0"/>
        <v>68195.100000000006</v>
      </c>
    </row>
    <row r="30" spans="1:7" ht="18.75" x14ac:dyDescent="0.3">
      <c r="A30" s="273">
        <v>44183</v>
      </c>
      <c r="B30" s="272" t="s">
        <v>811</v>
      </c>
      <c r="C30" s="176">
        <v>162181.4</v>
      </c>
      <c r="D30" s="273"/>
      <c r="E30" s="176"/>
      <c r="F30" s="483">
        <f t="shared" si="0"/>
        <v>230376.5</v>
      </c>
      <c r="G30" s="451"/>
    </row>
    <row r="31" spans="1:7" x14ac:dyDescent="0.25">
      <c r="A31" s="273">
        <v>44183</v>
      </c>
      <c r="B31" s="272" t="s">
        <v>812</v>
      </c>
      <c r="C31" s="176">
        <v>4149.6000000000004</v>
      </c>
      <c r="D31" s="273"/>
      <c r="E31" s="176"/>
      <c r="F31" s="489">
        <f t="shared" si="0"/>
        <v>234526.1</v>
      </c>
    </row>
    <row r="32" spans="1:7" x14ac:dyDescent="0.25">
      <c r="A32" s="271">
        <v>44184</v>
      </c>
      <c r="B32" s="272" t="s">
        <v>813</v>
      </c>
      <c r="C32" s="176">
        <v>927.2</v>
      </c>
      <c r="D32" s="410"/>
      <c r="E32" s="36"/>
      <c r="F32" s="489">
        <f t="shared" si="0"/>
        <v>235453.30000000002</v>
      </c>
    </row>
    <row r="33" spans="1:6" x14ac:dyDescent="0.25">
      <c r="A33" s="271">
        <v>44184</v>
      </c>
      <c r="B33" s="272" t="s">
        <v>814</v>
      </c>
      <c r="C33" s="176">
        <v>191402.02</v>
      </c>
      <c r="D33" s="410"/>
      <c r="E33" s="36"/>
      <c r="F33" s="489">
        <f t="shared" si="0"/>
        <v>426855.32</v>
      </c>
    </row>
    <row r="34" spans="1:6" x14ac:dyDescent="0.25">
      <c r="A34" s="271">
        <v>44185</v>
      </c>
      <c r="B34" s="272" t="s">
        <v>815</v>
      </c>
      <c r="C34" s="176">
        <v>160642.37</v>
      </c>
      <c r="D34" s="410"/>
      <c r="E34" s="36"/>
      <c r="F34" s="489">
        <f t="shared" si="0"/>
        <v>587497.68999999994</v>
      </c>
    </row>
    <row r="35" spans="1:6" x14ac:dyDescent="0.25">
      <c r="A35" s="271">
        <v>44186</v>
      </c>
      <c r="B35" s="272" t="s">
        <v>816</v>
      </c>
      <c r="C35" s="176">
        <v>28915.4</v>
      </c>
      <c r="D35" s="410"/>
      <c r="E35" s="36"/>
      <c r="F35" s="489">
        <f t="shared" si="0"/>
        <v>616413.09</v>
      </c>
    </row>
    <row r="36" spans="1:6" x14ac:dyDescent="0.25">
      <c r="A36" s="271">
        <v>44187</v>
      </c>
      <c r="B36" s="272" t="s">
        <v>817</v>
      </c>
      <c r="C36" s="176">
        <v>137131.79999999999</v>
      </c>
      <c r="D36" s="410"/>
      <c r="E36" s="36"/>
      <c r="F36" s="489">
        <f t="shared" si="0"/>
        <v>753544.8899999999</v>
      </c>
    </row>
    <row r="37" spans="1:6" x14ac:dyDescent="0.25">
      <c r="A37" s="273">
        <v>44187</v>
      </c>
      <c r="B37" s="272" t="s">
        <v>818</v>
      </c>
      <c r="C37" s="176">
        <v>45879.6</v>
      </c>
      <c r="D37" s="410"/>
      <c r="E37" s="36"/>
      <c r="F37" s="489">
        <f t="shared" si="0"/>
        <v>799424.48999999987</v>
      </c>
    </row>
    <row r="38" spans="1:6" x14ac:dyDescent="0.25">
      <c r="A38" s="273">
        <v>44187</v>
      </c>
      <c r="B38" s="272" t="s">
        <v>819</v>
      </c>
      <c r="C38" s="176">
        <v>89543</v>
      </c>
      <c r="D38" s="410"/>
      <c r="E38" s="36"/>
      <c r="F38" s="489">
        <f t="shared" si="0"/>
        <v>888967.48999999987</v>
      </c>
    </row>
    <row r="39" spans="1:6" x14ac:dyDescent="0.25">
      <c r="A39" s="273">
        <v>44187</v>
      </c>
      <c r="B39" s="272" t="s">
        <v>820</v>
      </c>
      <c r="C39" s="176">
        <v>130189.82</v>
      </c>
      <c r="D39" s="410"/>
      <c r="E39" s="36"/>
      <c r="F39" s="489">
        <f t="shared" si="0"/>
        <v>1019157.3099999998</v>
      </c>
    </row>
    <row r="40" spans="1:6" x14ac:dyDescent="0.25">
      <c r="A40" s="271">
        <v>44188</v>
      </c>
      <c r="B40" s="272" t="s">
        <v>821</v>
      </c>
      <c r="C40" s="176">
        <v>288</v>
      </c>
      <c r="D40" s="410">
        <v>44188</v>
      </c>
      <c r="E40" s="36">
        <v>1019445.31</v>
      </c>
      <c r="F40" s="489">
        <f t="shared" si="0"/>
        <v>0</v>
      </c>
    </row>
    <row r="41" spans="1:6" x14ac:dyDescent="0.25">
      <c r="A41" s="271">
        <v>44188</v>
      </c>
      <c r="B41" s="272" t="s">
        <v>822</v>
      </c>
      <c r="C41" s="176">
        <v>63024</v>
      </c>
      <c r="D41" s="410"/>
      <c r="E41" s="36"/>
      <c r="F41" s="489">
        <f t="shared" si="0"/>
        <v>63024</v>
      </c>
    </row>
    <row r="42" spans="1:6" x14ac:dyDescent="0.25">
      <c r="A42" s="271">
        <v>44188</v>
      </c>
      <c r="B42" s="272" t="s">
        <v>823</v>
      </c>
      <c r="C42" s="176">
        <v>73918.3</v>
      </c>
      <c r="D42" s="410"/>
      <c r="E42" s="36"/>
      <c r="F42" s="489">
        <f t="shared" si="0"/>
        <v>136942.29999999999</v>
      </c>
    </row>
    <row r="43" spans="1:6" x14ac:dyDescent="0.25">
      <c r="A43" s="271">
        <v>44188</v>
      </c>
      <c r="B43" s="272" t="s">
        <v>824</v>
      </c>
      <c r="C43" s="176">
        <v>34181</v>
      </c>
      <c r="D43" s="410"/>
      <c r="E43" s="36"/>
      <c r="F43" s="489">
        <f t="shared" si="0"/>
        <v>171123.3</v>
      </c>
    </row>
    <row r="44" spans="1:6" x14ac:dyDescent="0.25">
      <c r="A44" s="271">
        <v>44188</v>
      </c>
      <c r="B44" s="272" t="s">
        <v>825</v>
      </c>
      <c r="C44" s="176">
        <v>34454.6</v>
      </c>
      <c r="D44" s="410"/>
      <c r="E44" s="36"/>
      <c r="F44" s="489">
        <f t="shared" si="0"/>
        <v>205577.9</v>
      </c>
    </row>
    <row r="45" spans="1:6" x14ac:dyDescent="0.25">
      <c r="A45" s="271">
        <v>44188</v>
      </c>
      <c r="B45" s="272" t="s">
        <v>826</v>
      </c>
      <c r="C45" s="176">
        <v>34595.199999999997</v>
      </c>
      <c r="D45" s="410"/>
      <c r="E45" s="36"/>
      <c r="F45" s="489">
        <f t="shared" si="0"/>
        <v>240173.09999999998</v>
      </c>
    </row>
    <row r="46" spans="1:6" x14ac:dyDescent="0.25">
      <c r="A46" s="271">
        <v>44189</v>
      </c>
      <c r="B46" s="272" t="s">
        <v>827</v>
      </c>
      <c r="C46" s="176">
        <v>101627.66</v>
      </c>
      <c r="D46" s="410"/>
      <c r="E46" s="36"/>
      <c r="F46" s="489">
        <f t="shared" si="0"/>
        <v>341800.76</v>
      </c>
    </row>
    <row r="47" spans="1:6" x14ac:dyDescent="0.25">
      <c r="A47" s="271">
        <v>44189</v>
      </c>
      <c r="B47" s="272" t="s">
        <v>828</v>
      </c>
      <c r="C47" s="176">
        <v>41922.400000000001</v>
      </c>
      <c r="D47" s="410"/>
      <c r="E47" s="36"/>
      <c r="F47" s="489">
        <f t="shared" si="0"/>
        <v>383723.16000000003</v>
      </c>
    </row>
    <row r="48" spans="1:6" x14ac:dyDescent="0.25">
      <c r="A48" s="271">
        <v>44191</v>
      </c>
      <c r="B48" s="272" t="s">
        <v>829</v>
      </c>
      <c r="C48" s="176">
        <v>14437.2</v>
      </c>
      <c r="D48" s="410"/>
      <c r="E48" s="36"/>
      <c r="F48" s="489">
        <f t="shared" si="0"/>
        <v>398160.36000000004</v>
      </c>
    </row>
    <row r="49" spans="1:6" x14ac:dyDescent="0.25">
      <c r="A49" s="271">
        <v>44191</v>
      </c>
      <c r="B49" s="272" t="s">
        <v>830</v>
      </c>
      <c r="C49" s="176">
        <v>185361.1</v>
      </c>
      <c r="D49" s="410"/>
      <c r="E49" s="36"/>
      <c r="F49" s="489">
        <f t="shared" si="0"/>
        <v>583521.46000000008</v>
      </c>
    </row>
    <row r="50" spans="1:6" x14ac:dyDescent="0.25">
      <c r="A50" s="271">
        <v>44193</v>
      </c>
      <c r="B50" s="272" t="s">
        <v>831</v>
      </c>
      <c r="C50" s="176">
        <v>111879.56</v>
      </c>
      <c r="D50" s="410">
        <v>44193</v>
      </c>
      <c r="E50" s="36">
        <v>641117</v>
      </c>
      <c r="F50" s="489">
        <f t="shared" si="0"/>
        <v>54284.020000000019</v>
      </c>
    </row>
    <row r="51" spans="1:6" x14ac:dyDescent="0.25">
      <c r="A51" s="271">
        <v>44194</v>
      </c>
      <c r="B51" s="272" t="s">
        <v>832</v>
      </c>
      <c r="C51" s="176">
        <v>139221.10999999999</v>
      </c>
      <c r="D51" s="410"/>
      <c r="E51" s="36"/>
      <c r="F51" s="489">
        <f t="shared" si="0"/>
        <v>193505.13</v>
      </c>
    </row>
    <row r="52" spans="1:6" x14ac:dyDescent="0.25">
      <c r="A52" s="271">
        <v>44195</v>
      </c>
      <c r="B52" s="272" t="s">
        <v>833</v>
      </c>
      <c r="C52" s="176">
        <v>141368.85</v>
      </c>
      <c r="D52" s="410"/>
      <c r="E52" s="36"/>
      <c r="F52" s="489">
        <f t="shared" si="0"/>
        <v>334873.98</v>
      </c>
    </row>
    <row r="53" spans="1:6" x14ac:dyDescent="0.25">
      <c r="A53" s="271">
        <v>44195</v>
      </c>
      <c r="B53" s="272" t="s">
        <v>834</v>
      </c>
      <c r="C53" s="176">
        <v>29931.99</v>
      </c>
      <c r="D53" s="410"/>
      <c r="E53" s="36"/>
      <c r="F53" s="489">
        <f t="shared" si="0"/>
        <v>364805.97</v>
      </c>
    </row>
    <row r="54" spans="1:6" x14ac:dyDescent="0.25">
      <c r="A54" s="271">
        <v>44196</v>
      </c>
      <c r="B54" s="272" t="s">
        <v>835</v>
      </c>
      <c r="C54" s="176">
        <v>52270.6</v>
      </c>
      <c r="D54" s="410"/>
      <c r="E54" s="36"/>
      <c r="F54" s="489">
        <f t="shared" si="0"/>
        <v>417076.56999999995</v>
      </c>
    </row>
    <row r="55" spans="1:6" x14ac:dyDescent="0.25">
      <c r="A55" s="271">
        <v>44196</v>
      </c>
      <c r="B55" s="272" t="s">
        <v>836</v>
      </c>
      <c r="C55" s="176">
        <v>153643.4</v>
      </c>
      <c r="D55" s="410"/>
      <c r="E55" s="36"/>
      <c r="F55" s="489">
        <f t="shared" si="0"/>
        <v>570719.97</v>
      </c>
    </row>
    <row r="56" spans="1:6" x14ac:dyDescent="0.25">
      <c r="A56" s="271">
        <v>44198</v>
      </c>
      <c r="B56" s="272" t="s">
        <v>837</v>
      </c>
      <c r="C56" s="176">
        <v>112014.57</v>
      </c>
      <c r="D56" s="410"/>
      <c r="E56" s="36"/>
      <c r="F56" s="489">
        <f t="shared" si="0"/>
        <v>682734.54</v>
      </c>
    </row>
    <row r="57" spans="1:6" x14ac:dyDescent="0.25">
      <c r="A57" s="271">
        <v>44199</v>
      </c>
      <c r="B57" s="272" t="s">
        <v>838</v>
      </c>
      <c r="C57" s="176">
        <v>1969.12</v>
      </c>
      <c r="D57" s="410"/>
      <c r="E57" s="36"/>
      <c r="F57" s="489">
        <f t="shared" si="0"/>
        <v>684703.66</v>
      </c>
    </row>
    <row r="58" spans="1:6" x14ac:dyDescent="0.25">
      <c r="A58" s="271">
        <v>44199</v>
      </c>
      <c r="B58" s="272" t="s">
        <v>839</v>
      </c>
      <c r="C58" s="176">
        <v>31686.1</v>
      </c>
      <c r="D58" s="410"/>
      <c r="E58" s="36"/>
      <c r="F58" s="489">
        <f t="shared" si="0"/>
        <v>716389.76</v>
      </c>
    </row>
    <row r="59" spans="1:6" x14ac:dyDescent="0.25">
      <c r="A59" s="271">
        <v>44200</v>
      </c>
      <c r="B59" s="272" t="s">
        <v>840</v>
      </c>
      <c r="C59" s="176">
        <v>25514.42</v>
      </c>
      <c r="D59" s="410"/>
      <c r="E59" s="36"/>
      <c r="F59" s="489">
        <f t="shared" si="0"/>
        <v>741904.18</v>
      </c>
    </row>
    <row r="60" spans="1:6" x14ac:dyDescent="0.25">
      <c r="A60" s="271">
        <v>44201</v>
      </c>
      <c r="B60" s="272" t="s">
        <v>841</v>
      </c>
      <c r="C60" s="176">
        <v>57288</v>
      </c>
      <c r="D60" s="410"/>
      <c r="E60" s="36"/>
      <c r="F60" s="489">
        <f t="shared" si="0"/>
        <v>799192.18</v>
      </c>
    </row>
    <row r="61" spans="1:6" x14ac:dyDescent="0.25">
      <c r="A61" s="609">
        <v>44201</v>
      </c>
      <c r="B61" s="610" t="s">
        <v>842</v>
      </c>
      <c r="C61" s="36">
        <v>59545.2</v>
      </c>
      <c r="D61" s="410">
        <v>44204</v>
      </c>
      <c r="E61" s="36">
        <v>858737.38</v>
      </c>
      <c r="F61" s="489">
        <f t="shared" si="0"/>
        <v>0</v>
      </c>
    </row>
    <row r="62" spans="1:6" x14ac:dyDescent="0.25">
      <c r="A62" s="609"/>
      <c r="B62" s="610"/>
      <c r="C62" s="36"/>
      <c r="D62" s="410"/>
      <c r="E62" s="36"/>
      <c r="F62" s="489">
        <f t="shared" si="0"/>
        <v>0</v>
      </c>
    </row>
    <row r="63" spans="1:6" x14ac:dyDescent="0.25">
      <c r="A63" s="609"/>
      <c r="B63" s="610"/>
      <c r="C63" s="36"/>
      <c r="D63" s="410"/>
      <c r="E63" s="36"/>
      <c r="F63" s="489">
        <f t="shared" si="0"/>
        <v>0</v>
      </c>
    </row>
    <row r="64" spans="1:6" x14ac:dyDescent="0.25">
      <c r="A64" s="609"/>
      <c r="B64" s="610"/>
      <c r="C64" s="36"/>
      <c r="D64" s="410"/>
      <c r="E64" s="36"/>
      <c r="F64" s="489">
        <f t="shared" si="0"/>
        <v>0</v>
      </c>
    </row>
    <row r="65" spans="1:6" x14ac:dyDescent="0.25">
      <c r="A65" s="609"/>
      <c r="B65" s="610"/>
      <c r="C65" s="36"/>
      <c r="D65" s="410"/>
      <c r="E65" s="36"/>
      <c r="F65" s="489">
        <f t="shared" si="0"/>
        <v>0</v>
      </c>
    </row>
    <row r="66" spans="1:6" ht="15.75" thickBot="1" x14ac:dyDescent="0.3">
      <c r="A66" s="178"/>
      <c r="B66" s="411"/>
      <c r="C66" s="104">
        <v>0</v>
      </c>
      <c r="D66" s="180"/>
      <c r="E66" s="104"/>
      <c r="F66" s="489">
        <f t="shared" si="0"/>
        <v>0</v>
      </c>
    </row>
    <row r="67" spans="1:6" ht="19.5" thickTop="1" x14ac:dyDescent="0.3">
      <c r="B67" s="59"/>
      <c r="C67" s="4">
        <f>SUM(C3:C66)</f>
        <v>4423988.620000001</v>
      </c>
      <c r="D67" s="1"/>
      <c r="E67" s="4">
        <f>SUM(E3:E66)</f>
        <v>4423988.62</v>
      </c>
      <c r="F67" s="491">
        <f>F66</f>
        <v>0</v>
      </c>
    </row>
    <row r="68" spans="1:6" x14ac:dyDescent="0.25">
      <c r="B68" s="59"/>
      <c r="C68" s="4"/>
      <c r="D68" s="1"/>
      <c r="E68" s="8"/>
      <c r="F68" s="4"/>
    </row>
    <row r="69" spans="1:6" x14ac:dyDescent="0.25">
      <c r="B69" s="59"/>
      <c r="C69" s="4"/>
      <c r="D69" s="1"/>
      <c r="E69" s="8"/>
      <c r="F69" s="4"/>
    </row>
    <row r="70" spans="1:6" x14ac:dyDescent="0.25">
      <c r="A70"/>
      <c r="B70" s="30"/>
      <c r="D70" s="30"/>
    </row>
    <row r="71" spans="1:6" x14ac:dyDescent="0.25">
      <c r="A71"/>
      <c r="B71" s="30"/>
      <c r="D71" s="30"/>
    </row>
    <row r="72" spans="1:6" x14ac:dyDescent="0.25">
      <c r="A72"/>
      <c r="B72" s="30"/>
      <c r="D72" s="30"/>
    </row>
    <row r="73" spans="1:6" x14ac:dyDescent="0.25">
      <c r="A73"/>
      <c r="B73" s="30"/>
      <c r="D73" s="30"/>
      <c r="F73" s="492"/>
    </row>
    <row r="74" spans="1:6" x14ac:dyDescent="0.25">
      <c r="A74"/>
      <c r="B74" s="30"/>
      <c r="D74" s="30"/>
      <c r="F74" s="492"/>
    </row>
    <row r="75" spans="1:6" x14ac:dyDescent="0.25">
      <c r="A75"/>
      <c r="B75" s="30"/>
      <c r="D75" s="30"/>
      <c r="F75" s="492"/>
    </row>
    <row r="76" spans="1:6" x14ac:dyDescent="0.25">
      <c r="A76"/>
      <c r="B76" s="30"/>
      <c r="D76" s="30"/>
      <c r="F76" s="492"/>
    </row>
    <row r="77" spans="1:6" x14ac:dyDescent="0.25">
      <c r="A77"/>
      <c r="B77" s="30"/>
      <c r="D77" s="30"/>
      <c r="F77" s="492"/>
    </row>
    <row r="78" spans="1:6" x14ac:dyDescent="0.25">
      <c r="A78"/>
      <c r="B78" s="30"/>
      <c r="D78" s="30"/>
      <c r="F78" s="492"/>
    </row>
    <row r="79" spans="1:6" x14ac:dyDescent="0.25">
      <c r="A79"/>
      <c r="B79" s="30"/>
      <c r="D79" s="30"/>
      <c r="F79" s="492"/>
    </row>
    <row r="80" spans="1:6" x14ac:dyDescent="0.25">
      <c r="A80"/>
      <c r="B80" s="30"/>
      <c r="D80" s="30"/>
      <c r="F80" s="492"/>
    </row>
    <row r="81" spans="1:6" x14ac:dyDescent="0.25">
      <c r="A81"/>
      <c r="B81" s="30"/>
      <c r="D81" s="30"/>
      <c r="F81" s="492"/>
    </row>
    <row r="82" spans="1:6" x14ac:dyDescent="0.25">
      <c r="A82"/>
      <c r="B82" s="30"/>
      <c r="D82" s="30"/>
      <c r="E82"/>
      <c r="F82" s="492"/>
    </row>
    <row r="83" spans="1:6" x14ac:dyDescent="0.25">
      <c r="A83"/>
      <c r="B83" s="30"/>
      <c r="D83" s="30"/>
      <c r="E83"/>
      <c r="F83" s="492"/>
    </row>
    <row r="84" spans="1:6" x14ac:dyDescent="0.25">
      <c r="A84"/>
      <c r="B84" s="30"/>
      <c r="D84" s="30"/>
      <c r="E84"/>
      <c r="F84" s="492"/>
    </row>
    <row r="85" spans="1:6" x14ac:dyDescent="0.25">
      <c r="A85"/>
      <c r="B85" s="30"/>
      <c r="D85" s="30"/>
      <c r="E85"/>
      <c r="F85" s="492"/>
    </row>
    <row r="86" spans="1:6" x14ac:dyDescent="0.25">
      <c r="A86"/>
      <c r="B86" s="30"/>
      <c r="D86" s="30"/>
      <c r="E86"/>
      <c r="F86" s="492"/>
    </row>
    <row r="87" spans="1:6" x14ac:dyDescent="0.25">
      <c r="A87"/>
      <c r="B87" s="30"/>
      <c r="D87" s="30"/>
      <c r="E87"/>
      <c r="F87" s="492"/>
    </row>
    <row r="88" spans="1:6" x14ac:dyDescent="0.25">
      <c r="B88" s="30"/>
      <c r="D88" s="30"/>
      <c r="E88"/>
    </row>
    <row r="89" spans="1:6" x14ac:dyDescent="0.25">
      <c r="B89" s="30"/>
      <c r="D89" s="30"/>
      <c r="E89"/>
    </row>
    <row r="90" spans="1:6" x14ac:dyDescent="0.25">
      <c r="B90" s="30"/>
      <c r="D90" s="30"/>
      <c r="E90"/>
    </row>
    <row r="91" spans="1:6" x14ac:dyDescent="0.25">
      <c r="B91" s="30"/>
      <c r="D91" s="30"/>
      <c r="E91"/>
    </row>
    <row r="92" spans="1:6" x14ac:dyDescent="0.25">
      <c r="B92" s="30"/>
      <c r="D92" s="30"/>
      <c r="E92"/>
    </row>
    <row r="93" spans="1:6" x14ac:dyDescent="0.25">
      <c r="B93" s="30"/>
      <c r="D93" s="30"/>
      <c r="E93"/>
    </row>
    <row r="94" spans="1:6" x14ac:dyDescent="0.25">
      <c r="B94" s="30"/>
      <c r="D94" s="30"/>
      <c r="E94"/>
    </row>
    <row r="95" spans="1:6" x14ac:dyDescent="0.25">
      <c r="B95" s="30"/>
      <c r="D95" s="30"/>
      <c r="E95"/>
    </row>
    <row r="96" spans="1:6" x14ac:dyDescent="0.25">
      <c r="B96" s="30"/>
      <c r="D96" s="30"/>
      <c r="E96"/>
    </row>
    <row r="97" spans="2:4" x14ac:dyDescent="0.25">
      <c r="B97" s="30"/>
    </row>
    <row r="98" spans="2:4" x14ac:dyDescent="0.25">
      <c r="B98" s="30"/>
    </row>
    <row r="99" spans="2:4" x14ac:dyDescent="0.25">
      <c r="B99" s="30"/>
      <c r="D99" s="30"/>
    </row>
    <row r="100" spans="2:4" x14ac:dyDescent="0.25">
      <c r="B100" s="30"/>
    </row>
    <row r="101" spans="2:4" x14ac:dyDescent="0.25">
      <c r="B101" s="30"/>
    </row>
    <row r="102" spans="2:4" x14ac:dyDescent="0.25">
      <c r="B102" s="30"/>
    </row>
    <row r="103" spans="2:4" ht="18.75" x14ac:dyDescent="0.3">
      <c r="C103" s="14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E1BE-BBFC-4050-9535-98AA5474BA50}">
  <dimension ref="A1"/>
  <sheetViews>
    <sheetView workbookViewId="0">
      <selection activeCell="F24" sqref="F24"/>
    </sheetView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9594-A625-4ABA-B247-F833340180F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4E2-BF78-49FD-BE89-175B0C126631}">
  <sheetPr>
    <tabColor rgb="FFC00000"/>
  </sheetPr>
  <dimension ref="A43:F60"/>
  <sheetViews>
    <sheetView topLeftCell="A38" workbookViewId="0">
      <selection activeCell="B74" sqref="B74"/>
    </sheetView>
  </sheetViews>
  <sheetFormatPr baseColWidth="10" defaultRowHeight="15" x14ac:dyDescent="0.25"/>
  <cols>
    <col min="3" max="3" width="12.5703125" bestFit="1" customWidth="1"/>
  </cols>
  <sheetData>
    <row r="43" spans="1:6" ht="15.75" thickBot="1" x14ac:dyDescent="0.3"/>
    <row r="44" spans="1:6" ht="15" customHeight="1" thickBot="1" x14ac:dyDescent="0.3">
      <c r="A44" s="29"/>
      <c r="B44" s="692" t="s">
        <v>34</v>
      </c>
      <c r="C44" s="693"/>
      <c r="D44" s="693"/>
      <c r="E44" s="694"/>
      <c r="F44" s="4"/>
    </row>
    <row r="45" spans="1:6" ht="16.5" customHeight="1" x14ac:dyDescent="0.25">
      <c r="A45" s="167">
        <v>44201</v>
      </c>
      <c r="B45" s="338" t="s">
        <v>848</v>
      </c>
      <c r="C45" s="339">
        <v>403.46</v>
      </c>
      <c r="D45" s="340" t="s">
        <v>35</v>
      </c>
      <c r="E45" s="341" t="s">
        <v>849</v>
      </c>
      <c r="F45" s="64">
        <v>397</v>
      </c>
    </row>
    <row r="46" spans="1:6" ht="14.25" customHeight="1" x14ac:dyDescent="0.25">
      <c r="A46" s="167">
        <v>44201</v>
      </c>
      <c r="B46" s="338" t="s">
        <v>850</v>
      </c>
      <c r="C46" s="339">
        <v>172.36</v>
      </c>
      <c r="D46" s="168" t="s">
        <v>35</v>
      </c>
      <c r="E46" s="341" t="s">
        <v>851</v>
      </c>
      <c r="F46" s="64">
        <v>148</v>
      </c>
    </row>
    <row r="47" spans="1:6" x14ac:dyDescent="0.25">
      <c r="A47" s="167"/>
      <c r="B47" s="338" t="s">
        <v>36</v>
      </c>
      <c r="C47" s="339">
        <v>0</v>
      </c>
      <c r="D47" s="168" t="s">
        <v>35</v>
      </c>
      <c r="E47" s="341" t="s">
        <v>36</v>
      </c>
      <c r="F47" s="64">
        <v>0</v>
      </c>
    </row>
    <row r="48" spans="1:6" ht="13.5" customHeight="1" x14ac:dyDescent="0.25">
      <c r="A48" s="167"/>
      <c r="B48" s="338" t="s">
        <v>36</v>
      </c>
      <c r="C48" s="339">
        <v>0</v>
      </c>
      <c r="D48" s="168" t="s">
        <v>35</v>
      </c>
      <c r="E48" s="341" t="s">
        <v>36</v>
      </c>
      <c r="F48" s="64">
        <v>0</v>
      </c>
    </row>
    <row r="49" spans="1:6" hidden="1" x14ac:dyDescent="0.25">
      <c r="A49" s="167"/>
      <c r="B49" s="338" t="s">
        <v>36</v>
      </c>
      <c r="C49" s="339">
        <v>0</v>
      </c>
      <c r="D49" s="168" t="s">
        <v>35</v>
      </c>
      <c r="E49" s="341" t="s">
        <v>36</v>
      </c>
      <c r="F49" s="64">
        <v>0</v>
      </c>
    </row>
    <row r="50" spans="1:6" ht="14.25" hidden="1" customHeight="1" x14ac:dyDescent="0.25">
      <c r="A50" s="167"/>
      <c r="B50" s="338" t="s">
        <v>36</v>
      </c>
      <c r="C50" s="339">
        <v>0</v>
      </c>
      <c r="D50" s="168" t="s">
        <v>35</v>
      </c>
      <c r="E50" s="341" t="s">
        <v>36</v>
      </c>
      <c r="F50" s="64">
        <v>0</v>
      </c>
    </row>
    <row r="51" spans="1:6" hidden="1" x14ac:dyDescent="0.25">
      <c r="A51" s="167"/>
      <c r="B51" s="338" t="s">
        <v>36</v>
      </c>
      <c r="C51" s="339">
        <v>0</v>
      </c>
      <c r="D51" s="168" t="s">
        <v>35</v>
      </c>
      <c r="E51" s="341" t="s">
        <v>36</v>
      </c>
      <c r="F51" s="64">
        <v>0</v>
      </c>
    </row>
    <row r="52" spans="1:6" hidden="1" x14ac:dyDescent="0.25">
      <c r="A52" s="167"/>
      <c r="B52" s="338" t="s">
        <v>36</v>
      </c>
      <c r="C52" s="339">
        <v>0</v>
      </c>
      <c r="D52" s="168" t="s">
        <v>35</v>
      </c>
      <c r="E52" s="341" t="s">
        <v>36</v>
      </c>
      <c r="F52" s="64">
        <v>0</v>
      </c>
    </row>
    <row r="53" spans="1:6" hidden="1" x14ac:dyDescent="0.25">
      <c r="A53" s="167"/>
      <c r="B53" s="338" t="s">
        <v>36</v>
      </c>
      <c r="C53" s="339">
        <v>0</v>
      </c>
      <c r="D53" s="168" t="s">
        <v>35</v>
      </c>
      <c r="E53" s="341" t="s">
        <v>36</v>
      </c>
      <c r="F53" s="64">
        <v>0</v>
      </c>
    </row>
    <row r="54" spans="1:6" hidden="1" x14ac:dyDescent="0.25">
      <c r="A54" s="167"/>
      <c r="B54" s="338" t="s">
        <v>36</v>
      </c>
      <c r="C54" s="339">
        <v>0</v>
      </c>
      <c r="D54" s="168" t="s">
        <v>35</v>
      </c>
      <c r="E54" s="341" t="s">
        <v>36</v>
      </c>
      <c r="F54" s="64">
        <v>0</v>
      </c>
    </row>
    <row r="55" spans="1:6" hidden="1" x14ac:dyDescent="0.25">
      <c r="A55" s="167"/>
      <c r="B55" s="338" t="s">
        <v>36</v>
      </c>
      <c r="C55" s="339">
        <v>0</v>
      </c>
      <c r="D55" s="168" t="s">
        <v>35</v>
      </c>
      <c r="E55" s="341" t="s">
        <v>36</v>
      </c>
      <c r="F55" s="64">
        <v>0</v>
      </c>
    </row>
    <row r="56" spans="1:6" hidden="1" x14ac:dyDescent="0.25">
      <c r="A56" s="167"/>
      <c r="B56" s="338" t="s">
        <v>36</v>
      </c>
      <c r="C56" s="339">
        <v>0</v>
      </c>
      <c r="D56" s="168" t="s">
        <v>35</v>
      </c>
      <c r="E56" s="341" t="s">
        <v>36</v>
      </c>
      <c r="F56" s="64">
        <v>0</v>
      </c>
    </row>
    <row r="57" spans="1:6" hidden="1" x14ac:dyDescent="0.25">
      <c r="A57" s="167"/>
      <c r="B57" s="338" t="s">
        <v>36</v>
      </c>
      <c r="C57" s="339">
        <v>0</v>
      </c>
      <c r="D57" s="168" t="s">
        <v>35</v>
      </c>
      <c r="E57" s="341" t="s">
        <v>36</v>
      </c>
      <c r="F57" s="64">
        <v>0</v>
      </c>
    </row>
    <row r="58" spans="1:6" hidden="1" x14ac:dyDescent="0.25">
      <c r="A58" s="167"/>
      <c r="B58" s="338" t="s">
        <v>36</v>
      </c>
      <c r="C58" s="339">
        <v>0</v>
      </c>
      <c r="D58" s="168" t="s">
        <v>35</v>
      </c>
      <c r="E58" s="341" t="s">
        <v>36</v>
      </c>
      <c r="F58" s="64">
        <v>0</v>
      </c>
    </row>
    <row r="59" spans="1:6" hidden="1" x14ac:dyDescent="0.25">
      <c r="A59" s="167"/>
      <c r="B59" s="338" t="s">
        <v>36</v>
      </c>
      <c r="C59" s="339">
        <v>0</v>
      </c>
      <c r="D59" s="168" t="s">
        <v>35</v>
      </c>
      <c r="E59" s="341" t="s">
        <v>36</v>
      </c>
      <c r="F59" s="64">
        <v>0</v>
      </c>
    </row>
    <row r="60" spans="1:6" ht="15.75" hidden="1" customHeight="1" x14ac:dyDescent="0.25">
      <c r="C60" s="339">
        <v>0</v>
      </c>
    </row>
  </sheetData>
  <sortState xmlns:xlrd2="http://schemas.microsoft.com/office/spreadsheetml/2017/richdata2" ref="A45:F47">
    <sortCondition ref="B45:B47"/>
  </sortState>
  <mergeCells count="1">
    <mergeCell ref="B44:E44"/>
  </mergeCells>
  <phoneticPr fontId="30" type="noConversion"/>
  <pageMargins left="0.7" right="0.7" top="0.75" bottom="0.27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BBC9-6E42-41E7-A92F-7F1F405D61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D89-C4EF-4A69-A200-C4E97362FA53}">
  <sheetPr>
    <tabColor theme="7" tint="-0.249977111117893"/>
  </sheetPr>
  <dimension ref="A1:AG80"/>
  <sheetViews>
    <sheetView topLeftCell="A22" workbookViewId="0">
      <selection activeCell="P42" sqref="P4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4.140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660" t="s">
        <v>136</v>
      </c>
      <c r="D1" s="660"/>
      <c r="E1" s="660"/>
      <c r="F1" s="660"/>
      <c r="G1" s="660"/>
      <c r="H1" s="660"/>
      <c r="I1" s="660"/>
      <c r="J1" s="660"/>
      <c r="K1" s="660"/>
      <c r="L1" s="2"/>
      <c r="M1" s="3"/>
      <c r="AF1" s="643" t="s">
        <v>45</v>
      </c>
      <c r="AG1" s="644"/>
    </row>
    <row r="2" spans="1:33" ht="18" customHeight="1" thickBot="1" x14ac:dyDescent="0.35">
      <c r="C2" s="8"/>
      <c r="E2" s="667" t="s">
        <v>190</v>
      </c>
      <c r="F2" s="667"/>
      <c r="H2" s="233" t="s">
        <v>0</v>
      </c>
      <c r="I2" s="3"/>
      <c r="J2" s="3"/>
      <c r="K2" s="152"/>
      <c r="L2" s="152"/>
      <c r="M2" s="3"/>
      <c r="N2" s="5"/>
      <c r="O2" s="5"/>
      <c r="W2" s="651" t="s">
        <v>4</v>
      </c>
      <c r="X2" s="652"/>
      <c r="AA2" s="648" t="s">
        <v>43</v>
      </c>
      <c r="AB2" s="649"/>
      <c r="AC2" s="650"/>
      <c r="AE2" s="193" t="s">
        <v>44</v>
      </c>
      <c r="AF2" s="645"/>
      <c r="AG2" s="646"/>
    </row>
    <row r="3" spans="1:33" ht="18" customHeight="1" thickBot="1" x14ac:dyDescent="0.35">
      <c r="B3" s="661" t="s">
        <v>1</v>
      </c>
      <c r="C3" s="662"/>
      <c r="D3" s="15"/>
      <c r="E3" s="668"/>
      <c r="F3" s="668"/>
      <c r="I3" s="234" t="s">
        <v>2</v>
      </c>
      <c r="J3" s="235"/>
      <c r="K3" s="236" t="s">
        <v>191</v>
      </c>
      <c r="L3" s="236"/>
      <c r="W3" s="653"/>
      <c r="X3" s="654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355209.27</v>
      </c>
      <c r="D4" s="215">
        <v>43867</v>
      </c>
      <c r="E4" s="663" t="s">
        <v>6</v>
      </c>
      <c r="F4" s="664"/>
      <c r="H4" s="665" t="s">
        <v>7</v>
      </c>
      <c r="I4" s="666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43868</v>
      </c>
      <c r="C5" s="31">
        <v>2409</v>
      </c>
      <c r="D5" s="150" t="s">
        <v>142</v>
      </c>
      <c r="E5" s="151">
        <v>43868</v>
      </c>
      <c r="F5" s="32">
        <v>107443</v>
      </c>
      <c r="G5" s="152"/>
      <c r="H5" s="153">
        <v>43868</v>
      </c>
      <c r="I5" s="33">
        <v>12921</v>
      </c>
      <c r="M5" s="34">
        <v>90780</v>
      </c>
      <c r="N5" s="35">
        <v>2259</v>
      </c>
      <c r="O5" s="36"/>
      <c r="P5" s="36">
        <f>C5+I5+M5+N5</f>
        <v>108369</v>
      </c>
      <c r="Q5" s="198">
        <f>P5-F5</f>
        <v>926</v>
      </c>
      <c r="R5" s="198"/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43869</v>
      </c>
      <c r="C6" s="31">
        <v>2754</v>
      </c>
      <c r="D6" s="154" t="s">
        <v>83</v>
      </c>
      <c r="E6" s="151">
        <v>43869</v>
      </c>
      <c r="F6" s="32">
        <v>111950</v>
      </c>
      <c r="G6" s="152"/>
      <c r="H6" s="153">
        <v>43869</v>
      </c>
      <c r="I6" s="39">
        <v>100</v>
      </c>
      <c r="J6" s="40"/>
      <c r="K6" s="41"/>
      <c r="L6" s="42"/>
      <c r="M6" s="34">
        <v>94000</v>
      </c>
      <c r="N6" s="35">
        <v>3547</v>
      </c>
      <c r="O6" s="36" t="s">
        <v>12</v>
      </c>
      <c r="P6" s="36">
        <f>C6+I6+M6+N6+L12</f>
        <v>122237.31</v>
      </c>
      <c r="Q6" s="201">
        <f>P6-F6</f>
        <v>10287.309999999998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43870</v>
      </c>
      <c r="C7" s="31">
        <v>0</v>
      </c>
      <c r="D7" s="155"/>
      <c r="E7" s="151">
        <v>43870</v>
      </c>
      <c r="F7" s="32">
        <v>81407</v>
      </c>
      <c r="G7" s="152"/>
      <c r="H7" s="153">
        <v>43870</v>
      </c>
      <c r="I7" s="39">
        <v>0</v>
      </c>
      <c r="J7" s="45">
        <v>43880</v>
      </c>
      <c r="K7" s="46" t="s">
        <v>13</v>
      </c>
      <c r="L7" s="47">
        <v>896</v>
      </c>
      <c r="M7" s="34">
        <v>77463</v>
      </c>
      <c r="N7" s="35">
        <v>3944</v>
      </c>
      <c r="O7" s="36"/>
      <c r="P7" s="36">
        <f>C7+I7+M7+N7</f>
        <v>81407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43871</v>
      </c>
      <c r="C8" s="31">
        <v>2727</v>
      </c>
      <c r="D8" s="156" t="s">
        <v>168</v>
      </c>
      <c r="E8" s="151">
        <v>43871</v>
      </c>
      <c r="F8" s="32">
        <v>96558</v>
      </c>
      <c r="G8" s="152"/>
      <c r="H8" s="153">
        <v>43871</v>
      </c>
      <c r="I8" s="39">
        <v>0</v>
      </c>
      <c r="J8" s="203"/>
      <c r="K8" s="49" t="s">
        <v>14</v>
      </c>
      <c r="L8" s="50">
        <v>0</v>
      </c>
      <c r="M8" s="34">
        <f>32921+66615</f>
        <v>99536</v>
      </c>
      <c r="N8" s="35">
        <v>539</v>
      </c>
      <c r="O8" s="36"/>
      <c r="P8" s="36">
        <f>C8+I8+M8+N8</f>
        <v>102802</v>
      </c>
      <c r="Q8" s="198">
        <f t="shared" si="0"/>
        <v>6244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43872</v>
      </c>
      <c r="C9" s="31">
        <v>12922.9</v>
      </c>
      <c r="D9" s="157" t="s">
        <v>169</v>
      </c>
      <c r="E9" s="151">
        <v>43872</v>
      </c>
      <c r="F9" s="32">
        <v>62266</v>
      </c>
      <c r="G9" s="152"/>
      <c r="H9" s="153">
        <v>43872</v>
      </c>
      <c r="I9" s="39">
        <v>0</v>
      </c>
      <c r="J9" s="51">
        <v>43890</v>
      </c>
      <c r="K9" s="20" t="s">
        <v>15</v>
      </c>
      <c r="L9" s="52">
        <v>20000</v>
      </c>
      <c r="M9" s="34">
        <v>50983</v>
      </c>
      <c r="N9" s="35">
        <v>784</v>
      </c>
      <c r="O9" s="36"/>
      <c r="P9" s="36">
        <f>C9+I9+M9+N9</f>
        <v>64689.9</v>
      </c>
      <c r="Q9" s="198">
        <f t="shared" si="0"/>
        <v>2423.9000000000015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43873</v>
      </c>
      <c r="C10" s="31">
        <v>1212</v>
      </c>
      <c r="D10" s="154" t="s">
        <v>73</v>
      </c>
      <c r="E10" s="151">
        <v>43873</v>
      </c>
      <c r="F10" s="32">
        <v>78137</v>
      </c>
      <c r="G10" s="152"/>
      <c r="H10" s="153">
        <v>43873</v>
      </c>
      <c r="I10" s="39">
        <v>0</v>
      </c>
      <c r="J10" s="53"/>
      <c r="K10" s="54"/>
      <c r="L10" s="55"/>
      <c r="M10" s="34">
        <f>74850+20950</f>
        <v>95800</v>
      </c>
      <c r="N10" s="35">
        <v>2026</v>
      </c>
      <c r="O10" s="36"/>
      <c r="P10" s="36">
        <f>C10+I10+M10+N10+L11</f>
        <v>99038</v>
      </c>
      <c r="Q10" s="198">
        <f t="shared" si="0"/>
        <v>20901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43874</v>
      </c>
      <c r="C11" s="31">
        <v>1046</v>
      </c>
      <c r="D11" s="154" t="s">
        <v>72</v>
      </c>
      <c r="E11" s="151">
        <v>43874</v>
      </c>
      <c r="F11" s="32">
        <v>72949</v>
      </c>
      <c r="G11" s="152"/>
      <c r="H11" s="153">
        <v>43874</v>
      </c>
      <c r="I11" s="39">
        <v>0</v>
      </c>
      <c r="J11" s="56"/>
      <c r="K11" s="57"/>
      <c r="L11" s="55"/>
      <c r="M11" s="34">
        <v>70313</v>
      </c>
      <c r="N11" s="35">
        <v>1590</v>
      </c>
      <c r="O11" s="36"/>
      <c r="P11" s="36">
        <f>C11+I11+M11+N11</f>
        <v>72949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/>
      <c r="AC11" s="21">
        <v>0</v>
      </c>
      <c r="AE11" s="89"/>
      <c r="AF11" s="20"/>
      <c r="AG11" s="78">
        <v>0</v>
      </c>
    </row>
    <row r="12" spans="1:33" ht="15.75" thickBot="1" x14ac:dyDescent="0.3">
      <c r="A12" s="30"/>
      <c r="B12" s="149">
        <v>43875</v>
      </c>
      <c r="C12" s="31">
        <v>765</v>
      </c>
      <c r="D12" s="154" t="s">
        <v>72</v>
      </c>
      <c r="E12" s="151">
        <v>43875</v>
      </c>
      <c r="F12" s="32">
        <v>145714</v>
      </c>
      <c r="G12" s="152"/>
      <c r="H12" s="153">
        <v>43875</v>
      </c>
      <c r="I12" s="39">
        <v>12058</v>
      </c>
      <c r="J12" s="60">
        <v>43869</v>
      </c>
      <c r="K12" s="20" t="s">
        <v>32</v>
      </c>
      <c r="L12" s="55">
        <f>15502.64+400+4000+1933.67</f>
        <v>21836.309999999998</v>
      </c>
      <c r="M12" s="34">
        <v>126480</v>
      </c>
      <c r="N12" s="35">
        <v>6411</v>
      </c>
      <c r="O12" s="36"/>
      <c r="P12" s="36">
        <f>C12+I12+M12+N12</f>
        <v>145714</v>
      </c>
      <c r="Q12" s="5">
        <f>P12-F12</f>
        <v>0</v>
      </c>
      <c r="S12" s="58">
        <v>10287.31</v>
      </c>
      <c r="T12" s="61" t="s">
        <v>32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/>
      <c r="AC12" s="21">
        <v>0</v>
      </c>
      <c r="AE12" s="41"/>
      <c r="AF12" s="20"/>
      <c r="AG12" s="78">
        <v>0</v>
      </c>
    </row>
    <row r="13" spans="1:33" ht="15.75" thickBot="1" x14ac:dyDescent="0.3">
      <c r="A13" s="30"/>
      <c r="B13" s="149">
        <v>43876</v>
      </c>
      <c r="C13" s="31">
        <v>2230</v>
      </c>
      <c r="D13" s="156" t="s">
        <v>83</v>
      </c>
      <c r="E13" s="151">
        <v>43876</v>
      </c>
      <c r="F13" s="32">
        <v>157236</v>
      </c>
      <c r="G13" s="152"/>
      <c r="H13" s="153">
        <v>43876</v>
      </c>
      <c r="I13" s="39">
        <v>2853.6</v>
      </c>
      <c r="J13" s="60">
        <v>43876</v>
      </c>
      <c r="K13" s="20" t="s">
        <v>33</v>
      </c>
      <c r="L13" s="55">
        <f>15002.67+5010.2+4000+400</f>
        <v>24412.87</v>
      </c>
      <c r="M13" s="34">
        <f>121478+10574+3796.57</f>
        <v>135848.57</v>
      </c>
      <c r="N13" s="35">
        <v>4465</v>
      </c>
      <c r="O13" s="36"/>
      <c r="P13" s="36">
        <f>C13+I13+M13+N13+L13</f>
        <v>169810.04</v>
      </c>
      <c r="Q13" s="201">
        <f>P13-F13</f>
        <v>12574.040000000008</v>
      </c>
      <c r="S13" s="58">
        <v>12574.04</v>
      </c>
      <c r="T13" s="61" t="s">
        <v>33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/>
      <c r="AC13" s="21">
        <v>0</v>
      </c>
    </row>
    <row r="14" spans="1:33" ht="15.75" thickBot="1" x14ac:dyDescent="0.3">
      <c r="A14" s="30"/>
      <c r="B14" s="149">
        <v>43877</v>
      </c>
      <c r="C14" s="31">
        <v>3060</v>
      </c>
      <c r="D14" s="155" t="s">
        <v>171</v>
      </c>
      <c r="E14" s="151">
        <v>43877</v>
      </c>
      <c r="F14" s="32">
        <v>110400</v>
      </c>
      <c r="G14" s="152"/>
      <c r="H14" s="153">
        <v>43877</v>
      </c>
      <c r="I14" s="39">
        <v>0</v>
      </c>
      <c r="J14" s="60">
        <v>43883</v>
      </c>
      <c r="K14" s="20" t="s">
        <v>137</v>
      </c>
      <c r="L14" s="55">
        <f>13295.5+1928.57+400+4000</f>
        <v>19624.07</v>
      </c>
      <c r="M14" s="34">
        <v>105942</v>
      </c>
      <c r="N14" s="35">
        <v>1398</v>
      </c>
      <c r="O14" s="36"/>
      <c r="P14" s="36">
        <f>C14+I14+M14+N14+L20</f>
        <v>110400</v>
      </c>
      <c r="Q14" s="5">
        <f>P14-F14</f>
        <v>0</v>
      </c>
      <c r="S14" s="58">
        <v>9209.07</v>
      </c>
      <c r="T14" s="61" t="s">
        <v>137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60</v>
      </c>
      <c r="AB14" s="167"/>
      <c r="AC14" s="21">
        <v>0</v>
      </c>
    </row>
    <row r="15" spans="1:33" ht="15.75" thickBot="1" x14ac:dyDescent="0.3">
      <c r="A15" s="30"/>
      <c r="B15" s="149">
        <v>43878</v>
      </c>
      <c r="C15" s="31">
        <v>3416</v>
      </c>
      <c r="D15" s="154" t="s">
        <v>172</v>
      </c>
      <c r="E15" s="151">
        <v>43878</v>
      </c>
      <c r="F15" s="32">
        <v>87481</v>
      </c>
      <c r="G15" s="152"/>
      <c r="H15" s="153">
        <v>43878</v>
      </c>
      <c r="I15" s="39">
        <v>0</v>
      </c>
      <c r="J15" s="60">
        <v>43890</v>
      </c>
      <c r="K15" s="20" t="s">
        <v>138</v>
      </c>
      <c r="L15" s="55">
        <f>12164.45+400+4000</f>
        <v>16564.45</v>
      </c>
      <c r="M15" s="34">
        <v>82750</v>
      </c>
      <c r="N15" s="35">
        <v>1320</v>
      </c>
      <c r="O15" s="36"/>
      <c r="P15" s="36">
        <f>C15+I15+M15+N15</f>
        <v>87486</v>
      </c>
      <c r="Q15" s="224">
        <f t="shared" ref="Q15:Q31" si="1">P15-F15</f>
        <v>5</v>
      </c>
      <c r="S15" s="58">
        <v>10113.450000000001</v>
      </c>
      <c r="T15" s="61" t="s">
        <v>138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61</v>
      </c>
      <c r="AB15" s="167"/>
      <c r="AC15" s="21">
        <v>0</v>
      </c>
    </row>
    <row r="16" spans="1:33" ht="15.75" thickBot="1" x14ac:dyDescent="0.3">
      <c r="A16" s="30"/>
      <c r="B16" s="149">
        <v>43879</v>
      </c>
      <c r="C16" s="31">
        <v>1059</v>
      </c>
      <c r="D16" s="154" t="s">
        <v>72</v>
      </c>
      <c r="E16" s="151">
        <v>43879</v>
      </c>
      <c r="F16" s="32">
        <v>90467</v>
      </c>
      <c r="G16" s="152"/>
      <c r="H16" s="153">
        <v>43879</v>
      </c>
      <c r="I16" s="39">
        <v>0</v>
      </c>
      <c r="J16" s="60"/>
      <c r="K16" s="20" t="s">
        <v>139</v>
      </c>
      <c r="L16" s="5">
        <v>0</v>
      </c>
      <c r="M16" s="34">
        <v>88759</v>
      </c>
      <c r="N16" s="35">
        <v>649</v>
      </c>
      <c r="O16" s="36"/>
      <c r="P16" s="36">
        <f>C16+I16+M16+N16</f>
        <v>90467</v>
      </c>
      <c r="Q16" s="5">
        <f t="shared" si="1"/>
        <v>0</v>
      </c>
      <c r="S16" s="58">
        <v>0</v>
      </c>
      <c r="T16" s="61" t="s">
        <v>139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62</v>
      </c>
      <c r="AB16" s="29"/>
      <c r="AC16" s="21">
        <v>0</v>
      </c>
    </row>
    <row r="17" spans="1:29" ht="16.5" thickBot="1" x14ac:dyDescent="0.3">
      <c r="A17" s="30"/>
      <c r="B17" s="149">
        <v>43880</v>
      </c>
      <c r="C17" s="31">
        <v>3507</v>
      </c>
      <c r="D17" s="156" t="s">
        <v>173</v>
      </c>
      <c r="E17" s="151">
        <v>43880</v>
      </c>
      <c r="F17" s="32">
        <v>60491</v>
      </c>
      <c r="G17" s="152"/>
      <c r="H17" s="153">
        <v>43880</v>
      </c>
      <c r="I17" s="39">
        <v>2400</v>
      </c>
      <c r="J17" s="67"/>
      <c r="K17" s="20" t="s">
        <v>140</v>
      </c>
      <c r="L17" s="68"/>
      <c r="M17" s="34">
        <v>52262</v>
      </c>
      <c r="N17" s="35">
        <v>1426</v>
      </c>
      <c r="O17" s="36"/>
      <c r="P17" s="36">
        <f>C17+I17+M17+N17+L7</f>
        <v>60491</v>
      </c>
      <c r="Q17" s="5">
        <f t="shared" si="1"/>
        <v>0</v>
      </c>
      <c r="S17" s="58">
        <v>0</v>
      </c>
      <c r="T17" s="188" t="s">
        <v>141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63</v>
      </c>
      <c r="AB17" s="167"/>
      <c r="AC17" s="21">
        <v>0</v>
      </c>
    </row>
    <row r="18" spans="1:29" ht="15.75" thickBot="1" x14ac:dyDescent="0.3">
      <c r="A18" s="30"/>
      <c r="B18" s="149">
        <v>43881</v>
      </c>
      <c r="C18" s="31">
        <v>1105</v>
      </c>
      <c r="D18" s="154" t="s">
        <v>72</v>
      </c>
      <c r="E18" s="151">
        <v>43881</v>
      </c>
      <c r="F18" s="32">
        <v>88871</v>
      </c>
      <c r="G18" s="152"/>
      <c r="H18" s="153">
        <v>43881</v>
      </c>
      <c r="I18" s="39">
        <v>56</v>
      </c>
      <c r="J18" s="67"/>
      <c r="K18" s="71"/>
      <c r="L18" s="55"/>
      <c r="M18" s="34">
        <f>78218+7506.22</f>
        <v>85724.22</v>
      </c>
      <c r="N18" s="35">
        <v>1986</v>
      </c>
      <c r="O18" s="36"/>
      <c r="P18" s="36">
        <f>C18+I18+M18+N18</f>
        <v>88871.22</v>
      </c>
      <c r="Q18" s="5">
        <f t="shared" si="1"/>
        <v>0.22000000000116415</v>
      </c>
      <c r="S18" s="5">
        <f>SUM(S11:S17)</f>
        <v>42183.869999999995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64</v>
      </c>
      <c r="AB18" s="167"/>
      <c r="AC18" s="21">
        <v>0</v>
      </c>
    </row>
    <row r="19" spans="1:29" ht="15.75" thickBot="1" x14ac:dyDescent="0.3">
      <c r="A19" s="30"/>
      <c r="B19" s="149">
        <v>43882</v>
      </c>
      <c r="C19" s="31">
        <v>520</v>
      </c>
      <c r="D19" s="154" t="s">
        <v>72</v>
      </c>
      <c r="E19" s="151">
        <v>43882</v>
      </c>
      <c r="F19" s="32">
        <v>151976</v>
      </c>
      <c r="G19" s="152"/>
      <c r="H19" s="153">
        <v>43882</v>
      </c>
      <c r="I19" s="39">
        <v>10096</v>
      </c>
      <c r="J19" s="67"/>
      <c r="K19" s="72"/>
      <c r="L19" s="73"/>
      <c r="M19" s="34">
        <v>138317</v>
      </c>
      <c r="N19" s="35">
        <v>3043</v>
      </c>
      <c r="O19" s="36" t="s">
        <v>12</v>
      </c>
      <c r="P19" s="36">
        <f>C19+I19+M19+N19</f>
        <v>151976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65</v>
      </c>
      <c r="AB19" s="29"/>
      <c r="AC19" s="21">
        <v>0</v>
      </c>
    </row>
    <row r="20" spans="1:29" ht="15.75" thickBot="1" x14ac:dyDescent="0.3">
      <c r="A20" s="30"/>
      <c r="B20" s="149">
        <v>43883</v>
      </c>
      <c r="C20" s="31">
        <v>1891</v>
      </c>
      <c r="D20" s="154" t="s">
        <v>174</v>
      </c>
      <c r="E20" s="151">
        <v>43883</v>
      </c>
      <c r="F20" s="32">
        <v>137427</v>
      </c>
      <c r="G20" s="152"/>
      <c r="H20" s="153">
        <v>43883</v>
      </c>
      <c r="I20" s="39">
        <v>0</v>
      </c>
      <c r="J20" s="60"/>
      <c r="K20" s="220"/>
      <c r="L20" s="68"/>
      <c r="M20" s="34">
        <v>122813</v>
      </c>
      <c r="N20" s="35">
        <v>2308</v>
      </c>
      <c r="O20" s="36"/>
      <c r="P20" s="36">
        <f>C20+I20+M20+N20+L14</f>
        <v>146636.07</v>
      </c>
      <c r="Q20" s="201">
        <f t="shared" si="1"/>
        <v>9209.070000000007</v>
      </c>
      <c r="T20" s="8"/>
      <c r="U20" s="8"/>
      <c r="W20" s="44" t="s">
        <v>11</v>
      </c>
      <c r="X20" s="196">
        <v>0</v>
      </c>
      <c r="Y20" s="41"/>
      <c r="AA20" s="19" t="s">
        <v>66</v>
      </c>
      <c r="AB20" s="167"/>
      <c r="AC20" s="21">
        <v>0</v>
      </c>
    </row>
    <row r="21" spans="1:29" ht="16.5" thickBot="1" x14ac:dyDescent="0.3">
      <c r="A21" s="30"/>
      <c r="B21" s="149">
        <v>43884</v>
      </c>
      <c r="C21" s="31">
        <v>2482</v>
      </c>
      <c r="D21" s="154" t="s">
        <v>69</v>
      </c>
      <c r="E21" s="151">
        <v>43884</v>
      </c>
      <c r="F21" s="32">
        <v>93067</v>
      </c>
      <c r="G21" s="152"/>
      <c r="H21" s="153">
        <v>43884</v>
      </c>
      <c r="I21" s="39">
        <v>0</v>
      </c>
      <c r="J21" s="67"/>
      <c r="K21" s="74"/>
      <c r="L21" s="68"/>
      <c r="M21" s="34">
        <v>85702</v>
      </c>
      <c r="N21" s="35">
        <v>4883</v>
      </c>
      <c r="O21" s="36"/>
      <c r="P21" s="36">
        <f>C21+I21+M21+N21+L21</f>
        <v>93067</v>
      </c>
      <c r="Q21" s="5">
        <f t="shared" si="1"/>
        <v>0</v>
      </c>
      <c r="T21" s="8"/>
      <c r="U21" s="8"/>
      <c r="V21" s="29"/>
      <c r="W21" s="38" t="s">
        <v>10</v>
      </c>
      <c r="X21" s="196">
        <v>0</v>
      </c>
      <c r="Y21" s="41"/>
      <c r="AA21" s="19" t="s">
        <v>67</v>
      </c>
      <c r="AB21" s="167"/>
      <c r="AC21" s="21">
        <v>0</v>
      </c>
    </row>
    <row r="22" spans="1:29" ht="15.75" thickBot="1" x14ac:dyDescent="0.3">
      <c r="A22" s="30"/>
      <c r="B22" s="149">
        <v>43885</v>
      </c>
      <c r="C22" s="31">
        <v>7312</v>
      </c>
      <c r="D22" s="154" t="s">
        <v>175</v>
      </c>
      <c r="E22" s="151">
        <v>43885</v>
      </c>
      <c r="F22" s="32">
        <v>86951</v>
      </c>
      <c r="G22" s="152"/>
      <c r="H22" s="153">
        <v>43885</v>
      </c>
      <c r="I22" s="39">
        <v>0</v>
      </c>
      <c r="J22" s="76"/>
      <c r="K22" s="59"/>
      <c r="L22" s="77"/>
      <c r="M22" s="34">
        <v>79114</v>
      </c>
      <c r="N22" s="35">
        <v>525</v>
      </c>
      <c r="O22" s="36"/>
      <c r="P22" s="36">
        <f>C22+I22+M22+N22</f>
        <v>86951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AA22" s="19" t="s">
        <v>143</v>
      </c>
      <c r="AB22" s="167"/>
      <c r="AC22" s="21">
        <v>0</v>
      </c>
    </row>
    <row r="23" spans="1:29" ht="15.75" thickBot="1" x14ac:dyDescent="0.3">
      <c r="A23" s="30"/>
      <c r="B23" s="149">
        <v>43886</v>
      </c>
      <c r="C23" s="31">
        <v>3990.5</v>
      </c>
      <c r="D23" s="154" t="s">
        <v>178</v>
      </c>
      <c r="E23" s="151">
        <v>43886</v>
      </c>
      <c r="F23" s="32">
        <v>119228</v>
      </c>
      <c r="G23" s="152"/>
      <c r="H23" s="153">
        <v>43886</v>
      </c>
      <c r="I23" s="39">
        <v>0</v>
      </c>
      <c r="J23" s="79"/>
      <c r="K23" s="166"/>
      <c r="L23" s="68"/>
      <c r="M23" s="34">
        <v>106387</v>
      </c>
      <c r="N23" s="35">
        <v>1560</v>
      </c>
      <c r="O23" s="36"/>
      <c r="P23" s="36">
        <f t="shared" ref="P23" si="2">C23+I23+M23+N23</f>
        <v>111937.5</v>
      </c>
      <c r="Q23" s="5">
        <v>0</v>
      </c>
      <c r="T23" s="8"/>
      <c r="U23" s="8"/>
      <c r="V23" s="29"/>
      <c r="W23" s="38" t="s">
        <v>10</v>
      </c>
      <c r="X23" s="196">
        <v>0</v>
      </c>
      <c r="Y23" s="41"/>
      <c r="AA23" s="19" t="s">
        <v>144</v>
      </c>
      <c r="AB23" s="167"/>
      <c r="AC23" s="21">
        <v>0</v>
      </c>
    </row>
    <row r="24" spans="1:29" ht="15.75" thickBot="1" x14ac:dyDescent="0.3">
      <c r="A24" s="30"/>
      <c r="B24" s="149">
        <v>43887</v>
      </c>
      <c r="C24" s="31">
        <v>3244</v>
      </c>
      <c r="D24" s="154" t="s">
        <v>176</v>
      </c>
      <c r="E24" s="151">
        <v>43887</v>
      </c>
      <c r="F24" s="32">
        <v>72097</v>
      </c>
      <c r="G24" s="152"/>
      <c r="H24" s="153">
        <v>43887</v>
      </c>
      <c r="I24" s="39">
        <v>7290</v>
      </c>
      <c r="J24" s="80"/>
      <c r="K24" s="81"/>
      <c r="L24" s="82"/>
      <c r="M24" s="34">
        <f>47912+13104</f>
        <v>61016</v>
      </c>
      <c r="N24" s="35">
        <v>547</v>
      </c>
      <c r="O24" s="36"/>
      <c r="P24" s="36">
        <f>C24+I24+M24+N24</f>
        <v>72097</v>
      </c>
      <c r="Q24" s="5">
        <f t="shared" si="1"/>
        <v>0</v>
      </c>
      <c r="T24" s="8"/>
      <c r="U24" s="8"/>
      <c r="V24" s="29"/>
      <c r="W24" s="44" t="s">
        <v>11</v>
      </c>
      <c r="X24" s="196">
        <v>0</v>
      </c>
      <c r="Y24" s="41"/>
      <c r="Z24" t="s">
        <v>12</v>
      </c>
      <c r="AA24" s="19" t="s">
        <v>145</v>
      </c>
      <c r="AB24" s="167"/>
      <c r="AC24" s="21">
        <v>0</v>
      </c>
    </row>
    <row r="25" spans="1:29" ht="15.75" thickBot="1" x14ac:dyDescent="0.3">
      <c r="A25" s="30"/>
      <c r="B25" s="149">
        <v>43888</v>
      </c>
      <c r="C25" s="31">
        <v>3212</v>
      </c>
      <c r="D25" s="154" t="s">
        <v>177</v>
      </c>
      <c r="E25" s="151">
        <v>43888</v>
      </c>
      <c r="F25" s="32">
        <v>77692</v>
      </c>
      <c r="G25" s="152"/>
      <c r="H25" s="153">
        <v>43888</v>
      </c>
      <c r="I25" s="39">
        <v>0</v>
      </c>
      <c r="J25" s="83"/>
      <c r="K25" s="84"/>
      <c r="L25" s="62"/>
      <c r="M25" s="34">
        <v>70182</v>
      </c>
      <c r="N25" s="35">
        <v>4298</v>
      </c>
      <c r="O25" s="36" t="s">
        <v>12</v>
      </c>
      <c r="P25" s="36">
        <f>C25+I25+M25+N25</f>
        <v>77692</v>
      </c>
      <c r="Q25" s="5">
        <f t="shared" si="1"/>
        <v>0</v>
      </c>
      <c r="V25" s="29"/>
      <c r="W25" s="38" t="s">
        <v>10</v>
      </c>
      <c r="X25" s="196">
        <v>0</v>
      </c>
      <c r="Y25" s="41"/>
      <c r="AA25" s="19" t="s">
        <v>146</v>
      </c>
      <c r="AB25" s="167"/>
      <c r="AC25" s="21">
        <v>0</v>
      </c>
    </row>
    <row r="26" spans="1:29" ht="15.75" thickBot="1" x14ac:dyDescent="0.3">
      <c r="A26" s="30"/>
      <c r="B26" s="149">
        <v>43889</v>
      </c>
      <c r="C26" s="31">
        <v>0</v>
      </c>
      <c r="D26" s="154"/>
      <c r="E26" s="151">
        <v>43889</v>
      </c>
      <c r="F26" s="32">
        <v>103702</v>
      </c>
      <c r="G26" s="152"/>
      <c r="H26" s="153">
        <v>43889</v>
      </c>
      <c r="I26" s="39">
        <v>10020</v>
      </c>
      <c r="J26" s="67"/>
      <c r="K26" s="85"/>
      <c r="L26" s="55"/>
      <c r="M26" s="34">
        <v>92684</v>
      </c>
      <c r="N26" s="35">
        <v>998</v>
      </c>
      <c r="O26" s="36"/>
      <c r="P26" s="36">
        <f>C26+I26+M26+N26++L19</f>
        <v>103702</v>
      </c>
      <c r="Q26" s="5">
        <f t="shared" si="1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AA26" s="19" t="s">
        <v>147</v>
      </c>
      <c r="AB26" s="167"/>
      <c r="AC26" s="21">
        <v>0</v>
      </c>
    </row>
    <row r="27" spans="1:29" ht="15" customHeight="1" thickBot="1" x14ac:dyDescent="0.3">
      <c r="A27" s="30"/>
      <c r="B27" s="149">
        <v>43890</v>
      </c>
      <c r="C27" s="31">
        <v>1569</v>
      </c>
      <c r="D27" s="154" t="s">
        <v>83</v>
      </c>
      <c r="E27" s="151">
        <v>43890</v>
      </c>
      <c r="F27" s="32">
        <v>160854</v>
      </c>
      <c r="G27" s="152"/>
      <c r="H27" s="153">
        <v>43890</v>
      </c>
      <c r="I27" s="39">
        <v>3850</v>
      </c>
      <c r="J27" s="87"/>
      <c r="K27" s="88"/>
      <c r="L27" s="62"/>
      <c r="M27" s="34">
        <f>118089+2519+2241</f>
        <v>122849</v>
      </c>
      <c r="N27" s="35">
        <v>6135</v>
      </c>
      <c r="O27" s="36"/>
      <c r="P27" s="36">
        <f>C27+I27+M27+N27+L9+L15</f>
        <v>170967.45</v>
      </c>
      <c r="Q27" s="201">
        <f t="shared" si="1"/>
        <v>10113.450000000012</v>
      </c>
      <c r="R27" s="198"/>
      <c r="V27" s="29"/>
      <c r="W27" s="38" t="s">
        <v>10</v>
      </c>
      <c r="X27" s="196">
        <v>0</v>
      </c>
      <c r="Y27" s="41"/>
      <c r="AA27" s="19" t="s">
        <v>148</v>
      </c>
      <c r="AB27" s="167"/>
      <c r="AC27" s="21">
        <v>0</v>
      </c>
    </row>
    <row r="28" spans="1:29" ht="15.75" thickBot="1" x14ac:dyDescent="0.3">
      <c r="A28" s="30"/>
      <c r="B28" s="149">
        <v>43891</v>
      </c>
      <c r="C28" s="31">
        <v>1624</v>
      </c>
      <c r="D28" s="154" t="s">
        <v>72</v>
      </c>
      <c r="E28" s="151">
        <v>43891</v>
      </c>
      <c r="F28" s="32">
        <v>101012</v>
      </c>
      <c r="G28" s="152"/>
      <c r="H28" s="153">
        <v>43891</v>
      </c>
      <c r="I28" s="39">
        <v>0</v>
      </c>
      <c r="J28" s="87"/>
      <c r="K28" s="90"/>
      <c r="L28" s="62"/>
      <c r="M28" s="34">
        <v>95579</v>
      </c>
      <c r="N28" s="35">
        <v>3809</v>
      </c>
      <c r="O28" s="36"/>
      <c r="P28" s="36">
        <f>C28+I28+M28+N28</f>
        <v>101012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149</v>
      </c>
      <c r="AB28" s="167"/>
      <c r="AC28" s="21">
        <v>0</v>
      </c>
    </row>
    <row r="29" spans="1:29" ht="15.75" thickBot="1" x14ac:dyDescent="0.3">
      <c r="A29" s="30"/>
      <c r="B29" s="149">
        <v>43892</v>
      </c>
      <c r="C29" s="31">
        <v>817</v>
      </c>
      <c r="D29" s="154" t="s">
        <v>72</v>
      </c>
      <c r="E29" s="151">
        <v>43892</v>
      </c>
      <c r="F29" s="32">
        <v>64009</v>
      </c>
      <c r="G29" s="152"/>
      <c r="H29" s="153">
        <v>43892</v>
      </c>
      <c r="I29" s="39">
        <v>0</v>
      </c>
      <c r="J29" s="87"/>
      <c r="K29" s="84"/>
      <c r="L29" s="62"/>
      <c r="M29" s="34">
        <v>61516</v>
      </c>
      <c r="N29" s="35">
        <v>1676</v>
      </c>
      <c r="O29" s="36"/>
      <c r="P29" s="36">
        <f>C29+I29+M29+N29+L16</f>
        <v>64009</v>
      </c>
      <c r="Q29" s="5">
        <f t="shared" si="1"/>
        <v>0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150</v>
      </c>
      <c r="AB29" s="167"/>
      <c r="AC29" s="21">
        <v>0</v>
      </c>
    </row>
    <row r="30" spans="1:29" ht="16.5" thickBot="1" x14ac:dyDescent="0.3">
      <c r="A30" s="30"/>
      <c r="B30" s="149">
        <v>43893</v>
      </c>
      <c r="C30" s="31">
        <v>5684</v>
      </c>
      <c r="D30" s="154" t="s">
        <v>179</v>
      </c>
      <c r="E30" s="151">
        <v>43893</v>
      </c>
      <c r="F30" s="32">
        <v>71953</v>
      </c>
      <c r="G30" s="152"/>
      <c r="H30" s="153">
        <v>43893</v>
      </c>
      <c r="I30" s="158">
        <v>76</v>
      </c>
      <c r="J30" s="159" t="s">
        <v>184</v>
      </c>
      <c r="K30" s="230" t="s">
        <v>189</v>
      </c>
      <c r="L30" s="161">
        <v>9540.1</v>
      </c>
      <c r="M30" s="34">
        <v>64764</v>
      </c>
      <c r="N30" s="35">
        <v>1429</v>
      </c>
      <c r="O30" s="36"/>
      <c r="P30" s="36">
        <f t="shared" ref="P30:P32" si="3">C30+I30+M30+N30+L17</f>
        <v>71953</v>
      </c>
      <c r="Q30" s="5">
        <f t="shared" si="1"/>
        <v>0</v>
      </c>
      <c r="V30" s="29"/>
      <c r="W30" s="44" t="s">
        <v>11</v>
      </c>
      <c r="X30" s="196">
        <v>0</v>
      </c>
      <c r="Y30" s="41"/>
      <c r="AA30" s="19" t="s">
        <v>151</v>
      </c>
      <c r="AB30" s="167"/>
      <c r="AC30" s="21">
        <v>0</v>
      </c>
    </row>
    <row r="31" spans="1:29" ht="16.5" thickBot="1" x14ac:dyDescent="0.3">
      <c r="A31" s="30"/>
      <c r="B31" s="149">
        <v>43894</v>
      </c>
      <c r="C31" s="91">
        <v>1901</v>
      </c>
      <c r="D31" s="154" t="s">
        <v>72</v>
      </c>
      <c r="E31" s="151">
        <v>43894</v>
      </c>
      <c r="F31" s="32">
        <v>71376</v>
      </c>
      <c r="G31" s="152"/>
      <c r="H31" s="153">
        <v>43894</v>
      </c>
      <c r="I31" s="92">
        <v>0</v>
      </c>
      <c r="J31" s="159" t="s">
        <v>184</v>
      </c>
      <c r="K31" s="230" t="s">
        <v>188</v>
      </c>
      <c r="L31" s="161">
        <v>2600</v>
      </c>
      <c r="M31" s="34">
        <v>68573</v>
      </c>
      <c r="N31" s="35">
        <v>902</v>
      </c>
      <c r="O31" s="36"/>
      <c r="P31" s="36">
        <f t="shared" si="3"/>
        <v>71376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152</v>
      </c>
      <c r="AB31" s="167"/>
      <c r="AC31" s="21">
        <v>0</v>
      </c>
    </row>
    <row r="32" spans="1:29" ht="15.75" thickBot="1" x14ac:dyDescent="0.3">
      <c r="A32" s="30"/>
      <c r="B32" s="149">
        <v>43895</v>
      </c>
      <c r="C32" s="91">
        <v>675</v>
      </c>
      <c r="D32" s="154" t="s">
        <v>180</v>
      </c>
      <c r="E32" s="151">
        <v>43895</v>
      </c>
      <c r="F32" s="32">
        <v>110121</v>
      </c>
      <c r="G32" s="152"/>
      <c r="H32" s="153">
        <v>43895</v>
      </c>
      <c r="I32" s="92">
        <v>396</v>
      </c>
      <c r="J32" s="228" t="s">
        <v>184</v>
      </c>
      <c r="K32" s="163" t="s">
        <v>187</v>
      </c>
      <c r="L32" s="161">
        <v>1392</v>
      </c>
      <c r="M32" s="34">
        <v>105811</v>
      </c>
      <c r="N32" s="35">
        <v>3239</v>
      </c>
      <c r="O32" s="36"/>
      <c r="P32" s="36">
        <f t="shared" si="3"/>
        <v>110121</v>
      </c>
      <c r="Q32" s="5">
        <v>0</v>
      </c>
      <c r="V32" s="29"/>
      <c r="W32" s="44" t="s">
        <v>11</v>
      </c>
      <c r="X32" s="196">
        <v>0</v>
      </c>
      <c r="Y32" s="41"/>
      <c r="AA32" s="19" t="s">
        <v>153</v>
      </c>
      <c r="AB32" s="167"/>
      <c r="AC32" s="21">
        <v>0</v>
      </c>
    </row>
    <row r="33" spans="1:29" ht="15.75" x14ac:dyDescent="0.25">
      <c r="A33" s="30"/>
      <c r="B33" s="208">
        <v>43872</v>
      </c>
      <c r="C33" s="227">
        <v>10988.8</v>
      </c>
      <c r="D33" s="209" t="s">
        <v>80</v>
      </c>
      <c r="E33" s="98"/>
      <c r="F33" s="36"/>
      <c r="H33" s="153"/>
      <c r="I33" s="99"/>
      <c r="J33" s="228" t="s">
        <v>184</v>
      </c>
      <c r="K33" s="218" t="s">
        <v>130</v>
      </c>
      <c r="L33" s="162">
        <v>2682.16</v>
      </c>
      <c r="M33" s="34">
        <v>0</v>
      </c>
      <c r="N33" s="35">
        <v>0</v>
      </c>
      <c r="O33" s="36"/>
      <c r="P33" s="36">
        <v>0</v>
      </c>
      <c r="Q33" s="36">
        <v>0</v>
      </c>
      <c r="R33" s="36"/>
      <c r="V33" s="29"/>
      <c r="W33" s="44" t="s">
        <v>11</v>
      </c>
      <c r="X33" s="196">
        <v>0</v>
      </c>
      <c r="Y33" s="41"/>
      <c r="AA33" s="19" t="s">
        <v>154</v>
      </c>
      <c r="AB33" s="167"/>
      <c r="AC33" s="21">
        <v>0</v>
      </c>
    </row>
    <row r="34" spans="1:29" ht="15.75" x14ac:dyDescent="0.25">
      <c r="A34" s="30"/>
      <c r="B34" s="19">
        <v>43874</v>
      </c>
      <c r="C34" s="226">
        <v>9660.16</v>
      </c>
      <c r="D34" s="210" t="s">
        <v>80</v>
      </c>
      <c r="E34" s="98"/>
      <c r="F34" s="36"/>
      <c r="H34" s="153"/>
      <c r="I34" s="36"/>
      <c r="J34" s="228" t="s">
        <v>184</v>
      </c>
      <c r="K34" s="163" t="s">
        <v>186</v>
      </c>
      <c r="L34" s="161">
        <v>1697.17</v>
      </c>
      <c r="M34" s="34">
        <v>0</v>
      </c>
      <c r="N34" s="35">
        <v>0</v>
      </c>
      <c r="O34" s="36"/>
      <c r="P34" s="36">
        <v>0</v>
      </c>
      <c r="Q34" s="36">
        <v>0</v>
      </c>
      <c r="R34" s="36"/>
      <c r="V34" s="29"/>
      <c r="W34" s="38" t="s">
        <v>10</v>
      </c>
      <c r="X34" s="196">
        <v>0</v>
      </c>
      <c r="Y34" s="41"/>
      <c r="AA34" s="19" t="s">
        <v>155</v>
      </c>
      <c r="AB34" s="167"/>
      <c r="AC34" s="21">
        <v>0</v>
      </c>
    </row>
    <row r="35" spans="1:29" ht="15.75" x14ac:dyDescent="0.25">
      <c r="A35" s="30"/>
      <c r="B35" s="19">
        <v>43876</v>
      </c>
      <c r="C35" s="226">
        <v>10852.12</v>
      </c>
      <c r="D35" s="210" t="s">
        <v>80</v>
      </c>
      <c r="E35" s="98"/>
      <c r="F35" s="36"/>
      <c r="H35" s="153"/>
      <c r="I35" s="36"/>
      <c r="J35" s="228" t="s">
        <v>184</v>
      </c>
      <c r="K35" s="163" t="s">
        <v>133</v>
      </c>
      <c r="L35" s="161">
        <v>0</v>
      </c>
      <c r="M35" s="34">
        <v>0</v>
      </c>
      <c r="N35" s="35">
        <v>0</v>
      </c>
      <c r="O35" s="36"/>
      <c r="P35" s="36">
        <v>0</v>
      </c>
      <c r="Q35" s="36">
        <v>0</v>
      </c>
      <c r="R35" s="36"/>
      <c r="V35" s="29"/>
      <c r="W35" s="44" t="s">
        <v>11</v>
      </c>
      <c r="X35" s="196">
        <v>0</v>
      </c>
      <c r="Y35" s="41"/>
      <c r="AA35" s="19" t="s">
        <v>156</v>
      </c>
      <c r="AB35" s="167"/>
      <c r="AC35" s="21">
        <v>0</v>
      </c>
    </row>
    <row r="36" spans="1:29" ht="15.75" x14ac:dyDescent="0.25">
      <c r="A36" s="30"/>
      <c r="B36" s="19">
        <v>43879</v>
      </c>
      <c r="C36" s="226">
        <v>8990.7199999999993</v>
      </c>
      <c r="D36" s="210" t="s">
        <v>80</v>
      </c>
      <c r="E36" s="98"/>
      <c r="F36" s="36"/>
      <c r="H36" s="153"/>
      <c r="I36" s="36"/>
      <c r="J36" s="228" t="s">
        <v>184</v>
      </c>
      <c r="K36" s="164" t="s">
        <v>134</v>
      </c>
      <c r="L36" s="161">
        <v>24077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V36" s="29"/>
      <c r="W36" s="38" t="s">
        <v>10</v>
      </c>
      <c r="X36" s="196">
        <v>0</v>
      </c>
      <c r="Y36" s="41"/>
      <c r="AA36" s="19" t="s">
        <v>157</v>
      </c>
      <c r="AB36" s="167"/>
      <c r="AC36" s="21">
        <v>0</v>
      </c>
    </row>
    <row r="37" spans="1:29" ht="15.75" x14ac:dyDescent="0.25">
      <c r="A37" s="30"/>
      <c r="B37" s="19">
        <v>43882</v>
      </c>
      <c r="C37" s="226">
        <v>16447.240000000002</v>
      </c>
      <c r="D37" s="210" t="s">
        <v>80</v>
      </c>
      <c r="E37" s="98"/>
      <c r="F37" s="36"/>
      <c r="H37" s="153"/>
      <c r="I37" s="36"/>
      <c r="J37" s="228" t="s">
        <v>184</v>
      </c>
      <c r="K37" s="163" t="s">
        <v>135</v>
      </c>
      <c r="L37" s="161">
        <v>1315.86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V37" s="29"/>
      <c r="W37" s="44" t="s">
        <v>11</v>
      </c>
      <c r="X37" s="196">
        <v>0</v>
      </c>
      <c r="Y37" s="41"/>
      <c r="AA37" s="19" t="s">
        <v>158</v>
      </c>
      <c r="AB37" s="167"/>
      <c r="AC37" s="21">
        <v>0</v>
      </c>
    </row>
    <row r="38" spans="1:29" ht="15.75" x14ac:dyDescent="0.25">
      <c r="A38" s="30"/>
      <c r="B38" s="19">
        <v>43885</v>
      </c>
      <c r="C38" s="226">
        <v>9276.7999999999993</v>
      </c>
      <c r="D38" s="210" t="s">
        <v>80</v>
      </c>
      <c r="E38" s="98"/>
      <c r="F38" s="36"/>
      <c r="H38" s="153"/>
      <c r="I38" s="36"/>
      <c r="J38" s="228" t="s">
        <v>184</v>
      </c>
      <c r="K38" s="163" t="s">
        <v>181</v>
      </c>
      <c r="L38" s="161">
        <v>29939.599999999999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V38" s="29"/>
      <c r="W38" s="38" t="s">
        <v>10</v>
      </c>
      <c r="X38" s="196">
        <v>0</v>
      </c>
      <c r="Y38" s="41"/>
      <c r="AA38" s="19" t="s">
        <v>159</v>
      </c>
      <c r="AB38" s="167"/>
      <c r="AC38" s="21">
        <v>0</v>
      </c>
    </row>
    <row r="39" spans="1:29" ht="15.75" x14ac:dyDescent="0.25">
      <c r="A39" s="30"/>
      <c r="B39" s="19">
        <v>43889</v>
      </c>
      <c r="C39" s="261">
        <v>12541.92</v>
      </c>
      <c r="D39" s="210" t="s">
        <v>80</v>
      </c>
      <c r="E39" s="98"/>
      <c r="F39" s="36"/>
      <c r="H39" s="153"/>
      <c r="I39" s="36"/>
      <c r="J39" s="228" t="s">
        <v>184</v>
      </c>
      <c r="K39" s="163" t="s">
        <v>182</v>
      </c>
      <c r="L39" s="161">
        <v>15800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V39" s="29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A40" s="30"/>
      <c r="B40" s="211">
        <v>43893</v>
      </c>
      <c r="C40" s="262">
        <v>10238.76</v>
      </c>
      <c r="D40" s="213" t="s">
        <v>80</v>
      </c>
      <c r="E40" s="98"/>
      <c r="F40" s="36"/>
      <c r="H40" s="153"/>
      <c r="I40" s="36"/>
      <c r="J40" s="228" t="s">
        <v>184</v>
      </c>
      <c r="K40" s="165" t="s">
        <v>183</v>
      </c>
      <c r="L40" s="161">
        <v>2685</v>
      </c>
      <c r="M40" s="36"/>
      <c r="N40" s="36"/>
      <c r="O40" s="36"/>
      <c r="P40" s="104">
        <v>0</v>
      </c>
      <c r="Q40" s="104">
        <v>0</v>
      </c>
      <c r="R40" s="36"/>
      <c r="V40" s="29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6.5" thickBot="1" x14ac:dyDescent="0.3">
      <c r="A41" s="105"/>
      <c r="B41" s="106"/>
      <c r="C41" s="107"/>
      <c r="D41" s="204"/>
      <c r="E41" s="108"/>
      <c r="F41" s="109"/>
      <c r="G41" s="110"/>
      <c r="H41" s="153">
        <v>43907</v>
      </c>
      <c r="I41" s="109"/>
      <c r="J41" s="228" t="s">
        <v>184</v>
      </c>
      <c r="K41" s="229" t="s">
        <v>185</v>
      </c>
      <c r="L41" s="77">
        <v>3442.3</v>
      </c>
      <c r="M41" s="112">
        <f>SUM(M5:M40)</f>
        <v>2531947.79</v>
      </c>
      <c r="N41" s="113">
        <f>SUM(N5:N40)</f>
        <v>67696</v>
      </c>
      <c r="O41" s="114"/>
      <c r="P41" s="114">
        <f>SUM(P5:P40)</f>
        <v>2838228.49</v>
      </c>
      <c r="Q41" s="114">
        <f>SUM(Q5:Q40)</f>
        <v>72683.99000000002</v>
      </c>
      <c r="R41" s="114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162130.92000000001</v>
      </c>
      <c r="D42" s="117"/>
      <c r="E42" s="118" t="s">
        <v>16</v>
      </c>
      <c r="F42" s="119">
        <f>SUM(F5:F41)</f>
        <v>2772835</v>
      </c>
      <c r="G42" s="117"/>
      <c r="H42" s="120" t="s">
        <v>16</v>
      </c>
      <c r="I42" s="121">
        <f>SUM(I5:I41)</f>
        <v>62116.6</v>
      </c>
      <c r="J42" s="93"/>
      <c r="K42" s="122" t="s">
        <v>16</v>
      </c>
      <c r="L42" s="123">
        <f>SUM(L6:L41)</f>
        <v>198504.88999999998</v>
      </c>
      <c r="O42" s="5"/>
      <c r="P42" s="36"/>
      <c r="Q42" s="36"/>
      <c r="R42" s="36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20.25" thickTop="1" thickBot="1" x14ac:dyDescent="0.3">
      <c r="C43" s="8" t="s">
        <v>12</v>
      </c>
      <c r="M43" s="636">
        <f>N41+M41</f>
        <v>2599643.79</v>
      </c>
      <c r="N43" s="637"/>
      <c r="O43" s="124"/>
      <c r="P43" s="124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5.75" x14ac:dyDescent="0.25">
      <c r="A44" s="59"/>
      <c r="B44" s="125"/>
      <c r="C44" s="4"/>
      <c r="H44" s="638" t="s">
        <v>18</v>
      </c>
      <c r="I44" s="639"/>
      <c r="J44" s="219"/>
      <c r="K44" s="640">
        <f>I42+L42</f>
        <v>260621.49</v>
      </c>
      <c r="L44" s="641"/>
      <c r="P44" s="127"/>
      <c r="S44" s="5"/>
      <c r="T44" s="128"/>
      <c r="U44" s="128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15.75" x14ac:dyDescent="0.25">
      <c r="D45" s="642" t="s">
        <v>19</v>
      </c>
      <c r="E45" s="642"/>
      <c r="F45" s="129">
        <f>F42-K44-C42</f>
        <v>2350082.59</v>
      </c>
      <c r="I45" s="130"/>
      <c r="J45" s="130"/>
      <c r="P45" s="127"/>
      <c r="V45" s="8"/>
      <c r="W45" s="44" t="s">
        <v>11</v>
      </c>
      <c r="X45" s="196">
        <v>0</v>
      </c>
      <c r="Y45" s="41"/>
      <c r="AA45" s="19" t="s">
        <v>166</v>
      </c>
      <c r="AB45" s="167"/>
      <c r="AC45" s="21">
        <v>0</v>
      </c>
    </row>
    <row r="46" spans="1:29" ht="18.75" x14ac:dyDescent="0.3">
      <c r="D46" s="655" t="s">
        <v>20</v>
      </c>
      <c r="E46" s="655"/>
      <c r="F46" s="131">
        <v>-2289599.25</v>
      </c>
      <c r="I46" s="656" t="s">
        <v>21</v>
      </c>
      <c r="J46" s="657"/>
      <c r="K46" s="658">
        <f>F51</f>
        <v>442869.79999999981</v>
      </c>
      <c r="L46" s="659"/>
      <c r="P46" s="127"/>
      <c r="V46" s="8"/>
      <c r="W46" s="38" t="s">
        <v>10</v>
      </c>
      <c r="X46" s="196">
        <v>0</v>
      </c>
      <c r="Y46" s="41"/>
      <c r="AA46" s="19" t="s">
        <v>167</v>
      </c>
      <c r="AB46" s="167"/>
      <c r="AC46" s="21">
        <v>0</v>
      </c>
    </row>
    <row r="47" spans="1:29" ht="4.5" customHeight="1" thickBot="1" x14ac:dyDescent="0.35">
      <c r="D47" s="132"/>
      <c r="E47" s="133"/>
      <c r="F47" s="134" t="s">
        <v>12</v>
      </c>
      <c r="I47" s="135"/>
      <c r="J47" s="135"/>
      <c r="K47" s="136"/>
      <c r="L47" s="136"/>
      <c r="P47" s="127"/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60483.339999999851</v>
      </c>
      <c r="H48" s="30"/>
      <c r="I48" s="137" t="s">
        <v>23</v>
      </c>
      <c r="J48" s="138"/>
      <c r="K48" s="627">
        <f>-C4</f>
        <v>-355209.27</v>
      </c>
      <c r="L48" s="628"/>
      <c r="M48" s="214"/>
      <c r="P48" s="127"/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18020.8</v>
      </c>
      <c r="P49" s="127"/>
      <c r="V49" s="8"/>
    </row>
    <row r="50" spans="2:22" ht="20.25" thickTop="1" thickBot="1" x14ac:dyDescent="0.35">
      <c r="C50" s="231">
        <v>43895</v>
      </c>
      <c r="D50" s="629" t="s">
        <v>26</v>
      </c>
      <c r="E50" s="630"/>
      <c r="F50" s="142">
        <v>364365.66</v>
      </c>
      <c r="I50" s="631" t="s">
        <v>129</v>
      </c>
      <c r="J50" s="632"/>
      <c r="K50" s="633">
        <f>K46+K48</f>
        <v>87660.529999999795</v>
      </c>
      <c r="L50" s="634"/>
      <c r="P50" s="127"/>
    </row>
    <row r="51" spans="2:22" ht="18.75" x14ac:dyDescent="0.3">
      <c r="C51" s="143"/>
      <c r="D51" s="144"/>
      <c r="E51" s="61" t="s">
        <v>27</v>
      </c>
      <c r="F51" s="145">
        <f>F48+F49+F50</f>
        <v>442869.79999999981</v>
      </c>
      <c r="J51" s="9"/>
      <c r="M51" s="146"/>
      <c r="P51" s="36"/>
    </row>
    <row r="52" spans="2:22" x14ac:dyDescent="0.25">
      <c r="P52" s="36"/>
    </row>
    <row r="53" spans="2:22" x14ac:dyDescent="0.25">
      <c r="B53"/>
      <c r="C53"/>
      <c r="D53" s="635"/>
      <c r="E53" s="635"/>
      <c r="M53" s="147"/>
      <c r="N53" s="59"/>
      <c r="O53" s="59"/>
      <c r="P53" s="128"/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/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N57" s="59"/>
      <c r="O57" s="59"/>
      <c r="P57" s="59"/>
      <c r="Q57" s="186"/>
      <c r="R57" s="186"/>
    </row>
    <row r="58" spans="2:22" x14ac:dyDescent="0.25">
      <c r="F58" s="36"/>
      <c r="M58" s="4"/>
      <c r="N58" s="59"/>
      <c r="O58" s="59"/>
      <c r="P58" s="59"/>
      <c r="Q58" s="186"/>
      <c r="R58" s="186"/>
    </row>
    <row r="59" spans="2:22" x14ac:dyDescent="0.25">
      <c r="F59" s="36"/>
      <c r="M59" s="4"/>
      <c r="N59" s="59"/>
      <c r="O59" s="59"/>
      <c r="P59" s="59"/>
      <c r="Q59" s="186"/>
      <c r="R59" s="186"/>
    </row>
    <row r="60" spans="2:22" x14ac:dyDescent="0.25">
      <c r="F60" s="36"/>
      <c r="M60" s="4"/>
      <c r="N60" s="59"/>
      <c r="O60" s="59"/>
      <c r="P60" s="59"/>
      <c r="Q60" s="186"/>
      <c r="R60" s="186"/>
    </row>
    <row r="61" spans="2:22" x14ac:dyDescent="0.25">
      <c r="F61" s="36"/>
      <c r="M61" s="4"/>
      <c r="N61" s="59"/>
      <c r="O61" s="59"/>
      <c r="P61" s="59"/>
      <c r="Q61" s="186"/>
      <c r="R61" s="186"/>
    </row>
    <row r="62" spans="2:22" x14ac:dyDescent="0.25">
      <c r="F62" s="36"/>
      <c r="M62" s="4"/>
    </row>
    <row r="63" spans="2:22" x14ac:dyDescent="0.25">
      <c r="F63" s="36"/>
      <c r="M63" s="4"/>
    </row>
    <row r="64" spans="2:22" x14ac:dyDescent="0.25">
      <c r="F64" s="36"/>
      <c r="M64" s="4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E4:F4"/>
    <mergeCell ref="H4:I4"/>
    <mergeCell ref="C1:K1"/>
    <mergeCell ref="AF1:AG2"/>
    <mergeCell ref="W2:X3"/>
    <mergeCell ref="AA2:AC2"/>
    <mergeCell ref="B3:C3"/>
    <mergeCell ref="E2:F3"/>
    <mergeCell ref="M43:N43"/>
    <mergeCell ref="H44:I44"/>
    <mergeCell ref="K44:L44"/>
    <mergeCell ref="D45:E45"/>
    <mergeCell ref="D46:E46"/>
    <mergeCell ref="I46:J46"/>
    <mergeCell ref="K46:L46"/>
    <mergeCell ref="K48:L48"/>
    <mergeCell ref="D50:E50"/>
    <mergeCell ref="I50:J50"/>
    <mergeCell ref="K50:L50"/>
    <mergeCell ref="D53:E53"/>
  </mergeCells>
  <phoneticPr fontId="30" type="noConversion"/>
  <pageMargins left="0.23622047244094491" right="0.19685039370078741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725-C66D-4FD9-9EF9-F7E093C7CEDD}">
  <sheetPr>
    <tabColor theme="7" tint="-0.249977111117893"/>
  </sheetPr>
  <dimension ref="A1:F87"/>
  <sheetViews>
    <sheetView topLeftCell="A31" workbookViewId="0">
      <selection activeCell="A44" sqref="A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43869</v>
      </c>
      <c r="B3" s="172">
        <v>4106</v>
      </c>
      <c r="C3" s="5">
        <v>145478.92000000001</v>
      </c>
      <c r="D3" s="63"/>
      <c r="E3" s="5"/>
      <c r="F3" s="173">
        <f>C3-E3</f>
        <v>145478.92000000001</v>
      </c>
    </row>
    <row r="4" spans="1:6" x14ac:dyDescent="0.25">
      <c r="A4" s="174">
        <v>43869</v>
      </c>
      <c r="B4" s="175">
        <v>4113</v>
      </c>
      <c r="C4" s="176">
        <v>4191.3</v>
      </c>
      <c r="D4" s="177"/>
      <c r="E4" s="176"/>
      <c r="F4" s="173">
        <f>F3+C4-E4</f>
        <v>149670.22</v>
      </c>
    </row>
    <row r="5" spans="1:6" x14ac:dyDescent="0.25">
      <c r="A5" s="177">
        <v>43870</v>
      </c>
      <c r="B5" s="175">
        <v>4213</v>
      </c>
      <c r="C5" s="176">
        <v>3434.3</v>
      </c>
      <c r="D5" s="177"/>
      <c r="E5" s="176"/>
      <c r="F5" s="173">
        <f t="shared" ref="F5:F50" si="0">F4+C5-E5</f>
        <v>153104.51999999999</v>
      </c>
    </row>
    <row r="6" spans="1:6" x14ac:dyDescent="0.25">
      <c r="A6" s="177">
        <v>43870</v>
      </c>
      <c r="B6" s="175">
        <v>4228</v>
      </c>
      <c r="C6" s="176">
        <v>5048</v>
      </c>
      <c r="D6" s="177"/>
      <c r="E6" s="176"/>
      <c r="F6" s="173">
        <f t="shared" si="0"/>
        <v>158152.51999999999</v>
      </c>
    </row>
    <row r="7" spans="1:6" x14ac:dyDescent="0.25">
      <c r="A7" s="177">
        <v>43870</v>
      </c>
      <c r="B7" s="175">
        <v>4262</v>
      </c>
      <c r="C7" s="176">
        <v>100796.5</v>
      </c>
      <c r="D7" s="177"/>
      <c r="E7" s="176"/>
      <c r="F7" s="173">
        <f t="shared" si="0"/>
        <v>258949.02</v>
      </c>
    </row>
    <row r="8" spans="1:6" x14ac:dyDescent="0.25">
      <c r="A8" s="177">
        <v>43872</v>
      </c>
      <c r="B8" s="175">
        <v>4445</v>
      </c>
      <c r="C8" s="176">
        <v>140862.12</v>
      </c>
      <c r="D8" s="177"/>
      <c r="E8" s="176"/>
      <c r="F8" s="173">
        <f t="shared" si="0"/>
        <v>399811.14</v>
      </c>
    </row>
    <row r="9" spans="1:6" x14ac:dyDescent="0.25">
      <c r="A9" s="177">
        <v>43872</v>
      </c>
      <c r="B9" s="175">
        <v>4457</v>
      </c>
      <c r="C9" s="176">
        <v>5400</v>
      </c>
      <c r="D9" s="177">
        <v>43873</v>
      </c>
      <c r="E9" s="176">
        <v>405211.14</v>
      </c>
      <c r="F9" s="173">
        <f t="shared" si="0"/>
        <v>0</v>
      </c>
    </row>
    <row r="10" spans="1:6" x14ac:dyDescent="0.25">
      <c r="A10" s="177">
        <v>43873</v>
      </c>
      <c r="B10" s="175">
        <v>4549</v>
      </c>
      <c r="C10" s="176">
        <v>32080.46</v>
      </c>
      <c r="D10" s="177"/>
      <c r="E10" s="176"/>
      <c r="F10" s="173">
        <f t="shared" si="0"/>
        <v>32080.46</v>
      </c>
    </row>
    <row r="11" spans="1:6" x14ac:dyDescent="0.25">
      <c r="A11" s="174">
        <v>43873</v>
      </c>
      <c r="B11" s="175">
        <v>4560</v>
      </c>
      <c r="C11" s="176">
        <v>3300</v>
      </c>
      <c r="D11" s="177"/>
      <c r="E11" s="176"/>
      <c r="F11" s="173">
        <f t="shared" si="0"/>
        <v>35380.46</v>
      </c>
    </row>
    <row r="12" spans="1:6" x14ac:dyDescent="0.25">
      <c r="A12" s="177">
        <v>43875</v>
      </c>
      <c r="B12" s="175">
        <v>4790</v>
      </c>
      <c r="C12" s="176">
        <v>133306.85999999999</v>
      </c>
      <c r="D12" s="177"/>
      <c r="E12" s="176"/>
      <c r="F12" s="173">
        <f t="shared" si="0"/>
        <v>168687.31999999998</v>
      </c>
    </row>
    <row r="13" spans="1:6" x14ac:dyDescent="0.25">
      <c r="A13" s="177">
        <v>43875</v>
      </c>
      <c r="B13" s="175">
        <v>4801</v>
      </c>
      <c r="C13" s="176">
        <v>23398.2</v>
      </c>
      <c r="D13" s="177"/>
      <c r="E13" s="176"/>
      <c r="F13" s="173">
        <f t="shared" si="0"/>
        <v>192085.52</v>
      </c>
    </row>
    <row r="14" spans="1:6" x14ac:dyDescent="0.25">
      <c r="A14" s="177">
        <v>43875</v>
      </c>
      <c r="B14" s="175">
        <v>4859</v>
      </c>
      <c r="C14" s="176">
        <v>19477.8</v>
      </c>
      <c r="D14" s="177"/>
      <c r="E14" s="176"/>
      <c r="F14" s="173">
        <f t="shared" si="0"/>
        <v>211563.31999999998</v>
      </c>
    </row>
    <row r="15" spans="1:6" x14ac:dyDescent="0.25">
      <c r="A15" s="177">
        <v>43876</v>
      </c>
      <c r="B15" s="175">
        <v>4958</v>
      </c>
      <c r="C15" s="176">
        <v>75357.899999999994</v>
      </c>
      <c r="D15" s="177"/>
      <c r="E15" s="176"/>
      <c r="F15" s="173">
        <f t="shared" si="0"/>
        <v>286921.21999999997</v>
      </c>
    </row>
    <row r="16" spans="1:6" x14ac:dyDescent="0.25">
      <c r="A16" s="177">
        <v>43876</v>
      </c>
      <c r="B16" s="175">
        <v>4965</v>
      </c>
      <c r="C16" s="176">
        <v>28216.12</v>
      </c>
      <c r="D16" s="177"/>
      <c r="E16" s="176"/>
      <c r="F16" s="173">
        <f t="shared" si="0"/>
        <v>315137.33999999997</v>
      </c>
    </row>
    <row r="17" spans="1:6" x14ac:dyDescent="0.25">
      <c r="A17" s="177">
        <v>43876</v>
      </c>
      <c r="B17" s="175">
        <v>5022</v>
      </c>
      <c r="C17" s="176">
        <v>12587.6</v>
      </c>
      <c r="D17" s="177"/>
      <c r="E17" s="176"/>
      <c r="F17" s="173">
        <f t="shared" si="0"/>
        <v>327724.93999999994</v>
      </c>
    </row>
    <row r="18" spans="1:6" x14ac:dyDescent="0.25">
      <c r="A18" s="177">
        <v>43877</v>
      </c>
      <c r="B18" s="175">
        <v>5073</v>
      </c>
      <c r="C18" s="176">
        <v>16065.2</v>
      </c>
      <c r="D18" s="177"/>
      <c r="E18" s="176"/>
      <c r="F18" s="173">
        <f t="shared" si="0"/>
        <v>343790.13999999996</v>
      </c>
    </row>
    <row r="19" spans="1:6" x14ac:dyDescent="0.25">
      <c r="A19" s="177">
        <v>43877</v>
      </c>
      <c r="B19" s="175">
        <v>5084</v>
      </c>
      <c r="C19" s="176">
        <v>78089.3</v>
      </c>
      <c r="D19" s="177"/>
      <c r="E19" s="176"/>
      <c r="F19" s="173">
        <f t="shared" si="0"/>
        <v>421879.43999999994</v>
      </c>
    </row>
    <row r="20" spans="1:6" x14ac:dyDescent="0.25">
      <c r="A20" s="177">
        <v>43877</v>
      </c>
      <c r="B20" s="175">
        <v>5091</v>
      </c>
      <c r="C20" s="176">
        <v>2860</v>
      </c>
      <c r="D20" s="177"/>
      <c r="E20" s="176"/>
      <c r="F20" s="173">
        <f t="shared" si="0"/>
        <v>424739.43999999994</v>
      </c>
    </row>
    <row r="21" spans="1:6" x14ac:dyDescent="0.25">
      <c r="A21" s="177">
        <v>43878</v>
      </c>
      <c r="B21" s="175">
        <v>5206</v>
      </c>
      <c r="C21" s="176">
        <v>42173.48</v>
      </c>
      <c r="D21" s="177"/>
      <c r="E21" s="176"/>
      <c r="F21" s="173">
        <f t="shared" si="0"/>
        <v>466912.91999999993</v>
      </c>
    </row>
    <row r="22" spans="1:6" x14ac:dyDescent="0.25">
      <c r="A22" s="177">
        <v>43879</v>
      </c>
      <c r="B22" s="175">
        <v>5261</v>
      </c>
      <c r="C22" s="176">
        <v>107603.26</v>
      </c>
      <c r="D22" s="177">
        <v>43879</v>
      </c>
      <c r="E22" s="176">
        <v>574516.18000000005</v>
      </c>
      <c r="F22" s="173">
        <f t="shared" si="0"/>
        <v>0</v>
      </c>
    </row>
    <row r="23" spans="1:6" x14ac:dyDescent="0.25">
      <c r="A23" s="177">
        <v>43880</v>
      </c>
      <c r="B23" s="175">
        <v>5339</v>
      </c>
      <c r="C23" s="176">
        <v>520</v>
      </c>
      <c r="D23" s="177"/>
      <c r="E23" s="176"/>
      <c r="F23" s="173">
        <f t="shared" si="0"/>
        <v>520</v>
      </c>
    </row>
    <row r="24" spans="1:6" x14ac:dyDescent="0.25">
      <c r="A24" s="177">
        <v>43881</v>
      </c>
      <c r="B24" s="175">
        <v>5456</v>
      </c>
      <c r="C24" s="176">
        <v>78381.75</v>
      </c>
      <c r="D24" s="177"/>
      <c r="E24" s="176"/>
      <c r="F24" s="173">
        <f t="shared" si="0"/>
        <v>78901.75</v>
      </c>
    </row>
    <row r="25" spans="1:6" x14ac:dyDescent="0.25">
      <c r="A25" s="177">
        <v>43881</v>
      </c>
      <c r="B25" s="175">
        <v>5565</v>
      </c>
      <c r="C25" s="176">
        <v>122502.8</v>
      </c>
      <c r="D25" s="177"/>
      <c r="E25" s="176"/>
      <c r="F25" s="173">
        <f t="shared" si="0"/>
        <v>201404.55</v>
      </c>
    </row>
    <row r="26" spans="1:6" x14ac:dyDescent="0.25">
      <c r="A26" s="177">
        <v>43882</v>
      </c>
      <c r="B26" s="175">
        <v>5625</v>
      </c>
      <c r="C26" s="176">
        <v>75406.320000000007</v>
      </c>
      <c r="D26" s="177"/>
      <c r="E26" s="176"/>
      <c r="F26" s="173">
        <f t="shared" si="0"/>
        <v>276810.87</v>
      </c>
    </row>
    <row r="27" spans="1:6" x14ac:dyDescent="0.25">
      <c r="A27" s="177">
        <v>43883</v>
      </c>
      <c r="B27" s="175">
        <v>5788</v>
      </c>
      <c r="C27" s="176">
        <v>9910.6</v>
      </c>
      <c r="D27" s="177"/>
      <c r="E27" s="176"/>
      <c r="F27" s="173">
        <f t="shared" si="0"/>
        <v>286721.46999999997</v>
      </c>
    </row>
    <row r="28" spans="1:6" x14ac:dyDescent="0.25">
      <c r="A28" s="174">
        <v>43883</v>
      </c>
      <c r="B28" s="175">
        <v>5811</v>
      </c>
      <c r="C28" s="176">
        <v>133044.6</v>
      </c>
      <c r="D28" s="177"/>
      <c r="E28" s="176"/>
      <c r="F28" s="173">
        <f t="shared" si="0"/>
        <v>419766.06999999995</v>
      </c>
    </row>
    <row r="29" spans="1:6" x14ac:dyDescent="0.25">
      <c r="A29" s="174">
        <v>43883</v>
      </c>
      <c r="B29" s="175">
        <v>5844</v>
      </c>
      <c r="C29" s="176">
        <v>43547.5</v>
      </c>
      <c r="D29" s="177"/>
      <c r="E29" s="176"/>
      <c r="F29" s="173">
        <f t="shared" si="0"/>
        <v>463313.56999999995</v>
      </c>
    </row>
    <row r="30" spans="1:6" x14ac:dyDescent="0.25">
      <c r="A30" s="174">
        <v>43885</v>
      </c>
      <c r="B30" s="175">
        <v>5919</v>
      </c>
      <c r="C30" s="176">
        <v>48182.2</v>
      </c>
      <c r="D30" s="177">
        <v>43885</v>
      </c>
      <c r="E30" s="176">
        <v>511495.77</v>
      </c>
      <c r="F30" s="173">
        <f t="shared" si="0"/>
        <v>0</v>
      </c>
    </row>
    <row r="31" spans="1:6" x14ac:dyDescent="0.25">
      <c r="A31" s="174">
        <v>43886</v>
      </c>
      <c r="B31" s="175">
        <v>6112</v>
      </c>
      <c r="C31" s="176">
        <v>106051.2</v>
      </c>
      <c r="D31" s="177"/>
      <c r="E31" s="176"/>
      <c r="F31" s="173">
        <f t="shared" si="0"/>
        <v>106051.2</v>
      </c>
    </row>
    <row r="32" spans="1:6" x14ac:dyDescent="0.25">
      <c r="A32" s="174">
        <v>43887</v>
      </c>
      <c r="B32" s="175">
        <v>6196</v>
      </c>
      <c r="C32" s="176">
        <v>1239.9000000000001</v>
      </c>
      <c r="D32" s="177"/>
      <c r="E32" s="176"/>
      <c r="F32" s="173">
        <f t="shared" si="0"/>
        <v>107291.09999999999</v>
      </c>
    </row>
    <row r="33" spans="1:6" x14ac:dyDescent="0.25">
      <c r="A33" s="174">
        <v>43887</v>
      </c>
      <c r="B33" s="175">
        <v>6198</v>
      </c>
      <c r="C33" s="176">
        <v>129872.43</v>
      </c>
      <c r="D33" s="177"/>
      <c r="E33" s="176"/>
      <c r="F33" s="173">
        <f t="shared" si="0"/>
        <v>237163.52999999997</v>
      </c>
    </row>
    <row r="34" spans="1:6" x14ac:dyDescent="0.25">
      <c r="A34" s="174">
        <v>43888</v>
      </c>
      <c r="B34" s="175">
        <v>6265</v>
      </c>
      <c r="C34" s="176">
        <v>65799.55</v>
      </c>
      <c r="D34" s="177">
        <v>43889</v>
      </c>
      <c r="E34" s="176">
        <v>302963.08</v>
      </c>
      <c r="F34" s="173">
        <f t="shared" si="0"/>
        <v>0</v>
      </c>
    </row>
    <row r="35" spans="1:6" x14ac:dyDescent="0.25">
      <c r="A35" s="174">
        <v>43889</v>
      </c>
      <c r="B35" s="175">
        <v>6449</v>
      </c>
      <c r="C35" s="176">
        <v>32266.799999999999</v>
      </c>
      <c r="D35" s="177"/>
      <c r="E35" s="176"/>
      <c r="F35" s="173">
        <f t="shared" si="0"/>
        <v>32266.799999999999</v>
      </c>
    </row>
    <row r="36" spans="1:6" x14ac:dyDescent="0.25">
      <c r="A36" s="174">
        <v>43889</v>
      </c>
      <c r="B36" s="175">
        <v>6456</v>
      </c>
      <c r="C36" s="176">
        <v>61649.52</v>
      </c>
      <c r="D36" s="177"/>
      <c r="E36" s="176"/>
      <c r="F36" s="173">
        <f t="shared" si="0"/>
        <v>93916.319999999992</v>
      </c>
    </row>
    <row r="37" spans="1:6" x14ac:dyDescent="0.25">
      <c r="A37" s="174">
        <v>43889</v>
      </c>
      <c r="B37" s="175">
        <v>6468</v>
      </c>
      <c r="C37" s="176">
        <v>48393.45</v>
      </c>
      <c r="D37" s="177"/>
      <c r="E37" s="176"/>
      <c r="F37" s="173">
        <f t="shared" si="0"/>
        <v>142309.76999999999</v>
      </c>
    </row>
    <row r="38" spans="1:6" x14ac:dyDescent="0.25">
      <c r="A38" s="174">
        <v>43889</v>
      </c>
      <c r="B38" s="175">
        <v>6469</v>
      </c>
      <c r="C38" s="176">
        <v>976.8</v>
      </c>
      <c r="D38" s="177"/>
      <c r="E38" s="176"/>
      <c r="F38" s="173">
        <f t="shared" si="0"/>
        <v>143286.56999999998</v>
      </c>
    </row>
    <row r="39" spans="1:6" x14ac:dyDescent="0.25">
      <c r="A39" s="174">
        <v>43890</v>
      </c>
      <c r="B39" s="175">
        <v>6563</v>
      </c>
      <c r="C39" s="176">
        <v>63781.2</v>
      </c>
      <c r="D39" s="177"/>
      <c r="E39" s="176"/>
      <c r="F39" s="173">
        <f t="shared" si="0"/>
        <v>207067.76999999996</v>
      </c>
    </row>
    <row r="40" spans="1:6" x14ac:dyDescent="0.25">
      <c r="A40" s="174">
        <v>43890</v>
      </c>
      <c r="B40" s="175">
        <v>6591</v>
      </c>
      <c r="C40" s="176">
        <v>46626</v>
      </c>
      <c r="D40" s="177"/>
      <c r="E40" s="176"/>
      <c r="F40" s="173">
        <f t="shared" si="0"/>
        <v>253693.76999999996</v>
      </c>
    </row>
    <row r="41" spans="1:6" x14ac:dyDescent="0.25">
      <c r="A41" s="174">
        <v>43893</v>
      </c>
      <c r="B41" s="175">
        <v>6825</v>
      </c>
      <c r="C41" s="176">
        <v>107181.42</v>
      </c>
      <c r="D41" s="177"/>
      <c r="E41" s="176"/>
      <c r="F41" s="173">
        <f t="shared" si="0"/>
        <v>360875.18999999994</v>
      </c>
    </row>
    <row r="42" spans="1:6" x14ac:dyDescent="0.25">
      <c r="A42" s="174">
        <v>43865</v>
      </c>
      <c r="B42" s="175">
        <v>6982</v>
      </c>
      <c r="C42" s="176">
        <v>134047.89000000001</v>
      </c>
      <c r="D42" s="177"/>
      <c r="E42" s="176"/>
      <c r="F42" s="173">
        <f t="shared" si="0"/>
        <v>494923.07999999996</v>
      </c>
    </row>
    <row r="43" spans="1:6" x14ac:dyDescent="0.25">
      <c r="A43" s="174">
        <v>43894</v>
      </c>
      <c r="B43" s="175">
        <v>6385</v>
      </c>
      <c r="C43" s="176">
        <v>490</v>
      </c>
      <c r="D43" s="177">
        <v>43897</v>
      </c>
      <c r="E43" s="176">
        <v>495413.08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2289599.25</v>
      </c>
      <c r="D51" s="1"/>
      <c r="E51" s="4">
        <f>SUM(E3:E50)</f>
        <v>2289599.25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sortState xmlns:xlrd2="http://schemas.microsoft.com/office/spreadsheetml/2017/richdata2" ref="A10:C22">
    <sortCondition ref="B10: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F917-04EB-41F3-BFE5-378D1F4AE0DF}">
  <sheetPr>
    <tabColor rgb="FF00B050"/>
  </sheetPr>
  <dimension ref="A1:AG78"/>
  <sheetViews>
    <sheetView topLeftCell="A23" workbookViewId="0">
      <selection activeCell="P39" sqref="P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660" t="s">
        <v>237</v>
      </c>
      <c r="D1" s="660"/>
      <c r="E1" s="660"/>
      <c r="F1" s="660"/>
      <c r="G1" s="660"/>
      <c r="H1" s="660"/>
      <c r="I1" s="660"/>
      <c r="J1" s="660"/>
      <c r="K1" s="660"/>
      <c r="L1" s="2"/>
      <c r="M1" s="3"/>
      <c r="AF1" s="643" t="s">
        <v>45</v>
      </c>
      <c r="AG1" s="644"/>
    </row>
    <row r="2" spans="1:33" ht="18" customHeight="1" thickBot="1" x14ac:dyDescent="0.35">
      <c r="C2" s="8"/>
      <c r="E2" s="667" t="s">
        <v>190</v>
      </c>
      <c r="F2" s="667"/>
      <c r="H2" s="233" t="s">
        <v>0</v>
      </c>
      <c r="I2" s="3"/>
      <c r="J2" s="3"/>
      <c r="K2" s="152"/>
      <c r="L2" s="152"/>
      <c r="M2" s="3"/>
      <c r="N2" s="5"/>
      <c r="O2" s="5"/>
      <c r="W2" s="651" t="s">
        <v>4</v>
      </c>
      <c r="X2" s="652"/>
      <c r="AA2" s="648" t="s">
        <v>43</v>
      </c>
      <c r="AB2" s="649"/>
      <c r="AC2" s="650"/>
      <c r="AE2" s="193" t="s">
        <v>44</v>
      </c>
      <c r="AF2" s="645"/>
      <c r="AG2" s="646"/>
    </row>
    <row r="3" spans="1:33" ht="18" customHeight="1" thickBot="1" x14ac:dyDescent="0.35">
      <c r="B3" s="661" t="s">
        <v>1</v>
      </c>
      <c r="C3" s="662"/>
      <c r="D3" s="15"/>
      <c r="E3" s="668"/>
      <c r="F3" s="668"/>
      <c r="I3" s="234" t="s">
        <v>2</v>
      </c>
      <c r="J3" s="235"/>
      <c r="K3" s="236" t="s">
        <v>191</v>
      </c>
      <c r="L3" s="236"/>
      <c r="W3" s="653"/>
      <c r="X3" s="654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364365.66</v>
      </c>
      <c r="D4" s="263">
        <v>43895</v>
      </c>
      <c r="E4" s="663" t="s">
        <v>6</v>
      </c>
      <c r="F4" s="664"/>
      <c r="H4" s="665" t="s">
        <v>7</v>
      </c>
      <c r="I4" s="666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43896</v>
      </c>
      <c r="C5" s="31">
        <v>2567</v>
      </c>
      <c r="D5" s="150" t="s">
        <v>72</v>
      </c>
      <c r="E5" s="151">
        <v>43896</v>
      </c>
      <c r="F5" s="32">
        <v>93525</v>
      </c>
      <c r="G5" s="152"/>
      <c r="H5" s="153">
        <v>43896</v>
      </c>
      <c r="I5" s="33">
        <v>14659</v>
      </c>
      <c r="M5" s="34">
        <v>74142</v>
      </c>
      <c r="N5" s="35">
        <v>662</v>
      </c>
      <c r="O5" s="36"/>
      <c r="P5" s="36">
        <f>C5+I5+M5+N5+L12+L22</f>
        <v>93525</v>
      </c>
      <c r="Q5" s="5">
        <f>P5-F5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43897</v>
      </c>
      <c r="C6" s="31">
        <v>2368</v>
      </c>
      <c r="D6" s="154" t="s">
        <v>180</v>
      </c>
      <c r="E6" s="151">
        <v>43897</v>
      </c>
      <c r="F6" s="32">
        <v>112022</v>
      </c>
      <c r="G6" s="152"/>
      <c r="H6" s="153">
        <v>43897</v>
      </c>
      <c r="I6" s="39">
        <v>130.53</v>
      </c>
      <c r="J6" s="40"/>
      <c r="K6" s="41"/>
      <c r="L6" s="42"/>
      <c r="M6" s="34">
        <v>100685</v>
      </c>
      <c r="N6" s="35">
        <v>3598</v>
      </c>
      <c r="O6" s="36" t="s">
        <v>12</v>
      </c>
      <c r="P6" s="36">
        <f>C6+I6+M6+N6+L13</f>
        <v>126180.9</v>
      </c>
      <c r="Q6" s="201">
        <f>P6-F6</f>
        <v>14158.899999999994</v>
      </c>
      <c r="R6" s="198"/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43898</v>
      </c>
      <c r="C7" s="31">
        <v>1938</v>
      </c>
      <c r="D7" s="155" t="s">
        <v>142</v>
      </c>
      <c r="E7" s="151">
        <v>43898</v>
      </c>
      <c r="F7" s="32">
        <v>107431</v>
      </c>
      <c r="G7" s="152"/>
      <c r="H7" s="153">
        <v>43898</v>
      </c>
      <c r="I7" s="39">
        <v>95.75</v>
      </c>
      <c r="J7" s="45"/>
      <c r="K7" s="46" t="s">
        <v>13</v>
      </c>
      <c r="L7" s="47">
        <v>0</v>
      </c>
      <c r="M7" s="34">
        <v>101166</v>
      </c>
      <c r="N7" s="35">
        <v>4232</v>
      </c>
      <c r="O7" s="36"/>
      <c r="P7" s="36">
        <f>C7+I7+M7+N7</f>
        <v>107431.75</v>
      </c>
      <c r="Q7" s="5">
        <f t="shared" ref="Q7:Q11" si="0">P7-F7</f>
        <v>0.75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43899</v>
      </c>
      <c r="C8" s="31">
        <v>12249</v>
      </c>
      <c r="D8" s="156" t="s">
        <v>198</v>
      </c>
      <c r="E8" s="151">
        <v>43899</v>
      </c>
      <c r="F8" s="32">
        <v>81389</v>
      </c>
      <c r="G8" s="152"/>
      <c r="H8" s="153">
        <v>43899</v>
      </c>
      <c r="I8" s="39">
        <v>0</v>
      </c>
      <c r="J8" s="51">
        <v>43917</v>
      </c>
      <c r="K8" s="49" t="s">
        <v>14</v>
      </c>
      <c r="L8" s="50">
        <v>23484</v>
      </c>
      <c r="M8" s="34">
        <v>66222</v>
      </c>
      <c r="N8" s="35">
        <v>2918</v>
      </c>
      <c r="O8" s="36"/>
      <c r="P8" s="36">
        <f>C8+I8+M8+N8</f>
        <v>81389</v>
      </c>
      <c r="Q8" s="5">
        <f t="shared" si="0"/>
        <v>0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43900</v>
      </c>
      <c r="C9" s="31">
        <v>15956</v>
      </c>
      <c r="D9" s="157" t="s">
        <v>199</v>
      </c>
      <c r="E9" s="151">
        <v>43900</v>
      </c>
      <c r="F9" s="32">
        <v>65940</v>
      </c>
      <c r="G9" s="152"/>
      <c r="H9" s="153">
        <v>43900</v>
      </c>
      <c r="I9" s="39">
        <v>114</v>
      </c>
      <c r="J9" s="51">
        <v>43920</v>
      </c>
      <c r="K9" s="20" t="s">
        <v>15</v>
      </c>
      <c r="L9" s="52">
        <v>20000</v>
      </c>
      <c r="M9" s="34">
        <v>49557</v>
      </c>
      <c r="N9" s="35">
        <v>313</v>
      </c>
      <c r="O9" s="36"/>
      <c r="P9" s="36">
        <f>C9+I9+M9+N9</f>
        <v>65940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43901</v>
      </c>
      <c r="C10" s="31">
        <v>2400</v>
      </c>
      <c r="D10" s="154" t="s">
        <v>200</v>
      </c>
      <c r="E10" s="151">
        <v>43901</v>
      </c>
      <c r="F10" s="32">
        <v>74179</v>
      </c>
      <c r="G10" s="152"/>
      <c r="H10" s="153">
        <v>43901</v>
      </c>
      <c r="I10" s="39">
        <v>0</v>
      </c>
      <c r="J10" s="53"/>
      <c r="K10" s="54"/>
      <c r="L10" s="55"/>
      <c r="M10" s="34">
        <f>64432+18192.5</f>
        <v>82624.5</v>
      </c>
      <c r="N10" s="35">
        <v>1895</v>
      </c>
      <c r="O10" s="36"/>
      <c r="P10" s="36">
        <f>C10+I10+M10+N10+L11</f>
        <v>86919.5</v>
      </c>
      <c r="Q10" s="198">
        <f t="shared" si="0"/>
        <v>12740.5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43902</v>
      </c>
      <c r="C11" s="31">
        <v>4852</v>
      </c>
      <c r="D11" s="154" t="s">
        <v>201</v>
      </c>
      <c r="E11" s="151">
        <v>43902</v>
      </c>
      <c r="F11" s="32">
        <v>59539</v>
      </c>
      <c r="G11" s="152"/>
      <c r="H11" s="153">
        <v>43902</v>
      </c>
      <c r="I11" s="39">
        <v>250</v>
      </c>
      <c r="J11" s="56"/>
      <c r="K11" s="57"/>
      <c r="L11" s="55"/>
      <c r="M11" s="34">
        <v>53273</v>
      </c>
      <c r="N11" s="35">
        <v>1164</v>
      </c>
      <c r="O11" s="36"/>
      <c r="P11" s="36">
        <f>C11+I11+M11+N11</f>
        <v>59539</v>
      </c>
      <c r="Q11" s="5">
        <f t="shared" si="0"/>
        <v>0</v>
      </c>
      <c r="S11" s="58">
        <v>300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43903</v>
      </c>
      <c r="C12" s="31">
        <v>12830</v>
      </c>
      <c r="D12" s="154" t="s">
        <v>202</v>
      </c>
      <c r="E12" s="151">
        <v>43903</v>
      </c>
      <c r="F12" s="32">
        <v>105602</v>
      </c>
      <c r="G12" s="152"/>
      <c r="H12" s="153">
        <v>43903</v>
      </c>
      <c r="I12" s="39">
        <v>12050</v>
      </c>
      <c r="J12" s="60">
        <v>43896</v>
      </c>
      <c r="K12" s="20" t="s">
        <v>140</v>
      </c>
      <c r="L12" s="55">
        <v>300</v>
      </c>
      <c r="M12" s="34">
        <v>76891</v>
      </c>
      <c r="N12" s="35">
        <v>3831</v>
      </c>
      <c r="O12" s="36"/>
      <c r="P12" s="36">
        <f>C12+I12+M12+N12</f>
        <v>105602</v>
      </c>
      <c r="Q12" s="5">
        <f>P12-F12</f>
        <v>0</v>
      </c>
      <c r="S12" s="58">
        <f>4878.74+4000</f>
        <v>8878.74</v>
      </c>
      <c r="T12" s="61" t="s">
        <v>139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43904</v>
      </c>
      <c r="C13" s="31">
        <v>1672</v>
      </c>
      <c r="D13" s="156" t="s">
        <v>174</v>
      </c>
      <c r="E13" s="151">
        <v>43904</v>
      </c>
      <c r="F13" s="32">
        <v>140032</v>
      </c>
      <c r="G13" s="152"/>
      <c r="H13" s="153">
        <v>43904</v>
      </c>
      <c r="I13" s="39">
        <v>0</v>
      </c>
      <c r="J13" s="60">
        <v>43897</v>
      </c>
      <c r="K13" s="20" t="s">
        <v>139</v>
      </c>
      <c r="L13" s="55">
        <f>14999.37+400+4000</f>
        <v>19399.370000000003</v>
      </c>
      <c r="M13" s="34">
        <v>119896</v>
      </c>
      <c r="N13" s="35">
        <v>7615</v>
      </c>
      <c r="O13" s="36"/>
      <c r="P13" s="36">
        <f>C13+I13+M13+N13+L14</f>
        <v>148910.94</v>
      </c>
      <c r="Q13" s="201">
        <f>P13-F13</f>
        <v>8878.9400000000023</v>
      </c>
      <c r="S13" s="58">
        <f>4878.74+4000</f>
        <v>8878.74</v>
      </c>
      <c r="T13" s="61" t="s">
        <v>141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43905</v>
      </c>
      <c r="C14" s="31">
        <v>6794</v>
      </c>
      <c r="D14" s="155" t="s">
        <v>203</v>
      </c>
      <c r="E14" s="151">
        <v>43905</v>
      </c>
      <c r="F14" s="32">
        <v>105562</v>
      </c>
      <c r="G14" s="152"/>
      <c r="H14" s="153">
        <v>43905</v>
      </c>
      <c r="I14" s="39">
        <v>0</v>
      </c>
      <c r="J14" s="60">
        <v>43904</v>
      </c>
      <c r="K14" s="20" t="s">
        <v>141</v>
      </c>
      <c r="L14" s="55">
        <f>15327.94+400+4000</f>
        <v>19727.940000000002</v>
      </c>
      <c r="M14" s="34">
        <v>95097</v>
      </c>
      <c r="N14" s="35">
        <v>3671</v>
      </c>
      <c r="O14" s="36"/>
      <c r="P14" s="36">
        <f>C14+I14+M14+N14+L20</f>
        <v>105562</v>
      </c>
      <c r="Q14" s="5">
        <f>P14-F14</f>
        <v>0</v>
      </c>
      <c r="S14" s="58">
        <v>8727.19</v>
      </c>
      <c r="T14" s="61" t="s">
        <v>193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43906</v>
      </c>
      <c r="C15" s="31">
        <v>1302</v>
      </c>
      <c r="D15" s="154" t="s">
        <v>72</v>
      </c>
      <c r="E15" s="151">
        <v>43906</v>
      </c>
      <c r="F15" s="32">
        <v>93609</v>
      </c>
      <c r="G15" s="152"/>
      <c r="H15" s="153">
        <v>43906</v>
      </c>
      <c r="I15" s="39">
        <v>0</v>
      </c>
      <c r="J15" s="60">
        <v>43911</v>
      </c>
      <c r="K15" s="20" t="s">
        <v>193</v>
      </c>
      <c r="L15" s="55">
        <f>15387.83+400+4000</f>
        <v>19787.830000000002</v>
      </c>
      <c r="M15" s="34">
        <v>87646</v>
      </c>
      <c r="N15" s="35">
        <v>4661</v>
      </c>
      <c r="O15" s="36"/>
      <c r="P15" s="36">
        <f>C15+I15+M15+N15</f>
        <v>93609</v>
      </c>
      <c r="Q15" s="5">
        <f t="shared" ref="Q15:Q38" si="1">P15-F15</f>
        <v>0</v>
      </c>
      <c r="S15" s="58">
        <v>8126.57</v>
      </c>
      <c r="T15" s="61" t="s">
        <v>194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/>
      <c r="AC15" s="21">
        <v>0</v>
      </c>
    </row>
    <row r="16" spans="1:33" ht="15.75" thickBot="1" x14ac:dyDescent="0.3">
      <c r="A16" s="30"/>
      <c r="B16" s="149">
        <v>43907</v>
      </c>
      <c r="C16" s="31">
        <v>12675</v>
      </c>
      <c r="D16" s="154" t="s">
        <v>47</v>
      </c>
      <c r="E16" s="151">
        <v>43907</v>
      </c>
      <c r="F16" s="32">
        <v>71910</v>
      </c>
      <c r="G16" s="152"/>
      <c r="H16" s="153">
        <v>43907</v>
      </c>
      <c r="I16" s="39">
        <v>76</v>
      </c>
      <c r="J16" s="60">
        <v>43918</v>
      </c>
      <c r="K16" s="20" t="s">
        <v>194</v>
      </c>
      <c r="L16" s="5">
        <f>13441.57+400+4000</f>
        <v>17841.57</v>
      </c>
      <c r="M16" s="34">
        <v>57332</v>
      </c>
      <c r="N16" s="35">
        <v>1827</v>
      </c>
      <c r="O16" s="36"/>
      <c r="P16" s="36">
        <f>C16+I16+M16+N16</f>
        <v>71910</v>
      </c>
      <c r="Q16" s="5">
        <f t="shared" si="1"/>
        <v>0</v>
      </c>
      <c r="S16" s="58">
        <v>8878.57</v>
      </c>
      <c r="T16" s="61" t="s">
        <v>195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/>
      <c r="AC16" s="21">
        <v>0</v>
      </c>
    </row>
    <row r="17" spans="1:29" ht="16.5" thickBot="1" x14ac:dyDescent="0.3">
      <c r="A17" s="30"/>
      <c r="B17" s="149">
        <v>43908</v>
      </c>
      <c r="C17" s="31">
        <v>1868</v>
      </c>
      <c r="D17" s="156" t="s">
        <v>204</v>
      </c>
      <c r="E17" s="151">
        <v>43908</v>
      </c>
      <c r="F17" s="32">
        <v>83114</v>
      </c>
      <c r="G17" s="152"/>
      <c r="H17" s="153">
        <v>43908</v>
      </c>
      <c r="I17" s="39">
        <v>2000</v>
      </c>
      <c r="J17" s="67">
        <v>43925</v>
      </c>
      <c r="K17" s="20" t="s">
        <v>197</v>
      </c>
      <c r="L17" s="68">
        <f>15048.57+400+4000</f>
        <v>19448.57</v>
      </c>
      <c r="M17" s="34">
        <v>77484</v>
      </c>
      <c r="N17" s="35">
        <v>1762</v>
      </c>
      <c r="O17" s="36"/>
      <c r="P17" s="36">
        <f>C17+I17+M17+N17+L7</f>
        <v>83114</v>
      </c>
      <c r="Q17" s="5">
        <f t="shared" si="1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/>
      <c r="AC17" s="21">
        <v>0</v>
      </c>
    </row>
    <row r="18" spans="1:29" ht="15.75" thickBot="1" x14ac:dyDescent="0.3">
      <c r="A18" s="30"/>
      <c r="B18" s="149">
        <v>43909</v>
      </c>
      <c r="C18" s="31">
        <v>1767</v>
      </c>
      <c r="D18" s="154" t="s">
        <v>180</v>
      </c>
      <c r="E18" s="151">
        <v>43909</v>
      </c>
      <c r="F18" s="32">
        <v>74875</v>
      </c>
      <c r="G18" s="152"/>
      <c r="H18" s="153">
        <v>43909</v>
      </c>
      <c r="I18" s="39">
        <v>0</v>
      </c>
      <c r="J18" s="67"/>
      <c r="K18" s="71"/>
      <c r="L18" s="55"/>
      <c r="M18" s="34">
        <v>70484</v>
      </c>
      <c r="N18" s="35">
        <v>2624</v>
      </c>
      <c r="O18" s="36"/>
      <c r="P18" s="36">
        <f>C18+I18+M18+N18</f>
        <v>74875</v>
      </c>
      <c r="Q18" s="5">
        <f t="shared" si="1"/>
        <v>0</v>
      </c>
      <c r="S18" s="5">
        <f>SUM(S11:S17)</f>
        <v>43789.81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/>
      <c r="AC18" s="21">
        <v>0</v>
      </c>
    </row>
    <row r="19" spans="1:29" ht="15.75" thickBot="1" x14ac:dyDescent="0.3">
      <c r="A19" s="30"/>
      <c r="B19" s="149">
        <v>43910</v>
      </c>
      <c r="C19" s="31">
        <v>24587</v>
      </c>
      <c r="D19" s="154" t="s">
        <v>205</v>
      </c>
      <c r="E19" s="151">
        <v>43910</v>
      </c>
      <c r="F19" s="32">
        <v>99486</v>
      </c>
      <c r="G19" s="152"/>
      <c r="H19" s="153">
        <v>43910</v>
      </c>
      <c r="I19" s="39">
        <v>0</v>
      </c>
      <c r="J19" s="67"/>
      <c r="K19" s="72"/>
      <c r="L19" s="73"/>
      <c r="M19" s="34">
        <v>70171</v>
      </c>
      <c r="N19" s="35">
        <v>4728</v>
      </c>
      <c r="O19" s="36" t="s">
        <v>12</v>
      </c>
      <c r="P19" s="36">
        <f>C19+I19+M19+N19</f>
        <v>99486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/>
      <c r="AC19" s="21">
        <v>0</v>
      </c>
    </row>
    <row r="20" spans="1:29" ht="15.75" thickBot="1" x14ac:dyDescent="0.3">
      <c r="A20" s="30"/>
      <c r="B20" s="149">
        <v>43911</v>
      </c>
      <c r="C20" s="31">
        <v>2303</v>
      </c>
      <c r="D20" s="154" t="s">
        <v>206</v>
      </c>
      <c r="E20" s="151">
        <v>43911</v>
      </c>
      <c r="F20" s="32">
        <v>140852</v>
      </c>
      <c r="G20" s="152"/>
      <c r="H20" s="153">
        <v>43911</v>
      </c>
      <c r="I20" s="39">
        <v>250</v>
      </c>
      <c r="J20" s="60"/>
      <c r="K20" s="220"/>
      <c r="L20" s="68"/>
      <c r="M20" s="34">
        <v>118978</v>
      </c>
      <c r="N20" s="35">
        <v>8260</v>
      </c>
      <c r="O20" s="36"/>
      <c r="P20" s="36">
        <f>C20+I20+M20+N20+L15</f>
        <v>149578.83000000002</v>
      </c>
      <c r="Q20" s="201">
        <f t="shared" si="1"/>
        <v>8726.8300000000163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43912</v>
      </c>
      <c r="C21" s="31">
        <v>4929</v>
      </c>
      <c r="D21" s="154" t="s">
        <v>207</v>
      </c>
      <c r="E21" s="151">
        <v>43912</v>
      </c>
      <c r="F21" s="32">
        <v>131316</v>
      </c>
      <c r="G21" s="152"/>
      <c r="H21" s="153">
        <v>43912</v>
      </c>
      <c r="I21" s="39">
        <v>800</v>
      </c>
      <c r="J21" s="67"/>
      <c r="K21" s="74"/>
      <c r="L21" s="68"/>
      <c r="M21" s="34">
        <v>121395</v>
      </c>
      <c r="N21" s="35">
        <v>4192</v>
      </c>
      <c r="O21" s="36"/>
      <c r="P21" s="36">
        <f>C21+I21+M21+N21+L21</f>
        <v>131316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43913</v>
      </c>
      <c r="C22" s="31">
        <v>15643</v>
      </c>
      <c r="D22" s="154" t="s">
        <v>208</v>
      </c>
      <c r="E22" s="151">
        <v>43913</v>
      </c>
      <c r="F22" s="32">
        <v>77087</v>
      </c>
      <c r="G22" s="152"/>
      <c r="H22" s="153">
        <v>43913</v>
      </c>
      <c r="I22" s="39">
        <v>120</v>
      </c>
      <c r="J22" s="76">
        <v>43896</v>
      </c>
      <c r="K22" s="59" t="s">
        <v>196</v>
      </c>
      <c r="L22" s="77">
        <v>1195</v>
      </c>
      <c r="M22" s="34">
        <v>57526</v>
      </c>
      <c r="N22" s="35">
        <v>3798</v>
      </c>
      <c r="O22" s="36"/>
      <c r="P22" s="36">
        <f>C22+I22+M22+N22</f>
        <v>77087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43914</v>
      </c>
      <c r="C23" s="31">
        <v>2072</v>
      </c>
      <c r="D23" s="154" t="s">
        <v>209</v>
      </c>
      <c r="E23" s="151">
        <v>43914</v>
      </c>
      <c r="F23" s="32">
        <v>79388</v>
      </c>
      <c r="G23" s="152"/>
      <c r="H23" s="153">
        <v>43914</v>
      </c>
      <c r="I23" s="39">
        <v>114</v>
      </c>
      <c r="J23" s="79"/>
      <c r="K23" s="166"/>
      <c r="L23" s="68"/>
      <c r="M23" s="34">
        <v>75294</v>
      </c>
      <c r="N23" s="35">
        <v>1908</v>
      </c>
      <c r="O23" s="36"/>
      <c r="P23" s="36">
        <f t="shared" ref="P23" si="2">C23+I23+M23+N23</f>
        <v>79388</v>
      </c>
      <c r="Q23" s="5"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43915</v>
      </c>
      <c r="C24" s="31">
        <v>19448.5</v>
      </c>
      <c r="D24" s="154" t="s">
        <v>205</v>
      </c>
      <c r="E24" s="151">
        <v>43915</v>
      </c>
      <c r="F24" s="32">
        <v>71607</v>
      </c>
      <c r="G24" s="152"/>
      <c r="H24" s="153">
        <v>43915</v>
      </c>
      <c r="I24" s="39">
        <v>0</v>
      </c>
      <c r="J24" s="80"/>
      <c r="K24" s="81"/>
      <c r="L24" s="82"/>
      <c r="M24" s="34">
        <v>48563.5</v>
      </c>
      <c r="N24" s="35">
        <v>3595</v>
      </c>
      <c r="O24" s="36"/>
      <c r="P24" s="36">
        <f>C24+I24+M24+N24</f>
        <v>71607</v>
      </c>
      <c r="Q24" s="5">
        <f t="shared" si="1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43916</v>
      </c>
      <c r="C25" s="31">
        <v>3410</v>
      </c>
      <c r="D25" s="154" t="s">
        <v>210</v>
      </c>
      <c r="E25" s="151">
        <v>43916</v>
      </c>
      <c r="F25" s="32">
        <v>58924</v>
      </c>
      <c r="G25" s="152"/>
      <c r="H25" s="153">
        <v>43916</v>
      </c>
      <c r="I25" s="39">
        <v>5010</v>
      </c>
      <c r="J25" s="83"/>
      <c r="K25" s="84"/>
      <c r="L25" s="62"/>
      <c r="M25" s="34">
        <f>45140+3485</f>
        <v>48625</v>
      </c>
      <c r="N25" s="35">
        <v>1879</v>
      </c>
      <c r="O25" s="36" t="s">
        <v>12</v>
      </c>
      <c r="P25" s="36">
        <f>C25+I25+M25+N25</f>
        <v>58924</v>
      </c>
      <c r="Q25" s="5">
        <f t="shared" si="1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43917</v>
      </c>
      <c r="C26" s="31">
        <v>3958</v>
      </c>
      <c r="D26" s="154" t="s">
        <v>211</v>
      </c>
      <c r="E26" s="151">
        <v>43917</v>
      </c>
      <c r="F26" s="32">
        <v>87194</v>
      </c>
      <c r="G26" s="152"/>
      <c r="H26" s="153">
        <v>43917</v>
      </c>
      <c r="I26" s="39">
        <v>0</v>
      </c>
      <c r="J26" s="67"/>
      <c r="K26" s="85"/>
      <c r="L26" s="55"/>
      <c r="M26" s="34">
        <f>69835+10601</f>
        <v>80436</v>
      </c>
      <c r="N26" s="35">
        <v>2796</v>
      </c>
      <c r="O26" s="36"/>
      <c r="P26" s="36">
        <f>C26+I26+M26+N26++L19</f>
        <v>87190</v>
      </c>
      <c r="Q26" s="246">
        <f t="shared" si="1"/>
        <v>-4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43918</v>
      </c>
      <c r="C27" s="31">
        <v>9980</v>
      </c>
      <c r="D27" s="154" t="s">
        <v>75</v>
      </c>
      <c r="E27" s="151">
        <v>43918</v>
      </c>
      <c r="F27" s="32">
        <v>132064</v>
      </c>
      <c r="G27" s="152"/>
      <c r="H27" s="153">
        <v>43918</v>
      </c>
      <c r="I27" s="39">
        <v>15155</v>
      </c>
      <c r="J27" s="228" t="s">
        <v>223</v>
      </c>
      <c r="K27" s="163" t="s">
        <v>135</v>
      </c>
      <c r="L27" s="161">
        <v>1315.86</v>
      </c>
      <c r="M27" s="34">
        <v>92765</v>
      </c>
      <c r="N27" s="35">
        <v>4449</v>
      </c>
      <c r="O27" s="36"/>
      <c r="P27" s="36">
        <f>C27+I27+M27+N27+L16</f>
        <v>140190.57</v>
      </c>
      <c r="Q27" s="201">
        <f>P27-F27+5800</f>
        <v>13926.570000000007</v>
      </c>
      <c r="R27" s="247" t="s">
        <v>15</v>
      </c>
      <c r="V27" s="29"/>
      <c r="W27" s="38" t="s">
        <v>10</v>
      </c>
      <c r="X27" s="196">
        <v>0</v>
      </c>
      <c r="Y27" s="41"/>
      <c r="AA27" s="19" t="s">
        <v>149</v>
      </c>
      <c r="AB27" s="167"/>
      <c r="AC27" s="21">
        <v>0</v>
      </c>
    </row>
    <row r="28" spans="1:29" ht="16.5" thickBot="1" x14ac:dyDescent="0.3">
      <c r="A28" s="30"/>
      <c r="B28" s="149">
        <v>43919</v>
      </c>
      <c r="C28" s="248">
        <v>0</v>
      </c>
      <c r="D28" s="266" t="s">
        <v>235</v>
      </c>
      <c r="E28" s="151">
        <v>43919</v>
      </c>
      <c r="F28" s="249">
        <v>0</v>
      </c>
      <c r="G28" s="152"/>
      <c r="H28" s="153">
        <v>43919</v>
      </c>
      <c r="I28" s="250">
        <v>0</v>
      </c>
      <c r="J28" s="228" t="s">
        <v>223</v>
      </c>
      <c r="K28" s="164" t="s">
        <v>234</v>
      </c>
      <c r="L28" s="161">
        <v>4753.2</v>
      </c>
      <c r="M28" s="251">
        <v>0</v>
      </c>
      <c r="N28" s="252">
        <v>0</v>
      </c>
      <c r="O28" s="36"/>
      <c r="P28" s="253">
        <f>C28+I28+M28+N28</f>
        <v>0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43920</v>
      </c>
      <c r="C29" s="31">
        <v>6251</v>
      </c>
      <c r="D29" s="241" t="s">
        <v>212</v>
      </c>
      <c r="E29" s="239">
        <v>43920</v>
      </c>
      <c r="F29" s="32">
        <v>142734</v>
      </c>
      <c r="G29" s="152"/>
      <c r="H29" s="153">
        <v>43920</v>
      </c>
      <c r="I29" s="39">
        <v>4200</v>
      </c>
      <c r="J29" s="228" t="s">
        <v>223</v>
      </c>
      <c r="K29" s="163" t="s">
        <v>230</v>
      </c>
      <c r="L29" s="161">
        <v>3636</v>
      </c>
      <c r="M29" s="34">
        <v>110000</v>
      </c>
      <c r="N29" s="35">
        <v>2298</v>
      </c>
      <c r="O29" s="36"/>
      <c r="P29" s="36">
        <f>C29+I29+M29+N29</f>
        <v>122749</v>
      </c>
      <c r="Q29" s="5">
        <f>P29-F29+L9</f>
        <v>15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43921</v>
      </c>
      <c r="C30" s="242">
        <v>15606</v>
      </c>
      <c r="D30" s="243" t="s">
        <v>205</v>
      </c>
      <c r="E30" s="239">
        <v>43921</v>
      </c>
      <c r="F30" s="32">
        <v>65762</v>
      </c>
      <c r="G30" s="152"/>
      <c r="H30" s="153">
        <v>43921</v>
      </c>
      <c r="I30" s="244">
        <v>525</v>
      </c>
      <c r="J30" s="228" t="s">
        <v>223</v>
      </c>
      <c r="K30" s="260" t="s">
        <v>229</v>
      </c>
      <c r="L30" s="162">
        <v>2104.91</v>
      </c>
      <c r="M30" s="34">
        <v>44900</v>
      </c>
      <c r="N30" s="35">
        <v>4742</v>
      </c>
      <c r="O30" s="36"/>
      <c r="P30" s="36">
        <f>C30+I30+M30+N30</f>
        <v>65773</v>
      </c>
      <c r="Q30" s="5">
        <f t="shared" si="1"/>
        <v>11</v>
      </c>
      <c r="V30" s="29"/>
      <c r="W30" s="44" t="s">
        <v>11</v>
      </c>
      <c r="X30" s="196">
        <v>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43922</v>
      </c>
      <c r="C31" s="238">
        <v>4289</v>
      </c>
      <c r="D31" s="243" t="s">
        <v>213</v>
      </c>
      <c r="E31" s="239">
        <v>43922</v>
      </c>
      <c r="F31" s="32">
        <v>64615</v>
      </c>
      <c r="G31" s="152"/>
      <c r="H31" s="153">
        <v>43922</v>
      </c>
      <c r="I31" s="244">
        <v>4181</v>
      </c>
      <c r="J31" s="228" t="s">
        <v>223</v>
      </c>
      <c r="K31" s="164" t="s">
        <v>228</v>
      </c>
      <c r="L31" s="161">
        <v>3219.79</v>
      </c>
      <c r="M31" s="34">
        <v>53018</v>
      </c>
      <c r="N31" s="35">
        <v>3127</v>
      </c>
      <c r="O31" s="36"/>
      <c r="P31" s="36">
        <f t="shared" ref="P31:P38" si="3">C31+I31+M31+N31+L18</f>
        <v>64615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43923</v>
      </c>
      <c r="C32" s="238">
        <v>20009</v>
      </c>
      <c r="D32" s="243" t="s">
        <v>218</v>
      </c>
      <c r="E32" s="239">
        <v>43923</v>
      </c>
      <c r="F32" s="237">
        <v>66732</v>
      </c>
      <c r="G32" s="152"/>
      <c r="H32" s="153">
        <v>43923</v>
      </c>
      <c r="I32" s="244">
        <v>0</v>
      </c>
      <c r="J32" s="228" t="s">
        <v>223</v>
      </c>
      <c r="K32" s="163" t="s">
        <v>224</v>
      </c>
      <c r="L32" s="161">
        <v>10000</v>
      </c>
      <c r="M32" s="258">
        <v>40576</v>
      </c>
      <c r="N32" s="35">
        <v>6147</v>
      </c>
      <c r="O32" s="257" t="s">
        <v>220</v>
      </c>
      <c r="P32" s="36">
        <f t="shared" si="3"/>
        <v>66732</v>
      </c>
      <c r="Q32" s="5">
        <f t="shared" si="1"/>
        <v>0</v>
      </c>
      <c r="V32" s="29"/>
      <c r="W32" s="44" t="s">
        <v>11</v>
      </c>
      <c r="X32" s="196">
        <v>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43924</v>
      </c>
      <c r="C33" s="238">
        <v>11027.84</v>
      </c>
      <c r="D33" s="255" t="s">
        <v>219</v>
      </c>
      <c r="E33" s="240">
        <v>43924</v>
      </c>
      <c r="F33" s="176">
        <v>77182</v>
      </c>
      <c r="H33" s="153">
        <v>43924</v>
      </c>
      <c r="I33" s="244">
        <v>10020</v>
      </c>
      <c r="J33" s="228" t="s">
        <v>223</v>
      </c>
      <c r="K33" s="165" t="s">
        <v>231</v>
      </c>
      <c r="L33" s="161">
        <v>22305.960999999999</v>
      </c>
      <c r="M33" s="258">
        <v>50516</v>
      </c>
      <c r="N33" s="35">
        <v>5620</v>
      </c>
      <c r="O33" s="256" t="s">
        <v>220</v>
      </c>
      <c r="P33" s="36">
        <f t="shared" si="3"/>
        <v>77183.839999999997</v>
      </c>
      <c r="Q33" s="5">
        <f t="shared" si="1"/>
        <v>1.8399999999965075</v>
      </c>
      <c r="R33" s="36"/>
      <c r="V33" s="29"/>
      <c r="W33" s="44" t="s">
        <v>11</v>
      </c>
      <c r="X33" s="196">
        <v>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>
        <v>43925</v>
      </c>
      <c r="C34" s="238">
        <v>4502</v>
      </c>
      <c r="D34" s="254" t="s">
        <v>221</v>
      </c>
      <c r="E34" s="240">
        <v>43925</v>
      </c>
      <c r="F34" s="176">
        <v>106289</v>
      </c>
      <c r="H34" s="153">
        <v>43925</v>
      </c>
      <c r="I34" s="244">
        <v>0</v>
      </c>
      <c r="J34" s="228" t="s">
        <v>223</v>
      </c>
      <c r="K34" s="164" t="s">
        <v>225</v>
      </c>
      <c r="L34" s="161">
        <v>2506.1</v>
      </c>
      <c r="M34" s="258">
        <v>83206</v>
      </c>
      <c r="N34" s="35">
        <v>8011</v>
      </c>
      <c r="O34" s="256" t="s">
        <v>220</v>
      </c>
      <c r="P34" s="36">
        <f>C34+I34+M34+N34+L17</f>
        <v>115167.57</v>
      </c>
      <c r="Q34" s="201">
        <f t="shared" si="1"/>
        <v>8878.570000000007</v>
      </c>
      <c r="R34" s="36"/>
      <c r="V34" s="29"/>
      <c r="W34" s="38" t="s">
        <v>10</v>
      </c>
      <c r="X34" s="196">
        <v>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>
        <v>43926</v>
      </c>
      <c r="C35" s="238">
        <v>1317</v>
      </c>
      <c r="D35" s="259" t="s">
        <v>72</v>
      </c>
      <c r="E35" s="240">
        <v>43926</v>
      </c>
      <c r="F35" s="176">
        <v>76644</v>
      </c>
      <c r="H35" s="153">
        <v>43926</v>
      </c>
      <c r="I35" s="244">
        <v>0</v>
      </c>
      <c r="J35" s="228" t="s">
        <v>223</v>
      </c>
      <c r="K35" s="164" t="s">
        <v>227</v>
      </c>
      <c r="L35" s="161">
        <v>555</v>
      </c>
      <c r="M35" s="34">
        <v>72614</v>
      </c>
      <c r="N35" s="35">
        <v>2713</v>
      </c>
      <c r="O35" s="256" t="s">
        <v>17</v>
      </c>
      <c r="P35" s="36">
        <f>C35+I35+M35+N35</f>
        <v>76644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>
        <v>43927</v>
      </c>
      <c r="C36" s="238">
        <v>18453.77</v>
      </c>
      <c r="D36" s="259" t="s">
        <v>222</v>
      </c>
      <c r="E36" s="240">
        <v>43927</v>
      </c>
      <c r="F36" s="176">
        <v>82500</v>
      </c>
      <c r="H36" s="153">
        <v>43927</v>
      </c>
      <c r="I36" s="244">
        <v>0</v>
      </c>
      <c r="J36" s="228" t="s">
        <v>223</v>
      </c>
      <c r="K36" s="164" t="s">
        <v>232</v>
      </c>
      <c r="L36" s="161">
        <v>6017.6</v>
      </c>
      <c r="M36" s="258">
        <v>60250</v>
      </c>
      <c r="N36" s="35">
        <v>3797</v>
      </c>
      <c r="O36" s="256" t="s">
        <v>220</v>
      </c>
      <c r="P36" s="36">
        <f t="shared" si="3"/>
        <v>82500.77</v>
      </c>
      <c r="Q36" s="5">
        <f t="shared" si="1"/>
        <v>0.77000000000407454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>
        <v>43928</v>
      </c>
      <c r="C37" s="238">
        <v>3573</v>
      </c>
      <c r="D37" s="259" t="s">
        <v>48</v>
      </c>
      <c r="E37" s="240">
        <v>43928</v>
      </c>
      <c r="F37" s="176">
        <v>81421</v>
      </c>
      <c r="H37" s="153">
        <v>43928</v>
      </c>
      <c r="I37" s="244">
        <v>271</v>
      </c>
      <c r="J37" s="228" t="s">
        <v>223</v>
      </c>
      <c r="K37" s="163" t="s">
        <v>233</v>
      </c>
      <c r="L37" s="161">
        <v>942.07</v>
      </c>
      <c r="M37" s="258">
        <v>74845</v>
      </c>
      <c r="N37" s="35">
        <v>2732</v>
      </c>
      <c r="O37" s="256" t="s">
        <v>220</v>
      </c>
      <c r="P37" s="36">
        <f t="shared" si="3"/>
        <v>81421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267">
        <v>43896</v>
      </c>
      <c r="C38" s="268">
        <v>18259.599999999999</v>
      </c>
      <c r="D38" s="259" t="s">
        <v>80</v>
      </c>
      <c r="E38" s="98"/>
      <c r="F38" s="36"/>
      <c r="H38" s="153"/>
      <c r="I38" s="36"/>
      <c r="J38" s="228" t="s">
        <v>223</v>
      </c>
      <c r="K38" s="265" t="s">
        <v>226</v>
      </c>
      <c r="L38" s="77">
        <v>18525</v>
      </c>
      <c r="M38" s="34">
        <v>0</v>
      </c>
      <c r="N38" s="35">
        <v>0</v>
      </c>
      <c r="O38" s="256"/>
      <c r="P38" s="36">
        <f t="shared" si="3"/>
        <v>18259.599999999999</v>
      </c>
      <c r="Q38" s="5">
        <f t="shared" si="1"/>
        <v>18259.599999999999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/>
      <c r="G39" s="110"/>
      <c r="H39" s="153">
        <v>43907</v>
      </c>
      <c r="I39" s="109"/>
      <c r="J39" s="228"/>
      <c r="K39" s="265"/>
      <c r="L39" s="77"/>
      <c r="M39" s="112">
        <f>SUM(M5:M38)</f>
        <v>2416178</v>
      </c>
      <c r="N39" s="113">
        <f>SUM(N5:N38)</f>
        <v>115565</v>
      </c>
      <c r="O39" s="114"/>
      <c r="P39" s="114">
        <f>SUM(P5:P38)</f>
        <v>2970321.27</v>
      </c>
      <c r="Q39" s="114">
        <f>SUM(Q5:Q38)</f>
        <v>85595.270000000019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270856.70999999996</v>
      </c>
      <c r="D40" s="117"/>
      <c r="E40" s="118" t="s">
        <v>16</v>
      </c>
      <c r="F40" s="119">
        <f>SUM(F5:F39)</f>
        <v>2910526</v>
      </c>
      <c r="G40" s="117"/>
      <c r="H40" s="120" t="s">
        <v>16</v>
      </c>
      <c r="I40" s="121">
        <f>SUM(I5:I39)</f>
        <v>70021.279999999999</v>
      </c>
      <c r="J40" s="93"/>
      <c r="K40" s="122" t="s">
        <v>16</v>
      </c>
      <c r="L40" s="123">
        <f>SUM(L6:L39)</f>
        <v>217065.77100000004</v>
      </c>
      <c r="O40" s="5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20.25" thickTop="1" thickBot="1" x14ac:dyDescent="0.3">
      <c r="C41" s="8" t="s">
        <v>12</v>
      </c>
      <c r="M41" s="636">
        <f>N39+M39</f>
        <v>2531743</v>
      </c>
      <c r="N41" s="637"/>
      <c r="O41" s="124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638" t="s">
        <v>18</v>
      </c>
      <c r="I42" s="639"/>
      <c r="J42" s="232"/>
      <c r="K42" s="640">
        <f>I40+L40</f>
        <v>287087.05100000004</v>
      </c>
      <c r="L42" s="641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5.75" x14ac:dyDescent="0.25">
      <c r="D43" s="642" t="s">
        <v>19</v>
      </c>
      <c r="E43" s="642"/>
      <c r="F43" s="129">
        <f>F40-K42-C40</f>
        <v>2352582.2390000001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655" t="s">
        <v>20</v>
      </c>
      <c r="E44" s="655"/>
      <c r="F44" s="131">
        <v>-2140783.8199999998</v>
      </c>
      <c r="I44" s="656" t="s">
        <v>21</v>
      </c>
      <c r="J44" s="657"/>
      <c r="K44" s="658">
        <f>F49</f>
        <v>471981.31900000025</v>
      </c>
      <c r="L44" s="659"/>
      <c r="P44" s="127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127"/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211798.41900000023</v>
      </c>
      <c r="H46" s="30"/>
      <c r="I46" s="137" t="s">
        <v>23</v>
      </c>
      <c r="J46" s="138"/>
      <c r="K46" s="627">
        <f>-C4</f>
        <v>-364365.66</v>
      </c>
      <c r="L46" s="628"/>
      <c r="M46" s="214"/>
      <c r="P46" s="127"/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17981</v>
      </c>
      <c r="P47" s="127"/>
      <c r="V47" s="8"/>
    </row>
    <row r="48" spans="1:29" ht="20.25" thickTop="1" thickBot="1" x14ac:dyDescent="0.35">
      <c r="C48" s="231">
        <v>43928</v>
      </c>
      <c r="D48" s="629" t="s">
        <v>26</v>
      </c>
      <c r="E48" s="630"/>
      <c r="F48" s="142">
        <v>242201.9</v>
      </c>
      <c r="I48" s="631" t="s">
        <v>129</v>
      </c>
      <c r="J48" s="632"/>
      <c r="K48" s="633">
        <f>K44+K46</f>
        <v>107615.65900000028</v>
      </c>
      <c r="L48" s="634"/>
      <c r="P48" s="127"/>
    </row>
    <row r="49" spans="2:18" ht="18.75" x14ac:dyDescent="0.3">
      <c r="C49" s="143"/>
      <c r="D49" s="144"/>
      <c r="E49" s="61" t="s">
        <v>27</v>
      </c>
      <c r="F49" s="145">
        <f>F46+F47+F48</f>
        <v>471981.31900000025</v>
      </c>
      <c r="J49" s="9"/>
      <c r="M49" s="146"/>
      <c r="P49" s="36"/>
    </row>
    <row r="50" spans="2:18" x14ac:dyDescent="0.25">
      <c r="P50" s="36"/>
    </row>
    <row r="51" spans="2:18" x14ac:dyDescent="0.25">
      <c r="B51"/>
      <c r="C51"/>
      <c r="D51" s="635"/>
      <c r="E51" s="635"/>
      <c r="M51" s="147"/>
      <c r="N51" s="59"/>
      <c r="O51" s="59"/>
      <c r="P51" s="128"/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30:L39">
    <sortCondition ref="K30:K39"/>
  </sortState>
  <mergeCells count="20"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  <mergeCell ref="D51:E51"/>
    <mergeCell ref="D44:E44"/>
    <mergeCell ref="I44:J44"/>
    <mergeCell ref="K44:L44"/>
    <mergeCell ref="K46:L46"/>
    <mergeCell ref="D48:E48"/>
    <mergeCell ref="I48:J48"/>
    <mergeCell ref="K48:L48"/>
  </mergeCells>
  <phoneticPr fontId="30" type="noConversion"/>
  <pageMargins left="0.19685039370078741" right="0.15748031496062992" top="0.31496062992125984" bottom="0.27559055118110237" header="0.31496062992125984" footer="0.23622047244094491"/>
  <pageSetup scale="73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666-CF7B-4E24-9491-9BBCA2792E66}">
  <sheetPr>
    <tabColor rgb="FF00B050"/>
  </sheetPr>
  <dimension ref="A1:F87"/>
  <sheetViews>
    <sheetView topLeftCell="A37" workbookViewId="0">
      <selection activeCell="D44" sqref="D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43896</v>
      </c>
      <c r="B3" s="172">
        <v>7197</v>
      </c>
      <c r="C3" s="5">
        <v>107476.78</v>
      </c>
      <c r="D3" s="63"/>
      <c r="E3" s="5"/>
      <c r="F3" s="173">
        <f>C3-E3</f>
        <v>107476.78</v>
      </c>
    </row>
    <row r="4" spans="1:6" x14ac:dyDescent="0.25">
      <c r="A4" s="174">
        <v>43896</v>
      </c>
      <c r="B4" s="175">
        <v>7198</v>
      </c>
      <c r="C4" s="176">
        <v>2430</v>
      </c>
      <c r="D4" s="177"/>
      <c r="E4" s="176"/>
      <c r="F4" s="173">
        <f>F3+C4-E4</f>
        <v>109906.78</v>
      </c>
    </row>
    <row r="5" spans="1:6" x14ac:dyDescent="0.25">
      <c r="A5" s="177">
        <v>43897</v>
      </c>
      <c r="B5" s="175">
        <v>7282</v>
      </c>
      <c r="C5" s="176">
        <v>69850.490000000005</v>
      </c>
      <c r="D5" s="177"/>
      <c r="E5" s="176"/>
      <c r="F5" s="173">
        <f t="shared" ref="F5:F50" si="0">F4+C5-E5</f>
        <v>179757.27000000002</v>
      </c>
    </row>
    <row r="6" spans="1:6" x14ac:dyDescent="0.25">
      <c r="A6" s="177">
        <v>43898</v>
      </c>
      <c r="B6" s="175">
        <v>7375</v>
      </c>
      <c r="C6" s="176">
        <v>11373.8</v>
      </c>
      <c r="D6" s="177"/>
      <c r="E6" s="176"/>
      <c r="F6" s="173">
        <f t="shared" si="0"/>
        <v>191131.07</v>
      </c>
    </row>
    <row r="7" spans="1:6" x14ac:dyDescent="0.25">
      <c r="A7" s="177">
        <v>43899</v>
      </c>
      <c r="B7" s="175">
        <v>7452</v>
      </c>
      <c r="C7" s="176">
        <v>48853.36</v>
      </c>
      <c r="D7" s="177">
        <v>43900</v>
      </c>
      <c r="E7" s="176">
        <v>239984.43</v>
      </c>
      <c r="F7" s="173">
        <f t="shared" si="0"/>
        <v>0</v>
      </c>
    </row>
    <row r="8" spans="1:6" x14ac:dyDescent="0.25">
      <c r="A8" s="177">
        <v>43900</v>
      </c>
      <c r="B8" s="175">
        <v>7578</v>
      </c>
      <c r="C8" s="176">
        <v>70534.679999999993</v>
      </c>
      <c r="D8" s="177"/>
      <c r="E8" s="176"/>
      <c r="F8" s="173">
        <f t="shared" si="0"/>
        <v>70534.679999999993</v>
      </c>
    </row>
    <row r="9" spans="1:6" x14ac:dyDescent="0.25">
      <c r="A9" s="177">
        <v>43902</v>
      </c>
      <c r="B9" s="175">
        <v>7837</v>
      </c>
      <c r="C9" s="176">
        <v>122162.05</v>
      </c>
      <c r="D9" s="177"/>
      <c r="E9" s="176"/>
      <c r="F9" s="173">
        <f t="shared" si="0"/>
        <v>192696.72999999998</v>
      </c>
    </row>
    <row r="10" spans="1:6" x14ac:dyDescent="0.25">
      <c r="A10" s="177">
        <v>43902</v>
      </c>
      <c r="B10" s="175">
        <v>7838</v>
      </c>
      <c r="C10" s="176">
        <v>13112</v>
      </c>
      <c r="D10" s="177">
        <v>43904</v>
      </c>
      <c r="E10" s="176">
        <v>205808.73</v>
      </c>
      <c r="F10" s="173">
        <f t="shared" si="0"/>
        <v>0</v>
      </c>
    </row>
    <row r="11" spans="1:6" x14ac:dyDescent="0.25">
      <c r="A11" s="174">
        <v>43904</v>
      </c>
      <c r="B11" s="175">
        <v>8048</v>
      </c>
      <c r="C11" s="176">
        <v>2314.4</v>
      </c>
      <c r="D11" s="177"/>
      <c r="E11" s="176"/>
      <c r="F11" s="173">
        <f t="shared" si="0"/>
        <v>2314.4</v>
      </c>
    </row>
    <row r="12" spans="1:6" x14ac:dyDescent="0.25">
      <c r="A12" s="177">
        <v>43904</v>
      </c>
      <c r="B12" s="175">
        <v>8095</v>
      </c>
      <c r="C12" s="176">
        <v>220621.41</v>
      </c>
      <c r="D12" s="177"/>
      <c r="E12" s="176"/>
      <c r="F12" s="173">
        <f t="shared" si="0"/>
        <v>222935.81</v>
      </c>
    </row>
    <row r="13" spans="1:6" x14ac:dyDescent="0.25">
      <c r="A13" s="177">
        <v>43905</v>
      </c>
      <c r="B13" s="175">
        <v>8140</v>
      </c>
      <c r="C13" s="176">
        <v>48809.4</v>
      </c>
      <c r="D13" s="177"/>
      <c r="E13" s="176"/>
      <c r="F13" s="173">
        <f t="shared" si="0"/>
        <v>271745.21000000002</v>
      </c>
    </row>
    <row r="14" spans="1:6" x14ac:dyDescent="0.25">
      <c r="A14" s="177">
        <v>43905</v>
      </c>
      <c r="B14" s="175">
        <v>8143</v>
      </c>
      <c r="C14" s="176">
        <v>125</v>
      </c>
      <c r="D14" s="177"/>
      <c r="E14" s="176"/>
      <c r="F14" s="173">
        <f t="shared" si="0"/>
        <v>271870.21000000002</v>
      </c>
    </row>
    <row r="15" spans="1:6" x14ac:dyDescent="0.25">
      <c r="A15" s="177">
        <v>43906</v>
      </c>
      <c r="B15" s="175">
        <v>8272</v>
      </c>
      <c r="C15" s="176">
        <v>111259.1</v>
      </c>
      <c r="D15" s="177"/>
      <c r="E15" s="176"/>
      <c r="F15" s="173">
        <f t="shared" si="0"/>
        <v>383129.31000000006</v>
      </c>
    </row>
    <row r="16" spans="1:6" x14ac:dyDescent="0.25">
      <c r="A16" s="177">
        <v>43908</v>
      </c>
      <c r="B16" s="175">
        <v>8463</v>
      </c>
      <c r="C16" s="176">
        <v>64793.22</v>
      </c>
      <c r="D16" s="177"/>
      <c r="E16" s="176"/>
      <c r="F16" s="173">
        <f t="shared" si="0"/>
        <v>447922.53</v>
      </c>
    </row>
    <row r="17" spans="1:6" x14ac:dyDescent="0.25">
      <c r="A17" s="177">
        <v>43909</v>
      </c>
      <c r="B17" s="175">
        <v>8560</v>
      </c>
      <c r="C17" s="176">
        <v>1180</v>
      </c>
      <c r="D17" s="177">
        <v>43909</v>
      </c>
      <c r="E17" s="176">
        <v>449102.53</v>
      </c>
      <c r="F17" s="173">
        <f t="shared" si="0"/>
        <v>0</v>
      </c>
    </row>
    <row r="18" spans="1:6" x14ac:dyDescent="0.25">
      <c r="A18" s="177">
        <v>43910</v>
      </c>
      <c r="B18" s="175">
        <v>8652</v>
      </c>
      <c r="C18" s="176">
        <v>152548.12</v>
      </c>
      <c r="D18" s="177"/>
      <c r="E18" s="176"/>
      <c r="F18" s="173">
        <f t="shared" si="0"/>
        <v>152548.12</v>
      </c>
    </row>
    <row r="19" spans="1:6" x14ac:dyDescent="0.25">
      <c r="A19" s="177">
        <v>43910</v>
      </c>
      <c r="B19" s="175">
        <v>8688</v>
      </c>
      <c r="C19" s="176">
        <v>53618.85</v>
      </c>
      <c r="D19" s="177"/>
      <c r="E19" s="176"/>
      <c r="F19" s="173">
        <f t="shared" si="0"/>
        <v>206166.97</v>
      </c>
    </row>
    <row r="20" spans="1:6" x14ac:dyDescent="0.25">
      <c r="A20" s="177">
        <v>43911</v>
      </c>
      <c r="B20" s="175">
        <v>8793</v>
      </c>
      <c r="C20" s="176">
        <v>1443.3</v>
      </c>
      <c r="D20" s="177"/>
      <c r="E20" s="176"/>
      <c r="F20" s="173">
        <f t="shared" si="0"/>
        <v>207610.27</v>
      </c>
    </row>
    <row r="21" spans="1:6" x14ac:dyDescent="0.25">
      <c r="A21" s="177">
        <v>43911</v>
      </c>
      <c r="B21" s="175">
        <v>8811</v>
      </c>
      <c r="C21" s="176">
        <v>169567.84</v>
      </c>
      <c r="D21" s="177"/>
      <c r="E21" s="176"/>
      <c r="F21" s="173">
        <f t="shared" si="0"/>
        <v>377178.11</v>
      </c>
    </row>
    <row r="22" spans="1:6" x14ac:dyDescent="0.25">
      <c r="A22" s="177">
        <v>43911</v>
      </c>
      <c r="B22" s="175">
        <v>8869</v>
      </c>
      <c r="C22" s="176">
        <v>12504.8</v>
      </c>
      <c r="D22" s="177"/>
      <c r="E22" s="176"/>
      <c r="F22" s="173">
        <f t="shared" si="0"/>
        <v>389682.91</v>
      </c>
    </row>
    <row r="23" spans="1:6" x14ac:dyDescent="0.25">
      <c r="A23" s="177">
        <v>43912</v>
      </c>
      <c r="B23" s="175">
        <v>8926</v>
      </c>
      <c r="C23" s="176">
        <v>5334.5</v>
      </c>
      <c r="D23" s="177"/>
      <c r="E23" s="176"/>
      <c r="F23" s="173">
        <f t="shared" si="0"/>
        <v>395017.41</v>
      </c>
    </row>
    <row r="24" spans="1:6" x14ac:dyDescent="0.25">
      <c r="A24" s="177">
        <v>43913</v>
      </c>
      <c r="B24" s="175">
        <v>8959</v>
      </c>
      <c r="C24" s="176">
        <v>2700</v>
      </c>
      <c r="D24" s="177"/>
      <c r="E24" s="176"/>
      <c r="F24" s="173">
        <f t="shared" si="0"/>
        <v>397717.41</v>
      </c>
    </row>
    <row r="25" spans="1:6" x14ac:dyDescent="0.25">
      <c r="A25" s="177">
        <v>43914</v>
      </c>
      <c r="B25" s="175">
        <v>9087</v>
      </c>
      <c r="C25" s="176">
        <v>98444.92</v>
      </c>
      <c r="D25" s="177"/>
      <c r="E25" s="176"/>
      <c r="F25" s="173">
        <f t="shared" si="0"/>
        <v>496162.32999999996</v>
      </c>
    </row>
    <row r="26" spans="1:6" x14ac:dyDescent="0.25">
      <c r="A26" s="177">
        <v>43914</v>
      </c>
      <c r="B26" s="175">
        <v>9088</v>
      </c>
      <c r="C26" s="176">
        <v>12050.8</v>
      </c>
      <c r="D26" s="177"/>
      <c r="E26" s="176"/>
      <c r="F26" s="173">
        <f t="shared" si="0"/>
        <v>508213.12999999995</v>
      </c>
    </row>
    <row r="27" spans="1:6" x14ac:dyDescent="0.25">
      <c r="A27" s="177">
        <v>43915</v>
      </c>
      <c r="B27" s="175">
        <v>9231</v>
      </c>
      <c r="C27" s="176">
        <v>44204.800000000003</v>
      </c>
      <c r="D27" s="177">
        <v>43916</v>
      </c>
      <c r="E27" s="176">
        <v>552417.93000000005</v>
      </c>
      <c r="F27" s="173">
        <f t="shared" si="0"/>
        <v>0</v>
      </c>
    </row>
    <row r="28" spans="1:6" x14ac:dyDescent="0.25">
      <c r="A28" s="174">
        <v>43916</v>
      </c>
      <c r="B28" s="175">
        <v>9362</v>
      </c>
      <c r="C28" s="176">
        <v>35362.400000000001</v>
      </c>
      <c r="D28" s="177"/>
      <c r="E28" s="176"/>
      <c r="F28" s="173">
        <f t="shared" si="0"/>
        <v>35362.400000000001</v>
      </c>
    </row>
    <row r="29" spans="1:6" x14ac:dyDescent="0.25">
      <c r="A29" s="174">
        <v>43917</v>
      </c>
      <c r="B29" s="175">
        <v>9394</v>
      </c>
      <c r="C29" s="176">
        <v>67145.759999999995</v>
      </c>
      <c r="D29" s="177"/>
      <c r="E29" s="176"/>
      <c r="F29" s="173">
        <f t="shared" si="0"/>
        <v>102508.16</v>
      </c>
    </row>
    <row r="30" spans="1:6" x14ac:dyDescent="0.25">
      <c r="A30" s="174">
        <v>43917</v>
      </c>
      <c r="B30" s="175">
        <v>9407</v>
      </c>
      <c r="C30" s="176">
        <v>37214.74</v>
      </c>
      <c r="D30" s="177"/>
      <c r="E30" s="176"/>
      <c r="F30" s="173">
        <f t="shared" si="0"/>
        <v>139722.9</v>
      </c>
    </row>
    <row r="31" spans="1:6" x14ac:dyDescent="0.25">
      <c r="A31" s="174">
        <v>43918</v>
      </c>
      <c r="B31" s="175">
        <v>9543</v>
      </c>
      <c r="C31" s="176">
        <v>81554.399999999994</v>
      </c>
      <c r="D31" s="177"/>
      <c r="E31" s="176"/>
      <c r="F31" s="173">
        <f t="shared" si="0"/>
        <v>221277.3</v>
      </c>
    </row>
    <row r="32" spans="1:6" x14ac:dyDescent="0.25">
      <c r="A32" s="174">
        <v>43919</v>
      </c>
      <c r="B32" s="175">
        <v>9676</v>
      </c>
      <c r="C32" s="176">
        <v>32493.599999999999</v>
      </c>
      <c r="D32" s="177"/>
      <c r="E32" s="176"/>
      <c r="F32" s="173">
        <f t="shared" si="0"/>
        <v>253770.9</v>
      </c>
    </row>
    <row r="33" spans="1:6" x14ac:dyDescent="0.25">
      <c r="A33" s="174">
        <v>43919</v>
      </c>
      <c r="B33" s="175">
        <v>9687</v>
      </c>
      <c r="C33" s="176">
        <v>3709</v>
      </c>
      <c r="D33" s="177">
        <v>43920</v>
      </c>
      <c r="E33" s="176">
        <v>257479.9</v>
      </c>
      <c r="F33" s="173">
        <f t="shared" si="0"/>
        <v>0</v>
      </c>
    </row>
    <row r="34" spans="1:6" x14ac:dyDescent="0.25">
      <c r="A34" s="174">
        <v>43920</v>
      </c>
      <c r="B34" s="175">
        <v>9804</v>
      </c>
      <c r="C34" s="176">
        <v>37578.6</v>
      </c>
      <c r="D34" s="177"/>
      <c r="E34" s="176"/>
      <c r="F34" s="173">
        <f t="shared" si="0"/>
        <v>37578.6</v>
      </c>
    </row>
    <row r="35" spans="1:6" x14ac:dyDescent="0.25">
      <c r="A35" s="174">
        <v>43921</v>
      </c>
      <c r="B35" s="175">
        <v>9860</v>
      </c>
      <c r="C35" s="176">
        <v>1296</v>
      </c>
      <c r="D35" s="177"/>
      <c r="E35" s="176"/>
      <c r="F35" s="173">
        <f t="shared" si="0"/>
        <v>38874.6</v>
      </c>
    </row>
    <row r="36" spans="1:6" x14ac:dyDescent="0.25">
      <c r="A36" s="174">
        <v>43922</v>
      </c>
      <c r="B36" s="175">
        <v>9932</v>
      </c>
      <c r="C36" s="176">
        <v>77278.850000000006</v>
      </c>
      <c r="D36" s="177"/>
      <c r="E36" s="176"/>
      <c r="F36" s="173">
        <f t="shared" si="0"/>
        <v>116153.45000000001</v>
      </c>
    </row>
    <row r="37" spans="1:6" x14ac:dyDescent="0.25">
      <c r="A37" s="174">
        <v>43923</v>
      </c>
      <c r="B37" s="175">
        <v>10073</v>
      </c>
      <c r="C37" s="176">
        <v>29531.040000000001</v>
      </c>
      <c r="D37" s="177">
        <v>43925</v>
      </c>
      <c r="E37" s="176">
        <v>145684.49</v>
      </c>
      <c r="F37" s="173">
        <f t="shared" si="0"/>
        <v>0</v>
      </c>
    </row>
    <row r="38" spans="1:6" x14ac:dyDescent="0.25">
      <c r="A38" s="174">
        <v>43924</v>
      </c>
      <c r="B38" s="175">
        <v>10262</v>
      </c>
      <c r="C38" s="176">
        <v>152058.71</v>
      </c>
      <c r="D38" s="177"/>
      <c r="E38" s="176"/>
      <c r="F38" s="173">
        <f t="shared" si="0"/>
        <v>152058.71</v>
      </c>
    </row>
    <row r="39" spans="1:6" x14ac:dyDescent="0.25">
      <c r="A39" s="174">
        <v>43925</v>
      </c>
      <c r="B39" s="175">
        <v>10334</v>
      </c>
      <c r="C39" s="176">
        <v>78016.5</v>
      </c>
      <c r="D39" s="177"/>
      <c r="E39" s="176"/>
      <c r="F39" s="173">
        <f t="shared" si="0"/>
        <v>230075.21</v>
      </c>
    </row>
    <row r="40" spans="1:6" x14ac:dyDescent="0.25">
      <c r="A40" s="174">
        <v>43925</v>
      </c>
      <c r="B40" s="175">
        <v>10335</v>
      </c>
      <c r="C40" s="176">
        <v>386.4</v>
      </c>
      <c r="D40" s="177"/>
      <c r="E40" s="176"/>
      <c r="F40" s="173">
        <f t="shared" si="0"/>
        <v>230461.61</v>
      </c>
    </row>
    <row r="41" spans="1:6" x14ac:dyDescent="0.25">
      <c r="A41" s="174">
        <v>43928</v>
      </c>
      <c r="B41" s="175">
        <v>10635</v>
      </c>
      <c r="C41" s="176">
        <v>54300.3</v>
      </c>
      <c r="D41" s="177"/>
      <c r="E41" s="176"/>
      <c r="F41" s="173">
        <f t="shared" si="0"/>
        <v>284761.90999999997</v>
      </c>
    </row>
    <row r="42" spans="1:6" x14ac:dyDescent="0.25">
      <c r="A42" s="174">
        <v>43928</v>
      </c>
      <c r="B42" s="175">
        <v>10638</v>
      </c>
      <c r="C42" s="176">
        <v>5544</v>
      </c>
      <c r="D42" s="177"/>
      <c r="E42" s="176"/>
      <c r="F42" s="173">
        <f t="shared" si="0"/>
        <v>290305.90999999997</v>
      </c>
    </row>
    <row r="43" spans="1:6" x14ac:dyDescent="0.25">
      <c r="A43" s="271"/>
      <c r="B43" s="272"/>
      <c r="C43" s="176"/>
      <c r="D43" s="177">
        <v>43929</v>
      </c>
      <c r="E43" s="176">
        <v>290305.90999999997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2140783.92</v>
      </c>
      <c r="D51" s="1"/>
      <c r="E51" s="4">
        <f>SUM(E3:E50)</f>
        <v>2140783.92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218-C847-44E9-85A1-DC281CE3B628}">
  <sheetPr>
    <tabColor rgb="FF00B0F0"/>
  </sheetPr>
  <dimension ref="A1:AG78"/>
  <sheetViews>
    <sheetView tabSelected="1" topLeftCell="H2" workbookViewId="0">
      <selection activeCell="O7" sqref="O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660" t="s">
        <v>236</v>
      </c>
      <c r="D1" s="660"/>
      <c r="E1" s="660"/>
      <c r="F1" s="660"/>
      <c r="G1" s="660"/>
      <c r="H1" s="660"/>
      <c r="I1" s="660"/>
      <c r="J1" s="660"/>
      <c r="K1" s="660"/>
      <c r="L1" s="2"/>
      <c r="M1" s="3"/>
      <c r="AF1" s="643" t="s">
        <v>45</v>
      </c>
      <c r="AG1" s="644"/>
    </row>
    <row r="2" spans="1:33" ht="18" customHeight="1" thickBot="1" x14ac:dyDescent="0.35">
      <c r="C2" s="8"/>
      <c r="E2" s="667" t="s">
        <v>190</v>
      </c>
      <c r="F2" s="667"/>
      <c r="H2" s="233" t="s">
        <v>0</v>
      </c>
      <c r="I2" s="3"/>
      <c r="J2" s="3"/>
      <c r="K2" s="152"/>
      <c r="L2" s="152"/>
      <c r="M2" s="3"/>
      <c r="N2" s="5"/>
      <c r="O2" s="5"/>
      <c r="W2" s="651" t="s">
        <v>4</v>
      </c>
      <c r="X2" s="652"/>
      <c r="AA2" s="648" t="s">
        <v>43</v>
      </c>
      <c r="AB2" s="649"/>
      <c r="AC2" s="650"/>
      <c r="AE2" s="193" t="s">
        <v>44</v>
      </c>
      <c r="AF2" s="645"/>
      <c r="AG2" s="646"/>
    </row>
    <row r="3" spans="1:33" ht="18" customHeight="1" thickBot="1" x14ac:dyDescent="0.35">
      <c r="B3" s="661" t="s">
        <v>1</v>
      </c>
      <c r="C3" s="662"/>
      <c r="D3" s="15"/>
      <c r="E3" s="668"/>
      <c r="F3" s="668"/>
      <c r="I3" s="234" t="s">
        <v>2</v>
      </c>
      <c r="J3" s="235"/>
      <c r="K3" s="236" t="s">
        <v>191</v>
      </c>
      <c r="L3" s="236"/>
      <c r="W3" s="653"/>
      <c r="X3" s="654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242201.9</v>
      </c>
      <c r="D4" s="263">
        <v>43928</v>
      </c>
      <c r="E4" s="663" t="s">
        <v>6</v>
      </c>
      <c r="F4" s="664"/>
      <c r="H4" s="665" t="s">
        <v>7</v>
      </c>
      <c r="I4" s="666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43929</v>
      </c>
      <c r="C5" s="31">
        <v>560</v>
      </c>
      <c r="D5" s="150" t="s">
        <v>77</v>
      </c>
      <c r="E5" s="151">
        <v>43929</v>
      </c>
      <c r="F5" s="32">
        <v>63283</v>
      </c>
      <c r="G5" s="152"/>
      <c r="H5" s="153">
        <v>43929</v>
      </c>
      <c r="I5" s="33">
        <v>0</v>
      </c>
      <c r="M5" s="34">
        <v>57047</v>
      </c>
      <c r="N5" s="35">
        <v>4806</v>
      </c>
      <c r="O5" s="36"/>
      <c r="P5" s="36">
        <f>C5+I5+M5+N5</f>
        <v>62413</v>
      </c>
      <c r="Q5" s="5">
        <f>P5-F5+L20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43930</v>
      </c>
      <c r="C6" s="31">
        <v>31868.65</v>
      </c>
      <c r="D6" s="154" t="s">
        <v>244</v>
      </c>
      <c r="E6" s="151">
        <v>43930</v>
      </c>
      <c r="F6" s="32">
        <v>81621</v>
      </c>
      <c r="G6" s="152"/>
      <c r="H6" s="153">
        <v>43930</v>
      </c>
      <c r="I6" s="39">
        <v>0</v>
      </c>
      <c r="J6" s="40"/>
      <c r="K6" s="41"/>
      <c r="L6" s="42"/>
      <c r="M6" s="258">
        <v>49482</v>
      </c>
      <c r="N6" s="35">
        <v>2357</v>
      </c>
      <c r="O6" s="276" t="s">
        <v>220</v>
      </c>
      <c r="P6" s="36">
        <f>C6+I6+M6+N6</f>
        <v>83707.649999999994</v>
      </c>
      <c r="Q6" s="198">
        <f>P6-F6</f>
        <v>2086.6499999999942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43931</v>
      </c>
      <c r="C7" s="248">
        <v>0</v>
      </c>
      <c r="D7" s="275" t="s">
        <v>245</v>
      </c>
      <c r="E7" s="151">
        <v>43931</v>
      </c>
      <c r="F7" s="249">
        <v>0</v>
      </c>
      <c r="G7" s="152"/>
      <c r="H7" s="153">
        <v>43931</v>
      </c>
      <c r="I7" s="250">
        <v>0</v>
      </c>
      <c r="J7" s="45">
        <v>43938</v>
      </c>
      <c r="K7" s="46" t="s">
        <v>13</v>
      </c>
      <c r="L7" s="47">
        <v>1098</v>
      </c>
      <c r="M7" s="251">
        <v>0</v>
      </c>
      <c r="N7" s="252">
        <v>0</v>
      </c>
      <c r="O7" s="695" t="s">
        <v>864</v>
      </c>
      <c r="P7" s="36">
        <f>C7+I7+M7+N7</f>
        <v>0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43932</v>
      </c>
      <c r="C8" s="31">
        <v>3252</v>
      </c>
      <c r="D8" s="156" t="s">
        <v>210</v>
      </c>
      <c r="E8" s="151">
        <v>43932</v>
      </c>
      <c r="F8" s="32">
        <v>153867</v>
      </c>
      <c r="G8" s="152"/>
      <c r="H8" s="153">
        <v>43932</v>
      </c>
      <c r="I8" s="39">
        <v>10194</v>
      </c>
      <c r="J8" s="51"/>
      <c r="K8" s="49" t="s">
        <v>14</v>
      </c>
      <c r="L8" s="50">
        <v>0</v>
      </c>
      <c r="M8" s="258">
        <v>120014</v>
      </c>
      <c r="N8" s="35">
        <v>9501</v>
      </c>
      <c r="O8" s="276" t="s">
        <v>220</v>
      </c>
      <c r="P8" s="36">
        <f>C8+I8+M8+N8+L12+5800</f>
        <v>168545.61</v>
      </c>
      <c r="Q8" s="201">
        <f>P8-F8</f>
        <v>14678.609999999986</v>
      </c>
      <c r="R8" s="247" t="s">
        <v>15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43933</v>
      </c>
      <c r="C9" s="31">
        <v>1818</v>
      </c>
      <c r="D9" s="157" t="s">
        <v>68</v>
      </c>
      <c r="E9" s="151">
        <v>43933</v>
      </c>
      <c r="F9" s="32">
        <v>102527</v>
      </c>
      <c r="G9" s="152"/>
      <c r="H9" s="153">
        <v>43933</v>
      </c>
      <c r="I9" s="39">
        <v>0</v>
      </c>
      <c r="J9" s="51">
        <v>43952</v>
      </c>
      <c r="K9" s="20" t="s">
        <v>15</v>
      </c>
      <c r="L9" s="52">
        <v>20000</v>
      </c>
      <c r="M9" s="258">
        <v>96965</v>
      </c>
      <c r="N9" s="35">
        <v>3744</v>
      </c>
      <c r="O9" s="276" t="s">
        <v>220</v>
      </c>
      <c r="P9" s="36">
        <f>C9+I9+M9+N9</f>
        <v>102527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43934</v>
      </c>
      <c r="C10" s="31">
        <v>12878.68</v>
      </c>
      <c r="D10" s="155" t="s">
        <v>246</v>
      </c>
      <c r="E10" s="151">
        <v>43934</v>
      </c>
      <c r="F10" s="32">
        <v>76290</v>
      </c>
      <c r="G10" s="152"/>
      <c r="H10" s="153">
        <v>43934</v>
      </c>
      <c r="I10" s="39">
        <v>0</v>
      </c>
      <c r="J10" s="53"/>
      <c r="K10" s="54"/>
      <c r="L10" s="55"/>
      <c r="M10" s="34">
        <v>61215</v>
      </c>
      <c r="N10" s="35">
        <v>2196</v>
      </c>
      <c r="O10" s="127"/>
      <c r="P10" s="36">
        <f>C10+I10+M10+N10+L11</f>
        <v>76289.679999999993</v>
      </c>
      <c r="Q10" s="5">
        <f t="shared" si="0"/>
        <v>-0.32000000000698492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43935</v>
      </c>
      <c r="C11" s="31">
        <v>473</v>
      </c>
      <c r="D11" s="154" t="s">
        <v>247</v>
      </c>
      <c r="E11" s="151">
        <v>43935</v>
      </c>
      <c r="F11" s="32">
        <v>63926</v>
      </c>
      <c r="G11" s="152"/>
      <c r="H11" s="153">
        <v>43935</v>
      </c>
      <c r="I11" s="39">
        <v>0</v>
      </c>
      <c r="J11" s="56"/>
      <c r="K11" s="57"/>
      <c r="L11" s="55"/>
      <c r="M11" s="258">
        <v>59392</v>
      </c>
      <c r="N11" s="35">
        <v>4061</v>
      </c>
      <c r="O11" s="276" t="s">
        <v>220</v>
      </c>
      <c r="P11" s="36">
        <f>C11+I11+M11+N11</f>
        <v>63926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43936</v>
      </c>
      <c r="C12" s="31">
        <v>12114.74</v>
      </c>
      <c r="D12" s="154" t="s">
        <v>198</v>
      </c>
      <c r="E12" s="151">
        <v>43936</v>
      </c>
      <c r="F12" s="32">
        <v>126067</v>
      </c>
      <c r="G12" s="152"/>
      <c r="H12" s="153">
        <v>43936</v>
      </c>
      <c r="I12" s="39">
        <v>4000</v>
      </c>
      <c r="J12" s="60">
        <v>43932</v>
      </c>
      <c r="K12" s="20" t="s">
        <v>238</v>
      </c>
      <c r="L12" s="55">
        <f>15384.61+4000+400</f>
        <v>19784.61</v>
      </c>
      <c r="M12" s="258">
        <f>29080+27660+200+49585</f>
        <v>106525</v>
      </c>
      <c r="N12" s="35">
        <v>3423</v>
      </c>
      <c r="O12" s="298" t="s">
        <v>248</v>
      </c>
      <c r="P12" s="36">
        <f>C12+I12+M12+N12</f>
        <v>126062.74</v>
      </c>
      <c r="Q12" s="246">
        <f>P12-F12</f>
        <v>-4.2599999999947613</v>
      </c>
      <c r="S12" s="58">
        <v>8878.61</v>
      </c>
      <c r="T12" s="61" t="s">
        <v>238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43937</v>
      </c>
      <c r="C13" s="31">
        <v>1266</v>
      </c>
      <c r="D13" s="156" t="s">
        <v>72</v>
      </c>
      <c r="E13" s="151">
        <v>43937</v>
      </c>
      <c r="F13" s="32">
        <v>71749</v>
      </c>
      <c r="G13" s="152"/>
      <c r="H13" s="153">
        <v>43937</v>
      </c>
      <c r="I13" s="39">
        <v>0</v>
      </c>
      <c r="J13" s="60">
        <v>43939</v>
      </c>
      <c r="K13" s="20" t="s">
        <v>239</v>
      </c>
      <c r="L13" s="55">
        <f>16815.05+4000+400</f>
        <v>21215.05</v>
      </c>
      <c r="M13" s="258">
        <v>67386</v>
      </c>
      <c r="N13" s="35">
        <v>3097</v>
      </c>
      <c r="O13" s="276" t="s">
        <v>220</v>
      </c>
      <c r="P13" s="36">
        <f>C13+I13+M13+N13</f>
        <v>71749</v>
      </c>
      <c r="Q13" s="5">
        <f>P13-F13</f>
        <v>0</v>
      </c>
      <c r="S13" s="58">
        <v>8845.0499999999993</v>
      </c>
      <c r="T13" s="61" t="s">
        <v>239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43938</v>
      </c>
      <c r="C14" s="31">
        <v>12960</v>
      </c>
      <c r="D14" s="155" t="s">
        <v>205</v>
      </c>
      <c r="E14" s="151">
        <v>43938</v>
      </c>
      <c r="F14" s="32">
        <v>79540</v>
      </c>
      <c r="G14" s="152"/>
      <c r="H14" s="153">
        <v>43938</v>
      </c>
      <c r="I14" s="39">
        <v>10180</v>
      </c>
      <c r="J14" s="60">
        <v>43946</v>
      </c>
      <c r="K14" s="20" t="s">
        <v>240</v>
      </c>
      <c r="L14" s="55">
        <f>15882.05+4000</f>
        <v>19882.05</v>
      </c>
      <c r="M14" s="258">
        <f>47071+16475</f>
        <v>63546</v>
      </c>
      <c r="N14" s="35">
        <v>5594</v>
      </c>
      <c r="O14" s="276" t="s">
        <v>220</v>
      </c>
      <c r="P14" s="36">
        <f>C14+I14+M14+N14+L7</f>
        <v>93378</v>
      </c>
      <c r="Q14" s="198">
        <f>P14-F14</f>
        <v>13838</v>
      </c>
      <c r="S14" s="58">
        <v>8692.85</v>
      </c>
      <c r="T14" s="61" t="s">
        <v>240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43939</v>
      </c>
      <c r="C15" s="31">
        <v>6441</v>
      </c>
      <c r="D15" s="154" t="s">
        <v>249</v>
      </c>
      <c r="E15" s="151">
        <v>43939</v>
      </c>
      <c r="F15" s="32">
        <v>110316</v>
      </c>
      <c r="G15" s="152"/>
      <c r="H15" s="153">
        <v>43939</v>
      </c>
      <c r="I15" s="39">
        <v>0</v>
      </c>
      <c r="J15" s="60">
        <v>43947</v>
      </c>
      <c r="K15" s="20" t="s">
        <v>140</v>
      </c>
      <c r="L15" s="55">
        <v>400</v>
      </c>
      <c r="M15" s="258">
        <v>85248</v>
      </c>
      <c r="N15" s="35">
        <v>6257</v>
      </c>
      <c r="O15" s="276" t="s">
        <v>220</v>
      </c>
      <c r="P15" s="36">
        <f>C15+I15+M15+N15+L13</f>
        <v>119161.05</v>
      </c>
      <c r="Q15" s="201">
        <f t="shared" ref="Q15:Q38" si="1">P15-F15</f>
        <v>8845.0500000000029</v>
      </c>
      <c r="S15" s="58">
        <v>9416.66</v>
      </c>
      <c r="T15" s="61" t="s">
        <v>241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149">
        <v>43940</v>
      </c>
      <c r="C16" s="31">
        <v>8898</v>
      </c>
      <c r="D16" s="154" t="s">
        <v>69</v>
      </c>
      <c r="E16" s="151">
        <v>43940</v>
      </c>
      <c r="F16" s="32">
        <v>97344</v>
      </c>
      <c r="G16" s="152"/>
      <c r="H16" s="153">
        <v>43940</v>
      </c>
      <c r="I16" s="39">
        <v>0</v>
      </c>
      <c r="J16" s="60">
        <v>43953</v>
      </c>
      <c r="K16" s="20" t="s">
        <v>241</v>
      </c>
      <c r="L16" s="5">
        <f>18329.34+4571.44+400</f>
        <v>23300.78</v>
      </c>
      <c r="M16" s="258">
        <v>84540</v>
      </c>
      <c r="N16" s="35">
        <v>3907</v>
      </c>
      <c r="O16" s="276" t="s">
        <v>250</v>
      </c>
      <c r="P16" s="36">
        <f>C16+I16+M16+N16</f>
        <v>97345</v>
      </c>
      <c r="Q16" s="5">
        <f t="shared" si="1"/>
        <v>1</v>
      </c>
      <c r="S16" s="58">
        <v>0</v>
      </c>
      <c r="T16" s="61" t="s">
        <v>242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149">
        <v>43941</v>
      </c>
      <c r="C17" s="31">
        <v>14089.54</v>
      </c>
      <c r="D17" s="156" t="s">
        <v>198</v>
      </c>
      <c r="E17" s="151">
        <v>43941</v>
      </c>
      <c r="F17" s="32">
        <v>64172</v>
      </c>
      <c r="G17" s="152"/>
      <c r="H17" s="153">
        <v>43941</v>
      </c>
      <c r="I17" s="39">
        <v>0</v>
      </c>
      <c r="J17" s="67"/>
      <c r="K17" s="20" t="s">
        <v>254</v>
      </c>
      <c r="L17" s="68">
        <v>0</v>
      </c>
      <c r="M17" s="34">
        <v>47870</v>
      </c>
      <c r="N17" s="35">
        <v>2192</v>
      </c>
      <c r="O17" s="276"/>
      <c r="P17" s="36">
        <f>C17+I17+M17+N17</f>
        <v>64151.54</v>
      </c>
      <c r="Q17" s="280">
        <f t="shared" si="1"/>
        <v>-20.459999999999127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149">
        <v>43942</v>
      </c>
      <c r="C18" s="31">
        <v>635</v>
      </c>
      <c r="D18" s="154" t="s">
        <v>210</v>
      </c>
      <c r="E18" s="151">
        <v>43942</v>
      </c>
      <c r="F18" s="32">
        <v>63892</v>
      </c>
      <c r="G18" s="152"/>
      <c r="H18" s="153">
        <v>43942</v>
      </c>
      <c r="I18" s="39">
        <v>0</v>
      </c>
      <c r="J18" s="67"/>
      <c r="K18" s="71"/>
      <c r="L18" s="55"/>
      <c r="M18" s="258">
        <v>60271</v>
      </c>
      <c r="N18" s="35">
        <v>2985</v>
      </c>
      <c r="O18" s="276" t="s">
        <v>220</v>
      </c>
      <c r="P18" s="36">
        <f>C18+I18+M18+N18</f>
        <v>63891</v>
      </c>
      <c r="Q18" s="246">
        <f t="shared" si="1"/>
        <v>-1</v>
      </c>
      <c r="S18" s="5">
        <f>SUM(S11:S17)</f>
        <v>35833.17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149">
        <v>43943</v>
      </c>
      <c r="C19" s="31">
        <v>2110</v>
      </c>
      <c r="D19" s="154" t="s">
        <v>83</v>
      </c>
      <c r="E19" s="151">
        <v>43943</v>
      </c>
      <c r="F19" s="32">
        <v>58260</v>
      </c>
      <c r="G19" s="152"/>
      <c r="H19" s="153">
        <v>43943</v>
      </c>
      <c r="I19" s="39">
        <v>0</v>
      </c>
      <c r="J19" s="67"/>
      <c r="K19" s="72"/>
      <c r="L19" s="73"/>
      <c r="M19" s="34">
        <v>53161</v>
      </c>
      <c r="N19" s="35">
        <v>2989</v>
      </c>
      <c r="O19" s="276" t="s">
        <v>12</v>
      </c>
      <c r="P19" s="36">
        <f>C19+I19+M19+N19</f>
        <v>58260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149">
        <v>43944</v>
      </c>
      <c r="C20" s="31">
        <v>20535.560000000001</v>
      </c>
      <c r="D20" s="154" t="s">
        <v>251</v>
      </c>
      <c r="E20" s="151">
        <v>43944</v>
      </c>
      <c r="F20" s="32">
        <v>78025</v>
      </c>
      <c r="G20" s="152"/>
      <c r="H20" s="153">
        <v>43944</v>
      </c>
      <c r="I20" s="39">
        <v>0</v>
      </c>
      <c r="J20" s="60">
        <v>43929</v>
      </c>
      <c r="K20" s="220" t="s">
        <v>243</v>
      </c>
      <c r="L20" s="68">
        <v>870</v>
      </c>
      <c r="M20" s="34">
        <v>56258</v>
      </c>
      <c r="N20" s="35">
        <v>1251</v>
      </c>
      <c r="O20" s="276"/>
      <c r="P20" s="36">
        <f>C20+I20+M20+N20</f>
        <v>78044.56</v>
      </c>
      <c r="Q20" s="281">
        <f t="shared" si="1"/>
        <v>19.559999999997672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43945</v>
      </c>
      <c r="C21" s="31">
        <v>4205</v>
      </c>
      <c r="D21" s="154" t="s">
        <v>252</v>
      </c>
      <c r="E21" s="151">
        <v>43945</v>
      </c>
      <c r="F21" s="32">
        <v>82500</v>
      </c>
      <c r="G21" s="152"/>
      <c r="H21" s="153">
        <v>43945</v>
      </c>
      <c r="I21" s="39">
        <v>10020</v>
      </c>
      <c r="J21" s="67"/>
      <c r="K21" s="74"/>
      <c r="L21" s="68"/>
      <c r="M21" s="34">
        <v>65585</v>
      </c>
      <c r="N21" s="35">
        <v>2690</v>
      </c>
      <c r="O21" s="276"/>
      <c r="P21" s="36">
        <f>C21+I21+M21+N21+L21</f>
        <v>82500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43946</v>
      </c>
      <c r="C22" s="31">
        <v>14765.8</v>
      </c>
      <c r="D22" s="154" t="s">
        <v>253</v>
      </c>
      <c r="E22" s="151">
        <v>43946</v>
      </c>
      <c r="F22" s="32">
        <v>124349</v>
      </c>
      <c r="G22" s="152"/>
      <c r="H22" s="153">
        <v>43946</v>
      </c>
      <c r="I22" s="39">
        <v>284</v>
      </c>
      <c r="J22" s="76"/>
      <c r="K22" s="59"/>
      <c r="L22" s="77"/>
      <c r="M22" s="34">
        <v>93933</v>
      </c>
      <c r="N22" s="35">
        <v>4177</v>
      </c>
      <c r="O22" s="276"/>
      <c r="P22" s="36">
        <f>C22+I22+M22+N22+L14</f>
        <v>133041.85</v>
      </c>
      <c r="Q22" s="201">
        <f>P22-F22</f>
        <v>8692.8500000000058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43947</v>
      </c>
      <c r="C23" s="31">
        <v>1278</v>
      </c>
      <c r="D23" s="154" t="s">
        <v>72</v>
      </c>
      <c r="E23" s="151">
        <v>43947</v>
      </c>
      <c r="F23" s="32">
        <v>113957</v>
      </c>
      <c r="G23" s="152"/>
      <c r="H23" s="153">
        <v>43947</v>
      </c>
      <c r="I23" s="39">
        <v>0</v>
      </c>
      <c r="J23" s="284"/>
      <c r="K23" s="289"/>
      <c r="L23" s="285"/>
      <c r="M23" s="258">
        <v>109150</v>
      </c>
      <c r="N23" s="35">
        <v>3132</v>
      </c>
      <c r="O23" s="257" t="s">
        <v>250</v>
      </c>
      <c r="P23" s="36">
        <f>C23+I23+M23+N23+L15</f>
        <v>113960</v>
      </c>
      <c r="Q23" s="5">
        <f t="shared" ref="Q23:Q32" si="2">P23-F23</f>
        <v>3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43948</v>
      </c>
      <c r="C24" s="31">
        <v>1780</v>
      </c>
      <c r="D24" s="154" t="s">
        <v>255</v>
      </c>
      <c r="E24" s="151">
        <v>43948</v>
      </c>
      <c r="F24" s="32">
        <v>106237</v>
      </c>
      <c r="G24" s="152"/>
      <c r="H24" s="153">
        <v>43948</v>
      </c>
      <c r="I24" s="39">
        <v>0</v>
      </c>
      <c r="J24" s="286" t="s">
        <v>264</v>
      </c>
      <c r="K24" s="297" t="s">
        <v>275</v>
      </c>
      <c r="L24" s="291">
        <v>1315.86</v>
      </c>
      <c r="M24" s="34">
        <f>27405+74436</f>
        <v>101841</v>
      </c>
      <c r="N24" s="35">
        <v>2616</v>
      </c>
      <c r="O24" s="276"/>
      <c r="P24" s="36">
        <f>C24+I24+M24+N24</f>
        <v>106237</v>
      </c>
      <c r="Q24" s="5">
        <f t="shared" si="2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43949</v>
      </c>
      <c r="C25" s="31">
        <v>3562</v>
      </c>
      <c r="D25" s="154" t="s">
        <v>210</v>
      </c>
      <c r="E25" s="151">
        <v>43949</v>
      </c>
      <c r="F25" s="32">
        <v>59410</v>
      </c>
      <c r="G25" s="152"/>
      <c r="H25" s="153">
        <v>43949</v>
      </c>
      <c r="I25" s="39">
        <v>76</v>
      </c>
      <c r="J25" s="287" t="s">
        <v>264</v>
      </c>
      <c r="K25" s="163" t="s">
        <v>267</v>
      </c>
      <c r="L25" s="102">
        <v>2207.4</v>
      </c>
      <c r="M25" s="34">
        <v>54725</v>
      </c>
      <c r="N25" s="35">
        <v>1047</v>
      </c>
      <c r="O25" s="276" t="s">
        <v>12</v>
      </c>
      <c r="P25" s="36">
        <f>C25+I25+M25+N25</f>
        <v>59410</v>
      </c>
      <c r="Q25" s="5">
        <f t="shared" si="2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43950</v>
      </c>
      <c r="C26" s="31">
        <v>8748</v>
      </c>
      <c r="D26" s="154" t="s">
        <v>256</v>
      </c>
      <c r="E26" s="151">
        <v>43950</v>
      </c>
      <c r="F26" s="32">
        <v>85109</v>
      </c>
      <c r="G26" s="152"/>
      <c r="H26" s="153">
        <v>43950</v>
      </c>
      <c r="I26" s="39">
        <v>4000</v>
      </c>
      <c r="J26" s="67" t="s">
        <v>264</v>
      </c>
      <c r="K26" s="290" t="s">
        <v>269</v>
      </c>
      <c r="L26" s="285">
        <v>429</v>
      </c>
      <c r="M26" s="34">
        <f>5653+6596+55200</f>
        <v>67449</v>
      </c>
      <c r="N26" s="35">
        <v>4920</v>
      </c>
      <c r="O26" s="276"/>
      <c r="P26" s="36">
        <f>C26+I26+M26+N26++L19</f>
        <v>85117</v>
      </c>
      <c r="Q26" s="5">
        <f t="shared" si="2"/>
        <v>8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43951</v>
      </c>
      <c r="C27" s="31">
        <v>14995</v>
      </c>
      <c r="D27" s="154" t="s">
        <v>257</v>
      </c>
      <c r="E27" s="151">
        <v>43951</v>
      </c>
      <c r="F27" s="32">
        <v>91862</v>
      </c>
      <c r="G27" s="152"/>
      <c r="H27" s="153">
        <v>43951</v>
      </c>
      <c r="I27" s="39">
        <v>450</v>
      </c>
      <c r="J27" s="217" t="s">
        <v>264</v>
      </c>
      <c r="K27" s="295" t="s">
        <v>274</v>
      </c>
      <c r="L27" s="102">
        <v>1703.14</v>
      </c>
      <c r="M27" s="258">
        <v>73112</v>
      </c>
      <c r="N27" s="35">
        <v>3277</v>
      </c>
      <c r="O27" s="276" t="s">
        <v>220</v>
      </c>
      <c r="P27" s="36">
        <f>C27+I27+M27+N27+L16</f>
        <v>115134.78</v>
      </c>
      <c r="Q27" s="246">
        <f t="shared" si="2"/>
        <v>23272.78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149">
        <v>43952</v>
      </c>
      <c r="C28" s="31">
        <v>15811</v>
      </c>
      <c r="D28" s="282" t="s">
        <v>75</v>
      </c>
      <c r="E28" s="151">
        <v>43952</v>
      </c>
      <c r="F28" s="32">
        <v>125150</v>
      </c>
      <c r="G28" s="152"/>
      <c r="H28" s="153">
        <v>43952</v>
      </c>
      <c r="I28" s="39">
        <v>10020</v>
      </c>
      <c r="J28" s="217" t="s">
        <v>264</v>
      </c>
      <c r="K28" s="294" t="s">
        <v>278</v>
      </c>
      <c r="L28" s="102">
        <v>3571.86</v>
      </c>
      <c r="M28" s="258">
        <v>71601</v>
      </c>
      <c r="N28" s="35">
        <v>7718</v>
      </c>
      <c r="O28" s="276" t="s">
        <v>220</v>
      </c>
      <c r="P28" s="253">
        <f>C28+I28+M28+N28+L9</f>
        <v>125150</v>
      </c>
      <c r="Q28" s="5">
        <f t="shared" si="2"/>
        <v>0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43953</v>
      </c>
      <c r="C29" s="31">
        <v>5328</v>
      </c>
      <c r="D29" s="241" t="s">
        <v>258</v>
      </c>
      <c r="E29" s="151">
        <v>43953</v>
      </c>
      <c r="F29" s="32">
        <v>146487</v>
      </c>
      <c r="G29" s="152"/>
      <c r="H29" s="153">
        <v>43953</v>
      </c>
      <c r="I29" s="39">
        <v>0</v>
      </c>
      <c r="J29" s="217" t="s">
        <v>264</v>
      </c>
      <c r="K29" s="163" t="s">
        <v>273</v>
      </c>
      <c r="L29" s="102">
        <v>2296.94</v>
      </c>
      <c r="M29" s="34">
        <v>121500</v>
      </c>
      <c r="N29" s="35">
        <v>5781</v>
      </c>
      <c r="O29" s="276" t="s">
        <v>12</v>
      </c>
      <c r="P29" s="36">
        <f>C29+I29+M29+N29</f>
        <v>132609</v>
      </c>
      <c r="Q29" s="201">
        <f>P29-F29+L16</f>
        <v>9422.7799999999988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43954</v>
      </c>
      <c r="C30" s="242">
        <v>10542</v>
      </c>
      <c r="D30" s="243" t="s">
        <v>259</v>
      </c>
      <c r="E30" s="151">
        <v>43954</v>
      </c>
      <c r="F30" s="32">
        <v>85859</v>
      </c>
      <c r="G30" s="152"/>
      <c r="H30" s="153">
        <v>43954</v>
      </c>
      <c r="I30" s="244">
        <v>0</v>
      </c>
      <c r="J30" s="217" t="s">
        <v>264</v>
      </c>
      <c r="K30" s="296" t="s">
        <v>265</v>
      </c>
      <c r="L30" s="293">
        <v>38875</v>
      </c>
      <c r="M30" s="34">
        <v>73022</v>
      </c>
      <c r="N30" s="35">
        <v>2288</v>
      </c>
      <c r="O30" s="276"/>
      <c r="P30" s="36">
        <f>C30+I30+M30+N30</f>
        <v>85852</v>
      </c>
      <c r="Q30" s="246">
        <f t="shared" si="2"/>
        <v>-7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43955</v>
      </c>
      <c r="C31" s="238">
        <v>14461.73</v>
      </c>
      <c r="D31" s="243" t="s">
        <v>260</v>
      </c>
      <c r="E31" s="151">
        <v>43955</v>
      </c>
      <c r="F31" s="32">
        <v>108521</v>
      </c>
      <c r="G31" s="152"/>
      <c r="H31" s="153">
        <v>43955</v>
      </c>
      <c r="I31" s="244">
        <v>0</v>
      </c>
      <c r="J31" s="217" t="s">
        <v>264</v>
      </c>
      <c r="K31" s="163" t="s">
        <v>279</v>
      </c>
      <c r="L31" s="102">
        <v>8180.79</v>
      </c>
      <c r="M31" s="34">
        <v>91906</v>
      </c>
      <c r="N31" s="35">
        <v>2158</v>
      </c>
      <c r="O31" s="276"/>
      <c r="P31" s="36">
        <f t="shared" ref="P31:P32" si="3">C31+I31+M31+N31+L18</f>
        <v>108525.73</v>
      </c>
      <c r="Q31" s="5">
        <f t="shared" si="2"/>
        <v>4.7299999999959255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43956</v>
      </c>
      <c r="C32" s="238">
        <v>6353.8</v>
      </c>
      <c r="D32" s="243" t="s">
        <v>261</v>
      </c>
      <c r="E32" s="151">
        <v>43956</v>
      </c>
      <c r="F32" s="237">
        <v>64405</v>
      </c>
      <c r="G32" s="152"/>
      <c r="H32" s="153">
        <v>43956</v>
      </c>
      <c r="I32" s="244">
        <v>421</v>
      </c>
      <c r="J32" s="217" t="s">
        <v>264</v>
      </c>
      <c r="K32" s="164" t="s">
        <v>272</v>
      </c>
      <c r="L32" s="102">
        <v>860</v>
      </c>
      <c r="M32" s="34">
        <f>3459+53074</f>
        <v>56533</v>
      </c>
      <c r="N32" s="35">
        <v>1153</v>
      </c>
      <c r="O32" s="276"/>
      <c r="P32" s="36">
        <f t="shared" si="3"/>
        <v>64460.800000000003</v>
      </c>
      <c r="Q32" s="283">
        <f t="shared" si="2"/>
        <v>55.80000000000291</v>
      </c>
      <c r="R32" s="5" t="s">
        <v>262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43957</v>
      </c>
      <c r="C33" s="238">
        <v>2870</v>
      </c>
      <c r="D33" s="255" t="s">
        <v>263</v>
      </c>
      <c r="E33" s="151">
        <v>43957</v>
      </c>
      <c r="F33" s="176">
        <v>58998</v>
      </c>
      <c r="G33" s="152"/>
      <c r="H33" s="153">
        <v>43957</v>
      </c>
      <c r="I33" s="244">
        <v>2039</v>
      </c>
      <c r="J33" s="217" t="s">
        <v>264</v>
      </c>
      <c r="K33" s="164" t="s">
        <v>276</v>
      </c>
      <c r="L33" s="102">
        <v>4862.45</v>
      </c>
      <c r="M33" s="34">
        <v>52365</v>
      </c>
      <c r="N33" s="35">
        <v>1724</v>
      </c>
      <c r="O33" s="276"/>
      <c r="P33" s="36">
        <f>C33+I33+M33+N33</f>
        <v>58998</v>
      </c>
      <c r="Q33" s="5">
        <f t="shared" si="1"/>
        <v>0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/>
      <c r="C34" s="238"/>
      <c r="D34" s="254"/>
      <c r="E34" s="240"/>
      <c r="F34" s="176">
        <v>0</v>
      </c>
      <c r="G34" s="152"/>
      <c r="H34" s="153"/>
      <c r="I34" s="244"/>
      <c r="J34" s="217" t="s">
        <v>264</v>
      </c>
      <c r="K34" s="163" t="s">
        <v>277</v>
      </c>
      <c r="L34" s="102">
        <v>5382.4</v>
      </c>
      <c r="M34" s="34">
        <v>0</v>
      </c>
      <c r="N34" s="35">
        <v>0</v>
      </c>
      <c r="O34" s="276"/>
      <c r="P34" s="36">
        <f>C34+I34+M34+N34+L17</f>
        <v>0</v>
      </c>
      <c r="Q34" s="5">
        <f t="shared" si="1"/>
        <v>0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/>
      <c r="C35" s="238"/>
      <c r="D35" s="259"/>
      <c r="E35" s="240"/>
      <c r="F35" s="176">
        <v>0</v>
      </c>
      <c r="G35" s="152"/>
      <c r="H35" s="153"/>
      <c r="I35" s="244"/>
      <c r="J35" s="217" t="s">
        <v>264</v>
      </c>
      <c r="K35" s="164" t="s">
        <v>268</v>
      </c>
      <c r="L35" s="292">
        <v>772</v>
      </c>
      <c r="M35" s="34">
        <v>0</v>
      </c>
      <c r="N35" s="35">
        <v>0</v>
      </c>
      <c r="O35" s="276"/>
      <c r="P35" s="36">
        <f>C35+I35+M35+N35</f>
        <v>0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/>
      <c r="C36" s="238"/>
      <c r="D36" s="259"/>
      <c r="E36" s="240"/>
      <c r="F36" s="176">
        <v>0</v>
      </c>
      <c r="G36" s="152"/>
      <c r="H36" s="153"/>
      <c r="I36" s="244"/>
      <c r="J36" s="217" t="s">
        <v>264</v>
      </c>
      <c r="K36" s="163" t="s">
        <v>266</v>
      </c>
      <c r="L36" s="102">
        <v>19605</v>
      </c>
      <c r="M36" s="34">
        <v>0</v>
      </c>
      <c r="N36" s="35">
        <v>0</v>
      </c>
      <c r="O36" s="276"/>
      <c r="P36" s="36">
        <f>C36+I36+M36+N36</f>
        <v>0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/>
      <c r="C37" s="238"/>
      <c r="D37" s="259"/>
      <c r="E37" s="240"/>
      <c r="F37" s="176">
        <v>0</v>
      </c>
      <c r="G37" s="152"/>
      <c r="H37" s="153"/>
      <c r="I37" s="244"/>
      <c r="J37" s="217" t="s">
        <v>264</v>
      </c>
      <c r="K37" s="163" t="s">
        <v>270</v>
      </c>
      <c r="L37" s="102">
        <v>538.42999999999995</v>
      </c>
      <c r="M37" s="34">
        <v>0</v>
      </c>
      <c r="N37" s="35">
        <v>0</v>
      </c>
      <c r="O37" s="276"/>
      <c r="P37" s="36">
        <f>C37+I37+M37+N37</f>
        <v>0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149"/>
      <c r="C38" s="274"/>
      <c r="D38" s="259"/>
      <c r="E38" s="240"/>
      <c r="F38" s="176">
        <v>0</v>
      </c>
      <c r="G38" s="152"/>
      <c r="H38" s="153"/>
      <c r="I38" s="244"/>
      <c r="J38" s="217" t="s">
        <v>264</v>
      </c>
      <c r="K38" s="229" t="s">
        <v>271</v>
      </c>
      <c r="L38" s="288">
        <v>19605</v>
      </c>
      <c r="M38" s="34">
        <v>0</v>
      </c>
      <c r="N38" s="35">
        <v>0</v>
      </c>
      <c r="O38" s="276"/>
      <c r="P38" s="104">
        <f>C38+I38+M38+N38</f>
        <v>0</v>
      </c>
      <c r="Q38" s="104">
        <f t="shared" si="1"/>
        <v>0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>
        <v>0</v>
      </c>
      <c r="G39" s="110"/>
      <c r="H39" s="153"/>
      <c r="I39" s="109"/>
      <c r="J39" s="228"/>
      <c r="K39" s="265"/>
      <c r="L39" s="77"/>
      <c r="M39" s="112">
        <f>SUM(M5:M38)</f>
        <v>2101642</v>
      </c>
      <c r="N39" s="113">
        <f>SUM(N5:N38)</f>
        <v>101041</v>
      </c>
      <c r="O39" s="277"/>
      <c r="P39" s="114">
        <f>SUM(P5:P38)</f>
        <v>2600447.9899999998</v>
      </c>
      <c r="Q39" s="114">
        <f>SUM(Q5:Q38)</f>
        <v>80895.76999999999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234600.5</v>
      </c>
      <c r="D40" s="117"/>
      <c r="E40" s="303" t="s">
        <v>16</v>
      </c>
      <c r="F40" s="304">
        <f>SUM(F5:F39)</f>
        <v>2543723</v>
      </c>
      <c r="G40" s="117"/>
      <c r="H40" s="120" t="s">
        <v>16</v>
      </c>
      <c r="I40" s="121">
        <f>SUM(I5:I39)</f>
        <v>51684</v>
      </c>
      <c r="J40" s="93"/>
      <c r="K40" s="122" t="s">
        <v>16</v>
      </c>
      <c r="L40" s="123">
        <f>SUM(L6:L39)</f>
        <v>216755.76</v>
      </c>
      <c r="O40" s="278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7.25" customHeight="1" thickTop="1" thickBot="1" x14ac:dyDescent="0.3">
      <c r="C41" s="8" t="s">
        <v>12</v>
      </c>
      <c r="M41" s="636">
        <f>N39+M39</f>
        <v>2202683</v>
      </c>
      <c r="N41" s="637"/>
      <c r="O41" s="279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638" t="s">
        <v>18</v>
      </c>
      <c r="I42" s="639"/>
      <c r="J42" s="269"/>
      <c r="K42" s="640">
        <f>I40+L40</f>
        <v>268439.76</v>
      </c>
      <c r="L42" s="641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6.5" thickBot="1" x14ac:dyDescent="0.3">
      <c r="D43" s="642" t="s">
        <v>19</v>
      </c>
      <c r="E43" s="642"/>
      <c r="F43" s="129">
        <f>F40-K42-C40</f>
        <v>2040682.7400000002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655" t="s">
        <v>20</v>
      </c>
      <c r="E44" s="655"/>
      <c r="F44" s="131">
        <v>-1908890.86</v>
      </c>
      <c r="I44" s="656" t="s">
        <v>21</v>
      </c>
      <c r="J44" s="657"/>
      <c r="K44" s="658">
        <f>F49</f>
        <v>384003.30000000016</v>
      </c>
      <c r="L44" s="659"/>
      <c r="P44" s="299">
        <v>2202683</v>
      </c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300">
        <v>0</v>
      </c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131791.88000000012</v>
      </c>
      <c r="H46" s="30"/>
      <c r="I46" s="137" t="s">
        <v>23</v>
      </c>
      <c r="J46" s="138"/>
      <c r="K46" s="627">
        <f>-C4</f>
        <v>-242201.9</v>
      </c>
      <c r="L46" s="628"/>
      <c r="M46" s="214"/>
      <c r="P46" s="300">
        <v>51684</v>
      </c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12791</v>
      </c>
      <c r="P47" s="300">
        <v>234600.5</v>
      </c>
      <c r="V47" s="8"/>
    </row>
    <row r="48" spans="1:29" ht="20.25" thickTop="1" thickBot="1" x14ac:dyDescent="0.35">
      <c r="C48" s="231">
        <v>43957</v>
      </c>
      <c r="D48" s="629" t="s">
        <v>26</v>
      </c>
      <c r="E48" s="630"/>
      <c r="F48" s="142">
        <v>239420.42</v>
      </c>
      <c r="I48" s="631" t="s">
        <v>129</v>
      </c>
      <c r="J48" s="632"/>
      <c r="K48" s="633">
        <f>K44+K46</f>
        <v>141801.40000000017</v>
      </c>
      <c r="L48" s="634"/>
      <c r="P48" s="300">
        <v>106550.49</v>
      </c>
    </row>
    <row r="49" spans="2:18" ht="18.75" x14ac:dyDescent="0.3">
      <c r="C49" s="143"/>
      <c r="D49" s="144"/>
      <c r="E49" s="61" t="s">
        <v>27</v>
      </c>
      <c r="F49" s="145">
        <f>F46+F47+F48</f>
        <v>384003.30000000016</v>
      </c>
      <c r="J49" s="9"/>
      <c r="M49" s="146"/>
      <c r="P49" s="301">
        <v>-35833.17</v>
      </c>
    </row>
    <row r="50" spans="2:18" ht="15.75" thickBot="1" x14ac:dyDescent="0.3">
      <c r="P50" s="302">
        <v>-15925</v>
      </c>
    </row>
    <row r="51" spans="2:18" x14ac:dyDescent="0.25">
      <c r="B51"/>
      <c r="C51"/>
      <c r="D51" s="635"/>
      <c r="E51" s="635"/>
      <c r="M51" s="147"/>
      <c r="N51" s="59"/>
      <c r="O51" s="59"/>
      <c r="P51" s="128">
        <f>SUM(P44:P50)</f>
        <v>2543759.8200000003</v>
      </c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23:L38">
    <sortCondition ref="K23:K38"/>
  </sortState>
  <mergeCells count="20">
    <mergeCell ref="D51:E51"/>
    <mergeCell ref="D44:E44"/>
    <mergeCell ref="I44:J44"/>
    <mergeCell ref="K44:L44"/>
    <mergeCell ref="K46:L46"/>
    <mergeCell ref="D48:E48"/>
    <mergeCell ref="I48:J48"/>
    <mergeCell ref="K48:L48"/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</mergeCells>
  <pageMargins left="0.23622047244094491" right="0.15748031496062992" top="0.31496062992125984" bottom="0.31496062992125984" header="0.31496062992125984" footer="0.31496062992125984"/>
  <pageSetup scale="73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C98-6785-4EE4-A573-C8762BC80FBF}">
  <sheetPr>
    <tabColor rgb="FF00B0F0"/>
  </sheetPr>
  <dimension ref="A1:F87"/>
  <sheetViews>
    <sheetView topLeftCell="A22" workbookViewId="0">
      <selection activeCell="D38" sqref="D3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43929</v>
      </c>
      <c r="B3" s="264">
        <v>10758</v>
      </c>
      <c r="C3" s="261">
        <v>147773.48000000001</v>
      </c>
      <c r="D3" s="270">
        <v>43929</v>
      </c>
      <c r="E3" s="5">
        <v>147773.48000000001</v>
      </c>
      <c r="F3" s="173">
        <f>C3-E3</f>
        <v>0</v>
      </c>
    </row>
    <row r="4" spans="1:6" x14ac:dyDescent="0.25">
      <c r="A4" s="271">
        <v>43930</v>
      </c>
      <c r="B4" s="272">
        <v>10898</v>
      </c>
      <c r="C4" s="176">
        <v>122882.46</v>
      </c>
      <c r="D4" s="273"/>
      <c r="E4" s="176"/>
      <c r="F4" s="173">
        <f>F3+C4-E4</f>
        <v>122882.46</v>
      </c>
    </row>
    <row r="5" spans="1:6" x14ac:dyDescent="0.25">
      <c r="A5" s="273">
        <v>43930</v>
      </c>
      <c r="B5" s="272">
        <v>10899</v>
      </c>
      <c r="C5" s="176">
        <v>8589.4</v>
      </c>
      <c r="D5" s="273"/>
      <c r="E5" s="176"/>
      <c r="F5" s="173">
        <f t="shared" ref="F5:F50" si="0">F4+C5-E5</f>
        <v>131471.86000000002</v>
      </c>
    </row>
    <row r="6" spans="1:6" x14ac:dyDescent="0.25">
      <c r="A6" s="273">
        <v>43932</v>
      </c>
      <c r="B6" s="272">
        <v>11052</v>
      </c>
      <c r="C6" s="176">
        <v>28110.28</v>
      </c>
      <c r="D6" s="273"/>
      <c r="E6" s="176"/>
      <c r="F6" s="173">
        <f t="shared" si="0"/>
        <v>159582.14000000001</v>
      </c>
    </row>
    <row r="7" spans="1:6" x14ac:dyDescent="0.25">
      <c r="A7" s="273">
        <v>43933</v>
      </c>
      <c r="B7" s="272">
        <v>11059</v>
      </c>
      <c r="C7" s="176">
        <v>2193.6</v>
      </c>
      <c r="D7" s="273"/>
      <c r="E7" s="176"/>
      <c r="F7" s="173">
        <f t="shared" si="0"/>
        <v>161775.74000000002</v>
      </c>
    </row>
    <row r="8" spans="1:6" x14ac:dyDescent="0.25">
      <c r="A8" s="273">
        <v>43933</v>
      </c>
      <c r="B8" s="272">
        <v>11141</v>
      </c>
      <c r="C8" s="176">
        <v>86400.960000000006</v>
      </c>
      <c r="D8" s="273"/>
      <c r="E8" s="176"/>
      <c r="F8" s="173">
        <f t="shared" si="0"/>
        <v>248176.7</v>
      </c>
    </row>
    <row r="9" spans="1:6" x14ac:dyDescent="0.25">
      <c r="A9" s="273">
        <v>43935</v>
      </c>
      <c r="B9" s="272">
        <v>11384</v>
      </c>
      <c r="C9" s="176">
        <v>4842.8</v>
      </c>
      <c r="D9" s="273"/>
      <c r="E9" s="176"/>
      <c r="F9" s="173">
        <f t="shared" si="0"/>
        <v>253019.5</v>
      </c>
    </row>
    <row r="10" spans="1:6" x14ac:dyDescent="0.25">
      <c r="A10" s="273">
        <v>43935</v>
      </c>
      <c r="B10" s="272">
        <v>11386</v>
      </c>
      <c r="C10" s="176">
        <v>81260.62</v>
      </c>
      <c r="D10" s="273"/>
      <c r="E10" s="176"/>
      <c r="F10" s="173">
        <f t="shared" si="0"/>
        <v>334280.12</v>
      </c>
    </row>
    <row r="11" spans="1:6" x14ac:dyDescent="0.25">
      <c r="A11" s="271">
        <v>43936</v>
      </c>
      <c r="B11" s="272">
        <v>11442</v>
      </c>
      <c r="C11" s="176">
        <v>1470.96</v>
      </c>
      <c r="D11" s="273"/>
      <c r="E11" s="176"/>
      <c r="F11" s="173">
        <f t="shared" si="0"/>
        <v>335751.08</v>
      </c>
    </row>
    <row r="12" spans="1:6" x14ac:dyDescent="0.25">
      <c r="A12" s="273">
        <v>43936</v>
      </c>
      <c r="B12" s="272">
        <v>11508</v>
      </c>
      <c r="C12" s="176">
        <v>159457.22</v>
      </c>
      <c r="D12" s="273">
        <v>43937</v>
      </c>
      <c r="E12" s="176">
        <v>495208.3</v>
      </c>
      <c r="F12" s="173">
        <f t="shared" si="0"/>
        <v>0</v>
      </c>
    </row>
    <row r="13" spans="1:6" x14ac:dyDescent="0.25">
      <c r="A13" s="273">
        <v>43938</v>
      </c>
      <c r="B13" s="272">
        <v>11813</v>
      </c>
      <c r="C13" s="176">
        <v>79313.100000000006</v>
      </c>
      <c r="D13" s="273"/>
      <c r="E13" s="176"/>
      <c r="F13" s="173">
        <f t="shared" si="0"/>
        <v>79313.100000000006</v>
      </c>
    </row>
    <row r="14" spans="1:6" x14ac:dyDescent="0.25">
      <c r="A14" s="273">
        <v>43939</v>
      </c>
      <c r="B14" s="272">
        <v>11943</v>
      </c>
      <c r="C14" s="176">
        <v>67061.34</v>
      </c>
      <c r="D14" s="273"/>
      <c r="E14" s="176"/>
      <c r="F14" s="173">
        <f t="shared" si="0"/>
        <v>146374.44</v>
      </c>
    </row>
    <row r="15" spans="1:6" x14ac:dyDescent="0.25">
      <c r="A15" s="273">
        <v>43940</v>
      </c>
      <c r="B15" s="272">
        <v>12016</v>
      </c>
      <c r="C15" s="176">
        <v>4828</v>
      </c>
      <c r="D15" s="273"/>
      <c r="E15" s="176"/>
      <c r="F15" s="173">
        <f t="shared" si="0"/>
        <v>151202.44</v>
      </c>
    </row>
    <row r="16" spans="1:6" x14ac:dyDescent="0.25">
      <c r="A16" s="273">
        <v>43940</v>
      </c>
      <c r="B16" s="272">
        <v>12043</v>
      </c>
      <c r="C16" s="176">
        <v>17605.8</v>
      </c>
      <c r="D16" s="273"/>
      <c r="E16" s="176"/>
      <c r="F16" s="173">
        <f t="shared" si="0"/>
        <v>168808.24</v>
      </c>
    </row>
    <row r="17" spans="1:6" x14ac:dyDescent="0.25">
      <c r="A17" s="273">
        <v>43941</v>
      </c>
      <c r="B17" s="272">
        <v>12180</v>
      </c>
      <c r="C17" s="176">
        <v>26827.3</v>
      </c>
      <c r="D17" s="273"/>
      <c r="E17" s="176"/>
      <c r="F17" s="173">
        <f t="shared" si="0"/>
        <v>195635.53999999998</v>
      </c>
    </row>
    <row r="18" spans="1:6" x14ac:dyDescent="0.25">
      <c r="A18" s="273">
        <v>43942</v>
      </c>
      <c r="B18" s="272">
        <v>12284</v>
      </c>
      <c r="C18" s="176">
        <v>95758.69</v>
      </c>
      <c r="D18" s="273"/>
      <c r="E18" s="176"/>
      <c r="F18" s="173">
        <f t="shared" si="0"/>
        <v>291394.23</v>
      </c>
    </row>
    <row r="19" spans="1:6" x14ac:dyDescent="0.25">
      <c r="A19" s="273">
        <v>43944</v>
      </c>
      <c r="B19" s="272">
        <v>12467</v>
      </c>
      <c r="C19" s="176">
        <v>94550.7</v>
      </c>
      <c r="D19" s="273"/>
      <c r="E19" s="176"/>
      <c r="F19" s="173">
        <f t="shared" si="0"/>
        <v>385944.93</v>
      </c>
    </row>
    <row r="20" spans="1:6" x14ac:dyDescent="0.25">
      <c r="A20" s="273">
        <v>43945</v>
      </c>
      <c r="B20" s="272">
        <v>12582</v>
      </c>
      <c r="C20" s="176">
        <v>856.8</v>
      </c>
      <c r="D20" s="273"/>
      <c r="E20" s="176"/>
      <c r="F20" s="173">
        <f t="shared" si="0"/>
        <v>386801.73</v>
      </c>
    </row>
    <row r="21" spans="1:6" x14ac:dyDescent="0.25">
      <c r="A21" s="273">
        <v>43946</v>
      </c>
      <c r="B21" s="272">
        <v>12722</v>
      </c>
      <c r="C21" s="176">
        <v>25527.599999999999</v>
      </c>
      <c r="D21" s="273"/>
      <c r="E21" s="176"/>
      <c r="F21" s="173">
        <f t="shared" si="0"/>
        <v>412329.32999999996</v>
      </c>
    </row>
    <row r="22" spans="1:6" x14ac:dyDescent="0.25">
      <c r="A22" s="273">
        <v>43946</v>
      </c>
      <c r="B22" s="272">
        <v>12724</v>
      </c>
      <c r="C22" s="176">
        <v>5544.5</v>
      </c>
      <c r="D22" s="273"/>
      <c r="E22" s="176"/>
      <c r="F22" s="173">
        <f t="shared" si="0"/>
        <v>417873.82999999996</v>
      </c>
    </row>
    <row r="23" spans="1:6" x14ac:dyDescent="0.25">
      <c r="A23" s="273">
        <v>43946</v>
      </c>
      <c r="B23" s="272">
        <v>12813</v>
      </c>
      <c r="C23" s="176">
        <v>104867.7</v>
      </c>
      <c r="D23" s="273"/>
      <c r="E23" s="176"/>
      <c r="F23" s="173">
        <f t="shared" si="0"/>
        <v>522741.52999999997</v>
      </c>
    </row>
    <row r="24" spans="1:6" x14ac:dyDescent="0.25">
      <c r="A24" s="273">
        <v>43946</v>
      </c>
      <c r="B24" s="272">
        <v>12836</v>
      </c>
      <c r="C24" s="176">
        <v>46384.56</v>
      </c>
      <c r="D24" s="273"/>
      <c r="E24" s="176"/>
      <c r="F24" s="173">
        <f t="shared" si="0"/>
        <v>569126.09</v>
      </c>
    </row>
    <row r="25" spans="1:6" x14ac:dyDescent="0.25">
      <c r="A25" s="273">
        <v>43947</v>
      </c>
      <c r="B25" s="272">
        <v>12857</v>
      </c>
      <c r="C25" s="176">
        <v>26491.5</v>
      </c>
      <c r="D25" s="273"/>
      <c r="E25" s="176"/>
      <c r="F25" s="173">
        <f t="shared" si="0"/>
        <v>595617.59</v>
      </c>
    </row>
    <row r="26" spans="1:6" x14ac:dyDescent="0.25">
      <c r="A26" s="273">
        <v>43948</v>
      </c>
      <c r="B26" s="272">
        <v>12950</v>
      </c>
      <c r="C26" s="176">
        <v>9954.25</v>
      </c>
      <c r="D26" s="273"/>
      <c r="E26" s="176"/>
      <c r="F26" s="173">
        <f t="shared" si="0"/>
        <v>605571.83999999997</v>
      </c>
    </row>
    <row r="27" spans="1:6" x14ac:dyDescent="0.25">
      <c r="A27" s="273">
        <v>43948</v>
      </c>
      <c r="B27" s="272">
        <v>13009</v>
      </c>
      <c r="C27" s="176">
        <v>109570.43</v>
      </c>
      <c r="D27" s="273"/>
      <c r="E27" s="176"/>
      <c r="F27" s="173">
        <f t="shared" si="0"/>
        <v>715142.27</v>
      </c>
    </row>
    <row r="28" spans="1:6" x14ac:dyDescent="0.25">
      <c r="A28" s="271">
        <v>43949</v>
      </c>
      <c r="B28" s="272">
        <v>13139</v>
      </c>
      <c r="C28" s="176">
        <v>116538.9</v>
      </c>
      <c r="D28" s="273"/>
      <c r="E28" s="176"/>
      <c r="F28" s="173">
        <f t="shared" si="0"/>
        <v>831681.17</v>
      </c>
    </row>
    <row r="29" spans="1:6" x14ac:dyDescent="0.25">
      <c r="A29" s="271">
        <v>43951</v>
      </c>
      <c r="B29" s="272">
        <v>13281</v>
      </c>
      <c r="C29" s="176">
        <v>91567.52</v>
      </c>
      <c r="D29" s="273"/>
      <c r="E29" s="176"/>
      <c r="F29" s="173">
        <f t="shared" si="0"/>
        <v>923248.69000000006</v>
      </c>
    </row>
    <row r="30" spans="1:6" x14ac:dyDescent="0.25">
      <c r="A30" s="271">
        <v>43951</v>
      </c>
      <c r="B30" s="272">
        <v>13309</v>
      </c>
      <c r="C30" s="176">
        <v>3642</v>
      </c>
      <c r="D30" s="273"/>
      <c r="E30" s="176"/>
      <c r="F30" s="173">
        <f t="shared" si="0"/>
        <v>926890.69000000006</v>
      </c>
    </row>
    <row r="31" spans="1:6" x14ac:dyDescent="0.25">
      <c r="A31" s="271">
        <v>43951</v>
      </c>
      <c r="B31" s="272">
        <v>13312</v>
      </c>
      <c r="C31" s="176">
        <v>6496.75</v>
      </c>
      <c r="D31" s="273"/>
      <c r="E31" s="176"/>
      <c r="F31" s="173">
        <f t="shared" si="0"/>
        <v>933387.44000000006</v>
      </c>
    </row>
    <row r="32" spans="1:6" x14ac:dyDescent="0.25">
      <c r="A32" s="271">
        <v>43951</v>
      </c>
      <c r="B32" s="272">
        <v>13376</v>
      </c>
      <c r="C32" s="176">
        <v>2304</v>
      </c>
      <c r="D32" s="273"/>
      <c r="E32" s="176"/>
      <c r="F32" s="173">
        <f t="shared" si="0"/>
        <v>935691.44000000006</v>
      </c>
    </row>
    <row r="33" spans="1:6" x14ac:dyDescent="0.25">
      <c r="A33" s="271">
        <v>43952</v>
      </c>
      <c r="B33" s="272">
        <v>13518</v>
      </c>
      <c r="C33" s="176">
        <v>48057.9</v>
      </c>
      <c r="D33" s="273"/>
      <c r="E33" s="176"/>
      <c r="F33" s="173">
        <f t="shared" si="0"/>
        <v>983749.34000000008</v>
      </c>
    </row>
    <row r="34" spans="1:6" x14ac:dyDescent="0.25">
      <c r="A34" s="271">
        <v>43953</v>
      </c>
      <c r="B34" s="272">
        <v>13565</v>
      </c>
      <c r="C34" s="176">
        <v>3217.5</v>
      </c>
      <c r="D34" s="273"/>
      <c r="E34" s="176"/>
      <c r="F34" s="173">
        <f t="shared" si="0"/>
        <v>986966.84000000008</v>
      </c>
    </row>
    <row r="35" spans="1:6" x14ac:dyDescent="0.25">
      <c r="A35" s="271">
        <v>43953</v>
      </c>
      <c r="B35" s="272">
        <v>13603</v>
      </c>
      <c r="C35" s="176">
        <v>178494.54</v>
      </c>
      <c r="D35" s="273"/>
      <c r="E35" s="176"/>
      <c r="F35" s="173">
        <f t="shared" si="0"/>
        <v>1165461.3800000001</v>
      </c>
    </row>
    <row r="36" spans="1:6" x14ac:dyDescent="0.25">
      <c r="A36" s="271">
        <v>43954</v>
      </c>
      <c r="B36" s="272">
        <v>13673</v>
      </c>
      <c r="C36" s="176">
        <v>4277</v>
      </c>
      <c r="D36" s="273"/>
      <c r="E36" s="176"/>
      <c r="F36" s="173">
        <f t="shared" si="0"/>
        <v>1169738.3800000001</v>
      </c>
    </row>
    <row r="37" spans="1:6" x14ac:dyDescent="0.25">
      <c r="A37" s="271">
        <v>43955</v>
      </c>
      <c r="B37" s="272">
        <v>13809</v>
      </c>
      <c r="C37" s="176">
        <v>96170.7</v>
      </c>
      <c r="D37" s="273">
        <v>43955</v>
      </c>
      <c r="E37" s="176">
        <v>1265909.08</v>
      </c>
      <c r="F37" s="173">
        <f t="shared" si="0"/>
        <v>0</v>
      </c>
    </row>
    <row r="38" spans="1:6" x14ac:dyDescent="0.25">
      <c r="A38" s="271"/>
      <c r="B38" s="272"/>
      <c r="C38" s="176">
        <v>0</v>
      </c>
      <c r="D38" s="273"/>
      <c r="E38" s="176"/>
      <c r="F38" s="173">
        <f t="shared" si="0"/>
        <v>0</v>
      </c>
    </row>
    <row r="39" spans="1:6" x14ac:dyDescent="0.25">
      <c r="A39" s="271"/>
      <c r="B39" s="272"/>
      <c r="C39" s="176">
        <v>0</v>
      </c>
      <c r="D39" s="273"/>
      <c r="E39" s="176"/>
      <c r="F39" s="173">
        <f t="shared" si="0"/>
        <v>0</v>
      </c>
    </row>
    <row r="40" spans="1:6" x14ac:dyDescent="0.25">
      <c r="A40" s="271"/>
      <c r="B40" s="272"/>
      <c r="C40" s="176">
        <v>0</v>
      </c>
      <c r="D40" s="273"/>
      <c r="E40" s="176"/>
      <c r="F40" s="173">
        <f t="shared" si="0"/>
        <v>0</v>
      </c>
    </row>
    <row r="41" spans="1:6" x14ac:dyDescent="0.25">
      <c r="A41" s="271"/>
      <c r="B41" s="272"/>
      <c r="C41" s="176">
        <v>0</v>
      </c>
      <c r="D41" s="273"/>
      <c r="E41" s="176"/>
      <c r="F41" s="173">
        <f t="shared" si="0"/>
        <v>0</v>
      </c>
    </row>
    <row r="42" spans="1:6" x14ac:dyDescent="0.25">
      <c r="A42" s="271"/>
      <c r="B42" s="272"/>
      <c r="C42" s="176">
        <v>0</v>
      </c>
      <c r="D42" s="273"/>
      <c r="E42" s="176"/>
      <c r="F42" s="173">
        <f t="shared" si="0"/>
        <v>0</v>
      </c>
    </row>
    <row r="43" spans="1:6" x14ac:dyDescent="0.25">
      <c r="A43" s="271"/>
      <c r="B43" s="272"/>
      <c r="C43" s="176">
        <v>0</v>
      </c>
      <c r="D43" s="273"/>
      <c r="E43" s="176"/>
      <c r="F43" s="173">
        <f t="shared" si="0"/>
        <v>0</v>
      </c>
    </row>
    <row r="44" spans="1:6" x14ac:dyDescent="0.25">
      <c r="A44" s="271"/>
      <c r="B44" s="272"/>
      <c r="C44" s="176">
        <v>0</v>
      </c>
      <c r="D44" s="273"/>
      <c r="E44" s="176"/>
      <c r="F44" s="173">
        <f>F43+C44-E44</f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1908890.8599999999</v>
      </c>
      <c r="D51" s="1"/>
      <c r="E51" s="4">
        <f>SUM(E3:E50)</f>
        <v>1908890.86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A3AF-F161-456D-829E-06C6D8B90962}">
  <sheetPr>
    <tabColor rgb="FF7030A0"/>
  </sheetPr>
  <dimension ref="A1:AG80"/>
  <sheetViews>
    <sheetView topLeftCell="A24" workbookViewId="0">
      <selection activeCell="C48" sqref="C48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660" t="s">
        <v>280</v>
      </c>
      <c r="D1" s="660"/>
      <c r="E1" s="660"/>
      <c r="F1" s="660"/>
      <c r="G1" s="660"/>
      <c r="H1" s="660"/>
      <c r="I1" s="660"/>
      <c r="J1" s="660"/>
      <c r="K1" s="660"/>
      <c r="L1" s="2"/>
      <c r="M1" s="3"/>
      <c r="AF1" s="643" t="s">
        <v>45</v>
      </c>
      <c r="AG1" s="644"/>
    </row>
    <row r="2" spans="1:33" ht="18" customHeight="1" thickBot="1" x14ac:dyDescent="0.35">
      <c r="C2" s="8"/>
      <c r="E2" s="667" t="s">
        <v>190</v>
      </c>
      <c r="F2" s="667"/>
      <c r="H2" s="233" t="s">
        <v>0</v>
      </c>
      <c r="I2" s="3"/>
      <c r="J2" s="324"/>
      <c r="K2" s="152"/>
      <c r="L2" s="152"/>
      <c r="M2" s="3"/>
      <c r="N2" s="5"/>
      <c r="O2" s="5"/>
      <c r="W2" s="651" t="s">
        <v>4</v>
      </c>
      <c r="X2" s="652"/>
      <c r="AA2" s="648" t="s">
        <v>43</v>
      </c>
      <c r="AB2" s="649"/>
      <c r="AC2" s="650"/>
      <c r="AE2" s="193" t="s">
        <v>44</v>
      </c>
      <c r="AF2" s="645"/>
      <c r="AG2" s="646"/>
    </row>
    <row r="3" spans="1:33" ht="18" customHeight="1" thickBot="1" x14ac:dyDescent="0.35">
      <c r="B3" s="661" t="s">
        <v>1</v>
      </c>
      <c r="C3" s="662"/>
      <c r="D3" s="15"/>
      <c r="E3" s="668"/>
      <c r="F3" s="668"/>
      <c r="I3" s="234" t="s">
        <v>2</v>
      </c>
      <c r="J3" s="325"/>
      <c r="K3" s="236" t="s">
        <v>191</v>
      </c>
      <c r="L3" s="236"/>
      <c r="W3" s="653"/>
      <c r="X3" s="654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307">
        <v>239420.42</v>
      </c>
      <c r="D4" s="308">
        <v>43957</v>
      </c>
      <c r="E4" s="663" t="s">
        <v>6</v>
      </c>
      <c r="F4" s="664"/>
      <c r="H4" s="665" t="s">
        <v>7</v>
      </c>
      <c r="I4" s="666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319">
        <v>43958</v>
      </c>
      <c r="C5" s="320">
        <v>16258.95</v>
      </c>
      <c r="D5" s="309" t="s">
        <v>260</v>
      </c>
      <c r="E5" s="151">
        <v>43958</v>
      </c>
      <c r="F5" s="32">
        <v>58566</v>
      </c>
      <c r="G5" s="152"/>
      <c r="H5" s="153">
        <v>43958</v>
      </c>
      <c r="I5" s="33">
        <v>144.5</v>
      </c>
      <c r="M5" s="34">
        <v>52888</v>
      </c>
      <c r="N5" s="35">
        <v>1155</v>
      </c>
      <c r="O5" s="36"/>
      <c r="P5" s="36">
        <f>C5+I5+M5+N5</f>
        <v>70446.45</v>
      </c>
      <c r="Q5" s="198">
        <f>P5-F5</f>
        <v>11880.449999999997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319">
        <v>43959</v>
      </c>
      <c r="C6" s="320">
        <v>16160</v>
      </c>
      <c r="D6" s="310" t="s">
        <v>205</v>
      </c>
      <c r="E6" s="151">
        <v>43959</v>
      </c>
      <c r="F6" s="32">
        <v>99175</v>
      </c>
      <c r="G6" s="152"/>
      <c r="H6" s="153">
        <v>43959</v>
      </c>
      <c r="I6" s="39">
        <v>10020</v>
      </c>
      <c r="J6" s="60">
        <v>43959</v>
      </c>
      <c r="K6" s="342" t="s">
        <v>287</v>
      </c>
      <c r="L6" s="55">
        <v>6055</v>
      </c>
      <c r="M6" s="34">
        <v>62290</v>
      </c>
      <c r="N6" s="35">
        <v>4650</v>
      </c>
      <c r="O6" s="276"/>
      <c r="P6" s="36">
        <f>C6+I6+M6+N6+L6</f>
        <v>99175</v>
      </c>
      <c r="Q6" s="5">
        <f>P6-F6</f>
        <v>0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319">
        <v>43960</v>
      </c>
      <c r="C7" s="320">
        <v>7496</v>
      </c>
      <c r="D7" s="311" t="s">
        <v>75</v>
      </c>
      <c r="E7" s="151">
        <v>43960</v>
      </c>
      <c r="F7" s="32">
        <v>131687</v>
      </c>
      <c r="G7" s="152"/>
      <c r="H7" s="153">
        <v>43960</v>
      </c>
      <c r="I7" s="39">
        <v>280</v>
      </c>
      <c r="J7" s="328"/>
      <c r="K7" s="46" t="s">
        <v>13</v>
      </c>
      <c r="L7" s="47">
        <v>0</v>
      </c>
      <c r="M7" s="34">
        <v>105580</v>
      </c>
      <c r="N7" s="35">
        <v>6514</v>
      </c>
      <c r="O7" s="127" t="s">
        <v>12</v>
      </c>
      <c r="P7" s="36">
        <f>C7+I7+M7+N7+L12</f>
        <v>140332.88</v>
      </c>
      <c r="Q7" s="201">
        <f>P7-F7</f>
        <v>8645.8800000000047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319">
        <v>43961</v>
      </c>
      <c r="C8" s="320">
        <v>3967</v>
      </c>
      <c r="D8" s="312" t="s">
        <v>69</v>
      </c>
      <c r="E8" s="151">
        <v>43961</v>
      </c>
      <c r="F8" s="32">
        <v>137302</v>
      </c>
      <c r="G8" s="152"/>
      <c r="H8" s="153">
        <v>43961</v>
      </c>
      <c r="I8" s="39">
        <v>0</v>
      </c>
      <c r="J8" s="329">
        <v>43982</v>
      </c>
      <c r="K8" s="49" t="s">
        <v>14</v>
      </c>
      <c r="L8" s="50">
        <v>27661</v>
      </c>
      <c r="M8" s="258">
        <v>126950</v>
      </c>
      <c r="N8" s="35">
        <v>6386</v>
      </c>
      <c r="O8" s="276" t="s">
        <v>220</v>
      </c>
      <c r="P8" s="36">
        <f>C8+I8+M8+N8</f>
        <v>137303</v>
      </c>
      <c r="Q8" s="5">
        <f>P8-F8</f>
        <v>1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319">
        <v>43962</v>
      </c>
      <c r="C9" s="320">
        <v>0</v>
      </c>
      <c r="D9" s="313"/>
      <c r="E9" s="151">
        <v>43962</v>
      </c>
      <c r="F9" s="32">
        <v>68101</v>
      </c>
      <c r="G9" s="152"/>
      <c r="H9" s="153">
        <v>43962</v>
      </c>
      <c r="I9" s="39">
        <v>180</v>
      </c>
      <c r="J9" s="329">
        <v>43981</v>
      </c>
      <c r="K9" s="20" t="s">
        <v>15</v>
      </c>
      <c r="L9" s="52">
        <v>20000</v>
      </c>
      <c r="M9" s="34">
        <v>66800</v>
      </c>
      <c r="N9" s="35">
        <v>1124</v>
      </c>
      <c r="O9" s="276"/>
      <c r="P9" s="36">
        <f>C9+I9+M9+N9</f>
        <v>68104</v>
      </c>
      <c r="Q9" s="5">
        <f t="shared" ref="Q9:Q11" si="0">P9-F9</f>
        <v>3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319">
        <v>43963</v>
      </c>
      <c r="C10" s="320">
        <v>1684</v>
      </c>
      <c r="D10" s="311" t="s">
        <v>48</v>
      </c>
      <c r="E10" s="151">
        <v>43963</v>
      </c>
      <c r="F10" s="32">
        <v>55590</v>
      </c>
      <c r="G10" s="152"/>
      <c r="H10" s="153">
        <v>43963</v>
      </c>
      <c r="I10" s="39">
        <v>76</v>
      </c>
      <c r="J10" s="330"/>
      <c r="K10" s="54"/>
      <c r="L10" s="55"/>
      <c r="M10" s="34">
        <v>48306</v>
      </c>
      <c r="N10" s="35">
        <v>5524</v>
      </c>
      <c r="O10" s="127"/>
      <c r="P10" s="36">
        <f>C10+I10+M10+N10+L11</f>
        <v>55590</v>
      </c>
      <c r="Q10" s="5">
        <f t="shared" si="0"/>
        <v>0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319">
        <v>43964</v>
      </c>
      <c r="C11" s="320">
        <v>1691</v>
      </c>
      <c r="D11" s="310" t="s">
        <v>288</v>
      </c>
      <c r="E11" s="151">
        <v>43964</v>
      </c>
      <c r="F11" s="32">
        <v>81336</v>
      </c>
      <c r="G11" s="152"/>
      <c r="H11" s="153">
        <v>43964</v>
      </c>
      <c r="I11" s="39">
        <v>0</v>
      </c>
      <c r="J11" s="331"/>
      <c r="K11" s="57"/>
      <c r="L11" s="55"/>
      <c r="M11" s="34">
        <v>77190</v>
      </c>
      <c r="N11" s="35">
        <v>2455</v>
      </c>
      <c r="O11" s="276"/>
      <c r="P11" s="36">
        <f>C11+I11+M11+N11</f>
        <v>81336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319">
        <v>43965</v>
      </c>
      <c r="C12" s="320">
        <v>5660</v>
      </c>
      <c r="D12" s="310" t="s">
        <v>289</v>
      </c>
      <c r="E12" s="151">
        <v>43965</v>
      </c>
      <c r="F12" s="32">
        <v>60000</v>
      </c>
      <c r="G12" s="152"/>
      <c r="H12" s="153">
        <v>43965</v>
      </c>
      <c r="I12" s="39">
        <v>0</v>
      </c>
      <c r="J12" s="60">
        <v>43960</v>
      </c>
      <c r="K12" s="20" t="s">
        <v>242</v>
      </c>
      <c r="L12" s="55">
        <f>16062.88+4000+400</f>
        <v>20462.879999999997</v>
      </c>
      <c r="M12" s="34">
        <v>50100</v>
      </c>
      <c r="N12" s="35">
        <v>4244</v>
      </c>
      <c r="O12" s="298"/>
      <c r="P12" s="36">
        <f>C12+I12+M12+N12</f>
        <v>60004</v>
      </c>
      <c r="Q12" s="5">
        <f>P12-F12</f>
        <v>4</v>
      </c>
      <c r="S12" s="58">
        <v>8645.8799999999992</v>
      </c>
      <c r="T12" s="61" t="s">
        <v>242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319">
        <v>43966</v>
      </c>
      <c r="C13" s="320">
        <v>1749</v>
      </c>
      <c r="D13" s="312" t="s">
        <v>73</v>
      </c>
      <c r="E13" s="151">
        <v>43966</v>
      </c>
      <c r="F13" s="32">
        <v>97199</v>
      </c>
      <c r="G13" s="152"/>
      <c r="H13" s="153">
        <v>43966</v>
      </c>
      <c r="I13" s="39">
        <v>12090</v>
      </c>
      <c r="J13" s="60">
        <v>43967</v>
      </c>
      <c r="K13" s="20" t="s">
        <v>281</v>
      </c>
      <c r="L13" s="55">
        <f>400+14894.75+4000</f>
        <v>19294.75</v>
      </c>
      <c r="M13" s="34">
        <v>77194</v>
      </c>
      <c r="N13" s="35">
        <v>5499</v>
      </c>
      <c r="O13" s="276"/>
      <c r="P13" s="36">
        <f>C13+I13+M13+N13+L19</f>
        <v>97199</v>
      </c>
      <c r="Q13" s="5">
        <f>P13-F13</f>
        <v>0</v>
      </c>
      <c r="S13" s="58">
        <v>8844.75</v>
      </c>
      <c r="T13" s="61" t="s">
        <v>281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319">
        <v>43967</v>
      </c>
      <c r="C14" s="320">
        <v>1884</v>
      </c>
      <c r="D14" s="311" t="s">
        <v>83</v>
      </c>
      <c r="E14" s="151">
        <v>43967</v>
      </c>
      <c r="F14" s="32">
        <v>97099</v>
      </c>
      <c r="G14" s="152"/>
      <c r="H14" s="153">
        <v>43967</v>
      </c>
      <c r="I14" s="39">
        <v>650</v>
      </c>
      <c r="J14" s="60">
        <v>43974</v>
      </c>
      <c r="K14" s="20" t="s">
        <v>282</v>
      </c>
      <c r="L14" s="55">
        <f>13733.35+400+4000</f>
        <v>18133.349999999999</v>
      </c>
      <c r="M14" s="258">
        <v>79236</v>
      </c>
      <c r="N14" s="35">
        <v>4879</v>
      </c>
      <c r="O14" s="276" t="s">
        <v>220</v>
      </c>
      <c r="P14" s="36">
        <f>C14+I14+M14+N14+L7+L13</f>
        <v>105943.75</v>
      </c>
      <c r="Q14" s="201">
        <f>P14-F14</f>
        <v>8844.75</v>
      </c>
      <c r="S14" s="58">
        <v>8693.35</v>
      </c>
      <c r="T14" s="61" t="s">
        <v>282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319">
        <v>43968</v>
      </c>
      <c r="C15" s="320">
        <v>7269</v>
      </c>
      <c r="D15" s="310" t="s">
        <v>291</v>
      </c>
      <c r="E15" s="151">
        <v>43968</v>
      </c>
      <c r="F15" s="32">
        <v>68209</v>
      </c>
      <c r="G15" s="152"/>
      <c r="H15" s="153">
        <v>43968</v>
      </c>
      <c r="I15" s="39">
        <v>66</v>
      </c>
      <c r="J15" s="60">
        <v>43981</v>
      </c>
      <c r="K15" s="20" t="s">
        <v>283</v>
      </c>
      <c r="L15" s="55">
        <f>13951.89+4000+400</f>
        <v>18351.89</v>
      </c>
      <c r="M15" s="34">
        <v>56511</v>
      </c>
      <c r="N15" s="35">
        <v>4363</v>
      </c>
      <c r="O15" s="276"/>
      <c r="P15" s="36">
        <f t="shared" ref="P15:P18" si="1">C15+I15+M15+N15</f>
        <v>68209</v>
      </c>
      <c r="Q15" s="5">
        <f t="shared" ref="Q15:Q38" si="2">P15-F15</f>
        <v>0</v>
      </c>
      <c r="S15" s="58">
        <v>8844.89</v>
      </c>
      <c r="T15" s="61" t="s">
        <v>285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319">
        <v>43969</v>
      </c>
      <c r="C16" s="320">
        <v>1337</v>
      </c>
      <c r="D16" s="310" t="s">
        <v>72</v>
      </c>
      <c r="E16" s="151">
        <v>43969</v>
      </c>
      <c r="F16" s="32">
        <v>63425</v>
      </c>
      <c r="G16" s="152"/>
      <c r="H16" s="153">
        <v>43969</v>
      </c>
      <c r="I16" s="39">
        <v>0</v>
      </c>
      <c r="J16" s="60"/>
      <c r="K16" s="20" t="s">
        <v>140</v>
      </c>
      <c r="L16" s="5">
        <v>0</v>
      </c>
      <c r="M16" s="34">
        <v>59802</v>
      </c>
      <c r="N16" s="35">
        <v>2286</v>
      </c>
      <c r="O16" s="276"/>
      <c r="P16" s="36">
        <f t="shared" si="1"/>
        <v>63425</v>
      </c>
      <c r="Q16" s="5">
        <f t="shared" si="2"/>
        <v>0</v>
      </c>
      <c r="S16" s="58">
        <v>0</v>
      </c>
      <c r="T16" s="61" t="s">
        <v>140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319">
        <v>43970</v>
      </c>
      <c r="C17" s="320">
        <v>3783</v>
      </c>
      <c r="D17" s="312" t="s">
        <v>69</v>
      </c>
      <c r="E17" s="151">
        <v>43970</v>
      </c>
      <c r="F17" s="32">
        <v>66017</v>
      </c>
      <c r="G17" s="152"/>
      <c r="H17" s="153">
        <v>43970</v>
      </c>
      <c r="I17" s="39">
        <v>326</v>
      </c>
      <c r="J17" s="67"/>
      <c r="K17" s="20" t="s">
        <v>284</v>
      </c>
      <c r="L17" s="68">
        <v>0</v>
      </c>
      <c r="M17" s="258">
        <v>58260</v>
      </c>
      <c r="N17" s="35">
        <v>3648</v>
      </c>
      <c r="O17" s="276" t="s">
        <v>220</v>
      </c>
      <c r="P17" s="36">
        <f t="shared" si="1"/>
        <v>66017</v>
      </c>
      <c r="Q17" s="5">
        <f t="shared" si="2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319">
        <v>43971</v>
      </c>
      <c r="C18" s="320">
        <v>1352</v>
      </c>
      <c r="D18" s="310" t="s">
        <v>83</v>
      </c>
      <c r="E18" s="151">
        <v>43971</v>
      </c>
      <c r="F18" s="32">
        <v>54970</v>
      </c>
      <c r="G18" s="152"/>
      <c r="H18" s="153">
        <v>43971</v>
      </c>
      <c r="I18" s="39">
        <v>0</v>
      </c>
      <c r="J18" s="67"/>
      <c r="K18" s="71"/>
      <c r="L18" s="55"/>
      <c r="M18" s="258">
        <v>51082</v>
      </c>
      <c r="N18" s="35">
        <v>2536</v>
      </c>
      <c r="O18" s="276" t="s">
        <v>220</v>
      </c>
      <c r="P18" s="36">
        <f t="shared" si="1"/>
        <v>54970</v>
      </c>
      <c r="Q18" s="5">
        <f t="shared" si="2"/>
        <v>0</v>
      </c>
      <c r="S18" s="5">
        <f>SUM(S11:S17)</f>
        <v>35028.869999999995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319">
        <v>43972</v>
      </c>
      <c r="C19" s="320">
        <v>2429</v>
      </c>
      <c r="D19" s="310" t="s">
        <v>172</v>
      </c>
      <c r="E19" s="151">
        <v>43972</v>
      </c>
      <c r="F19" s="32">
        <v>54820</v>
      </c>
      <c r="G19" s="152"/>
      <c r="H19" s="153">
        <v>43972</v>
      </c>
      <c r="I19" s="39">
        <v>0</v>
      </c>
      <c r="J19" s="67">
        <v>43966</v>
      </c>
      <c r="K19" s="72" t="s">
        <v>290</v>
      </c>
      <c r="L19" s="73">
        <v>667</v>
      </c>
      <c r="M19" s="34">
        <f>48971+3198</f>
        <v>52169</v>
      </c>
      <c r="N19" s="35">
        <v>1077</v>
      </c>
      <c r="O19" s="276"/>
      <c r="P19" s="36">
        <f>C19+I19+M19+N19</f>
        <v>55675</v>
      </c>
      <c r="Q19" s="198">
        <f t="shared" si="2"/>
        <v>855</v>
      </c>
      <c r="R19" s="5" t="s">
        <v>292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319">
        <v>43973</v>
      </c>
      <c r="C20" s="320">
        <v>1037</v>
      </c>
      <c r="D20" s="310" t="s">
        <v>72</v>
      </c>
      <c r="E20" s="151">
        <v>43973</v>
      </c>
      <c r="F20" s="32">
        <v>91118</v>
      </c>
      <c r="G20" s="152"/>
      <c r="H20" s="153">
        <v>43973</v>
      </c>
      <c r="I20" s="39">
        <v>12020</v>
      </c>
      <c r="J20" s="60">
        <v>43973</v>
      </c>
      <c r="K20" s="220" t="s">
        <v>293</v>
      </c>
      <c r="L20" s="68">
        <v>10000</v>
      </c>
      <c r="M20" s="34">
        <v>62807</v>
      </c>
      <c r="N20" s="35">
        <v>5254</v>
      </c>
      <c r="O20" s="276"/>
      <c r="P20" s="36">
        <f>C20+I20+M20+N20+L20</f>
        <v>91118</v>
      </c>
      <c r="Q20" s="5">
        <f t="shared" si="2"/>
        <v>0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>
        <v>43966</v>
      </c>
      <c r="AC20" s="21">
        <v>2000</v>
      </c>
    </row>
    <row r="21" spans="1:29" ht="16.5" thickBot="1" x14ac:dyDescent="0.3">
      <c r="A21" s="30"/>
      <c r="B21" s="319">
        <v>43974</v>
      </c>
      <c r="C21" s="320">
        <v>4845</v>
      </c>
      <c r="D21" s="310" t="s">
        <v>294</v>
      </c>
      <c r="E21" s="151">
        <v>43974</v>
      </c>
      <c r="F21" s="32">
        <v>94169</v>
      </c>
      <c r="G21" s="152"/>
      <c r="H21" s="153">
        <v>43974</v>
      </c>
      <c r="I21" s="39">
        <v>0</v>
      </c>
      <c r="J21" s="67"/>
      <c r="K21" s="74"/>
      <c r="L21" s="68"/>
      <c r="M21" s="34">
        <v>76741</v>
      </c>
      <c r="N21" s="35">
        <v>3143</v>
      </c>
      <c r="O21" s="276"/>
      <c r="P21" s="36">
        <f>C21+I21+M21+N21+L21+L14</f>
        <v>102862.35</v>
      </c>
      <c r="Q21" s="201">
        <f t="shared" si="2"/>
        <v>8693.3500000000058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>
        <v>43973</v>
      </c>
      <c r="AC21" s="21">
        <v>2000</v>
      </c>
    </row>
    <row r="22" spans="1:29" ht="15.75" thickBot="1" x14ac:dyDescent="0.3">
      <c r="A22" s="30"/>
      <c r="B22" s="319">
        <v>43975</v>
      </c>
      <c r="C22" s="320">
        <v>1004</v>
      </c>
      <c r="D22" s="310" t="s">
        <v>72</v>
      </c>
      <c r="E22" s="151">
        <v>43975</v>
      </c>
      <c r="F22" s="32">
        <v>103977</v>
      </c>
      <c r="G22" s="152"/>
      <c r="H22" s="153">
        <v>43975</v>
      </c>
      <c r="I22" s="39">
        <v>1240</v>
      </c>
      <c r="J22" s="76"/>
      <c r="K22" s="59"/>
      <c r="L22" s="77"/>
      <c r="M22" s="258">
        <v>97737</v>
      </c>
      <c r="N22" s="35">
        <v>3996</v>
      </c>
      <c r="O22" s="276" t="s">
        <v>220</v>
      </c>
      <c r="P22" s="36">
        <f>C22+I22+M22+N22</f>
        <v>103977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>
        <v>43978</v>
      </c>
      <c r="AC22" s="21">
        <v>2000</v>
      </c>
    </row>
    <row r="23" spans="1:29" ht="15.75" thickBot="1" x14ac:dyDescent="0.3">
      <c r="A23" s="30"/>
      <c r="B23" s="319">
        <v>43976</v>
      </c>
      <c r="C23" s="320">
        <v>1195</v>
      </c>
      <c r="D23" s="310" t="s">
        <v>72</v>
      </c>
      <c r="E23" s="151">
        <v>43976</v>
      </c>
      <c r="F23" s="32">
        <v>57229</v>
      </c>
      <c r="G23" s="152"/>
      <c r="H23" s="153">
        <v>43976</v>
      </c>
      <c r="I23" s="39">
        <v>0</v>
      </c>
      <c r="J23" s="284"/>
      <c r="K23" s="289"/>
      <c r="L23" s="285"/>
      <c r="M23" s="34">
        <v>54097</v>
      </c>
      <c r="N23" s="35">
        <v>1937</v>
      </c>
      <c r="O23" s="257"/>
      <c r="P23" s="36">
        <f>C23+I23+M23+N23</f>
        <v>57229</v>
      </c>
      <c r="Q23" s="5">
        <f>P23-F23</f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>
        <v>43985</v>
      </c>
      <c r="AC23" s="21">
        <v>2000</v>
      </c>
    </row>
    <row r="24" spans="1:29" ht="15.75" thickBot="1" x14ac:dyDescent="0.3">
      <c r="A24" s="30"/>
      <c r="B24" s="319">
        <v>43977</v>
      </c>
      <c r="C24" s="320">
        <v>3689.5</v>
      </c>
      <c r="D24" s="310" t="s">
        <v>48</v>
      </c>
      <c r="E24" s="151">
        <v>43977</v>
      </c>
      <c r="F24" s="32">
        <v>51348</v>
      </c>
      <c r="G24" s="152"/>
      <c r="H24" s="153">
        <v>43977</v>
      </c>
      <c r="I24" s="39">
        <v>76</v>
      </c>
      <c r="J24" s="286"/>
      <c r="K24" s="297"/>
      <c r="L24" s="291"/>
      <c r="M24" s="34">
        <v>46226.5</v>
      </c>
      <c r="N24" s="35">
        <v>1356</v>
      </c>
      <c r="O24" s="276"/>
      <c r="P24" s="36">
        <f>C24+I24+M24+N24</f>
        <v>51348</v>
      </c>
      <c r="Q24" s="5">
        <f t="shared" ref="Q24:Q32" si="3">P24-F24</f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319">
        <v>43978</v>
      </c>
      <c r="C25" s="320">
        <v>3928</v>
      </c>
      <c r="D25" s="310" t="s">
        <v>295</v>
      </c>
      <c r="E25" s="151">
        <v>43978</v>
      </c>
      <c r="F25" s="32">
        <v>52888</v>
      </c>
      <c r="G25" s="152"/>
      <c r="H25" s="153">
        <v>43978</v>
      </c>
      <c r="I25" s="39">
        <v>2000</v>
      </c>
      <c r="J25" s="287"/>
      <c r="K25" s="163"/>
      <c r="L25" s="102" t="s">
        <v>12</v>
      </c>
      <c r="M25" s="34">
        <v>44791</v>
      </c>
      <c r="N25" s="35">
        <v>2169</v>
      </c>
      <c r="O25" s="276"/>
      <c r="P25" s="36">
        <f>C25+I25+M25+N25</f>
        <v>52888</v>
      </c>
      <c r="Q25" s="5">
        <f t="shared" si="3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319">
        <v>43979</v>
      </c>
      <c r="C26" s="320">
        <v>1214</v>
      </c>
      <c r="D26" s="310" t="s">
        <v>72</v>
      </c>
      <c r="E26" s="151">
        <v>43979</v>
      </c>
      <c r="F26" s="32">
        <v>69439</v>
      </c>
      <c r="G26" s="152"/>
      <c r="H26" s="153">
        <v>43979</v>
      </c>
      <c r="I26" s="39">
        <v>0</v>
      </c>
      <c r="J26" s="67"/>
      <c r="K26" s="290"/>
      <c r="L26" s="285"/>
      <c r="M26" s="34">
        <v>65617</v>
      </c>
      <c r="N26" s="35">
        <v>2608</v>
      </c>
      <c r="O26" s="276"/>
      <c r="P26" s="36">
        <f>C26+I26+M26+N26</f>
        <v>69439</v>
      </c>
      <c r="Q26" s="5">
        <f t="shared" si="3"/>
        <v>0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319">
        <v>43980</v>
      </c>
      <c r="C27" s="320">
        <v>1249</v>
      </c>
      <c r="D27" s="310" t="s">
        <v>72</v>
      </c>
      <c r="E27" s="151">
        <v>43980</v>
      </c>
      <c r="F27" s="32">
        <v>88939</v>
      </c>
      <c r="G27" s="152"/>
      <c r="H27" s="153">
        <v>43980</v>
      </c>
      <c r="I27" s="39">
        <v>10020</v>
      </c>
      <c r="J27" s="217" t="s">
        <v>306</v>
      </c>
      <c r="K27" s="295" t="s">
        <v>224</v>
      </c>
      <c r="L27" s="102">
        <v>10000</v>
      </c>
      <c r="M27" s="34">
        <v>73096</v>
      </c>
      <c r="N27" s="35">
        <v>4574</v>
      </c>
      <c r="O27" s="276"/>
      <c r="P27" s="36">
        <f>C27+I27+M27+N27+L16</f>
        <v>88939</v>
      </c>
      <c r="Q27" s="5">
        <f t="shared" si="3"/>
        <v>0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319">
        <v>43981</v>
      </c>
      <c r="C28" s="320">
        <v>3526</v>
      </c>
      <c r="D28" s="314" t="s">
        <v>296</v>
      </c>
      <c r="E28" s="151">
        <v>43981</v>
      </c>
      <c r="F28" s="32">
        <v>104048</v>
      </c>
      <c r="G28" s="152"/>
      <c r="H28" s="153">
        <v>43981</v>
      </c>
      <c r="I28" s="39">
        <v>0</v>
      </c>
      <c r="J28" s="217" t="s">
        <v>306</v>
      </c>
      <c r="K28" s="294" t="s">
        <v>307</v>
      </c>
      <c r="L28" s="102">
        <f>9345+10260</f>
        <v>19605</v>
      </c>
      <c r="M28" s="258">
        <v>64686</v>
      </c>
      <c r="N28" s="35">
        <v>6329</v>
      </c>
      <c r="O28" s="276" t="s">
        <v>220</v>
      </c>
      <c r="P28" s="36">
        <f>C28+I28+M28+N28+L9+L15</f>
        <v>112892.89</v>
      </c>
      <c r="Q28" s="201">
        <f t="shared" si="3"/>
        <v>8844.89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319">
        <v>43982</v>
      </c>
      <c r="C29" s="320">
        <v>10272</v>
      </c>
      <c r="D29" s="315" t="s">
        <v>297</v>
      </c>
      <c r="E29" s="151">
        <v>43982</v>
      </c>
      <c r="F29" s="32">
        <v>79829</v>
      </c>
      <c r="G29" s="152"/>
      <c r="H29" s="153">
        <v>43982</v>
      </c>
      <c r="I29" s="39">
        <v>0</v>
      </c>
      <c r="J29" s="217" t="s">
        <v>306</v>
      </c>
      <c r="K29" s="163" t="s">
        <v>243</v>
      </c>
      <c r="L29" s="102">
        <v>1856</v>
      </c>
      <c r="M29" s="34">
        <v>65660</v>
      </c>
      <c r="N29" s="35">
        <v>3897</v>
      </c>
      <c r="O29" s="276"/>
      <c r="P29" s="36">
        <f>C29+I29+M29+N29</f>
        <v>79829</v>
      </c>
      <c r="Q29" s="5">
        <f>P29-F29+L16</f>
        <v>0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319">
        <v>43983</v>
      </c>
      <c r="C30" s="320">
        <v>2838</v>
      </c>
      <c r="D30" s="315" t="s">
        <v>298</v>
      </c>
      <c r="E30" s="151">
        <v>43983</v>
      </c>
      <c r="F30" s="32">
        <v>64377</v>
      </c>
      <c r="G30" s="152"/>
      <c r="H30" s="153">
        <v>43983</v>
      </c>
      <c r="I30" s="244">
        <v>0</v>
      </c>
      <c r="J30" s="217" t="s">
        <v>306</v>
      </c>
      <c r="K30" s="296" t="s">
        <v>310</v>
      </c>
      <c r="L30" s="293">
        <v>4162.8999999999996</v>
      </c>
      <c r="M30" s="34">
        <v>56729</v>
      </c>
      <c r="N30" s="35">
        <v>4810</v>
      </c>
      <c r="O30" s="276"/>
      <c r="P30" s="36">
        <f>C30+I30+M30+N30</f>
        <v>64377</v>
      </c>
      <c r="Q30" s="5">
        <f t="shared" si="3"/>
        <v>0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319">
        <v>43984</v>
      </c>
      <c r="C31" s="321">
        <v>1475.5</v>
      </c>
      <c r="D31" s="315" t="s">
        <v>210</v>
      </c>
      <c r="E31" s="151">
        <v>43984</v>
      </c>
      <c r="F31" s="32">
        <v>96728</v>
      </c>
      <c r="G31" s="152"/>
      <c r="H31" s="153">
        <v>43984</v>
      </c>
      <c r="I31" s="244">
        <v>38</v>
      </c>
      <c r="J31" s="217" t="s">
        <v>306</v>
      </c>
      <c r="K31" s="163" t="s">
        <v>311</v>
      </c>
      <c r="L31" s="102">
        <v>21723.21</v>
      </c>
      <c r="M31" s="34">
        <f>66872+25735.5</f>
        <v>92607.5</v>
      </c>
      <c r="N31" s="35">
        <v>2608</v>
      </c>
      <c r="O31" s="276" t="s">
        <v>220</v>
      </c>
      <c r="P31" s="36">
        <f t="shared" ref="P31" si="4">C31+I31+M31+N31+L18</f>
        <v>96729</v>
      </c>
      <c r="Q31" s="5">
        <f t="shared" si="3"/>
        <v>1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319">
        <v>43985</v>
      </c>
      <c r="C32" s="321">
        <v>4914</v>
      </c>
      <c r="D32" s="315" t="s">
        <v>299</v>
      </c>
      <c r="E32" s="151">
        <v>43985</v>
      </c>
      <c r="F32" s="237">
        <v>62983</v>
      </c>
      <c r="G32" s="152"/>
      <c r="H32" s="153">
        <v>43985</v>
      </c>
      <c r="I32" s="244">
        <v>2140</v>
      </c>
      <c r="J32" s="217" t="s">
        <v>306</v>
      </c>
      <c r="K32" s="164" t="s">
        <v>312</v>
      </c>
      <c r="L32" s="102">
        <v>1276</v>
      </c>
      <c r="M32" s="34">
        <v>53120</v>
      </c>
      <c r="N32" s="35">
        <v>2809</v>
      </c>
      <c r="O32" s="276"/>
      <c r="P32" s="36">
        <f>C32+I32+M32+N32</f>
        <v>62983</v>
      </c>
      <c r="Q32" s="5">
        <f t="shared" si="3"/>
        <v>0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380">
        <v>43962</v>
      </c>
      <c r="C33" s="348">
        <v>4427.3599999999997</v>
      </c>
      <c r="D33" s="345" t="s">
        <v>321</v>
      </c>
      <c r="E33" s="151"/>
      <c r="F33" s="176"/>
      <c r="G33" s="152"/>
      <c r="H33" s="153"/>
      <c r="I33" s="244"/>
      <c r="J33" s="217" t="s">
        <v>306</v>
      </c>
      <c r="K33" s="164" t="s">
        <v>313</v>
      </c>
      <c r="L33" s="102">
        <v>49250</v>
      </c>
      <c r="M33" s="34">
        <v>0</v>
      </c>
      <c r="N33" s="35">
        <v>0</v>
      </c>
      <c r="O33" s="276"/>
      <c r="P33" s="36">
        <f>C33+I33+M33+N33</f>
        <v>4427.3599999999997</v>
      </c>
      <c r="Q33" s="5">
        <f t="shared" si="2"/>
        <v>4427.3599999999997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380">
        <v>43964</v>
      </c>
      <c r="C34" s="348">
        <v>14185.64</v>
      </c>
      <c r="D34" s="346" t="s">
        <v>321</v>
      </c>
      <c r="E34" s="151"/>
      <c r="F34" s="176"/>
      <c r="G34" s="152"/>
      <c r="H34" s="153"/>
      <c r="I34" s="244"/>
      <c r="J34" s="217" t="s">
        <v>306</v>
      </c>
      <c r="K34" s="163" t="s">
        <v>135</v>
      </c>
      <c r="L34" s="102">
        <v>1315.86</v>
      </c>
      <c r="M34" s="34">
        <v>0</v>
      </c>
      <c r="N34" s="35">
        <v>0</v>
      </c>
      <c r="O34" s="276"/>
      <c r="P34" s="36">
        <f>C34+I34+M34+N34+L17</f>
        <v>14185.64</v>
      </c>
      <c r="Q34" s="5">
        <f t="shared" si="2"/>
        <v>14185.64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380">
        <v>43967</v>
      </c>
      <c r="C35" s="348">
        <v>19476.66</v>
      </c>
      <c r="D35" s="346" t="s">
        <v>321</v>
      </c>
      <c r="E35" s="151"/>
      <c r="F35" s="176"/>
      <c r="G35" s="152"/>
      <c r="H35" s="153"/>
      <c r="I35" s="244"/>
      <c r="J35" s="217" t="s">
        <v>306</v>
      </c>
      <c r="K35" s="164" t="s">
        <v>308</v>
      </c>
      <c r="L35" s="292">
        <v>1700.75</v>
      </c>
      <c r="M35" s="34">
        <v>0</v>
      </c>
      <c r="N35" s="35">
        <v>0</v>
      </c>
      <c r="O35" s="276"/>
      <c r="P35" s="36">
        <f>C35+I35+M35+N35</f>
        <v>19476.66</v>
      </c>
      <c r="Q35" s="5">
        <f t="shared" si="2"/>
        <v>19476.66</v>
      </c>
      <c r="R35" s="36"/>
      <c r="V35" s="29">
        <v>43959</v>
      </c>
      <c r="W35" s="44" t="s">
        <v>11</v>
      </c>
      <c r="X35" s="196">
        <v>5010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381">
        <v>43973</v>
      </c>
      <c r="C36" s="348">
        <v>12944.75</v>
      </c>
      <c r="D36" s="346" t="s">
        <v>321</v>
      </c>
      <c r="E36" s="151"/>
      <c r="F36" s="176"/>
      <c r="G36" s="152"/>
      <c r="H36" s="153"/>
      <c r="I36" s="244"/>
      <c r="J36" s="217" t="s">
        <v>306</v>
      </c>
      <c r="K36" s="163" t="s">
        <v>309</v>
      </c>
      <c r="L36" s="102">
        <v>3432.6</v>
      </c>
      <c r="M36" s="34">
        <v>0</v>
      </c>
      <c r="N36" s="35">
        <v>0</v>
      </c>
      <c r="O36" s="276"/>
      <c r="P36" s="36">
        <f>C36+I36+M36+N36</f>
        <v>12944.75</v>
      </c>
      <c r="Q36" s="5">
        <f t="shared" si="2"/>
        <v>12944.75</v>
      </c>
      <c r="R36" s="36"/>
      <c r="V36" s="29">
        <v>43959</v>
      </c>
      <c r="W36" s="38" t="s">
        <v>10</v>
      </c>
      <c r="X36" s="196">
        <v>5010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381">
        <v>43974</v>
      </c>
      <c r="C37" s="349">
        <v>10687.84</v>
      </c>
      <c r="D37" s="346" t="s">
        <v>321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f>C37+I37+M37+N37</f>
        <v>10687.84</v>
      </c>
      <c r="Q37" s="5">
        <f t="shared" si="2"/>
        <v>10687.84</v>
      </c>
      <c r="R37" s="36"/>
      <c r="V37" s="29">
        <v>43966</v>
      </c>
      <c r="W37" s="44" t="s">
        <v>11</v>
      </c>
      <c r="X37" s="196">
        <v>5010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381">
        <v>43977</v>
      </c>
      <c r="C38" s="350">
        <v>14173.83</v>
      </c>
      <c r="D38" s="346" t="s">
        <v>321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104">
        <f>C38+I38+M38+N38</f>
        <v>14173.83</v>
      </c>
      <c r="Q38" s="104">
        <f t="shared" si="2"/>
        <v>14173.83</v>
      </c>
      <c r="R38" s="36"/>
      <c r="V38" s="29">
        <v>43966</v>
      </c>
      <c r="W38" s="38" t="s">
        <v>10</v>
      </c>
      <c r="X38" s="196">
        <v>5010</v>
      </c>
      <c r="Y38" s="41"/>
      <c r="AA38" s="19" t="s">
        <v>157</v>
      </c>
      <c r="AB38" s="167"/>
      <c r="AC38" s="21">
        <v>0</v>
      </c>
    </row>
    <row r="39" spans="1:29" ht="15.75" thickBot="1" x14ac:dyDescent="0.3">
      <c r="A39" s="30"/>
      <c r="B39" s="390">
        <v>43979</v>
      </c>
      <c r="C39" s="350">
        <v>18454.64</v>
      </c>
      <c r="D39" s="346" t="s">
        <v>321</v>
      </c>
      <c r="E39" s="151"/>
      <c r="F39" s="36"/>
      <c r="G39" s="152"/>
      <c r="H39" s="153"/>
      <c r="I39" s="344"/>
      <c r="J39" s="217"/>
      <c r="K39" s="229"/>
      <c r="L39" s="288"/>
      <c r="M39" s="34"/>
      <c r="N39" s="35"/>
      <c r="O39" s="276"/>
      <c r="P39" s="36"/>
      <c r="Q39" s="36"/>
      <c r="R39" s="36"/>
      <c r="V39" s="29"/>
      <c r="W39" s="38"/>
      <c r="X39" s="196"/>
      <c r="Y39" s="41"/>
      <c r="AA39" s="19"/>
      <c r="AB39" s="167"/>
      <c r="AC39" s="21"/>
    </row>
    <row r="40" spans="1:29" ht="15.75" thickBot="1" x14ac:dyDescent="0.3">
      <c r="A40" s="30"/>
      <c r="B40" s="347">
        <v>43981</v>
      </c>
      <c r="C40" s="350">
        <v>11653.98</v>
      </c>
      <c r="D40" s="346" t="s">
        <v>321</v>
      </c>
      <c r="E40" s="151"/>
      <c r="F40" s="36"/>
      <c r="G40" s="152"/>
      <c r="H40" s="153"/>
      <c r="I40" s="344"/>
      <c r="J40" s="217"/>
      <c r="K40" s="229"/>
      <c r="L40" s="288"/>
      <c r="M40" s="34"/>
      <c r="N40" s="35"/>
      <c r="O40" s="276"/>
      <c r="P40" s="36"/>
      <c r="Q40" s="36"/>
      <c r="R40" s="36"/>
      <c r="V40" s="29"/>
      <c r="W40" s="38"/>
      <c r="X40" s="196"/>
      <c r="Y40" s="41"/>
      <c r="AA40" s="19"/>
      <c r="AB40" s="167"/>
      <c r="AC40" s="21"/>
    </row>
    <row r="41" spans="1:29" ht="16.5" thickBot="1" x14ac:dyDescent="0.3">
      <c r="A41" s="105"/>
      <c r="B41" s="319"/>
      <c r="C41" s="323"/>
      <c r="D41" s="204"/>
      <c r="E41" s="151"/>
      <c r="F41" s="109"/>
      <c r="G41" s="110"/>
      <c r="H41" s="153"/>
      <c r="I41" s="109"/>
      <c r="J41" s="228"/>
      <c r="K41" s="265"/>
      <c r="L41" s="77"/>
      <c r="M41" s="34">
        <f>SUM(M5:M38)</f>
        <v>1878273</v>
      </c>
      <c r="N41" s="35">
        <f>SUM(N5:N38)</f>
        <v>101830</v>
      </c>
      <c r="O41" s="277"/>
      <c r="P41" s="114">
        <f>SUM(P5:P38)</f>
        <v>2334237.4000000004</v>
      </c>
      <c r="Q41" s="114">
        <f>SUM(Q5:Q38)</f>
        <v>123669.40000000001</v>
      </c>
      <c r="R41" s="114"/>
      <c r="V41" s="29">
        <v>43973</v>
      </c>
      <c r="W41" s="44" t="s">
        <v>11</v>
      </c>
      <c r="X41" s="196">
        <v>5010</v>
      </c>
      <c r="Y41" s="41"/>
      <c r="AA41" s="19" t="s">
        <v>160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219911.65</v>
      </c>
      <c r="D42" s="117"/>
      <c r="E42" s="303" t="s">
        <v>16</v>
      </c>
      <c r="F42" s="304">
        <f>SUM(F5:F41)</f>
        <v>2210568</v>
      </c>
      <c r="G42" s="117"/>
      <c r="H42" s="120" t="s">
        <v>303</v>
      </c>
      <c r="I42" s="121">
        <f>SUM(I5:I41)</f>
        <v>51366.5</v>
      </c>
      <c r="J42" s="332"/>
      <c r="K42" s="122" t="s">
        <v>304</v>
      </c>
      <c r="L42" s="123">
        <f>SUM(L6:L41)</f>
        <v>254948.18999999997</v>
      </c>
      <c r="O42" s="278"/>
      <c r="P42" s="36"/>
      <c r="Q42" s="36"/>
      <c r="R42" s="36"/>
      <c r="V42" s="29">
        <v>43973</v>
      </c>
      <c r="W42" s="38" t="s">
        <v>10</v>
      </c>
      <c r="X42" s="196">
        <v>5010</v>
      </c>
      <c r="Y42" s="41"/>
      <c r="AA42" s="19" t="s">
        <v>161</v>
      </c>
      <c r="AB42" s="167"/>
      <c r="AC42" s="21">
        <v>0</v>
      </c>
    </row>
    <row r="43" spans="1:29" ht="17.25" customHeight="1" thickTop="1" thickBot="1" x14ac:dyDescent="0.3">
      <c r="C43" s="8" t="s">
        <v>12</v>
      </c>
      <c r="M43" s="636">
        <f>N41+M41</f>
        <v>1980103</v>
      </c>
      <c r="N43" s="637"/>
      <c r="O43" s="279"/>
      <c r="P43" s="124"/>
      <c r="V43" s="29">
        <v>43980</v>
      </c>
      <c r="W43" s="44" t="s">
        <v>11</v>
      </c>
      <c r="X43" s="196">
        <v>5010</v>
      </c>
      <c r="Y43" s="41"/>
      <c r="AA43" s="19" t="s">
        <v>162</v>
      </c>
      <c r="AB43" s="167"/>
      <c r="AC43" s="21">
        <v>0</v>
      </c>
    </row>
    <row r="44" spans="1:29" ht="15.75" x14ac:dyDescent="0.25">
      <c r="A44" s="59"/>
      <c r="B44" s="125"/>
      <c r="C44" s="4"/>
      <c r="H44" s="638" t="s">
        <v>18</v>
      </c>
      <c r="I44" s="639"/>
      <c r="J44" s="333"/>
      <c r="K44" s="640">
        <f>I42+L42</f>
        <v>306314.68999999994</v>
      </c>
      <c r="L44" s="641"/>
      <c r="P44" s="127"/>
      <c r="S44" s="5"/>
      <c r="T44" s="128"/>
      <c r="U44" s="128"/>
      <c r="V44" s="29">
        <v>43980</v>
      </c>
      <c r="W44" s="38" t="s">
        <v>10</v>
      </c>
      <c r="X44" s="196">
        <v>5010</v>
      </c>
      <c r="Y44" s="41"/>
      <c r="AA44" s="19" t="s">
        <v>163</v>
      </c>
      <c r="AB44" s="167"/>
      <c r="AC44" s="21">
        <v>0</v>
      </c>
    </row>
    <row r="45" spans="1:29" ht="16.5" thickBot="1" x14ac:dyDescent="0.3">
      <c r="D45" s="642" t="s">
        <v>19</v>
      </c>
      <c r="E45" s="642"/>
      <c r="F45" s="129">
        <f>F42-K44-C42</f>
        <v>1684341.6600000001</v>
      </c>
      <c r="I45" s="130"/>
      <c r="J45" s="334"/>
      <c r="P45" s="127"/>
      <c r="V45" s="29"/>
      <c r="W45" s="44" t="s">
        <v>11</v>
      </c>
      <c r="X45" s="196">
        <v>0</v>
      </c>
      <c r="Y45" s="41"/>
      <c r="AA45" s="19" t="s">
        <v>164</v>
      </c>
      <c r="AB45" s="167"/>
      <c r="AC45" s="21">
        <v>0</v>
      </c>
    </row>
    <row r="46" spans="1:29" ht="18.75" x14ac:dyDescent="0.3">
      <c r="D46" s="655" t="s">
        <v>20</v>
      </c>
      <c r="E46" s="655"/>
      <c r="F46" s="131">
        <v>-1590870.08</v>
      </c>
      <c r="I46" s="656" t="s">
        <v>21</v>
      </c>
      <c r="J46" s="657"/>
      <c r="K46" s="658">
        <f>F51</f>
        <v>357966.56000000006</v>
      </c>
      <c r="L46" s="659"/>
      <c r="P46" s="305">
        <f>M43</f>
        <v>1980103</v>
      </c>
      <c r="Q46" s="5" t="s">
        <v>305</v>
      </c>
      <c r="V46" s="29"/>
      <c r="W46" s="38" t="s">
        <v>10</v>
      </c>
      <c r="X46" s="196">
        <v>0</v>
      </c>
      <c r="Y46" s="41"/>
      <c r="AA46" s="19" t="s">
        <v>165</v>
      </c>
      <c r="AB46" s="167"/>
      <c r="AC46" s="21">
        <v>0</v>
      </c>
    </row>
    <row r="47" spans="1:29" ht="4.5" customHeight="1" thickBot="1" x14ac:dyDescent="0.35">
      <c r="D47" s="132"/>
      <c r="E47" s="133"/>
      <c r="F47" s="134">
        <v>0</v>
      </c>
      <c r="I47" s="135"/>
      <c r="J47" s="335"/>
      <c r="K47" s="136"/>
      <c r="L47" s="136"/>
      <c r="P47" s="300">
        <v>0</v>
      </c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93471.580000000075</v>
      </c>
      <c r="H48" s="30"/>
      <c r="I48" s="137" t="s">
        <v>23</v>
      </c>
      <c r="J48" s="336"/>
      <c r="K48" s="627">
        <f>-C4</f>
        <v>-239420.42</v>
      </c>
      <c r="L48" s="628"/>
      <c r="M48" s="214"/>
      <c r="P48" s="300">
        <f>I42</f>
        <v>51366.5</v>
      </c>
      <c r="Q48" s="5" t="s">
        <v>302</v>
      </c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5592</v>
      </c>
      <c r="P49" s="300">
        <f>C42</f>
        <v>219911.65</v>
      </c>
      <c r="Q49" s="5" t="s">
        <v>301</v>
      </c>
      <c r="V49" s="8"/>
    </row>
    <row r="50" spans="2:22" ht="20.25" thickTop="1" thickBot="1" x14ac:dyDescent="0.35">
      <c r="C50" s="231">
        <v>43985</v>
      </c>
      <c r="D50" s="629" t="s">
        <v>26</v>
      </c>
      <c r="E50" s="630"/>
      <c r="F50" s="142">
        <v>258902.98</v>
      </c>
      <c r="I50" s="631" t="s">
        <v>129</v>
      </c>
      <c r="J50" s="632"/>
      <c r="K50" s="633">
        <f>K46+K48</f>
        <v>118546.14000000004</v>
      </c>
      <c r="L50" s="634"/>
      <c r="P50" s="306">
        <f>140625.87-27661</f>
        <v>112964.87</v>
      </c>
      <c r="Q50" s="5" t="s">
        <v>300</v>
      </c>
    </row>
    <row r="51" spans="2:22" ht="18.75" x14ac:dyDescent="0.3">
      <c r="C51" s="143"/>
      <c r="D51" s="144"/>
      <c r="E51" s="61" t="s">
        <v>27</v>
      </c>
      <c r="F51" s="145">
        <f>F48+F49+F50</f>
        <v>357966.56000000006</v>
      </c>
      <c r="J51" s="337"/>
      <c r="M51" s="146"/>
      <c r="P51" s="301">
        <f>-S18</f>
        <v>-35028.869999999995</v>
      </c>
    </row>
    <row r="52" spans="2:22" ht="15.75" thickBot="1" x14ac:dyDescent="0.3">
      <c r="P52" s="302">
        <v>-12735.45</v>
      </c>
      <c r="Q52" s="5" t="s">
        <v>286</v>
      </c>
    </row>
    <row r="53" spans="2:22" x14ac:dyDescent="0.25">
      <c r="B53"/>
      <c r="C53"/>
      <c r="D53" s="635"/>
      <c r="E53" s="635"/>
      <c r="M53" s="147"/>
      <c r="N53" s="59"/>
      <c r="O53" s="59"/>
      <c r="P53" s="128">
        <f>SUM(P46:P52)</f>
        <v>2316581.6999999997</v>
      </c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 s="222"/>
      <c r="L56" s="102">
        <v>10000</v>
      </c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L57" s="102">
        <f>9345+10260</f>
        <v>19605</v>
      </c>
      <c r="N57" s="59"/>
      <c r="O57" s="59"/>
      <c r="P57" s="59"/>
      <c r="Q57" s="186"/>
      <c r="R57" s="186"/>
    </row>
    <row r="58" spans="2:22" x14ac:dyDescent="0.25">
      <c r="F58" s="36"/>
      <c r="L58" s="102">
        <v>1856</v>
      </c>
      <c r="M58" s="4"/>
      <c r="N58" s="59"/>
      <c r="O58" s="59"/>
      <c r="P58" s="59"/>
      <c r="Q58" s="186"/>
      <c r="R58" s="186"/>
    </row>
    <row r="59" spans="2:22" x14ac:dyDescent="0.25">
      <c r="F59" s="36"/>
      <c r="L59" s="293">
        <v>4162.8999999999996</v>
      </c>
      <c r="M59" s="4"/>
      <c r="N59" s="59"/>
      <c r="O59" s="59"/>
      <c r="P59" s="59"/>
      <c r="Q59" s="186"/>
      <c r="R59" s="186"/>
    </row>
    <row r="60" spans="2:22" x14ac:dyDescent="0.25">
      <c r="F60" s="36"/>
      <c r="L60" s="102">
        <v>21723.21</v>
      </c>
      <c r="M60" s="4"/>
      <c r="N60" s="59"/>
      <c r="O60" s="59"/>
      <c r="P60" s="59"/>
      <c r="Q60" s="186"/>
      <c r="R60" s="186"/>
    </row>
    <row r="61" spans="2:22" x14ac:dyDescent="0.25">
      <c r="F61" s="36"/>
      <c r="L61" s="102">
        <v>1276</v>
      </c>
      <c r="M61" s="4"/>
      <c r="N61" s="59"/>
      <c r="O61" s="59"/>
      <c r="P61" s="59"/>
      <c r="Q61" s="186"/>
      <c r="R61" s="186"/>
    </row>
    <row r="62" spans="2:22" x14ac:dyDescent="0.25">
      <c r="F62" s="36"/>
      <c r="L62" s="102">
        <v>49250</v>
      </c>
      <c r="M62" s="4"/>
    </row>
    <row r="63" spans="2:22" x14ac:dyDescent="0.25">
      <c r="F63" s="36"/>
      <c r="L63" s="102">
        <v>1315.86</v>
      </c>
      <c r="M63" s="4"/>
    </row>
    <row r="64" spans="2:22" x14ac:dyDescent="0.25">
      <c r="F64" s="36"/>
      <c r="L64" s="292">
        <v>1700.75</v>
      </c>
      <c r="M64" s="4"/>
    </row>
    <row r="65" spans="6:13" x14ac:dyDescent="0.25">
      <c r="F65" s="36"/>
      <c r="L65" s="102">
        <v>3432.6</v>
      </c>
      <c r="M65" s="4"/>
    </row>
    <row r="66" spans="6:13" x14ac:dyDescent="0.25">
      <c r="F66" s="36"/>
      <c r="L66" s="37">
        <f>SUM(L56:L65)</f>
        <v>114322.32</v>
      </c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D53:E53"/>
    <mergeCell ref="D46:E46"/>
    <mergeCell ref="I46:J46"/>
    <mergeCell ref="K46:L46"/>
    <mergeCell ref="K48:L48"/>
    <mergeCell ref="D50:E50"/>
    <mergeCell ref="I50:J50"/>
    <mergeCell ref="K50:L50"/>
    <mergeCell ref="D45:E45"/>
    <mergeCell ref="C1:K1"/>
    <mergeCell ref="AF1:AG2"/>
    <mergeCell ref="E2:F3"/>
    <mergeCell ref="W2:X3"/>
    <mergeCell ref="AA2:AC2"/>
    <mergeCell ref="B3:C3"/>
    <mergeCell ref="E4:F4"/>
    <mergeCell ref="H4:I4"/>
    <mergeCell ref="M43:N43"/>
    <mergeCell ref="H44:I44"/>
    <mergeCell ref="K44:L44"/>
  </mergeCells>
  <pageMargins left="0.23622047244094491" right="0.15748031496062992" top="0.35433070866141736" bottom="0.31496062992125984" header="0.31496062992125984" footer="0.31496062992125984"/>
  <pageSetup scale="72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4 CARNES  ENERO 2020</vt:lpstr>
      <vt:lpstr>REMISIONES  ENERO  2020</vt:lpstr>
      <vt:lpstr>4 CARNES  FEBRERO   2020   </vt:lpstr>
      <vt:lpstr>REMISIONES  FEBRERO   2020    </vt:lpstr>
      <vt:lpstr>4 CARNES   MARZO   2020   </vt:lpstr>
      <vt:lpstr>REMISIONES  MARZO   2020   </vt:lpstr>
      <vt:lpstr>4 CARNES   ABRIL   2020   </vt:lpstr>
      <vt:lpstr>REMISIONES   ABRIL   2020  </vt:lpstr>
      <vt:lpstr>4  CARNES   MAYO   2020    </vt:lpstr>
      <vt:lpstr>REMISIONES    MAYO   2020   </vt:lpstr>
      <vt:lpstr>4 CARNES   JUNIO   2020   </vt:lpstr>
      <vt:lpstr>REMISIONES  JUNIO  2020</vt:lpstr>
      <vt:lpstr>4 CARNES  J U L I O   2020  </vt:lpstr>
      <vt:lpstr>REMISIONES  J U L I O    2020  </vt:lpstr>
      <vt:lpstr>4 CARNES  AGOSTO     2020      </vt:lpstr>
      <vt:lpstr>REMISIONES  AGOSTO   2020   </vt:lpstr>
      <vt:lpstr>ABASTO 4 CARNES SEPTIEMBRE 2020</vt:lpstr>
      <vt:lpstr>REMISIONES SEPTIEMBRE 2020</vt:lpstr>
      <vt:lpstr>ABASTO OCTUBRE  2020        </vt:lpstr>
      <vt:lpstr>REMISIONES  OCTUBRE  2020     </vt:lpstr>
      <vt:lpstr>ABASTO   NOVIEMBRE  2020    </vt:lpstr>
      <vt:lpstr>REMISIONES  NOVIEMBRE  2020</vt:lpstr>
      <vt:lpstr>ABASTO   DICIEMBRE    2020    </vt:lpstr>
      <vt:lpstr>REMISIONES  DICIEMBRE  2020    </vt:lpstr>
      <vt:lpstr>Hoja4</vt:lpstr>
      <vt:lpstr>Hoja3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2021-01-08T18:07:16Z</cp:lastPrinted>
  <dcterms:created xsi:type="dcterms:W3CDTF">2020-01-17T15:55:16Z</dcterms:created>
  <dcterms:modified xsi:type="dcterms:W3CDTF">2021-03-31T17:19:43Z</dcterms:modified>
</cp:coreProperties>
</file>