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# 12  DICIEMBRE 2020\"/>
    </mc:Choice>
  </mc:AlternateContent>
  <xr:revisionPtr revIDLastSave="0" documentId="13_ncr:1_{29306C69-E65C-44C7-9AD2-BC20ECC1AE76}" xr6:coauthVersionLast="46" xr6:coauthVersionMax="46" xr10:uidLastSave="{00000000-0000-0000-0000-000000000000}"/>
  <bookViews>
    <workbookView xWindow="6156" yWindow="420" windowWidth="15624" windowHeight="11808" firstSheet="21" activeTab="22" xr2:uid="{B851DD0B-0650-4905-8FE5-BDBD7DE8D83E}"/>
  </bookViews>
  <sheets>
    <sheet name="E N E R O    2 0 2 0        " sheetId="4" r:id="rId1"/>
    <sheet name="REMISIONES  ENERO  2020  " sheetId="3" r:id="rId2"/>
    <sheet name="FEBRERO  2020 " sheetId="1" r:id="rId3"/>
    <sheet name="REMISIONES  FEBRERO 2020" sheetId="2" r:id="rId4"/>
    <sheet name="  M A R Z O     2 0 2 0        " sheetId="5" r:id="rId5"/>
    <sheet name="REMISIONES  MARZO  2020    " sheetId="6" r:id="rId6"/>
    <sheet name="    A B R I L       2020       " sheetId="8" r:id="rId7"/>
    <sheet name="  REMISIONES   ABRIL    2020   " sheetId="9" r:id="rId8"/>
    <sheet name="M A Y O     2 0 2 0        " sheetId="10" r:id="rId9"/>
    <sheet name="REMISIONES  MAYO  2020    " sheetId="11" r:id="rId10"/>
    <sheet name=" J U N I O     2020   " sheetId="12" r:id="rId11"/>
    <sheet name="REMISIONES  J U N I O     2020 " sheetId="13" r:id="rId12"/>
    <sheet name="J U L I O    2020      " sheetId="14" r:id="rId13"/>
    <sheet name="REMISIONES   J U L I O   2020  " sheetId="15" r:id="rId14"/>
    <sheet name="ABASTO 4 CARNES  AGOSTO 2020   " sheetId="17" r:id="rId15"/>
    <sheet name="COMPRAS DE AGOSTO  2020  " sheetId="18" r:id="rId16"/>
    <sheet name="ABASTO  SEPTIEMBRE  2020   " sheetId="20" r:id="rId17"/>
    <sheet name="COMPRAS  SEPTIEMBRE   2020 " sheetId="21" r:id="rId18"/>
    <sheet name="ABASTOS  OCTUBRE 2020  " sheetId="23" r:id="rId19"/>
    <sheet name="COMPRAS OCTUBRE  2020  " sheetId="24" r:id="rId20"/>
    <sheet name="ABASTO NOVIEMBRE  2020   " sheetId="22" r:id="rId21"/>
    <sheet name="COMPRAS  NOVIEMBRE   2020    " sheetId="25" r:id="rId22"/>
    <sheet name="ABASTO DICIEMBRE  20200   " sheetId="26" r:id="rId23"/>
    <sheet name="COMPRAS DE DICIEMBRE  2020    " sheetId="27" r:id="rId24"/>
    <sheet name="Hoja2" sheetId="28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7" l="1"/>
  <c r="C67" i="27"/>
  <c r="F4" i="27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3" i="27"/>
  <c r="K67" i="26"/>
  <c r="N62" i="26"/>
  <c r="I62" i="26"/>
  <c r="F62" i="26"/>
  <c r="C62" i="26"/>
  <c r="L42" i="26"/>
  <c r="M40" i="26"/>
  <c r="M39" i="26"/>
  <c r="L37" i="26"/>
  <c r="M35" i="26"/>
  <c r="M33" i="26"/>
  <c r="M30" i="26"/>
  <c r="L30" i="26"/>
  <c r="L23" i="26"/>
  <c r="M22" i="26"/>
  <c r="M21" i="26"/>
  <c r="M19" i="26"/>
  <c r="M17" i="26"/>
  <c r="L16" i="26"/>
  <c r="M15" i="26"/>
  <c r="M14" i="26"/>
  <c r="M13" i="26"/>
  <c r="M62" i="26" s="1"/>
  <c r="M64" i="26" s="1"/>
  <c r="M12" i="26"/>
  <c r="L9" i="26"/>
  <c r="L62" i="26" s="1"/>
  <c r="F63" i="22"/>
  <c r="K62" i="22"/>
  <c r="F60" i="22"/>
  <c r="N53" i="22"/>
  <c r="N56" i="22" s="1"/>
  <c r="I53" i="22"/>
  <c r="F53" i="22"/>
  <c r="F56" i="22" s="1"/>
  <c r="C53" i="22"/>
  <c r="C56" i="22" s="1"/>
  <c r="L52" i="22"/>
  <c r="L44" i="22"/>
  <c r="L36" i="22"/>
  <c r="M34" i="22"/>
  <c r="L32" i="22"/>
  <c r="M31" i="22"/>
  <c r="M30" i="22"/>
  <c r="M29" i="22"/>
  <c r="M28" i="22"/>
  <c r="L25" i="22"/>
  <c r="M22" i="22"/>
  <c r="M21" i="22"/>
  <c r="M18" i="22"/>
  <c r="L18" i="22"/>
  <c r="M16" i="22"/>
  <c r="M15" i="22"/>
  <c r="M10" i="22"/>
  <c r="M7" i="22"/>
  <c r="G121" i="24"/>
  <c r="E121" i="24"/>
  <c r="E125" i="24" s="1"/>
  <c r="H120" i="24"/>
  <c r="H116" i="24"/>
  <c r="H115" i="24"/>
  <c r="H114" i="24"/>
  <c r="H113" i="24"/>
  <c r="H112" i="24"/>
  <c r="H111" i="24"/>
  <c r="H110" i="24"/>
  <c r="H109" i="24"/>
  <c r="H108" i="24"/>
  <c r="H107" i="24"/>
  <c r="H106" i="24"/>
  <c r="H105" i="24"/>
  <c r="H104" i="24"/>
  <c r="H103" i="24"/>
  <c r="P102" i="24"/>
  <c r="N102" i="24"/>
  <c r="Q102" i="24" s="1"/>
  <c r="H102" i="24"/>
  <c r="Q101" i="24"/>
  <c r="H101" i="24"/>
  <c r="Q100" i="24"/>
  <c r="H100" i="24"/>
  <c r="Q99" i="24"/>
  <c r="H99" i="24"/>
  <c r="Q98" i="24"/>
  <c r="H98" i="24"/>
  <c r="Q97" i="24"/>
  <c r="H97" i="24"/>
  <c r="Q96" i="24"/>
  <c r="H96" i="24"/>
  <c r="Q95" i="24"/>
  <c r="H95" i="24"/>
  <c r="Q94" i="24"/>
  <c r="H94" i="24"/>
  <c r="Q93" i="24"/>
  <c r="H93" i="24"/>
  <c r="Q92" i="24"/>
  <c r="H92" i="24"/>
  <c r="Q91" i="24"/>
  <c r="H91" i="24"/>
  <c r="Q90" i="24"/>
  <c r="H90" i="24"/>
  <c r="Q89" i="24"/>
  <c r="H89" i="24"/>
  <c r="Q88" i="24"/>
  <c r="H88" i="24"/>
  <c r="Q87" i="24"/>
  <c r="H87" i="24"/>
  <c r="Q86" i="24"/>
  <c r="H86" i="24"/>
  <c r="Q85" i="24"/>
  <c r="H85" i="24"/>
  <c r="Q84" i="24"/>
  <c r="H84" i="24"/>
  <c r="Q83" i="24"/>
  <c r="H83" i="24"/>
  <c r="Q82" i="24"/>
  <c r="H82" i="24"/>
  <c r="Q81" i="24"/>
  <c r="H81" i="24"/>
  <c r="Q80" i="24"/>
  <c r="H80" i="24"/>
  <c r="Q79" i="24"/>
  <c r="H79" i="24"/>
  <c r="Q78" i="24"/>
  <c r="H78" i="24"/>
  <c r="Q77" i="24"/>
  <c r="H77" i="24"/>
  <c r="Q76" i="24"/>
  <c r="H76" i="24"/>
  <c r="Q75" i="24"/>
  <c r="H75" i="24"/>
  <c r="Q74" i="24"/>
  <c r="H74" i="24"/>
  <c r="Q73" i="24"/>
  <c r="H73" i="24"/>
  <c r="Q72" i="24"/>
  <c r="H72" i="24"/>
  <c r="Q71" i="24"/>
  <c r="H71" i="24"/>
  <c r="Q70" i="24"/>
  <c r="H70" i="24"/>
  <c r="Q69" i="24"/>
  <c r="H69" i="24"/>
  <c r="Q68" i="24"/>
  <c r="H68" i="24"/>
  <c r="Q67" i="24"/>
  <c r="H67" i="24"/>
  <c r="Q66" i="24"/>
  <c r="H66" i="24"/>
  <c r="Q65" i="24"/>
  <c r="M65" i="24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M84" i="24" s="1"/>
  <c r="M85" i="24" s="1"/>
  <c r="M86" i="24" s="1"/>
  <c r="M87" i="24" s="1"/>
  <c r="M88" i="24" s="1"/>
  <c r="M89" i="24" s="1"/>
  <c r="M90" i="24" s="1"/>
  <c r="M91" i="24" s="1"/>
  <c r="M92" i="24" s="1"/>
  <c r="M93" i="24" s="1"/>
  <c r="M94" i="24" s="1"/>
  <c r="M95" i="24" s="1"/>
  <c r="M96" i="24" s="1"/>
  <c r="M97" i="24" s="1"/>
  <c r="M98" i="24" s="1"/>
  <c r="M99" i="24" s="1"/>
  <c r="M100" i="24" s="1"/>
  <c r="H65" i="24"/>
  <c r="W64" i="24"/>
  <c r="V68" i="24" s="1"/>
  <c r="U64" i="24"/>
  <c r="Q64" i="24"/>
  <c r="H64" i="24"/>
  <c r="H63" i="24"/>
  <c r="X62" i="24"/>
  <c r="H62" i="24"/>
  <c r="X61" i="24"/>
  <c r="H61" i="24"/>
  <c r="X60" i="24"/>
  <c r="H60" i="24"/>
  <c r="X59" i="24"/>
  <c r="H59" i="24"/>
  <c r="X58" i="24"/>
  <c r="H58" i="24"/>
  <c r="X57" i="24"/>
  <c r="H57" i="24"/>
  <c r="X56" i="24"/>
  <c r="H56" i="24"/>
  <c r="X55" i="24"/>
  <c r="H55" i="24"/>
  <c r="X54" i="24"/>
  <c r="H54" i="24"/>
  <c r="X53" i="24"/>
  <c r="H53" i="24"/>
  <c r="X52" i="24"/>
  <c r="H52" i="24"/>
  <c r="X51" i="24"/>
  <c r="H51" i="24"/>
  <c r="X50" i="24"/>
  <c r="H50" i="24"/>
  <c r="X49" i="24"/>
  <c r="H49" i="24"/>
  <c r="X48" i="24"/>
  <c r="H48" i="24"/>
  <c r="X47" i="24"/>
  <c r="H47" i="24"/>
  <c r="X46" i="24"/>
  <c r="H46" i="24"/>
  <c r="X45" i="24"/>
  <c r="H45" i="24"/>
  <c r="X44" i="24"/>
  <c r="H44" i="24"/>
  <c r="X43" i="24"/>
  <c r="H43" i="24"/>
  <c r="X42" i="24"/>
  <c r="H42" i="24"/>
  <c r="X41" i="24"/>
  <c r="X64" i="24" s="1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H4" i="24"/>
  <c r="G74" i="25"/>
  <c r="E74" i="25"/>
  <c r="H73" i="25"/>
  <c r="Q69" i="25"/>
  <c r="H69" i="25"/>
  <c r="Q68" i="25"/>
  <c r="H68" i="25"/>
  <c r="Q67" i="25"/>
  <c r="H67" i="25"/>
  <c r="Q66" i="25"/>
  <c r="H66" i="25"/>
  <c r="Q65" i="25"/>
  <c r="M65" i="25"/>
  <c r="M66" i="25" s="1"/>
  <c r="M67" i="25" s="1"/>
  <c r="M68" i="25" s="1"/>
  <c r="M69" i="25" s="1"/>
  <c r="H65" i="25"/>
  <c r="W64" i="25"/>
  <c r="U64" i="25"/>
  <c r="V68" i="25" s="1"/>
  <c r="Q64" i="25"/>
  <c r="H64" i="25"/>
  <c r="H63" i="25"/>
  <c r="X62" i="25"/>
  <c r="H62" i="25"/>
  <c r="X61" i="25"/>
  <c r="H61" i="25"/>
  <c r="X60" i="25"/>
  <c r="H60" i="25"/>
  <c r="X59" i="25"/>
  <c r="H59" i="25"/>
  <c r="X58" i="25"/>
  <c r="H58" i="25"/>
  <c r="X57" i="25"/>
  <c r="H57" i="25"/>
  <c r="X56" i="25"/>
  <c r="H56" i="25"/>
  <c r="X55" i="25"/>
  <c r="H55" i="25"/>
  <c r="X54" i="25"/>
  <c r="H54" i="25"/>
  <c r="X53" i="25"/>
  <c r="H53" i="25"/>
  <c r="X52" i="25"/>
  <c r="H52" i="25"/>
  <c r="X51" i="25"/>
  <c r="H51" i="25"/>
  <c r="X50" i="25"/>
  <c r="H50" i="25"/>
  <c r="X49" i="25"/>
  <c r="H49" i="25"/>
  <c r="X48" i="25"/>
  <c r="H48" i="25"/>
  <c r="X47" i="25"/>
  <c r="H47" i="25"/>
  <c r="X46" i="25"/>
  <c r="H46" i="25"/>
  <c r="X45" i="25"/>
  <c r="H45" i="25"/>
  <c r="X44" i="25"/>
  <c r="H44" i="25"/>
  <c r="X43" i="25"/>
  <c r="H43" i="25"/>
  <c r="X42" i="25"/>
  <c r="H42" i="25"/>
  <c r="X41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B6" i="25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B55" i="25" s="1"/>
  <c r="B56" i="25" s="1"/>
  <c r="B57" i="25" s="1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68" i="25" s="1"/>
  <c r="B69" i="25" s="1"/>
  <c r="H5" i="25"/>
  <c r="B5" i="25"/>
  <c r="H4" i="25"/>
  <c r="K64" i="26" l="1"/>
  <c r="F65" i="26" s="1"/>
  <c r="F67" i="26" s="1"/>
  <c r="K66" i="26" s="1"/>
  <c r="K69" i="26" s="1"/>
  <c r="H121" i="24"/>
  <c r="X64" i="25"/>
  <c r="H74" i="25"/>
  <c r="E78" i="25"/>
  <c r="M53" i="22"/>
  <c r="L53" i="22"/>
  <c r="L56" i="22" s="1"/>
  <c r="M58" i="22"/>
  <c r="M56" i="22"/>
  <c r="K58" i="22"/>
  <c r="F59" i="22" s="1"/>
  <c r="F62" i="22" s="1"/>
  <c r="K60" i="22" s="1"/>
  <c r="K64" i="22" s="1"/>
  <c r="I56" i="22"/>
  <c r="K59" i="23" l="1"/>
  <c r="N53" i="23"/>
  <c r="I53" i="23"/>
  <c r="F53" i="23"/>
  <c r="C53" i="23"/>
  <c r="L39" i="23"/>
  <c r="L35" i="23"/>
  <c r="M32" i="23"/>
  <c r="L28" i="23"/>
  <c r="M27" i="23"/>
  <c r="M26" i="23"/>
  <c r="M25" i="23"/>
  <c r="M21" i="23"/>
  <c r="L21" i="23"/>
  <c r="M20" i="23"/>
  <c r="M18" i="23"/>
  <c r="M17" i="23"/>
  <c r="M16" i="23"/>
  <c r="M14" i="23"/>
  <c r="L14" i="23"/>
  <c r="M11" i="23"/>
  <c r="M10" i="23"/>
  <c r="L7" i="23"/>
  <c r="L53" i="23" l="1"/>
  <c r="M53" i="23"/>
  <c r="M55" i="23" s="1"/>
  <c r="K55" i="23"/>
  <c r="F56" i="23" s="1"/>
  <c r="F59" i="23" s="1"/>
  <c r="K57" i="23" s="1"/>
  <c r="K61" i="23" s="1"/>
  <c r="E44" i="21"/>
  <c r="C44" i="2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K58" i="20"/>
  <c r="N52" i="20"/>
  <c r="I52" i="20"/>
  <c r="F52" i="20"/>
  <c r="C52" i="20"/>
  <c r="L45" i="20"/>
  <c r="L40" i="20"/>
  <c r="M30" i="20"/>
  <c r="L27" i="20"/>
  <c r="M24" i="20"/>
  <c r="L20" i="20"/>
  <c r="M18" i="20"/>
  <c r="L13" i="20"/>
  <c r="M12" i="20"/>
  <c r="M6" i="20"/>
  <c r="L6" i="20"/>
  <c r="M4" i="20"/>
  <c r="M52" i="20" l="1"/>
  <c r="M54" i="20" s="1"/>
  <c r="L52" i="20"/>
  <c r="K54" i="20"/>
  <c r="F55" i="20" s="1"/>
  <c r="F58" i="20" s="1"/>
  <c r="K56" i="20" s="1"/>
  <c r="K60" i="20" s="1"/>
  <c r="E44" i="18"/>
  <c r="C44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K56" i="17"/>
  <c r="N50" i="17"/>
  <c r="I50" i="17"/>
  <c r="F50" i="17"/>
  <c r="L36" i="17"/>
  <c r="M30" i="17"/>
  <c r="C30" i="17"/>
  <c r="M29" i="17"/>
  <c r="L28" i="17"/>
  <c r="C28" i="17"/>
  <c r="C27" i="17"/>
  <c r="C50" i="17" s="1"/>
  <c r="L21" i="17"/>
  <c r="M16" i="17"/>
  <c r="L14" i="17"/>
  <c r="M11" i="17"/>
  <c r="L7" i="17"/>
  <c r="L50" i="17" s="1"/>
  <c r="M50" i="17" l="1"/>
  <c r="M52" i="17" s="1"/>
  <c r="K52" i="17"/>
  <c r="F53" i="17"/>
  <c r="F56" i="17" s="1"/>
  <c r="K54" i="17" s="1"/>
  <c r="K58" i="17" s="1"/>
  <c r="E35" i="15"/>
  <c r="C35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K46" i="14" l="1"/>
  <c r="N40" i="14"/>
  <c r="I40" i="14"/>
  <c r="F40" i="14"/>
  <c r="C40" i="14"/>
  <c r="M19" i="14"/>
  <c r="L15" i="14"/>
  <c r="L14" i="14"/>
  <c r="M13" i="14"/>
  <c r="L12" i="14"/>
  <c r="M8" i="14"/>
  <c r="M40" i="14" s="1"/>
  <c r="M42" i="14" s="1"/>
  <c r="L40" i="14" l="1"/>
  <c r="K42" i="14" s="1"/>
  <c r="F43" i="14" s="1"/>
  <c r="F46" i="14" s="1"/>
  <c r="F49" i="14" s="1"/>
  <c r="K44" i="14" s="1"/>
  <c r="K48" i="14" s="1"/>
  <c r="E53" i="13"/>
  <c r="C53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66" i="12"/>
  <c r="I66" i="12"/>
  <c r="K72" i="12"/>
  <c r="N66" i="12"/>
  <c r="C66" i="12"/>
  <c r="I40" i="12"/>
  <c r="M35" i="12"/>
  <c r="M27" i="12"/>
  <c r="L25" i="12"/>
  <c r="M21" i="12"/>
  <c r="L19" i="12"/>
  <c r="L18" i="12"/>
  <c r="L16" i="12"/>
  <c r="L15" i="12"/>
  <c r="L13" i="12"/>
  <c r="L12" i="12"/>
  <c r="L66" i="12" s="1"/>
  <c r="M8" i="12"/>
  <c r="M66" i="12" s="1"/>
  <c r="M68" i="12" s="1"/>
  <c r="I8" i="12"/>
  <c r="K68" i="12" l="1"/>
  <c r="F69" i="12" s="1"/>
  <c r="F72" i="12" s="1"/>
  <c r="F75" i="12" s="1"/>
  <c r="K70" i="12" s="1"/>
  <c r="K74" i="12" s="1"/>
  <c r="E51" i="11"/>
  <c r="C51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K49" i="10"/>
  <c r="I43" i="10"/>
  <c r="F43" i="10"/>
  <c r="C43" i="10"/>
  <c r="N42" i="10"/>
  <c r="M31" i="10"/>
  <c r="L28" i="10"/>
  <c r="M19" i="10"/>
  <c r="M42" i="10" s="1"/>
  <c r="L15" i="10"/>
  <c r="L14" i="10"/>
  <c r="L13" i="10"/>
  <c r="L12" i="10"/>
  <c r="L43" i="10" s="1"/>
  <c r="K45" i="10" l="1"/>
  <c r="M44" i="10"/>
  <c r="F46" i="10"/>
  <c r="F49" i="10" s="1"/>
  <c r="F52" i="10" s="1"/>
  <c r="K47" i="10" s="1"/>
  <c r="K51" i="10" s="1"/>
  <c r="E41" i="9"/>
  <c r="C41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K46" i="8"/>
  <c r="I40" i="8"/>
  <c r="F40" i="8"/>
  <c r="C40" i="8"/>
  <c r="N39" i="8"/>
  <c r="M32" i="8"/>
  <c r="M26" i="8"/>
  <c r="M24" i="8"/>
  <c r="L16" i="8"/>
  <c r="M14" i="8"/>
  <c r="L14" i="8"/>
  <c r="L13" i="8"/>
  <c r="L40" i="8" s="1"/>
  <c r="M12" i="8"/>
  <c r="L12" i="8"/>
  <c r="M39" i="8" l="1"/>
  <c r="F41" i="9"/>
  <c r="K42" i="8"/>
  <c r="F43" i="8" s="1"/>
  <c r="F46" i="8" s="1"/>
  <c r="F49" i="8" s="1"/>
  <c r="K44" i="8" s="1"/>
  <c r="K48" i="8" s="1"/>
  <c r="M41" i="8"/>
  <c r="E51" i="6"/>
  <c r="C51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K46" i="5"/>
  <c r="I40" i="5"/>
  <c r="F40" i="5"/>
  <c r="C40" i="5"/>
  <c r="N39" i="5"/>
  <c r="M26" i="5"/>
  <c r="M25" i="5"/>
  <c r="L17" i="5"/>
  <c r="L16" i="5"/>
  <c r="L15" i="5"/>
  <c r="L14" i="5"/>
  <c r="L13" i="5"/>
  <c r="L40" i="5" s="1"/>
  <c r="M10" i="5"/>
  <c r="E51" i="3"/>
  <c r="C51" i="3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K51" i="4"/>
  <c r="I45" i="4"/>
  <c r="F45" i="4"/>
  <c r="C45" i="4"/>
  <c r="N44" i="4"/>
  <c r="M29" i="4"/>
  <c r="M26" i="4"/>
  <c r="M22" i="4"/>
  <c r="M21" i="4"/>
  <c r="M18" i="4"/>
  <c r="M16" i="4"/>
  <c r="L16" i="4"/>
  <c r="L15" i="4"/>
  <c r="M14" i="4"/>
  <c r="M13" i="4"/>
  <c r="L13" i="4"/>
  <c r="L45" i="4" s="1"/>
  <c r="M12" i="4"/>
  <c r="L12" i="4"/>
  <c r="M11" i="4"/>
  <c r="M10" i="4"/>
  <c r="M8" i="4"/>
  <c r="M7" i="4"/>
  <c r="M6" i="4"/>
  <c r="M44" i="4" l="1"/>
  <c r="M46" i="4" s="1"/>
  <c r="M39" i="5"/>
  <c r="M41" i="5"/>
  <c r="K42" i="5"/>
  <c r="F43" i="5" s="1"/>
  <c r="F46" i="5" s="1"/>
  <c r="F49" i="5" s="1"/>
  <c r="K44" i="5" s="1"/>
  <c r="K48" i="5" s="1"/>
  <c r="K47" i="4"/>
  <c r="F48" i="4" s="1"/>
  <c r="F51" i="4" s="1"/>
  <c r="F54" i="4" s="1"/>
  <c r="K49" i="4" s="1"/>
  <c r="K53" i="4" s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K48" i="1"/>
  <c r="I42" i="1"/>
  <c r="F42" i="1"/>
  <c r="C42" i="1"/>
  <c r="N41" i="1"/>
  <c r="M27" i="1"/>
  <c r="M24" i="1"/>
  <c r="M18" i="1"/>
  <c r="L15" i="1"/>
  <c r="L14" i="1"/>
  <c r="M13" i="1"/>
  <c r="L13" i="1"/>
  <c r="L12" i="1"/>
  <c r="M10" i="1"/>
  <c r="M8" i="1"/>
  <c r="L42" i="1" l="1"/>
  <c r="M41" i="1"/>
  <c r="K44" i="1"/>
  <c r="F45" i="1" s="1"/>
  <c r="F48" i="1" s="1"/>
  <c r="F51" i="1" s="1"/>
  <c r="K46" i="1" s="1"/>
  <c r="K50" i="1" s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56691371-43AA-4EE8-9B99-A320D85F3F5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ABC3947-A6C1-4A39-B655-1D27FFFED58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602A47F0-7831-4C94-B741-0973278E50A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7BCB567-86BA-4A40-A8EB-E7D7B04AABE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62FEDCE-C57C-4137-9C70-F01472C025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9A429AE-6FBC-4AC2-A56B-F9E554D7669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62815DD3-7A28-46EC-991A-B7B65D72EA6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E6810F1-025F-4B69-8E09-8102EA6327B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87CF205-6D33-479E-8F87-0E57CBD8EC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728C02F-F9D1-48DE-B297-1A6A552A193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43E22CA0-053C-4EE5-95E1-50FE4C76E5B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B6C1968-68FE-444F-9364-D36FF73F1A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0D9A8617-ACDB-4D2D-B292-E0D6D84CD4C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426D2E87-30A1-48E3-B065-18D5D547018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F227091E-4333-4FFF-A61F-E730F64E7E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AE1921-E59F-4AF7-A1B3-CED2CCE0B6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A00D9767-AEA7-47BF-9917-323864D9BA1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519BB26-F2F2-4782-A1FA-0CF31D11955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68B7386-FBB3-409E-9293-1BEAC98CECD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92CE9BCC-A5F7-4EAB-AC61-C2151FEDCEC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2CB73620-ED8F-4689-BBC4-3009F90638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B8257498-A015-4236-B271-12C84D8A7A6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2" authorId="0" shapeId="0" xr:uid="{B8B3277A-2AF2-41F7-8EE3-9A5751D85E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ABBDA21F-5DCD-4E3E-9BAB-D17D9A55F3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<sst xmlns="http://schemas.openxmlformats.org/spreadsheetml/2006/main" count="1736" uniqueCount="733">
  <si>
    <t>BALANCE      ABASTO 4 CARNES   FEBRERO      2 0 2 0</t>
  </si>
  <si>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</si>
  <si>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</si>
  <si>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</si>
  <si>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</si>
  <si>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INVENTARIO INICIAL</t>
  </si>
  <si>
    <t xml:space="preserve">VENTAS  </t>
  </si>
  <si>
    <t>GASTOS</t>
  </si>
  <si>
    <t>BANCO</t>
  </si>
  <si>
    <t>TARJETAS</t>
  </si>
  <si>
    <t xml:space="preserve"> </t>
  </si>
  <si>
    <t>QUESOS</t>
  </si>
  <si>
    <t>POLLO-MAIZ</t>
  </si>
  <si>
    <t>TELMEX</t>
  </si>
  <si>
    <t>POLLO--ZASONADOR</t>
  </si>
  <si>
    <t xml:space="preserve">LUZ  </t>
  </si>
  <si>
    <t>POLLO-QUESOS-CHORIZO-SALSAS</t>
  </si>
  <si>
    <t>RENTA</t>
  </si>
  <si>
    <t>POLLO-TOSTADAS</t>
  </si>
  <si>
    <t>POLLO</t>
  </si>
  <si>
    <t>NOMINA 06</t>
  </si>
  <si>
    <t>NOMINA 07</t>
  </si>
  <si>
    <t xml:space="preserve">POLLO-QUESOS  </t>
  </si>
  <si>
    <t>NOMINA 08</t>
  </si>
  <si>
    <t>POLLO-CHORIZOS</t>
  </si>
  <si>
    <t>NOMINA 09</t>
  </si>
  <si>
    <t>NOMINA 10</t>
  </si>
  <si>
    <t>POLLO-QUESOS--MAIZ</t>
  </si>
  <si>
    <t xml:space="preserve">NOMINA </t>
  </si>
  <si>
    <t>POLLO--MAIZ</t>
  </si>
  <si>
    <t>POLLO-QUESOS</t>
  </si>
  <si>
    <t>POLLO--TOCINETA-QUESOS</t>
  </si>
  <si>
    <t>POLLO--CHORIZO-BONAFINA</t>
  </si>
  <si>
    <t>POLLO-TOSTADAS---QUESOS</t>
  </si>
  <si>
    <t>POLLO-SALSAS, JUGO</t>
  </si>
  <si>
    <t>POLLO-CHORIZOS-QUESOS-</t>
  </si>
  <si>
    <t>FEBRE.,2020</t>
  </si>
  <si>
    <t>IMSS --FINANZAS</t>
  </si>
  <si>
    <t>tablas para carne</t>
  </si>
  <si>
    <t>POLLO-JUGO</t>
  </si>
  <si>
    <t>FAMSA  Delantales</t>
  </si>
  <si>
    <t>RES</t>
  </si>
  <si>
    <t xml:space="preserve">COMISIONES BANCARIAS </t>
  </si>
  <si>
    <t xml:space="preserve">CELULARES  </t>
  </si>
  <si>
    <t>GASOLINERA</t>
  </si>
  <si>
    <t>Impuestos Federales</t>
  </si>
  <si>
    <t>ADT</t>
  </si>
  <si>
    <t xml:space="preserve">CAMARAS </t>
  </si>
  <si>
    <t>REFRIGERACION</t>
  </si>
  <si>
    <t>Vigilancia</t>
  </si>
  <si>
    <t>Prod de limpieza</t>
  </si>
  <si>
    <t>TOTAL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</si>
  <si>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</si>
  <si>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</si>
  <si>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</si>
  <si>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</si>
  <si>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</si>
  <si>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</si>
  <si>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</si>
  <si>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</si>
  <si>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</si>
  <si>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GANANCIA </t>
  </si>
  <si>
    <t xml:space="preserve">Sub Total 2 </t>
  </si>
  <si>
    <t>REMISIONES  ABASTO 4 CARNES       2 0 1 9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</si>
  <si>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</si>
  <si>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</si>
  <si>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</si>
  <si>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</si>
  <si>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</si>
  <si>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</si>
  <si>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QUESO-CHORIZO-TOSTADAS</t>
  </si>
  <si>
    <t>RES-POLLO</t>
  </si>
  <si>
    <t>POLLO-CHORIZO</t>
  </si>
  <si>
    <t xml:space="preserve">POLLO  </t>
  </si>
  <si>
    <t>RES-POLLO-TOCINETA-QUESOS</t>
  </si>
  <si>
    <t>POLLO-CHORIZO--</t>
  </si>
  <si>
    <t>NOMINA 02</t>
  </si>
  <si>
    <t>NOMINA 03</t>
  </si>
  <si>
    <t>NOMINA 04</t>
  </si>
  <si>
    <t>RES-POLLO-MAIZ</t>
  </si>
  <si>
    <t>POLLO-CHORIZO-QUESOS</t>
  </si>
  <si>
    <t>NOMINA 05</t>
  </si>
  <si>
    <t>MAIZ</t>
  </si>
  <si>
    <t>POLLO-QUESOS-SALSAS</t>
  </si>
  <si>
    <t>Multas Moto</t>
  </si>
  <si>
    <t>SAT  S.H.C.P</t>
  </si>
  <si>
    <t>POLLO-QUESOS-TOCINETA</t>
  </si>
  <si>
    <t>CHORIZO</t>
  </si>
  <si>
    <t>POLLO-CHORIZO-TOSTADAS-SALSAS</t>
  </si>
  <si>
    <t>POLLO-QUESOS-CHORIZO</t>
  </si>
  <si>
    <t>POLLO-VERDURAS</t>
  </si>
  <si>
    <t>POLLO-MAIZ-TOSTADAS</t>
  </si>
  <si>
    <t>ENERO.,2020</t>
  </si>
  <si>
    <t>CELULARES  5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</si>
  <si>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</si>
  <si>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</si>
  <si>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</si>
  <si>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</si>
  <si>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</si>
  <si>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</si>
  <si>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</si>
  <si>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</si>
  <si>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</si>
  <si>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</si>
  <si>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</si>
  <si>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</si>
  <si>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</si>
  <si>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</si>
  <si>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</si>
  <si>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</si>
  <si>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</si>
  <si>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</si>
  <si>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</si>
  <si>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</si>
  <si>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</si>
  <si>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</si>
  <si>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</si>
  <si>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</si>
  <si>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</si>
  <si>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</si>
  <si>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</si>
  <si>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</si>
  <si>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</si>
  <si>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</si>
  <si>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</si>
  <si>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</si>
  <si>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</si>
  <si>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</si>
  <si>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,03285</t>
  </si>
  <si>
    <t>,03378</t>
  </si>
  <si>
    <t>,03459</t>
  </si>
  <si>
    <t>,03548</t>
  </si>
  <si>
    <t>,03813</t>
  </si>
  <si>
    <t>,03877</t>
  </si>
  <si>
    <t>,03878</t>
  </si>
  <si>
    <t>MANUEL ATLATENCO</t>
  </si>
  <si>
    <t>con fecha 07 Enero   de  2019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</si>
  <si>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</si>
  <si>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</si>
  <si>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</si>
  <si>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</si>
  <si>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</si>
  <si>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</si>
  <si>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NOMINA 11</t>
  </si>
  <si>
    <t>NOMINA 12</t>
  </si>
  <si>
    <t>NOMINA 13</t>
  </si>
  <si>
    <t>POLLO-MAIZ-CHORIZO</t>
  </si>
  <si>
    <t>NOMINA  14</t>
  </si>
  <si>
    <t>RES-POLLO-CHORIZO</t>
  </si>
  <si>
    <t xml:space="preserve">POLLO-MAIZ   </t>
  </si>
  <si>
    <t>POLLO-QUESOS-</t>
  </si>
  <si>
    <t>RES-QUESOS-VERDURAS</t>
  </si>
  <si>
    <t>SAT</t>
  </si>
  <si>
    <t>POLLO--TOSTADAS</t>
  </si>
  <si>
    <t>POLLO--CHORIZO</t>
  </si>
  <si>
    <t>POLLO-QUESOS CONDIMENTOS</t>
  </si>
  <si>
    <t>MARZO.,2020</t>
  </si>
  <si>
    <t>SIN LUZ</t>
  </si>
  <si>
    <t>Bolsas y desechables</t>
  </si>
  <si>
    <t>CHISTORRA-QUESO -POLLO</t>
  </si>
  <si>
    <t>CAMARAS Tienda</t>
  </si>
  <si>
    <t>CELULARES 4  equipos</t>
  </si>
  <si>
    <t>POLLO-MAIZ-QUESOS VERDURA</t>
  </si>
  <si>
    <t>COMISIONES BANCARIAS</t>
  </si>
  <si>
    <t>RES-POLLO--CHORIZO</t>
  </si>
  <si>
    <t>GASOLINA</t>
  </si>
  <si>
    <t>Transfer</t>
  </si>
  <si>
    <t>RES-POLLO-TOSTADAS</t>
  </si>
  <si>
    <t>IMSS--INFONAVIT-</t>
  </si>
  <si>
    <t>QUESOS--POLLO-MAIZ</t>
  </si>
  <si>
    <t>MATERIAL LIMPIEZA</t>
  </si>
  <si>
    <t>OFFICE DEPOT cintas</t>
  </si>
  <si>
    <t>.</t>
  </si>
  <si>
    <t>RES-SALSAS</t>
  </si>
  <si>
    <t>Seguro Anual  Moto</t>
  </si>
  <si>
    <t>Seguro Resp civil</t>
  </si>
  <si>
    <t>VIGILANTE</t>
  </si>
  <si>
    <t>REMISIONES  ABASTO 4 CARNES       2 0 2 0</t>
  </si>
  <si>
    <t>BALANCE      ABASTO 4 CARNES   ABRIL       2 0 2 0</t>
  </si>
  <si>
    <t>RES-QUESOS-CHISTORRA-SALSAS-POLLO-TOSTADAS</t>
  </si>
  <si>
    <t>NO ABRIO</t>
  </si>
  <si>
    <t>POLLO--RES</t>
  </si>
  <si>
    <t>CHORIZO-JUGO</t>
  </si>
  <si>
    <t>NOMINA 15</t>
  </si>
  <si>
    <t>Tranfer y Dep</t>
  </si>
  <si>
    <t>NOMINA 16</t>
  </si>
  <si>
    <t>NOMINA 17</t>
  </si>
  <si>
    <t>POLLO--MAIZ-QUESO</t>
  </si>
  <si>
    <t>NOMINA 18</t>
  </si>
  <si>
    <t xml:space="preserve">Transfer </t>
  </si>
  <si>
    <t>NOMINA  19</t>
  </si>
  <si>
    <t>RES-POLLO-CHORIZO-JUGO</t>
  </si>
  <si>
    <t>FUMIGACION</t>
  </si>
  <si>
    <t>POLLO-QUESOS-VERDURA</t>
  </si>
  <si>
    <t>RES-MAIZ</t>
  </si>
  <si>
    <t>TOSTADAS--SALSAS</t>
  </si>
  <si>
    <t>ABRIL.,2020</t>
  </si>
  <si>
    <t>ADT-SECURITY</t>
  </si>
  <si>
    <t>Art de limpieza</t>
  </si>
  <si>
    <t>PATA-POLLO</t>
  </si>
  <si>
    <t>BOMBA P/Fumigar</t>
  </si>
  <si>
    <t>RES-QUESOS-POLLO</t>
  </si>
  <si>
    <t>CELULARES-INTERNET</t>
  </si>
  <si>
    <t>COMISIONES BANCO</t>
  </si>
  <si>
    <t>RES-VERDURAS</t>
  </si>
  <si>
    <t>FONACOT</t>
  </si>
  <si>
    <t>TOCINETA-QUESOS-POLLO-TOSTADAS-CHORIZO</t>
  </si>
  <si>
    <t>IMPUESTOS FED</t>
  </si>
  <si>
    <t>RES-POLLO-SALSAS</t>
  </si>
  <si>
    <t>I.M.S.S  MARZO</t>
  </si>
  <si>
    <t>RES--POLLO--VINAGRE</t>
  </si>
  <si>
    <t>LLANTA MOTO</t>
  </si>
  <si>
    <t>QUESOS-MAIZ</t>
  </si>
  <si>
    <t>Material empaques</t>
  </si>
  <si>
    <t>Motores Vitrinas</t>
  </si>
  <si>
    <t xml:space="preserve">PAPELERIA </t>
  </si>
  <si>
    <t>POLICIA AUX</t>
  </si>
  <si>
    <t>Tenencia MOTO</t>
  </si>
  <si>
    <t xml:space="preserve">VIGILANCIA </t>
  </si>
  <si>
    <t>BALANCE      ABASTO 4 CARNES   MAYO       2 0 2 0</t>
  </si>
  <si>
    <t>Caja de Rollos</t>
  </si>
  <si>
    <t>MAIZ-POLLO-JUGO</t>
  </si>
  <si>
    <t>POLLO-QUESOS-CHORIZO-VERDURAS</t>
  </si>
  <si>
    <t>NOMINA 19</t>
  </si>
  <si>
    <t>NOMINA 20</t>
  </si>
  <si>
    <t>NOMINA 21</t>
  </si>
  <si>
    <t>TOCINETA</t>
  </si>
  <si>
    <t>NOMINA  22</t>
  </si>
  <si>
    <t xml:space="preserve">NOMINA  </t>
  </si>
  <si>
    <t>SAT--S.H.C.P</t>
  </si>
  <si>
    <t>PROTECCION CIVIL</t>
  </si>
  <si>
    <t>QUESOS --POLLO-MAIZ-TOSTADAS</t>
  </si>
  <si>
    <t>POLLO-QUESOS-MAIZ-TOSTADAS</t>
  </si>
  <si>
    <t>May.,2020</t>
  </si>
  <si>
    <t>MAIZ-QUESO-JUGO</t>
  </si>
  <si>
    <t>VIGILANCIA</t>
  </si>
  <si>
    <t>QUESOS--POLLO</t>
  </si>
  <si>
    <t>POLLO-SALSAS-TOSTADAS</t>
  </si>
  <si>
    <t>DESECHABLES</t>
  </si>
  <si>
    <t>IMSS-INFONAVIT</t>
  </si>
  <si>
    <t>POLLO-CHORIZO-SAZONADOR</t>
  </si>
  <si>
    <t>Manto BASCULA Torrey</t>
  </si>
  <si>
    <t>ARQUITECTO Pisos</t>
  </si>
  <si>
    <t>CELULARES</t>
  </si>
  <si>
    <t>COMISIONES</t>
  </si>
  <si>
    <t>TOTAL 1</t>
  </si>
  <si>
    <t>TOTAL  2</t>
  </si>
  <si>
    <t>RES  Facturado</t>
  </si>
  <si>
    <t>BALANCE      ABASTO 4 CARNES   JUNIO        2 0 2 0</t>
  </si>
  <si>
    <t>MAIZ-POLLO-ARABE</t>
  </si>
  <si>
    <t>Marco Nuevo</t>
  </si>
  <si>
    <t>RENTA  3-Jul-2020</t>
  </si>
  <si>
    <t>sin sistema</t>
  </si>
  <si>
    <t>POLLO-QUESOS-ARABE</t>
  </si>
  <si>
    <t>NOMINA 23</t>
  </si>
  <si>
    <t>POLLO-PAPAS</t>
  </si>
  <si>
    <t>NOMINA 24</t>
  </si>
  <si>
    <t>MAIZ-TOSTADAS</t>
  </si>
  <si>
    <t>QUESO-SALCHICHA-TOCINETA-POLLO</t>
  </si>
  <si>
    <t>NOMINA  25</t>
  </si>
  <si>
    <t>NOMINA 26</t>
  </si>
  <si>
    <t>JAMON-MAIZ-POLLO</t>
  </si>
  <si>
    <t>NOMINA 27</t>
  </si>
  <si>
    <t>NOMINA 28</t>
  </si>
  <si>
    <t>QUESOS-POLLO-CHORIZO-PAPAS</t>
  </si>
  <si>
    <t>POLLO-MAIZ-QUESOS-ARABE</t>
  </si>
  <si>
    <t>SALCHICHA, CHISTORRA</t>
  </si>
  <si>
    <t>POLLO-LONGANIZA-CHORIZO</t>
  </si>
  <si>
    <t>Junio.,2020</t>
  </si>
  <si>
    <t>Licencia de facturacion</t>
  </si>
  <si>
    <t>QUESO-POLLO-PAPAS</t>
  </si>
  <si>
    <t>POLLO-SALSAS-CECINA</t>
  </si>
  <si>
    <t xml:space="preserve">POLLO-LONGANIZA  </t>
  </si>
  <si>
    <t>TOSTADAS-MAIZ-VINAGRE</t>
  </si>
  <si>
    <t>CAMARAS</t>
  </si>
  <si>
    <t>QUESOS-POLLO-SABROSITO</t>
  </si>
  <si>
    <t>COMISIONES BANC</t>
  </si>
  <si>
    <t>SALSAS</t>
  </si>
  <si>
    <t>LONGANIZAS-TOSTADAS</t>
  </si>
  <si>
    <t>SANITIZACION</t>
  </si>
  <si>
    <t xml:space="preserve">POLLO-MAIZ </t>
  </si>
  <si>
    <t>URSULA MATADAMAS</t>
  </si>
  <si>
    <t>Mandiles</t>
  </si>
  <si>
    <t>QUESOS-POLLO</t>
  </si>
  <si>
    <t>LONGANIZAS--MAIZ</t>
  </si>
  <si>
    <t>RENTAS JUNIO,JULIO</t>
  </si>
  <si>
    <t>QUESO-TOCINETA-VERDURA</t>
  </si>
  <si>
    <t>AMAZON</t>
  </si>
  <si>
    <t>QUESOS -POLLO</t>
  </si>
  <si>
    <t xml:space="preserve"> I M S S </t>
  </si>
  <si>
    <t>pollo-chorizo</t>
  </si>
  <si>
    <t>pollo-tostadas</t>
  </si>
  <si>
    <t>TELCEL  Celular</t>
  </si>
  <si>
    <t>Quesos</t>
  </si>
  <si>
    <t>Rem-ASO</t>
  </si>
  <si>
    <t>QUESOS POLLO</t>
  </si>
  <si>
    <t>Julio.,2020</t>
  </si>
  <si>
    <t>AFORES</t>
  </si>
  <si>
    <t>PAPAS</t>
  </si>
  <si>
    <t>quesos,jamon-pollo-salsas-</t>
  </si>
  <si>
    <t>LONGANIZAS</t>
  </si>
  <si>
    <t>RES  f</t>
  </si>
  <si>
    <t>RES f--133</t>
  </si>
  <si>
    <t>RES f-132</t>
  </si>
  <si>
    <t>RES f-141</t>
  </si>
  <si>
    <t>RES f-144</t>
  </si>
  <si>
    <t>RES f-150</t>
  </si>
  <si>
    <t>RES f-159</t>
  </si>
  <si>
    <t>RES f-163</t>
  </si>
  <si>
    <t>SUKARNE</t>
  </si>
  <si>
    <t>CONTRAS RES</t>
  </si>
  <si>
    <t>POLLO-LONGANIZAS-QUESOS</t>
  </si>
  <si>
    <t>Longaniza-pollo-maiz</t>
  </si>
  <si>
    <t xml:space="preserve">RENTA </t>
  </si>
  <si>
    <t>SALCHICHA</t>
  </si>
  <si>
    <t>LONGANIZA-PAPA-POLLO</t>
  </si>
  <si>
    <t>QUESOS-CHORIZOS-CECINA-LONGANIZA</t>
  </si>
  <si>
    <t>NOMINA 29</t>
  </si>
  <si>
    <t>PAPAS-POLLO</t>
  </si>
  <si>
    <t>NOMINA 30</t>
  </si>
  <si>
    <t>NOMINA  31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</si>
  <si>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</si>
  <si>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</si>
  <si>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</si>
  <si>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</si>
  <si>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</si>
  <si>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</si>
  <si>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</si>
  <si>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</si>
  <si>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julio.,2020</t>
  </si>
  <si>
    <t>VIGILANTES</t>
  </si>
  <si>
    <t>POLLO-ENCHILADA-CHORIZO-</t>
  </si>
  <si>
    <t>RES--f</t>
  </si>
  <si>
    <t>RES f</t>
  </si>
  <si>
    <t xml:space="preserve">RES--f </t>
  </si>
  <si>
    <t>BALANCE      ABASTO 4 CARNES   A G O S T O        2 0 2 0</t>
  </si>
  <si>
    <t>QUESOS-POLLO-PAPA-TOSTADA</t>
  </si>
  <si>
    <t>LONGANIZAS-POLLO-VERDURAS</t>
  </si>
  <si>
    <t>NOMINA 32</t>
  </si>
  <si>
    <t>POLLO-PAPAS-Tostadas-QUESOS</t>
  </si>
  <si>
    <t>POLLO-CONDIMENTOS-JUGO</t>
  </si>
  <si>
    <t>POLLO-ENCHILADA-CHORIZO</t>
  </si>
  <si>
    <t>Longanizas-papas-pollo-verdura</t>
  </si>
  <si>
    <t>QUESOS-POLLO-CHORIZO</t>
  </si>
  <si>
    <t>NOMINA 33</t>
  </si>
  <si>
    <t>LONGANIZA-POLLO</t>
  </si>
  <si>
    <t>JAMONES-CHORIZO-POLLO-JUGO</t>
  </si>
  <si>
    <t>QUESO-MAIZ-POLLO-TOSTADA</t>
  </si>
  <si>
    <t>POLLO-SALSAS</t>
  </si>
  <si>
    <t>Longanizas-POLLO-SAZONADORES</t>
  </si>
  <si>
    <t>TOCINO-JAMON-ENCJILADA-MAIZ-</t>
  </si>
  <si>
    <t>NOMINA 34</t>
  </si>
  <si>
    <t>CHORIZO-POLLO</t>
  </si>
  <si>
    <t>SERVICIO DE NISSAN</t>
  </si>
  <si>
    <t>Longaniza--POLLO-,MAIZ</t>
  </si>
  <si>
    <t>QUESOS-TOSTADAS-POLLO-VERDURA</t>
  </si>
  <si>
    <t>POLLO-MAIZ-LONGANIZAS</t>
  </si>
  <si>
    <t>NOMINA 35</t>
  </si>
  <si>
    <t>POLLO-CHORIZO-SALSA</t>
  </si>
  <si>
    <t>POLLO-LONGANIZA</t>
  </si>
  <si>
    <t>QUESOS-POLLO-MAIZ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</si>
  <si>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</si>
  <si>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</si>
  <si>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>Agosto</t>
  </si>
  <si>
    <t>F-1247</t>
  </si>
  <si>
    <t>Art LIMPIEZA</t>
  </si>
  <si>
    <t>F-1249</t>
  </si>
  <si>
    <t>F-1257</t>
  </si>
  <si>
    <t>CALENDARIOS</t>
  </si>
  <si>
    <t>F-1267</t>
  </si>
  <si>
    <t>BATAS</t>
  </si>
  <si>
    <t>F-1300</t>
  </si>
  <si>
    <t>Rollos Termicos</t>
  </si>
  <si>
    <t>F-1275</t>
  </si>
  <si>
    <t>BOLSA</t>
  </si>
  <si>
    <t>F-1289</t>
  </si>
  <si>
    <t>F-</t>
  </si>
  <si>
    <t>CELULAR</t>
  </si>
  <si>
    <t xml:space="preserve">Limpia  PAPSA </t>
  </si>
  <si>
    <t>IMSS</t>
  </si>
  <si>
    <t>FINANZAS</t>
  </si>
  <si>
    <t>SEGUROS AXXA</t>
  </si>
  <si>
    <t>BASCULAS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</si>
  <si>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</si>
  <si>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</si>
  <si>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</si>
  <si>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</si>
  <si>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</si>
  <si>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</si>
  <si>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</si>
  <si>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</si>
  <si>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</si>
  <si>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</si>
  <si>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</si>
  <si>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</si>
  <si>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</si>
  <si>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</si>
  <si>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</si>
  <si>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</si>
  <si>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</si>
  <si>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</si>
  <si>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</si>
  <si>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</si>
  <si>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</si>
  <si>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</si>
  <si>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</si>
  <si>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</si>
  <si>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</si>
  <si>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</si>
  <si>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</si>
  <si>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</si>
  <si>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</si>
  <si>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</si>
  <si>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</si>
  <si>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</si>
  <si>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</si>
  <si>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 xml:space="preserve">AGOSTO </t>
  </si>
  <si>
    <t xml:space="preserve">COMPRAS EXTRAS </t>
  </si>
  <si>
    <t>BALANCE      ABASTO 4 CARNES   SEPTIEMBRE         2 0 2 0</t>
  </si>
  <si>
    <t>QUESO-POLLO-PAPAS-TOSTADAS</t>
  </si>
  <si>
    <t>LONGANIZAS-POLLO-VERDURA</t>
  </si>
  <si>
    <t>MAIZ-QUESO-POLLO</t>
  </si>
  <si>
    <t>NOMINA  36</t>
  </si>
  <si>
    <t>LONGANIZAS-TOCINETA--POLLO</t>
  </si>
  <si>
    <t>LONGANIZAS-POLLO-CHORIZO</t>
  </si>
  <si>
    <t>MAIZ-POLLO-LONGANIZAS</t>
  </si>
  <si>
    <t>QUESOS-LONGANIZAS-PAPA-POLLO</t>
  </si>
  <si>
    <t>QUESO --POLLO</t>
  </si>
  <si>
    <t>NOMINA 37</t>
  </si>
  <si>
    <t>LONGANIZA-JAMON-CHORIZO</t>
  </si>
  <si>
    <t>SALSA INGLESA</t>
  </si>
  <si>
    <t>QUESOS-PEREJIL</t>
  </si>
  <si>
    <t>POLLO-LONGANIZAS</t>
  </si>
  <si>
    <r>
      <t xml:space="preserve">TELMEX                      </t>
    </r>
    <r>
      <rPr>
        <b/>
        <sz val="9"/>
        <color rgb="FF990099"/>
        <rFont val="Calibri"/>
        <family val="2"/>
        <scheme val="minor"/>
      </rPr>
      <t>22-24-09-76-64</t>
    </r>
  </si>
  <si>
    <t>NOMINA 38</t>
  </si>
  <si>
    <t>POLLO-LONGANIZA-TOTOPOS</t>
  </si>
  <si>
    <t>POLLO-ENCHILADA-MAIZ</t>
  </si>
  <si>
    <t>LONGANIZA-QUESO-POLLO</t>
  </si>
  <si>
    <t>POLLO-PAPA-MAIZ-VERDURA</t>
  </si>
  <si>
    <t>NOMINA 39</t>
  </si>
  <si>
    <t>LONGANIZAS--POLLO</t>
  </si>
  <si>
    <t>POLLO-HUEVO</t>
  </si>
  <si>
    <t>LONGANIZAS-´POLLO</t>
  </si>
  <si>
    <t>RES  F-212 Truck 4-Sept-2020</t>
  </si>
  <si>
    <t>SEPTIEMBRE</t>
  </si>
  <si>
    <t>RES F-214   Truck 4-Sept-2020</t>
  </si>
  <si>
    <t>RES F-216  Truck  8-Sept-2020</t>
  </si>
  <si>
    <t>RES F-220  Truck  10-Sept-2020</t>
  </si>
  <si>
    <t>RES  F???</t>
  </si>
  <si>
    <t>Material Limpieza</t>
  </si>
  <si>
    <t xml:space="preserve">RES  Fact 8  M H </t>
  </si>
  <si>
    <t>BOLSA CANASTA</t>
  </si>
  <si>
    <t>RES Fact 13  MH</t>
  </si>
  <si>
    <t>RES  F-016  M H</t>
  </si>
  <si>
    <t>NO DEDUCIBLE CORTES FINOS+ Amazon</t>
  </si>
  <si>
    <t>RES Fact 12 M H</t>
  </si>
  <si>
    <t>RES  F-18</t>
  </si>
  <si>
    <t>CAMARA DE COMER</t>
  </si>
  <si>
    <t xml:space="preserve">RES  F-21  M H </t>
  </si>
  <si>
    <t xml:space="preserve">RES  F-27  M H </t>
  </si>
  <si>
    <t>EQUIPO</t>
  </si>
  <si>
    <t>Manto BASCULAS</t>
  </si>
  <si>
    <t>IMSS + 3% S/nomina</t>
  </si>
  <si>
    <t>BATERIA MOTO</t>
  </si>
  <si>
    <t>PERDIDA</t>
  </si>
  <si>
    <t xml:space="preserve">SALDO A FAVOR </t>
  </si>
  <si>
    <t>A-3134</t>
  </si>
  <si>
    <t>A-3284</t>
  </si>
  <si>
    <t>A-3330</t>
  </si>
  <si>
    <t>A-3404</t>
  </si>
  <si>
    <t>A-3529</t>
  </si>
  <si>
    <t>A-3531</t>
  </si>
  <si>
    <t>A-3682</t>
  </si>
  <si>
    <t>A-3826</t>
  </si>
  <si>
    <t>A-3982</t>
  </si>
  <si>
    <t>A-3983</t>
  </si>
  <si>
    <t>A-4140</t>
  </si>
  <si>
    <t>A-4176</t>
  </si>
  <si>
    <t>A-4280</t>
  </si>
  <si>
    <t>A-4509</t>
  </si>
  <si>
    <t>A-4514</t>
  </si>
  <si>
    <t>A-4581</t>
  </si>
  <si>
    <t>A-4636</t>
  </si>
  <si>
    <t>A-4701</t>
  </si>
  <si>
    <t>A-4829</t>
  </si>
  <si>
    <t>A-4987</t>
  </si>
  <si>
    <t>A-5153</t>
  </si>
  <si>
    <t>A-5170</t>
  </si>
  <si>
    <t>A-5405</t>
  </si>
  <si>
    <t>A-5609</t>
  </si>
  <si>
    <t>A-5653</t>
  </si>
  <si>
    <t>A-5730</t>
  </si>
  <si>
    <t>A-5827</t>
  </si>
  <si>
    <t>A-5899</t>
  </si>
  <si>
    <t>A-5927</t>
  </si>
  <si>
    <t>A-6162</t>
  </si>
  <si>
    <t>A-6219</t>
  </si>
  <si>
    <t>BALANCE      ABASTO 4 CARNES   OCTUBRE         2 0 2 0</t>
  </si>
  <si>
    <t>CHORIZOS--QUESOS-PAPA</t>
  </si>
  <si>
    <t>POLLO-MAIZ-QUESOS</t>
  </si>
  <si>
    <t>NOMINA 40</t>
  </si>
  <si>
    <t>POLLO-TOCINETA-QUESOS</t>
  </si>
  <si>
    <t>LONGANIZAS-QUESOS-PAPA</t>
  </si>
  <si>
    <t>POLLO-CHORIZO-MAIZ</t>
  </si>
  <si>
    <t>NOMINA 41</t>
  </si>
  <si>
    <t>POLLO--CARNES FRIAS</t>
  </si>
  <si>
    <t>ENCHILADA-POLLO</t>
  </si>
  <si>
    <t>ENCHILADA-QUESOS-POLLO-MAIZ</t>
  </si>
  <si>
    <t>POLLO--LONGANIZA</t>
  </si>
  <si>
    <t>POLLO-JUGO-CHORIZO</t>
  </si>
  <si>
    <t>POLLO-TOSTADAS-MAIZ</t>
  </si>
  <si>
    <t>NOMINA 42</t>
  </si>
  <si>
    <t>QUESOS,POLLO-CHISTORRA-TOCINETA</t>
  </si>
  <si>
    <t>POLLO-ENCHILADA-SALSAS</t>
  </si>
  <si>
    <t>VACACIONES Manuel</t>
  </si>
  <si>
    <t>LONGANIZAS-MAIZ</t>
  </si>
  <si>
    <t>SALSAS QUESOS POLLO</t>
  </si>
  <si>
    <t>CHORIZO-MAIZ-POLLO</t>
  </si>
  <si>
    <t>NOMINA 43</t>
  </si>
  <si>
    <t>ENCHILADA</t>
  </si>
  <si>
    <t>POLLO-MARINADOR</t>
  </si>
  <si>
    <t>LONGANIZA-POLLO-TOSTADAS-CHORIZO</t>
  </si>
  <si>
    <r>
      <rPr>
        <b/>
        <sz val="10"/>
        <color theme="9" tint="-0.249977111117893"/>
        <rFont val="Calibri"/>
        <family val="2"/>
        <scheme val="minor"/>
      </rPr>
      <t>RENTA</t>
    </r>
    <r>
      <rPr>
        <b/>
        <sz val="10"/>
        <color theme="1"/>
        <rFont val="Calibri"/>
        <family val="2"/>
        <scheme val="minor"/>
      </rPr>
      <t xml:space="preserve"> + NOMINA 44</t>
    </r>
  </si>
  <si>
    <r>
      <t xml:space="preserve">RES </t>
    </r>
    <r>
      <rPr>
        <b/>
        <sz val="12"/>
        <color rgb="FFFF0000"/>
        <rFont val="Calibri"/>
        <family val="2"/>
        <scheme val="minor"/>
      </rPr>
      <t xml:space="preserve"> 29-</t>
    </r>
    <r>
      <rPr>
        <b/>
        <sz val="11"/>
        <color rgb="FF0000FF"/>
        <rFont val="Calibri"/>
        <family val="2"/>
        <scheme val="minor"/>
      </rPr>
      <t>--31</t>
    </r>
  </si>
  <si>
    <t>pagada</t>
  </si>
  <si>
    <t>RES  45</t>
  </si>
  <si>
    <t>RES  37</t>
  </si>
  <si>
    <r>
      <t>RES  44-</t>
    </r>
    <r>
      <rPr>
        <b/>
        <sz val="12"/>
        <color rgb="FFFF0000"/>
        <rFont val="Calibri"/>
        <family val="2"/>
        <scheme val="minor"/>
      </rPr>
      <t>-40</t>
    </r>
  </si>
  <si>
    <t>RES  38</t>
  </si>
  <si>
    <t>DELANTALES</t>
  </si>
  <si>
    <t>RES  F 47</t>
  </si>
  <si>
    <t>Manto CAMARAS</t>
  </si>
  <si>
    <t>RES  F 59</t>
  </si>
  <si>
    <t>IMPUESTO FED</t>
  </si>
  <si>
    <t>RES  F 62</t>
  </si>
  <si>
    <t>RES  F 63</t>
  </si>
  <si>
    <t>RES   F 75</t>
  </si>
  <si>
    <t>Impuesto S/Nomina</t>
  </si>
  <si>
    <t>RES   F 77</t>
  </si>
  <si>
    <t>RES   F 79</t>
  </si>
  <si>
    <t>COMPUTADORA</t>
  </si>
  <si>
    <t xml:space="preserve">POLIZA  SEGURO </t>
  </si>
  <si>
    <t>No DeducIbles PEPE</t>
  </si>
  <si>
    <t>REMISIONES    POR     CREDITOS         DE  NOVIEMBRE        2 0 2 0</t>
  </si>
  <si>
    <t xml:space="preserve">ABASTO 4 CARNES 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</si>
  <si>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</si>
  <si>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</si>
  <si>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</si>
  <si>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Fecha de pago</t>
  </si>
  <si>
    <t>IMPORTE D/PAGO</t>
  </si>
  <si>
    <t>SALDO</t>
  </si>
  <si>
    <t>ROSALIA QUECHOL TECUAPETLA</t>
  </si>
  <si>
    <t>OBRADOR</t>
  </si>
  <si>
    <t>VENTA MOSTRADOR</t>
  </si>
  <si>
    <t>14*11</t>
  </si>
  <si>
    <t>ESTACION DEL SAZON</t>
  </si>
  <si>
    <t>LA NACIONAL</t>
  </si>
  <si>
    <t>CARNICERIA CHAVE</t>
  </si>
  <si>
    <t>JAVIER PALACIOS</t>
  </si>
  <si>
    <t>LA PERA</t>
  </si>
  <si>
    <t>NOE COYOTL</t>
  </si>
  <si>
    <t>MIGUEL XOCHIHUATL</t>
  </si>
  <si>
    <t>MOLCAJETES</t>
  </si>
  <si>
    <t>LAS JAROCHITAS</t>
  </si>
  <si>
    <t>VALOR DE REMISION   MANUAL</t>
  </si>
  <si>
    <t>IMPORTE PAGADO EN SISTEMA</t>
  </si>
  <si>
    <t>DIFERENCIAS</t>
  </si>
  <si>
    <t>MANZANO</t>
  </si>
  <si>
    <t>PERLA RIOS</t>
  </si>
  <si>
    <t>MASTRANZO</t>
  </si>
  <si>
    <t>LA CASETITA</t>
  </si>
  <si>
    <t>TOTALES</t>
  </si>
  <si>
    <t>PROSUBCA</t>
  </si>
  <si>
    <t>FALTANTE</t>
  </si>
  <si>
    <t>Importe Vendido</t>
  </si>
  <si>
    <t>Importe Cobrado</t>
  </si>
  <si>
    <t>IMPORTE POR COBRAR</t>
  </si>
  <si>
    <t>REMISIONES    POR     CREDITOS         DE   OCTUBRE        2 0 2 0</t>
  </si>
  <si>
    <t>VICERAS MAICK</t>
  </si>
  <si>
    <t>FERNANDO PALACIOS</t>
  </si>
  <si>
    <t xml:space="preserve">NO HUBO </t>
  </si>
  <si>
    <t>BALANCE      ABASTO 4 CARNES   NOVIEMBRE         2 0 2 0</t>
  </si>
  <si>
    <t>TOCINETA-SALCHICHA-QUESOS-POLLO</t>
  </si>
  <si>
    <t>LONGANIZA--POLLO</t>
  </si>
  <si>
    <t>POLLO-QUESOS-LONGANIZA</t>
  </si>
  <si>
    <t>QUESOS-LONGANIZA</t>
  </si>
  <si>
    <t>POLLO-CHORIZO-ENCHILADA</t>
  </si>
  <si>
    <t>NOMINA   45</t>
  </si>
  <si>
    <t>VACACIONES ISMAEL</t>
  </si>
  <si>
    <t>POLLO-LONGANIZA-PAPA-QIESOS</t>
  </si>
  <si>
    <t>POLLO-ENCHILADA-TOCINETA -VERDURA</t>
  </si>
  <si>
    <t>POLLO-CHORIZO-CONDIMENTOS</t>
  </si>
  <si>
    <t>POLLO-SALSAS-ESPECIES</t>
  </si>
  <si>
    <t>ENCHILADA-POLLO-QUESOS-TOSTADAS</t>
  </si>
  <si>
    <t>NOMINA  46</t>
  </si>
  <si>
    <t>TOCINETA--POLLO--ENCHILADA-CHORIZO</t>
  </si>
  <si>
    <t>POLLO--PAVO--CHORIZO</t>
  </si>
  <si>
    <t>POLLO-QUESO-PAPA</t>
  </si>
  <si>
    <t>POLLO-PAPA-QUESO</t>
  </si>
  <si>
    <t>POLLO-LONGANIZA-ESPECIES</t>
  </si>
  <si>
    <t>POLLO-MAIZ-ENCHILADA</t>
  </si>
  <si>
    <t>NOMINA 47</t>
  </si>
  <si>
    <t>POLLO-TOCINETA-QUESO</t>
  </si>
  <si>
    <t>POLLO-ENCHILADA-SALSAS-CHORIZO</t>
  </si>
  <si>
    <t>POLLO-CHORIZO-MAIZ-LONGANIZAS</t>
  </si>
  <si>
    <t>QUESOS-PAPA-POLLO</t>
  </si>
  <si>
    <t>LONGANIZA-POLLO-MAIZ</t>
  </si>
  <si>
    <t>NOMINA  48</t>
  </si>
  <si>
    <t>VALE  Manuel</t>
  </si>
  <si>
    <t xml:space="preserve">LONGANIZA-POLLO  </t>
  </si>
  <si>
    <t>RES F--87</t>
  </si>
  <si>
    <t>Noviembre</t>
  </si>
  <si>
    <t>RES F--91</t>
  </si>
  <si>
    <t>BOLSAS CANASTA</t>
  </si>
  <si>
    <t>RES F--101</t>
  </si>
  <si>
    <t>RES F--102</t>
  </si>
  <si>
    <t>RES F--106</t>
  </si>
  <si>
    <t>REDES SOCIALES</t>
  </si>
  <si>
    <t>RES F--109</t>
  </si>
  <si>
    <t>RES F--113</t>
  </si>
  <si>
    <t>RES F--119</t>
  </si>
  <si>
    <t>RES F--123</t>
  </si>
  <si>
    <t>CELULARES E INTERNET</t>
  </si>
  <si>
    <t>RES F--133</t>
  </si>
  <si>
    <t>DEPARTAMENTO</t>
  </si>
  <si>
    <t>RES F--136</t>
  </si>
  <si>
    <t>RES F--146</t>
  </si>
  <si>
    <t>IMPUESTOS</t>
  </si>
  <si>
    <t>OCTUBRE</t>
  </si>
  <si>
    <t>VARIOS</t>
  </si>
  <si>
    <t>MES OCTUBRE</t>
  </si>
  <si>
    <t>Gran Total</t>
  </si>
  <si>
    <t xml:space="preserve">Gran Total </t>
  </si>
  <si>
    <t>BALANCE      ABASTO 4 CARNES   DICIEMBRE         2 0 2 0</t>
  </si>
  <si>
    <t>QUESOS-LONGANIZA-POLLO-MAIZ</t>
  </si>
  <si>
    <t xml:space="preserve">S A T </t>
  </si>
  <si>
    <t>NOMINA 49</t>
  </si>
  <si>
    <t>QUESOS-TOCINETA-SALCHICHA-ENCHILADA</t>
  </si>
  <si>
    <t>NOMINA Angelica</t>
  </si>
  <si>
    <t>QUESOS--POLLO-VEREDURAS</t>
  </si>
  <si>
    <t>LONGANIZA-ENCHILADA-PAPA-QUESOS-POLLO-MAIZ</t>
  </si>
  <si>
    <t>LONGANIZA-CONDIMENTOS</t>
  </si>
  <si>
    <t>NOMINA 50</t>
  </si>
  <si>
    <t>TOCINETA-POLLO-QUESOS-ENCHILADA-CEBOLLA</t>
  </si>
  <si>
    <t>LONGANIZA--POLLO-CECINA-ESPECIES</t>
  </si>
  <si>
    <t>LONGANIZA-ENCHILADA-QUESOS-POLLO-MAIZ</t>
  </si>
  <si>
    <t>NOMINA 51 Aguinaldos</t>
  </si>
  <si>
    <t>QUESOS-CHISTORRA-TOCINETA-LONGANIZA-POLLO</t>
  </si>
  <si>
    <t>ENCHILADA-TOSTADAS-POLLO</t>
  </si>
  <si>
    <t>NOMINA 52</t>
  </si>
  <si>
    <t>LONGANIZA-POLLO-QUESOS-PAPA</t>
  </si>
  <si>
    <t>POLLO-LONGANIZA-MAIZ-CHORIZO</t>
  </si>
  <si>
    <t>LONGANIZA-POLLO-TOSTADAS</t>
  </si>
  <si>
    <t xml:space="preserve">LONGANIZA-POLLO-QUESOS  </t>
  </si>
  <si>
    <t>RENTA + NOMINA 01</t>
  </si>
  <si>
    <t>LONGANIZA-QUESO-POLLO-SALCHICHA-PAPA</t>
  </si>
  <si>
    <t>policia AUX</t>
  </si>
  <si>
    <t>RES    145</t>
  </si>
  <si>
    <t>RENTA   PEPE</t>
  </si>
  <si>
    <t>RES    144</t>
  </si>
  <si>
    <t>TELCEL</t>
  </si>
  <si>
    <t>RES    148</t>
  </si>
  <si>
    <t>Pgo a cta Departamento</t>
  </si>
  <si>
    <t>RES    157</t>
  </si>
  <si>
    <t>impuesto federal</t>
  </si>
  <si>
    <r>
      <t>166--</t>
    </r>
    <r>
      <rPr>
        <b/>
        <sz val="14"/>
        <color rgb="FFFF0000"/>
        <rFont val="Calibri"/>
        <family val="2"/>
        <scheme val="minor"/>
      </rPr>
      <t>178</t>
    </r>
  </si>
  <si>
    <t>ATT MOVIL</t>
  </si>
  <si>
    <t xml:space="preserve">Redes Sociales </t>
  </si>
  <si>
    <r>
      <t>170--</t>
    </r>
    <r>
      <rPr>
        <b/>
        <sz val="14"/>
        <color rgb="FFFF0000"/>
        <rFont val="Calibri"/>
        <family val="2"/>
        <scheme val="minor"/>
      </rPr>
      <t>179</t>
    </r>
  </si>
  <si>
    <t>Gasolina</t>
  </si>
  <si>
    <t>fumigacion</t>
  </si>
  <si>
    <t>celulares</t>
  </si>
  <si>
    <t>comisiones Banco</t>
  </si>
  <si>
    <t>estacion el sazon</t>
  </si>
  <si>
    <t>13588 A</t>
  </si>
  <si>
    <t>13765 A</t>
  </si>
  <si>
    <t>13871 A</t>
  </si>
  <si>
    <t>13935 A</t>
  </si>
  <si>
    <t>14073 A</t>
  </si>
  <si>
    <t>14087 A</t>
  </si>
  <si>
    <t>14163 A</t>
  </si>
  <si>
    <t>14273 A</t>
  </si>
  <si>
    <t>14287 A</t>
  </si>
  <si>
    <t>14358 A</t>
  </si>
  <si>
    <t>14451 A</t>
  </si>
  <si>
    <t>14551 A</t>
  </si>
  <si>
    <t>14679 A</t>
  </si>
  <si>
    <t>14718 A</t>
  </si>
  <si>
    <t>14806 A</t>
  </si>
  <si>
    <t>14829 A</t>
  </si>
  <si>
    <t>14890 A</t>
  </si>
  <si>
    <t>14928 A</t>
  </si>
  <si>
    <t>14929 A</t>
  </si>
  <si>
    <t>15029 A</t>
  </si>
  <si>
    <t>15058 A</t>
  </si>
  <si>
    <t>15227 A</t>
  </si>
  <si>
    <t>15332 A</t>
  </si>
  <si>
    <t>15372 A</t>
  </si>
  <si>
    <t>15436 A</t>
  </si>
  <si>
    <t>15526 A</t>
  </si>
  <si>
    <t>15598 A</t>
  </si>
  <si>
    <t>15716 A</t>
  </si>
  <si>
    <t>15717 A</t>
  </si>
  <si>
    <t>15762 A</t>
  </si>
  <si>
    <t>15844 A</t>
  </si>
  <si>
    <t>15941 A</t>
  </si>
  <si>
    <t>16097 A</t>
  </si>
  <si>
    <t>16125 A</t>
  </si>
  <si>
    <t>16146 A</t>
  </si>
  <si>
    <t>16165 A</t>
  </si>
  <si>
    <t>16268 A</t>
  </si>
  <si>
    <t>16289 A</t>
  </si>
  <si>
    <t>16444 A</t>
  </si>
  <si>
    <t>16453 A</t>
  </si>
  <si>
    <t>16454 A</t>
  </si>
  <si>
    <t>16457 A</t>
  </si>
  <si>
    <t>16458 A</t>
  </si>
  <si>
    <t>16477 A</t>
  </si>
  <si>
    <t>16583 A</t>
  </si>
  <si>
    <t>16655 A</t>
  </si>
  <si>
    <t>16737 A</t>
  </si>
  <si>
    <t>16895 A</t>
  </si>
  <si>
    <t>17037 A</t>
  </si>
  <si>
    <t>17080 A</t>
  </si>
  <si>
    <t>17105 A</t>
  </si>
  <si>
    <t>17292 A</t>
  </si>
  <si>
    <t>17328 A</t>
  </si>
  <si>
    <t>17469 A</t>
  </si>
  <si>
    <t>17530 A</t>
  </si>
  <si>
    <t>17561 A</t>
  </si>
  <si>
    <t>17698 A</t>
  </si>
  <si>
    <t>17745 A</t>
  </si>
  <si>
    <t>17759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</si>
</sst>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5" tint="-0.499984740745262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  <font>
      <b/>
      <sz val="9"/>
      <color rgb="FF990099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  <font>
      <b/>
      <sz val="10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FF"/>
        <bgColor indexed="64"/>
      </patternFill>
    </fill>
  </fills>
  <borders count="1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7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0" fontId="10" fillId="0" borderId="2" xfId="0" applyFont="1" applyBorder="1"/>
    <xf numFmtId="164" fontId="11" fillId="0" borderId="3" xfId="0" applyNumberFormat="1" applyFont="1" applyBorder="1" applyAlignment="1">
      <alignment horizontal="center"/>
    </xf>
    <xf numFmtId="44" fontId="9" fillId="0" borderId="4" xfId="1" applyFont="1" applyBorder="1"/>
    <xf numFmtId="165" fontId="2" fillId="3" borderId="0" xfId="0" applyNumberFormat="1" applyFont="1" applyFill="1" applyAlignment="1">
      <alignment horizontal="left"/>
    </xf>
    <xf numFmtId="0" fontId="12" fillId="0" borderId="9" xfId="0" applyFont="1" applyBorder="1"/>
    <xf numFmtId="44" fontId="13" fillId="4" borderId="0" xfId="1" applyFont="1" applyFill="1" applyAlignment="1">
      <alignment horizontal="center"/>
    </xf>
    <xf numFmtId="44" fontId="13" fillId="4" borderId="10" xfId="1" applyFont="1" applyFill="1" applyBorder="1" applyAlignment="1">
      <alignment horizontal="center"/>
    </xf>
    <xf numFmtId="16" fontId="0" fillId="0" borderId="0" xfId="0" applyNumberFormat="1"/>
    <xf numFmtId="164" fontId="2" fillId="0" borderId="11" xfId="0" applyNumberFormat="1" applyFont="1" applyBorder="1" applyAlignment="1">
      <alignment horizontal="center"/>
    </xf>
    <xf numFmtId="44" fontId="2" fillId="0" borderId="12" xfId="1" applyFont="1" applyFill="1" applyBorder="1"/>
    <xf numFmtId="166" fontId="14" fillId="0" borderId="0" xfId="0" applyNumberFormat="1" applyFont="1" applyAlignment="1">
      <alignment horizontal="left"/>
    </xf>
    <xf numFmtId="15" fontId="2" fillId="0" borderId="13" xfId="0" applyNumberFormat="1" applyFont="1" applyBorder="1"/>
    <xf numFmtId="44" fontId="2" fillId="0" borderId="14" xfId="1" applyFont="1" applyFill="1" applyBorder="1"/>
    <xf numFmtId="15" fontId="2" fillId="0" borderId="15" xfId="0" applyNumberFormat="1" applyFont="1" applyBorder="1"/>
    <xf numFmtId="44" fontId="2" fillId="0" borderId="16" xfId="1" applyFont="1" applyFill="1" applyBorder="1"/>
    <xf numFmtId="44" fontId="2" fillId="0" borderId="17" xfId="1" applyFont="1" applyFill="1" applyBorder="1"/>
    <xf numFmtId="44" fontId="2" fillId="0" borderId="18" xfId="1" applyFont="1" applyFill="1" applyBorder="1"/>
    <xf numFmtId="166" fontId="15" fillId="0" borderId="0" xfId="0" applyNumberFormat="1" applyFont="1"/>
    <xf numFmtId="44" fontId="2" fillId="0" borderId="19" xfId="1" applyFont="1" applyFill="1" applyBorder="1"/>
    <xf numFmtId="16" fontId="16" fillId="0" borderId="0" xfId="1" applyNumberFormat="1" applyFont="1" applyFill="1" applyAlignment="1">
      <alignment horizontal="center"/>
    </xf>
    <xf numFmtId="0" fontId="0" fillId="0" borderId="20" xfId="0" applyBorder="1"/>
    <xf numFmtId="44" fontId="2" fillId="0" borderId="21" xfId="1" applyFont="1" applyBorder="1"/>
    <xf numFmtId="166" fontId="17" fillId="0" borderId="0" xfId="0" applyNumberFormat="1" applyFont="1"/>
    <xf numFmtId="15" fontId="2" fillId="0" borderId="0" xfId="1" applyNumberFormat="1" applyFont="1" applyFill="1"/>
    <xf numFmtId="0" fontId="8" fillId="0" borderId="20" xfId="0" applyFont="1" applyBorder="1" applyAlignment="1">
      <alignment horizontal="center"/>
    </xf>
    <xf numFmtId="166" fontId="2" fillId="0" borderId="21" xfId="0" applyNumberFormat="1" applyFont="1" applyBorder="1"/>
    <xf numFmtId="166" fontId="14" fillId="0" borderId="0" xfId="0" applyNumberFormat="1" applyFont="1"/>
    <xf numFmtId="16" fontId="8" fillId="0" borderId="0" xfId="1" applyNumberFormat="1" applyFont="1" applyFill="1" applyAlignment="1">
      <alignment horizontal="center"/>
    </xf>
    <xf numFmtId="0" fontId="2" fillId="5" borderId="0" xfId="0" applyFont="1" applyFill="1"/>
    <xf numFmtId="166" fontId="2" fillId="0" borderId="0" xfId="0" applyNumberFormat="1" applyFont="1"/>
    <xf numFmtId="166" fontId="18" fillId="0" borderId="0" xfId="0" applyNumberFormat="1" applyFont="1"/>
    <xf numFmtId="15" fontId="9" fillId="0" borderId="0" xfId="1" applyNumberFormat="1" applyFont="1" applyFill="1"/>
    <xf numFmtId="0" fontId="2" fillId="0" borderId="20" xfId="0" applyFont="1" applyBorder="1"/>
    <xf numFmtId="166" fontId="2" fillId="6" borderId="21" xfId="0" applyNumberFormat="1" applyFont="1" applyFill="1" applyBorder="1"/>
    <xf numFmtId="16" fontId="19" fillId="0" borderId="0" xfId="1" applyNumberFormat="1" applyFont="1" applyFill="1" applyAlignment="1">
      <alignment horizontal="left"/>
    </xf>
    <xf numFmtId="0" fontId="8" fillId="0" borderId="20" xfId="0" applyFont="1" applyBorder="1"/>
    <xf numFmtId="44" fontId="2" fillId="0" borderId="21" xfId="1" applyFont="1" applyFill="1" applyBorder="1"/>
    <xf numFmtId="16" fontId="17" fillId="0" borderId="0" xfId="1" applyNumberFormat="1" applyFont="1" applyFill="1" applyAlignment="1">
      <alignment horizontal="center"/>
    </xf>
    <xf numFmtId="16" fontId="19" fillId="0" borderId="20" xfId="0" applyNumberFormat="1" applyFont="1" applyBorder="1"/>
    <xf numFmtId="165" fontId="18" fillId="0" borderId="0" xfId="1" applyNumberFormat="1" applyFont="1" applyFill="1" applyAlignment="1">
      <alignment horizontal="center"/>
    </xf>
    <xf numFmtId="44" fontId="2" fillId="0" borderId="0" xfId="1" applyFont="1" applyFill="1"/>
    <xf numFmtId="165" fontId="18" fillId="0" borderId="0" xfId="1" applyNumberFormat="1" applyFont="1" applyAlignment="1">
      <alignment horizontal="center"/>
    </xf>
    <xf numFmtId="44" fontId="2" fillId="0" borderId="21" xfId="1" applyFont="1" applyFill="1" applyBorder="1" applyAlignment="1">
      <alignment horizontal="right"/>
    </xf>
    <xf numFmtId="16" fontId="2" fillId="0" borderId="11" xfId="0" applyNumberFormat="1" applyFont="1" applyBorder="1"/>
    <xf numFmtId="0" fontId="2" fillId="0" borderId="22" xfId="0" applyFont="1" applyBorder="1"/>
    <xf numFmtId="44" fontId="2" fillId="0" borderId="23" xfId="1" applyFont="1" applyFill="1" applyBorder="1"/>
    <xf numFmtId="165" fontId="2" fillId="0" borderId="11" xfId="0" applyNumberFormat="1" applyFont="1" applyBorder="1" applyAlignment="1">
      <alignment horizontal="left"/>
    </xf>
    <xf numFmtId="16" fontId="8" fillId="0" borderId="11" xfId="0" applyNumberFormat="1" applyFont="1" applyBorder="1"/>
    <xf numFmtId="165" fontId="2" fillId="0" borderId="0" xfId="1" applyNumberFormat="1" applyFont="1" applyAlignment="1">
      <alignment horizontal="center"/>
    </xf>
    <xf numFmtId="0" fontId="2" fillId="0" borderId="0" xfId="0" applyFont="1"/>
    <xf numFmtId="44" fontId="2" fillId="0" borderId="23" xfId="1" applyFont="1" applyFill="1" applyBorder="1" applyAlignment="1">
      <alignment horizontal="right"/>
    </xf>
    <xf numFmtId="165" fontId="2" fillId="0" borderId="15" xfId="1" applyNumberFormat="1" applyFont="1" applyBorder="1" applyAlignment="1">
      <alignment horizontal="center"/>
    </xf>
    <xf numFmtId="44" fontId="16" fillId="0" borderId="11" xfId="1" applyFont="1" applyFill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18" fillId="0" borderId="11" xfId="0" applyFont="1" applyBorder="1"/>
    <xf numFmtId="44" fontId="2" fillId="0" borderId="24" xfId="1" applyFont="1" applyFill="1" applyBorder="1" applyAlignment="1">
      <alignment horizontal="right"/>
    </xf>
    <xf numFmtId="165" fontId="19" fillId="0" borderId="15" xfId="1" applyNumberFormat="1" applyFont="1" applyBorder="1" applyAlignment="1">
      <alignment horizontal="left"/>
    </xf>
    <xf numFmtId="0" fontId="14" fillId="0" borderId="20" xfId="0" applyFont="1" applyBorder="1"/>
    <xf numFmtId="44" fontId="2" fillId="0" borderId="20" xfId="1" applyFont="1" applyBorder="1" applyAlignment="1">
      <alignment horizontal="right"/>
    </xf>
    <xf numFmtId="16" fontId="2" fillId="0" borderId="11" xfId="0" applyNumberFormat="1" applyFont="1" applyBorder="1" applyAlignment="1">
      <alignment horizontal="center"/>
    </xf>
    <xf numFmtId="165" fontId="19" fillId="0" borderId="0" xfId="1" applyNumberFormat="1" applyFont="1" applyBorder="1" applyAlignment="1">
      <alignment horizontal="left"/>
    </xf>
    <xf numFmtId="0" fontId="14" fillId="0" borderId="25" xfId="0" applyFont="1" applyBorder="1"/>
    <xf numFmtId="0" fontId="14" fillId="0" borderId="20" xfId="0" applyFont="1" applyBorder="1" applyAlignment="1">
      <alignment horizontal="right"/>
    </xf>
    <xf numFmtId="44" fontId="2" fillId="0" borderId="26" xfId="1" applyFont="1" applyFill="1" applyBorder="1"/>
    <xf numFmtId="165" fontId="8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center"/>
    </xf>
    <xf numFmtId="44" fontId="2" fillId="0" borderId="20" xfId="1" applyFont="1" applyFill="1" applyBorder="1" applyAlignment="1">
      <alignment horizontal="right"/>
    </xf>
    <xf numFmtId="44" fontId="2" fillId="0" borderId="27" xfId="1" applyFont="1" applyFill="1" applyBorder="1"/>
    <xf numFmtId="44" fontId="2" fillId="0" borderId="3" xfId="1" applyFont="1" applyFill="1" applyBorder="1"/>
    <xf numFmtId="165" fontId="19" fillId="0" borderId="20" xfId="1" applyNumberFormat="1" applyFont="1" applyFill="1" applyBorder="1" applyAlignment="1">
      <alignment horizontal="left"/>
    </xf>
    <xf numFmtId="0" fontId="18" fillId="0" borderId="20" xfId="0" applyFont="1" applyBorder="1" applyAlignment="1">
      <alignment horizontal="left"/>
    </xf>
    <xf numFmtId="164" fontId="2" fillId="0" borderId="28" xfId="0" applyNumberFormat="1" applyFont="1" applyBorder="1" applyAlignment="1">
      <alignment horizontal="center"/>
    </xf>
    <xf numFmtId="44" fontId="2" fillId="3" borderId="29" xfId="1" applyFont="1" applyFill="1" applyBorder="1"/>
    <xf numFmtId="166" fontId="9" fillId="0" borderId="12" xfId="0" applyNumberFormat="1" applyFont="1" applyBorder="1"/>
    <xf numFmtId="15" fontId="2" fillId="0" borderId="0" xfId="0" applyNumberFormat="1" applyFont="1"/>
    <xf numFmtId="44" fontId="2" fillId="0" borderId="0" xfId="1" applyFont="1" applyFill="1" applyBorder="1"/>
    <xf numFmtId="44" fontId="2" fillId="0" borderId="30" xfId="1" applyFont="1" applyFill="1" applyBorder="1"/>
    <xf numFmtId="0" fontId="15" fillId="0" borderId="31" xfId="0" applyFont="1" applyBorder="1" applyAlignment="1">
      <alignment horizontal="left"/>
    </xf>
    <xf numFmtId="44" fontId="2" fillId="3" borderId="20" xfId="1" applyFont="1" applyFill="1" applyBorder="1"/>
    <xf numFmtId="166" fontId="9" fillId="0" borderId="32" xfId="0" applyNumberFormat="1" applyFont="1" applyBorder="1"/>
    <xf numFmtId="0" fontId="17" fillId="0" borderId="20" xfId="0" applyFont="1" applyBorder="1" applyAlignment="1">
      <alignment horizontal="left"/>
    </xf>
    <xf numFmtId="44" fontId="2" fillId="0" borderId="20" xfId="1" applyFont="1" applyFill="1" applyBorder="1"/>
    <xf numFmtId="164" fontId="2" fillId="0" borderId="33" xfId="0" applyNumberFormat="1" applyFont="1" applyBorder="1" applyAlignment="1">
      <alignment horizontal="center"/>
    </xf>
    <xf numFmtId="44" fontId="2" fillId="0" borderId="34" xfId="1" applyFont="1" applyFill="1" applyBorder="1"/>
    <xf numFmtId="166" fontId="9" fillId="0" borderId="35" xfId="0" applyNumberFormat="1" applyFont="1" applyBorder="1"/>
    <xf numFmtId="0" fontId="14" fillId="0" borderId="20" xfId="0" applyFont="1" applyBorder="1" applyAlignment="1">
      <alignment horizontal="left"/>
    </xf>
    <xf numFmtId="0" fontId="19" fillId="0" borderId="0" xfId="0" applyFont="1"/>
    <xf numFmtId="164" fontId="2" fillId="0" borderId="36" xfId="0" applyNumberFormat="1" applyFont="1" applyBorder="1" applyAlignment="1">
      <alignment horizontal="center"/>
    </xf>
    <xf numFmtId="44" fontId="2" fillId="0" borderId="37" xfId="1" applyFont="1" applyBorder="1"/>
    <xf numFmtId="166" fontId="20" fillId="0" borderId="37" xfId="0" applyNumberFormat="1" applyFont="1" applyBorder="1"/>
    <xf numFmtId="15" fontId="2" fillId="0" borderId="37" xfId="0" applyNumberFormat="1" applyFont="1" applyBorder="1"/>
    <xf numFmtId="44" fontId="1" fillId="0" borderId="37" xfId="1" applyBorder="1"/>
    <xf numFmtId="0" fontId="0" fillId="0" borderId="37" xfId="0" applyBorder="1"/>
    <xf numFmtId="0" fontId="18" fillId="0" borderId="38" xfId="0" applyFont="1" applyBorder="1" applyAlignment="1">
      <alignment horizontal="left"/>
    </xf>
    <xf numFmtId="44" fontId="8" fillId="7" borderId="39" xfId="1" applyFont="1" applyFill="1" applyBorder="1" applyAlignment="1">
      <alignment horizontal="center"/>
    </xf>
    <xf numFmtId="44" fontId="8" fillId="7" borderId="27" xfId="1" applyFont="1" applyFill="1" applyBorder="1" applyAlignment="1">
      <alignment horizontal="center"/>
    </xf>
    <xf numFmtId="164" fontId="18" fillId="0" borderId="40" xfId="0" applyNumberFormat="1" applyFont="1" applyBorder="1" applyAlignment="1">
      <alignment horizontal="center"/>
    </xf>
    <xf numFmtId="44" fontId="9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2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44" fontId="2" fillId="0" borderId="0" xfId="1" applyFont="1" applyBorder="1"/>
    <xf numFmtId="166" fontId="2" fillId="0" borderId="39" xfId="0" applyNumberFormat="1" applyFont="1" applyBorder="1" applyAlignment="1">
      <alignment horizontal="center"/>
    </xf>
    <xf numFmtId="166" fontId="8" fillId="0" borderId="27" xfId="0" applyNumberFormat="1" applyFont="1" applyBorder="1"/>
    <xf numFmtId="164" fontId="16" fillId="0" borderId="0" xfId="0" applyNumberFormat="1" applyFont="1" applyAlignment="1">
      <alignment horizontal="center"/>
    </xf>
    <xf numFmtId="166" fontId="9" fillId="0" borderId="45" xfId="0" applyNumberFormat="1" applyFont="1" applyBorder="1" applyAlignment="1">
      <alignment horizontal="center" vertical="center" wrapText="1"/>
    </xf>
    <xf numFmtId="44" fontId="8" fillId="0" borderId="20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47" xfId="0" applyFont="1" applyBorder="1"/>
    <xf numFmtId="0" fontId="24" fillId="0" borderId="47" xfId="0" applyFont="1" applyBorder="1" applyAlignment="1">
      <alignment horizontal="right"/>
    </xf>
    <xf numFmtId="44" fontId="2" fillId="0" borderId="47" xfId="1" applyFont="1" applyBorder="1"/>
    <xf numFmtId="0" fontId="8" fillId="0" borderId="0" xfId="0" applyFont="1" applyAlignment="1">
      <alignment vertical="center"/>
    </xf>
    <xf numFmtId="166" fontId="12" fillId="0" borderId="0" xfId="0" applyNumberFormat="1" applyFont="1"/>
    <xf numFmtId="0" fontId="2" fillId="0" borderId="21" xfId="0" applyFont="1" applyBorder="1" applyAlignment="1">
      <alignment horizontal="left"/>
    </xf>
    <xf numFmtId="0" fontId="8" fillId="0" borderId="46" xfId="0" applyFont="1" applyBorder="1" applyAlignment="1">
      <alignment vertical="center"/>
    </xf>
    <xf numFmtId="164" fontId="25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8" fillId="0" borderId="20" xfId="1" applyFont="1" applyFill="1" applyBorder="1"/>
    <xf numFmtId="168" fontId="26" fillId="0" borderId="21" xfId="1" applyNumberFormat="1" applyFont="1" applyBorder="1"/>
    <xf numFmtId="44" fontId="27" fillId="0" borderId="37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0" fontId="18" fillId="0" borderId="0" xfId="0" applyFont="1"/>
    <xf numFmtId="44" fontId="28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0" fontId="31" fillId="9" borderId="0" xfId="0" applyFont="1" applyFill="1"/>
    <xf numFmtId="44" fontId="1" fillId="9" borderId="0" xfId="1" applyFill="1"/>
    <xf numFmtId="0" fontId="0" fillId="9" borderId="0" xfId="0" applyFill="1"/>
    <xf numFmtId="164" fontId="2" fillId="9" borderId="0" xfId="0" applyNumberFormat="1" applyFont="1" applyFill="1" applyAlignment="1">
      <alignment horizontal="center"/>
    </xf>
    <xf numFmtId="0" fontId="8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164" fontId="32" fillId="0" borderId="31" xfId="0" applyNumberFormat="1" applyFont="1" applyBorder="1" applyAlignment="1">
      <alignment horizontal="center"/>
    </xf>
    <xf numFmtId="1" fontId="33" fillId="0" borderId="3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4" fillId="0" borderId="49" xfId="1" applyFont="1" applyBorder="1"/>
    <xf numFmtId="164" fontId="32" fillId="0" borderId="20" xfId="0" applyNumberFormat="1" applyFont="1" applyBorder="1" applyAlignment="1">
      <alignment horizontal="center"/>
    </xf>
    <xf numFmtId="1" fontId="33" fillId="0" borderId="20" xfId="0" applyNumberFormat="1" applyFont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32" fillId="0" borderId="50" xfId="0" applyNumberFormat="1" applyFont="1" applyBorder="1" applyAlignment="1">
      <alignment horizontal="center"/>
    </xf>
    <xf numFmtId="1" fontId="33" fillId="0" borderId="50" xfId="0" applyNumberFormat="1" applyFont="1" applyBorder="1" applyAlignment="1">
      <alignment horizontal="center"/>
    </xf>
    <xf numFmtId="44" fontId="2" fillId="0" borderId="47" xfId="1" applyFont="1" applyFill="1" applyBorder="1"/>
    <xf numFmtId="164" fontId="2" fillId="0" borderId="47" xfId="0" applyNumberFormat="1" applyFont="1" applyBorder="1" applyAlignment="1">
      <alignment horizontal="center"/>
    </xf>
    <xf numFmtId="44" fontId="35" fillId="3" borderId="49" xfId="1" applyFont="1" applyFill="1" applyBorder="1"/>
    <xf numFmtId="166" fontId="9" fillId="0" borderId="45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left"/>
    </xf>
    <xf numFmtId="44" fontId="2" fillId="3" borderId="21" xfId="1" applyFon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164" fontId="2" fillId="0" borderId="51" xfId="0" applyNumberFormat="1" applyFont="1" applyBorder="1" applyAlignment="1">
      <alignment horizontal="center"/>
    </xf>
    <xf numFmtId="44" fontId="2" fillId="0" borderId="52" xfId="1" applyFont="1" applyFill="1" applyBorder="1"/>
    <xf numFmtId="15" fontId="2" fillId="0" borderId="53" xfId="0" applyNumberFormat="1" applyFont="1" applyBorder="1"/>
    <xf numFmtId="44" fontId="2" fillId="0" borderId="54" xfId="1" applyFont="1" applyFill="1" applyBorder="1"/>
    <xf numFmtId="0" fontId="0" fillId="0" borderId="55" xfId="0" applyBorder="1"/>
    <xf numFmtId="44" fontId="2" fillId="0" borderId="56" xfId="1" applyFont="1" applyFill="1" applyBorder="1"/>
    <xf numFmtId="44" fontId="2" fillId="0" borderId="29" xfId="1" applyFont="1" applyFill="1" applyBorder="1"/>
    <xf numFmtId="165" fontId="17" fillId="0" borderId="20" xfId="1" applyNumberFormat="1" applyFont="1" applyFill="1" applyBorder="1" applyAlignment="1">
      <alignment horizontal="left"/>
    </xf>
    <xf numFmtId="165" fontId="9" fillId="0" borderId="46" xfId="1" applyNumberFormat="1" applyFont="1" applyFill="1" applyBorder="1" applyAlignment="1">
      <alignment horizontal="left"/>
    </xf>
    <xf numFmtId="44" fontId="18" fillId="0" borderId="20" xfId="1" applyFont="1" applyFill="1" applyBorder="1" applyAlignment="1">
      <alignment horizontal="right"/>
    </xf>
    <xf numFmtId="165" fontId="9" fillId="0" borderId="20" xfId="1" applyNumberFormat="1" applyFont="1" applyFill="1" applyBorder="1" applyAlignment="1">
      <alignment horizontal="left"/>
    </xf>
    <xf numFmtId="44" fontId="1" fillId="0" borderId="47" xfId="1" applyBorder="1"/>
    <xf numFmtId="44" fontId="8" fillId="0" borderId="0" xfId="1" applyFont="1" applyFill="1" applyBorder="1" applyAlignment="1">
      <alignment horizontal="center"/>
    </xf>
    <xf numFmtId="167" fontId="5" fillId="0" borderId="0" xfId="1" applyNumberFormat="1" applyFont="1" applyFill="1" applyBorder="1" applyAlignment="1">
      <alignment horizontal="center" vertical="center" wrapText="1"/>
    </xf>
    <xf numFmtId="165" fontId="26" fillId="0" borderId="21" xfId="1" applyNumberFormat="1" applyFont="1" applyBorder="1"/>
    <xf numFmtId="0" fontId="5" fillId="0" borderId="0" xfId="0" applyFont="1"/>
    <xf numFmtId="44" fontId="8" fillId="11" borderId="0" xfId="1" applyFont="1" applyFill="1"/>
    <xf numFmtId="44" fontId="1" fillId="11" borderId="0" xfId="1" applyFill="1"/>
    <xf numFmtId="0" fontId="8" fillId="11" borderId="0" xfId="0" applyFont="1" applyFill="1"/>
    <xf numFmtId="165" fontId="8" fillId="3" borderId="0" xfId="0" applyNumberFormat="1" applyFont="1" applyFill="1" applyAlignment="1">
      <alignment horizontal="left"/>
    </xf>
    <xf numFmtId="44" fontId="2" fillId="12" borderId="12" xfId="1" applyFont="1" applyFill="1" applyBorder="1"/>
    <xf numFmtId="166" fontId="9" fillId="13" borderId="0" xfId="0" applyNumberFormat="1" applyFont="1" applyFill="1"/>
    <xf numFmtId="44" fontId="2" fillId="12" borderId="14" xfId="1" applyFont="1" applyFill="1" applyBorder="1"/>
    <xf numFmtId="44" fontId="2" fillId="12" borderId="19" xfId="1" applyFont="1" applyFill="1" applyBorder="1"/>
    <xf numFmtId="44" fontId="2" fillId="12" borderId="17" xfId="1" applyFont="1" applyFill="1" applyBorder="1"/>
    <xf numFmtId="44" fontId="2" fillId="12" borderId="18" xfId="1" applyFont="1" applyFill="1" applyBorder="1"/>
    <xf numFmtId="166" fontId="15" fillId="0" borderId="57" xfId="0" applyNumberFormat="1" applyFont="1" applyBorder="1"/>
    <xf numFmtId="15" fontId="2" fillId="0" borderId="44" xfId="0" applyNumberFormat="1" applyFont="1" applyBorder="1"/>
    <xf numFmtId="44" fontId="2" fillId="0" borderId="58" xfId="1" applyFont="1" applyFill="1" applyBorder="1"/>
    <xf numFmtId="166" fontId="15" fillId="0" borderId="59" xfId="0" applyNumberFormat="1" applyFont="1" applyBorder="1"/>
    <xf numFmtId="44" fontId="2" fillId="0" borderId="60" xfId="1" applyFont="1" applyFill="1" applyBorder="1"/>
    <xf numFmtId="0" fontId="17" fillId="0" borderId="31" xfId="0" applyFont="1" applyBorder="1" applyAlignment="1">
      <alignment horizontal="left"/>
    </xf>
    <xf numFmtId="44" fontId="2" fillId="0" borderId="61" xfId="1" applyFont="1" applyFill="1" applyBorder="1"/>
    <xf numFmtId="44" fontId="2" fillId="0" borderId="62" xfId="1" applyFont="1" applyFill="1" applyBorder="1"/>
    <xf numFmtId="44" fontId="37" fillId="0" borderId="17" xfId="1" applyFont="1" applyFill="1" applyBorder="1"/>
    <xf numFmtId="44" fontId="37" fillId="0" borderId="0" xfId="1" applyFont="1" applyFill="1" applyBorder="1" applyAlignment="1">
      <alignment horizontal="center"/>
    </xf>
    <xf numFmtId="166" fontId="14" fillId="0" borderId="59" xfId="0" applyNumberFormat="1" applyFont="1" applyBorder="1"/>
    <xf numFmtId="15" fontId="2" fillId="0" borderId="3" xfId="0" applyNumberFormat="1" applyFont="1" applyBorder="1"/>
    <xf numFmtId="44" fontId="37" fillId="0" borderId="0" xfId="1" applyFont="1" applyFill="1" applyBorder="1"/>
    <xf numFmtId="166" fontId="17" fillId="0" borderId="59" xfId="0" applyNumberFormat="1" applyFont="1" applyBorder="1"/>
    <xf numFmtId="166" fontId="18" fillId="0" borderId="59" xfId="0" applyNumberFormat="1" applyFont="1" applyBorder="1"/>
    <xf numFmtId="44" fontId="37" fillId="13" borderId="0" xfId="1" applyFont="1" applyFill="1" applyBorder="1"/>
    <xf numFmtId="164" fontId="2" fillId="3" borderId="11" xfId="0" applyNumberFormat="1" applyFont="1" applyFill="1" applyBorder="1" applyAlignment="1">
      <alignment horizontal="center"/>
    </xf>
    <xf numFmtId="44" fontId="2" fillId="3" borderId="63" xfId="1" applyFont="1" applyFill="1" applyBorder="1"/>
    <xf numFmtId="0" fontId="17" fillId="0" borderId="38" xfId="0" applyFont="1" applyBorder="1" applyAlignment="1">
      <alignment horizontal="left"/>
    </xf>
    <xf numFmtId="164" fontId="32" fillId="0" borderId="20" xfId="0" applyNumberFormat="1" applyFont="1" applyFill="1" applyBorder="1" applyAlignment="1">
      <alignment horizontal="center"/>
    </xf>
    <xf numFmtId="1" fontId="33" fillId="0" borderId="20" xfId="0" applyNumberFormat="1" applyFont="1" applyFill="1" applyBorder="1" applyAlignment="1">
      <alignment horizontal="center"/>
    </xf>
    <xf numFmtId="164" fontId="2" fillId="0" borderId="20" xfId="0" applyNumberFormat="1" applyFont="1" applyFill="1" applyBorder="1" applyAlignment="1">
      <alignment horizontal="center"/>
    </xf>
    <xf numFmtId="44" fontId="37" fillId="0" borderId="0" xfId="1" applyFont="1" applyFill="1" applyBorder="1" applyAlignment="1">
      <alignment horizontal="right"/>
    </xf>
    <xf numFmtId="166" fontId="17" fillId="12" borderId="0" xfId="0" applyNumberFormat="1" applyFont="1" applyFill="1"/>
    <xf numFmtId="44" fontId="2" fillId="0" borderId="0" xfId="1" applyFont="1" applyFill="1" applyBorder="1" applyAlignment="1">
      <alignment horizontal="right"/>
    </xf>
    <xf numFmtId="44" fontId="38" fillId="0" borderId="0" xfId="1" applyFont="1" applyFill="1" applyBorder="1" applyAlignment="1">
      <alignment horizontal="center"/>
    </xf>
    <xf numFmtId="165" fontId="18" fillId="0" borderId="15" xfId="1" applyNumberFormat="1" applyFont="1" applyBorder="1" applyAlignment="1">
      <alignment horizontal="center"/>
    </xf>
    <xf numFmtId="0" fontId="39" fillId="0" borderId="11" xfId="0" applyFont="1" applyBorder="1" applyAlignment="1">
      <alignment horizontal="left"/>
    </xf>
    <xf numFmtId="44" fontId="18" fillId="0" borderId="21" xfId="1" applyFont="1" applyFill="1" applyBorder="1" applyAlignment="1">
      <alignment horizontal="right"/>
    </xf>
    <xf numFmtId="165" fontId="18" fillId="0" borderId="2" xfId="0" applyNumberFormat="1" applyFont="1" applyBorder="1" applyAlignment="1">
      <alignment horizontal="center"/>
    </xf>
    <xf numFmtId="0" fontId="18" fillId="0" borderId="11" xfId="0" applyFont="1" applyBorder="1" applyAlignment="1">
      <alignment horizontal="left"/>
    </xf>
    <xf numFmtId="44" fontId="18" fillId="0" borderId="24" xfId="1" applyFont="1" applyBorder="1" applyAlignment="1">
      <alignment horizontal="right"/>
    </xf>
    <xf numFmtId="165" fontId="17" fillId="0" borderId="15" xfId="1" applyNumberFormat="1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166" fontId="40" fillId="0" borderId="0" xfId="0" applyNumberFormat="1" applyFont="1"/>
    <xf numFmtId="44" fontId="14" fillId="0" borderId="20" xfId="1" applyFont="1" applyFill="1" applyBorder="1" applyAlignment="1">
      <alignment horizontal="left" vertical="center"/>
    </xf>
    <xf numFmtId="16" fontId="18" fillId="0" borderId="31" xfId="0" applyNumberFormat="1" applyFont="1" applyBorder="1" applyAlignment="1">
      <alignment horizontal="left"/>
    </xf>
    <xf numFmtId="44" fontId="18" fillId="0" borderId="0" xfId="1" applyFont="1" applyFill="1" applyBorder="1"/>
    <xf numFmtId="166" fontId="18" fillId="0" borderId="20" xfId="0" applyNumberFormat="1" applyFont="1" applyBorder="1"/>
    <xf numFmtId="44" fontId="2" fillId="0" borderId="63" xfId="1" applyFont="1" applyFill="1" applyBorder="1"/>
    <xf numFmtId="44" fontId="18" fillId="0" borderId="23" xfId="1" applyFont="1" applyFill="1" applyBorder="1" applyAlignment="1">
      <alignment horizontal="right"/>
    </xf>
    <xf numFmtId="44" fontId="41" fillId="0" borderId="0" xfId="1" applyFont="1" applyFill="1" applyBorder="1" applyAlignment="1">
      <alignment horizontal="right"/>
    </xf>
    <xf numFmtId="0" fontId="37" fillId="0" borderId="42" xfId="0" applyFont="1" applyBorder="1" applyAlignment="1">
      <alignment horizontal="center"/>
    </xf>
    <xf numFmtId="44" fontId="41" fillId="0" borderId="42" xfId="1" applyFont="1" applyBorder="1"/>
    <xf numFmtId="44" fontId="37" fillId="0" borderId="0" xfId="1" applyFont="1" applyFill="1" applyAlignment="1">
      <alignment horizontal="right"/>
    </xf>
    <xf numFmtId="167" fontId="42" fillId="0" borderId="0" xfId="1" applyNumberFormat="1" applyFont="1" applyFill="1" applyBorder="1" applyAlignment="1">
      <alignment horizontal="right" vertical="center" wrapText="1"/>
    </xf>
    <xf numFmtId="1" fontId="33" fillId="14" borderId="20" xfId="0" applyNumberFormat="1" applyFont="1" applyFill="1" applyBorder="1" applyAlignment="1">
      <alignment horizontal="center"/>
    </xf>
    <xf numFmtId="44" fontId="2" fillId="14" borderId="20" xfId="1" applyFont="1" applyFill="1" applyBorder="1"/>
    <xf numFmtId="165" fontId="1" fillId="0" borderId="0" xfId="1" applyNumberFormat="1" applyFill="1"/>
    <xf numFmtId="165" fontId="1" fillId="11" borderId="0" xfId="1" applyNumberFormat="1" applyFill="1"/>
    <xf numFmtId="44" fontId="9" fillId="0" borderId="9" xfId="1" applyFont="1" applyBorder="1"/>
    <xf numFmtId="165" fontId="8" fillId="3" borderId="64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164" fontId="2" fillId="0" borderId="65" xfId="0" applyNumberFormat="1" applyFont="1" applyBorder="1" applyAlignment="1">
      <alignment horizontal="center"/>
    </xf>
    <xf numFmtId="44" fontId="2" fillId="0" borderId="66" xfId="1" applyFont="1" applyFill="1" applyBorder="1"/>
    <xf numFmtId="166" fontId="14" fillId="0" borderId="64" xfId="0" applyNumberFormat="1" applyFont="1" applyBorder="1" applyAlignment="1">
      <alignment horizontal="left"/>
    </xf>
    <xf numFmtId="165" fontId="1" fillId="0" borderId="0" xfId="1" applyNumberFormat="1"/>
    <xf numFmtId="166" fontId="15" fillId="0" borderId="64" xfId="0" applyNumberFormat="1" applyFont="1" applyBorder="1"/>
    <xf numFmtId="166" fontId="17" fillId="0" borderId="64" xfId="0" applyNumberFormat="1" applyFont="1" applyBorder="1"/>
    <xf numFmtId="165" fontId="2" fillId="0" borderId="0" xfId="1" applyNumberFormat="1" applyFont="1" applyFill="1"/>
    <xf numFmtId="166" fontId="14" fillId="0" borderId="64" xfId="0" applyNumberFormat="1" applyFont="1" applyBorder="1"/>
    <xf numFmtId="165" fontId="9" fillId="0" borderId="0" xfId="1" applyNumberFormat="1" applyFont="1" applyFill="1"/>
    <xf numFmtId="166" fontId="18" fillId="0" borderId="64" xfId="0" applyNumberFormat="1" applyFont="1" applyBorder="1"/>
    <xf numFmtId="165" fontId="19" fillId="0" borderId="0" xfId="1" applyNumberFormat="1" applyFont="1" applyFill="1" applyAlignment="1">
      <alignment horizontal="left"/>
    </xf>
    <xf numFmtId="165" fontId="17" fillId="0" borderId="0" xfId="1" applyNumberFormat="1" applyFont="1" applyFill="1" applyAlignment="1">
      <alignment horizontal="center"/>
    </xf>
    <xf numFmtId="166" fontId="40" fillId="0" borderId="64" xfId="0" applyNumberFormat="1" applyFont="1" applyBorder="1"/>
    <xf numFmtId="166" fontId="15" fillId="0" borderId="67" xfId="0" applyNumberFormat="1" applyFont="1" applyBorder="1"/>
    <xf numFmtId="44" fontId="2" fillId="0" borderId="68" xfId="1" applyFont="1" applyFill="1" applyBorder="1"/>
    <xf numFmtId="166" fontId="14" fillId="0" borderId="67" xfId="0" applyNumberFormat="1" applyFont="1" applyBorder="1"/>
    <xf numFmtId="44" fontId="2" fillId="0" borderId="70" xfId="1" applyFont="1" applyBorder="1"/>
    <xf numFmtId="165" fontId="2" fillId="0" borderId="0" xfId="1" applyNumberFormat="1" applyFont="1" applyBorder="1"/>
    <xf numFmtId="165" fontId="9" fillId="0" borderId="45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46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Border="1"/>
    <xf numFmtId="44" fontId="18" fillId="0" borderId="0" xfId="1" applyFont="1" applyFill="1" applyBorder="1" applyAlignment="1">
      <alignment horizontal="right"/>
    </xf>
    <xf numFmtId="166" fontId="18" fillId="0" borderId="0" xfId="0" applyNumberFormat="1" applyFont="1" applyBorder="1"/>
    <xf numFmtId="44" fontId="0" fillId="0" borderId="0" xfId="0" applyNumberFormat="1" applyBorder="1"/>
    <xf numFmtId="1" fontId="33" fillId="13" borderId="20" xfId="0" applyNumberFormat="1" applyFont="1" applyFill="1" applyBorder="1" applyAlignment="1">
      <alignment horizontal="center"/>
    </xf>
    <xf numFmtId="44" fontId="2" fillId="0" borderId="71" xfId="1" applyFont="1" applyFill="1" applyBorder="1"/>
    <xf numFmtId="166" fontId="17" fillId="15" borderId="67" xfId="0" applyNumberFormat="1" applyFont="1" applyFill="1" applyBorder="1"/>
    <xf numFmtId="166" fontId="18" fillId="15" borderId="67" xfId="0" applyNumberFormat="1" applyFont="1" applyFill="1" applyBorder="1"/>
    <xf numFmtId="164" fontId="2" fillId="15" borderId="65" xfId="0" applyNumberFormat="1" applyFont="1" applyFill="1" applyBorder="1" applyAlignment="1">
      <alignment horizontal="center"/>
    </xf>
    <xf numFmtId="44" fontId="2" fillId="15" borderId="68" xfId="1" applyFont="1" applyFill="1" applyBorder="1"/>
    <xf numFmtId="44" fontId="2" fillId="15" borderId="69" xfId="1" applyFont="1" applyFill="1" applyBorder="1"/>
    <xf numFmtId="44" fontId="2" fillId="15" borderId="70" xfId="1" applyFont="1" applyFill="1" applyBorder="1"/>
    <xf numFmtId="0" fontId="8" fillId="0" borderId="0" xfId="0" applyFont="1"/>
    <xf numFmtId="0" fontId="36" fillId="0" borderId="37" xfId="0" applyFont="1" applyBorder="1" applyAlignment="1">
      <alignment vertical="center" wrapText="1"/>
    </xf>
    <xf numFmtId="0" fontId="2" fillId="5" borderId="0" xfId="0" applyFont="1" applyFill="1" applyAlignment="1">
      <alignment horizontal="center"/>
    </xf>
    <xf numFmtId="44" fontId="2" fillId="3" borderId="66" xfId="1" applyFont="1" applyFill="1" applyBorder="1"/>
    <xf numFmtId="15" fontId="2" fillId="3" borderId="13" xfId="0" applyNumberFormat="1" applyFont="1" applyFill="1" applyBorder="1"/>
    <xf numFmtId="44" fontId="2" fillId="3" borderId="14" xfId="1" applyFont="1" applyFill="1" applyBorder="1"/>
    <xf numFmtId="44" fontId="2" fillId="3" borderId="19" xfId="1" applyFont="1" applyFill="1" applyBorder="1"/>
    <xf numFmtId="165" fontId="17" fillId="14" borderId="0" xfId="1" applyNumberFormat="1" applyFont="1" applyFill="1"/>
    <xf numFmtId="44" fontId="2" fillId="15" borderId="66" xfId="1" applyFont="1" applyFill="1" applyBorder="1"/>
    <xf numFmtId="15" fontId="2" fillId="15" borderId="13" xfId="0" applyNumberFormat="1" applyFont="1" applyFill="1" applyBorder="1"/>
    <xf numFmtId="44" fontId="2" fillId="15" borderId="14" xfId="1" applyFont="1" applyFill="1" applyBorder="1"/>
    <xf numFmtId="44" fontId="2" fillId="15" borderId="19" xfId="1" applyFont="1" applyFill="1" applyBorder="1"/>
    <xf numFmtId="165" fontId="2" fillId="15" borderId="0" xfId="1" applyNumberFormat="1" applyFont="1" applyFill="1" applyAlignment="1">
      <alignment horizontal="center"/>
    </xf>
    <xf numFmtId="16" fontId="2" fillId="0" borderId="20" xfId="0" applyNumberFormat="1" applyFont="1" applyBorder="1"/>
    <xf numFmtId="44" fontId="2" fillId="15" borderId="17" xfId="1" applyFont="1" applyFill="1" applyBorder="1"/>
    <xf numFmtId="44" fontId="2" fillId="15" borderId="18" xfId="1" applyFont="1" applyFill="1" applyBorder="1"/>
    <xf numFmtId="165" fontId="19" fillId="0" borderId="11" xfId="0" applyNumberFormat="1" applyFont="1" applyBorder="1" applyAlignment="1">
      <alignment horizontal="left"/>
    </xf>
    <xf numFmtId="44" fontId="18" fillId="0" borderId="20" xfId="1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/>
    </xf>
    <xf numFmtId="0" fontId="9" fillId="3" borderId="20" xfId="0" applyFont="1" applyFill="1" applyBorder="1" applyAlignment="1">
      <alignment horizontal="left"/>
    </xf>
    <xf numFmtId="166" fontId="17" fillId="0" borderId="67" xfId="0" applyNumberFormat="1" applyFont="1" applyBorder="1"/>
    <xf numFmtId="166" fontId="18" fillId="0" borderId="67" xfId="0" applyNumberFormat="1" applyFont="1" applyBorder="1"/>
    <xf numFmtId="44" fontId="2" fillId="0" borderId="69" xfId="1" applyFont="1" applyFill="1" applyBorder="1"/>
    <xf numFmtId="44" fontId="2" fillId="0" borderId="37" xfId="1" applyFont="1" applyFill="1" applyBorder="1"/>
    <xf numFmtId="0" fontId="0" fillId="0" borderId="72" xfId="0" applyBorder="1"/>
    <xf numFmtId="165" fontId="17" fillId="14" borderId="20" xfId="1" applyNumberFormat="1" applyFont="1" applyFill="1" applyBorder="1" applyAlignment="1">
      <alignment horizontal="left"/>
    </xf>
    <xf numFmtId="44" fontId="2" fillId="0" borderId="73" xfId="1" applyFont="1" applyFill="1" applyBorder="1"/>
    <xf numFmtId="166" fontId="18" fillId="0" borderId="74" xfId="0" applyNumberFormat="1" applyFont="1" applyBorder="1"/>
    <xf numFmtId="44" fontId="2" fillId="0" borderId="55" xfId="1" applyFont="1" applyBorder="1"/>
    <xf numFmtId="0" fontId="0" fillId="0" borderId="75" xfId="0" applyBorder="1"/>
    <xf numFmtId="15" fontId="2" fillId="0" borderId="76" xfId="0" applyNumberFormat="1" applyFont="1" applyBorder="1"/>
    <xf numFmtId="165" fontId="2" fillId="0" borderId="20" xfId="1" applyNumberFormat="1" applyFont="1" applyFill="1" applyBorder="1" applyAlignment="1">
      <alignment horizontal="left"/>
    </xf>
    <xf numFmtId="0" fontId="17" fillId="0" borderId="22" xfId="0" applyFont="1" applyBorder="1" applyAlignment="1">
      <alignment horizontal="left"/>
    </xf>
    <xf numFmtId="44" fontId="2" fillId="0" borderId="77" xfId="1" applyFont="1" applyFill="1" applyBorder="1"/>
    <xf numFmtId="164" fontId="2" fillId="0" borderId="78" xfId="0" applyNumberFormat="1" applyFont="1" applyBorder="1" applyAlignment="1">
      <alignment horizontal="center"/>
    </xf>
    <xf numFmtId="44" fontId="2" fillId="0" borderId="78" xfId="1" applyFont="1" applyFill="1" applyBorder="1"/>
    <xf numFmtId="165" fontId="19" fillId="0" borderId="34" xfId="1" applyNumberFormat="1" applyFont="1" applyFill="1" applyBorder="1" applyAlignment="1">
      <alignment horizontal="left"/>
    </xf>
    <xf numFmtId="164" fontId="2" fillId="0" borderId="79" xfId="0" applyNumberFormat="1" applyFont="1" applyBorder="1" applyAlignment="1">
      <alignment horizontal="center"/>
    </xf>
    <xf numFmtId="15" fontId="2" fillId="0" borderId="80" xfId="0" applyNumberFormat="1" applyFont="1" applyBorder="1"/>
    <xf numFmtId="165" fontId="19" fillId="0" borderId="0" xfId="1" applyNumberFormat="1" applyFont="1" applyFill="1" applyBorder="1" applyAlignment="1">
      <alignment horizontal="left"/>
    </xf>
    <xf numFmtId="164" fontId="2" fillId="0" borderId="81" xfId="0" applyNumberFormat="1" applyFont="1" applyBorder="1" applyAlignment="1">
      <alignment horizontal="center"/>
    </xf>
    <xf numFmtId="44" fontId="2" fillId="16" borderId="78" xfId="1" applyFont="1" applyFill="1" applyBorder="1"/>
    <xf numFmtId="44" fontId="2" fillId="16" borderId="77" xfId="1" applyFont="1" applyFill="1" applyBorder="1"/>
    <xf numFmtId="44" fontId="2" fillId="3" borderId="77" xfId="1" applyFont="1" applyFill="1" applyBorder="1"/>
    <xf numFmtId="15" fontId="14" fillId="0" borderId="0" xfId="0" applyNumberFormat="1" applyFont="1" applyAlignment="1">
      <alignment wrapText="1"/>
    </xf>
    <xf numFmtId="44" fontId="13" fillId="0" borderId="0" xfId="1" applyFont="1" applyFill="1" applyBorder="1"/>
    <xf numFmtId="16" fontId="19" fillId="0" borderId="0" xfId="0" applyNumberFormat="1" applyFont="1"/>
    <xf numFmtId="15" fontId="14" fillId="0" borderId="0" xfId="0" applyNumberFormat="1" applyFont="1" applyAlignment="1">
      <alignment horizontal="center" wrapText="1"/>
    </xf>
    <xf numFmtId="44" fontId="2" fillId="0" borderId="31" xfId="1" applyFont="1" applyFill="1" applyBorder="1"/>
    <xf numFmtId="44" fontId="13" fillId="0" borderId="0" xfId="1" applyFont="1" applyBorder="1"/>
    <xf numFmtId="44" fontId="2" fillId="0" borderId="82" xfId="1" applyFont="1" applyFill="1" applyBorder="1"/>
    <xf numFmtId="164" fontId="18" fillId="0" borderId="83" xfId="0" applyNumberFormat="1" applyFont="1" applyBorder="1" applyAlignment="1">
      <alignment horizontal="center"/>
    </xf>
    <xf numFmtId="44" fontId="9" fillId="0" borderId="84" xfId="1" applyFont="1" applyBorder="1"/>
    <xf numFmtId="44" fontId="0" fillId="0" borderId="0" xfId="0" applyNumberFormat="1"/>
    <xf numFmtId="44" fontId="2" fillId="13" borderId="20" xfId="1" applyFont="1" applyFill="1" applyBorder="1"/>
    <xf numFmtId="1" fontId="33" fillId="13" borderId="50" xfId="0" applyNumberFormat="1" applyFont="1" applyFill="1" applyBorder="1" applyAlignment="1">
      <alignment horizontal="center"/>
    </xf>
    <xf numFmtId="44" fontId="2" fillId="13" borderId="47" xfId="1" applyFont="1" applyFill="1" applyBorder="1"/>
    <xf numFmtId="165" fontId="17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37" fillId="0" borderId="0" xfId="1" applyFont="1" applyFill="1" applyBorder="1" applyAlignment="1">
      <alignment horizontal="left"/>
    </xf>
    <xf numFmtId="44" fontId="18" fillId="3" borderId="17" xfId="1" applyFont="1" applyFill="1" applyBorder="1"/>
    <xf numFmtId="44" fontId="18" fillId="0" borderId="24" xfId="1" applyFont="1" applyFill="1" applyBorder="1" applyAlignment="1">
      <alignment horizontal="right"/>
    </xf>
    <xf numFmtId="165" fontId="17" fillId="0" borderId="15" xfId="1" applyNumberFormat="1" applyFont="1" applyFill="1" applyBorder="1" applyAlignment="1">
      <alignment horizontal="left"/>
    </xf>
    <xf numFmtId="166" fontId="9" fillId="0" borderId="67" xfId="0" applyNumberFormat="1" applyFont="1" applyBorder="1"/>
    <xf numFmtId="166" fontId="44" fillId="0" borderId="67" xfId="0" applyNumberFormat="1" applyFont="1" applyBorder="1"/>
    <xf numFmtId="0" fontId="9" fillId="0" borderId="20" xfId="0" applyFont="1" applyBorder="1" applyAlignment="1">
      <alignment horizontal="left"/>
    </xf>
    <xf numFmtId="166" fontId="9" fillId="0" borderId="74" xfId="0" applyNumberFormat="1" applyFont="1" applyBorder="1"/>
    <xf numFmtId="44" fontId="2" fillId="0" borderId="55" xfId="1" applyFont="1" applyFill="1" applyBorder="1"/>
    <xf numFmtId="44" fontId="34" fillId="3" borderId="49" xfId="1" applyFont="1" applyFill="1" applyBorder="1"/>
    <xf numFmtId="44" fontId="2" fillId="0" borderId="20" xfId="1" applyFont="1" applyFill="1" applyBorder="1" applyAlignment="1">
      <alignment horizontal="left" vertical="top"/>
    </xf>
    <xf numFmtId="16" fontId="2" fillId="0" borderId="31" xfId="0" applyNumberFormat="1" applyFont="1" applyBorder="1" applyAlignment="1">
      <alignment horizontal="left"/>
    </xf>
    <xf numFmtId="0" fontId="8" fillId="0" borderId="31" xfId="0" applyFont="1" applyBorder="1" applyAlignment="1">
      <alignment wrapText="1"/>
    </xf>
    <xf numFmtId="166" fontId="2" fillId="0" borderId="85" xfId="0" applyNumberFormat="1" applyFont="1" applyBorder="1" applyAlignment="1">
      <alignment wrapText="1"/>
    </xf>
    <xf numFmtId="166" fontId="2" fillId="0" borderId="20" xfId="0" applyNumberFormat="1" applyFont="1" applyBorder="1" applyAlignment="1">
      <alignment wrapText="1"/>
    </xf>
    <xf numFmtId="166" fontId="2" fillId="0" borderId="20" xfId="0" applyNumberFormat="1" applyFont="1" applyBorder="1"/>
    <xf numFmtId="165" fontId="8" fillId="0" borderId="20" xfId="0" applyNumberFormat="1" applyFont="1" applyBorder="1"/>
    <xf numFmtId="166" fontId="9" fillId="3" borderId="67" xfId="0" applyNumberFormat="1" applyFont="1" applyFill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44" fontId="2" fillId="0" borderId="86" xfId="1" applyFont="1" applyFill="1" applyBorder="1"/>
    <xf numFmtId="166" fontId="9" fillId="0" borderId="0" xfId="0" applyNumberFormat="1" applyFont="1" applyAlignment="1">
      <alignment horizontal="left"/>
    </xf>
    <xf numFmtId="15" fontId="2" fillId="0" borderId="87" xfId="0" applyNumberFormat="1" applyFont="1" applyBorder="1"/>
    <xf numFmtId="44" fontId="34" fillId="0" borderId="49" xfId="1" applyFont="1" applyFill="1" applyBorder="1"/>
    <xf numFmtId="44" fontId="45" fillId="0" borderId="49" xfId="1" applyFont="1" applyFill="1" applyBorder="1"/>
    <xf numFmtId="0" fontId="12" fillId="0" borderId="0" xfId="0" applyFont="1"/>
    <xf numFmtId="164" fontId="46" fillId="2" borderId="20" xfId="0" applyNumberFormat="1" applyFont="1" applyFill="1" applyBorder="1" applyAlignment="1">
      <alignment horizontal="center"/>
    </xf>
    <xf numFmtId="44" fontId="5" fillId="2" borderId="20" xfId="1" applyFont="1" applyFill="1" applyBorder="1"/>
    <xf numFmtId="0" fontId="16" fillId="0" borderId="31" xfId="0" applyFont="1" applyBorder="1" applyAlignment="1">
      <alignment horizontal="center" wrapText="1"/>
    </xf>
    <xf numFmtId="44" fontId="8" fillId="17" borderId="20" xfId="1" applyFont="1" applyFill="1" applyBorder="1"/>
    <xf numFmtId="0" fontId="18" fillId="17" borderId="20" xfId="0" applyFont="1" applyFill="1" applyBorder="1" applyAlignment="1">
      <alignment horizontal="left"/>
    </xf>
    <xf numFmtId="164" fontId="2" fillId="0" borderId="65" xfId="0" applyNumberFormat="1" applyFont="1" applyBorder="1" applyAlignment="1">
      <alignment horizontal="right"/>
    </xf>
    <xf numFmtId="166" fontId="18" fillId="0" borderId="67" xfId="0" applyNumberFormat="1" applyFont="1" applyBorder="1" applyAlignment="1">
      <alignment horizontal="left"/>
    </xf>
    <xf numFmtId="166" fontId="18" fillId="0" borderId="0" xfId="0" applyNumberFormat="1" applyFont="1" applyAlignment="1">
      <alignment horizontal="left"/>
    </xf>
    <xf numFmtId="44" fontId="51" fillId="0" borderId="49" xfId="1" applyFont="1" applyBorder="1"/>
    <xf numFmtId="44" fontId="52" fillId="0" borderId="49" xfId="1" applyFont="1" applyFill="1" applyBorder="1"/>
    <xf numFmtId="165" fontId="17" fillId="19" borderId="20" xfId="1" applyNumberFormat="1" applyFont="1" applyFill="1" applyBorder="1" applyAlignment="1">
      <alignment horizontal="left"/>
    </xf>
    <xf numFmtId="0" fontId="2" fillId="19" borderId="38" xfId="0" applyFont="1" applyFill="1" applyBorder="1" applyAlignment="1">
      <alignment horizontal="left"/>
    </xf>
    <xf numFmtId="44" fontId="16" fillId="0" borderId="0" xfId="1" applyFont="1"/>
    <xf numFmtId="44" fontId="16" fillId="0" borderId="0" xfId="1" applyFont="1" applyFill="1"/>
    <xf numFmtId="44" fontId="16" fillId="0" borderId="0" xfId="1" applyFont="1" applyFill="1" applyBorder="1" applyAlignment="1">
      <alignment horizontal="center"/>
    </xf>
    <xf numFmtId="166" fontId="14" fillId="3" borderId="64" xfId="0" applyNumberFormat="1" applyFont="1" applyFill="1" applyBorder="1" applyAlignment="1">
      <alignment horizontal="left"/>
    </xf>
    <xf numFmtId="0" fontId="0" fillId="3" borderId="0" xfId="0" applyFill="1"/>
    <xf numFmtId="15" fontId="2" fillId="3" borderId="15" xfId="0" applyNumberFormat="1" applyFont="1" applyFill="1" applyBorder="1"/>
    <xf numFmtId="44" fontId="2" fillId="3" borderId="16" xfId="1" applyFont="1" applyFill="1" applyBorder="1"/>
    <xf numFmtId="44" fontId="2" fillId="3" borderId="17" xfId="1" applyFont="1" applyFill="1" applyBorder="1"/>
    <xf numFmtId="44" fontId="2" fillId="3" borderId="18" xfId="1" applyFont="1" applyFill="1" applyBorder="1"/>
    <xf numFmtId="44" fontId="16" fillId="0" borderId="0" xfId="1" applyFont="1" applyFill="1" applyBorder="1"/>
    <xf numFmtId="44" fontId="48" fillId="0" borderId="0" xfId="1" applyFont="1" applyFill="1" applyBorder="1" applyAlignment="1">
      <alignment horizontal="right"/>
    </xf>
    <xf numFmtId="44" fontId="16" fillId="0" borderId="0" xfId="1" applyFont="1" applyFill="1" applyBorder="1" applyAlignment="1">
      <alignment horizontal="right"/>
    </xf>
    <xf numFmtId="44" fontId="48" fillId="0" borderId="0" xfId="1" applyFont="1" applyFill="1" applyBorder="1" applyAlignment="1">
      <alignment horizontal="center"/>
    </xf>
    <xf numFmtId="44" fontId="48" fillId="0" borderId="0" xfId="1" applyFont="1" applyFill="1" applyBorder="1" applyAlignment="1">
      <alignment horizontal="left"/>
    </xf>
    <xf numFmtId="0" fontId="19" fillId="0" borderId="20" xfId="0" applyFont="1" applyBorder="1"/>
    <xf numFmtId="44" fontId="8" fillId="0" borderId="68" xfId="1" applyFont="1" applyFill="1" applyBorder="1"/>
    <xf numFmtId="0" fontId="49" fillId="0" borderId="20" xfId="0" applyFont="1" applyBorder="1"/>
    <xf numFmtId="164" fontId="2" fillId="0" borderId="20" xfId="0" applyNumberFormat="1" applyFont="1" applyBorder="1" applyAlignment="1">
      <alignment horizontal="right"/>
    </xf>
    <xf numFmtId="166" fontId="9" fillId="0" borderId="20" xfId="0" applyNumberFormat="1" applyFont="1" applyBorder="1"/>
    <xf numFmtId="164" fontId="2" fillId="0" borderId="20" xfId="0" applyNumberFormat="1" applyFont="1" applyBorder="1" applyAlignment="1">
      <alignment horizontal="left"/>
    </xf>
    <xf numFmtId="0" fontId="19" fillId="0" borderId="25" xfId="0" applyFont="1" applyBorder="1"/>
    <xf numFmtId="166" fontId="9" fillId="0" borderId="67" xfId="0" applyNumberFormat="1" applyFont="1" applyBorder="1" applyAlignment="1">
      <alignment horizontal="left"/>
    </xf>
    <xf numFmtId="0" fontId="2" fillId="17" borderId="20" xfId="0" applyFont="1" applyFill="1" applyBorder="1" applyAlignment="1">
      <alignment horizontal="left"/>
    </xf>
    <xf numFmtId="44" fontId="2" fillId="17" borderId="20" xfId="1" applyFont="1" applyFill="1" applyBorder="1" applyAlignment="1">
      <alignment horizontal="right"/>
    </xf>
    <xf numFmtId="0" fontId="19" fillId="13" borderId="0" xfId="0" applyFont="1" applyFill="1" applyAlignment="1">
      <alignment horizontal="left"/>
    </xf>
    <xf numFmtId="166" fontId="2" fillId="13" borderId="0" xfId="0" applyNumberFormat="1" applyFont="1" applyFill="1"/>
    <xf numFmtId="44" fontId="48" fillId="0" borderId="0" xfId="1" applyFont="1" applyFill="1" applyAlignment="1">
      <alignment horizontal="right"/>
    </xf>
    <xf numFmtId="167" fontId="48" fillId="0" borderId="0" xfId="1" applyNumberFormat="1" applyFont="1" applyFill="1" applyBorder="1" applyAlignment="1">
      <alignment horizontal="right" vertical="center" wrapText="1"/>
    </xf>
    <xf numFmtId="164" fontId="2" fillId="0" borderId="0" xfId="0" applyNumberFormat="1" applyFont="1" applyAlignment="1">
      <alignment horizontal="left"/>
    </xf>
    <xf numFmtId="0" fontId="9" fillId="0" borderId="0" xfId="0" applyFont="1"/>
    <xf numFmtId="0" fontId="16" fillId="0" borderId="0" xfId="0" applyFont="1"/>
    <xf numFmtId="0" fontId="0" fillId="20" borderId="0" xfId="0" applyFill="1"/>
    <xf numFmtId="164" fontId="0" fillId="0" borderId="55" xfId="0" applyNumberFormat="1" applyBorder="1" applyAlignment="1">
      <alignment horizontal="center"/>
    </xf>
    <xf numFmtId="44" fontId="0" fillId="20" borderId="55" xfId="1" applyFont="1" applyFill="1" applyBorder="1"/>
    <xf numFmtId="164" fontId="2" fillId="0" borderId="88" xfId="0" applyNumberFormat="1" applyFont="1" applyBorder="1" applyAlignment="1">
      <alignment horizontal="center"/>
    </xf>
    <xf numFmtId="0" fontId="2" fillId="0" borderId="88" xfId="0" applyFont="1" applyBorder="1" applyAlignment="1">
      <alignment horizontal="center" wrapText="1"/>
    </xf>
    <xf numFmtId="0" fontId="2" fillId="21" borderId="88" xfId="0" applyFont="1" applyFill="1" applyBorder="1" applyAlignment="1">
      <alignment horizontal="center" wrapText="1"/>
    </xf>
    <xf numFmtId="0" fontId="56" fillId="9" borderId="88" xfId="0" applyFont="1" applyFill="1" applyBorder="1" applyAlignment="1">
      <alignment horizontal="center" vertical="center" wrapText="1"/>
    </xf>
    <xf numFmtId="44" fontId="2" fillId="0" borderId="88" xfId="1" applyFont="1" applyBorder="1" applyAlignment="1">
      <alignment horizontal="center"/>
    </xf>
    <xf numFmtId="165" fontId="2" fillId="0" borderId="88" xfId="0" applyNumberFormat="1" applyFont="1" applyBorder="1" applyAlignment="1">
      <alignment horizontal="center" vertical="center" wrapText="1"/>
    </xf>
    <xf numFmtId="44" fontId="2" fillId="22" borderId="88" xfId="1" applyFont="1" applyFill="1" applyBorder="1" applyAlignment="1">
      <alignment horizontal="center" wrapText="1"/>
    </xf>
    <xf numFmtId="0" fontId="5" fillId="0" borderId="88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58" fillId="0" borderId="0" xfId="0" applyFont="1" applyAlignment="1">
      <alignment horizontal="center" wrapText="1"/>
    </xf>
    <xf numFmtId="166" fontId="2" fillId="0" borderId="46" xfId="0" applyNumberFormat="1" applyFont="1" applyBorder="1"/>
    <xf numFmtId="0" fontId="18" fillId="0" borderId="0" xfId="0" applyFont="1" applyAlignment="1">
      <alignment horizontal="center" wrapText="1"/>
    </xf>
    <xf numFmtId="164" fontId="2" fillId="0" borderId="31" xfId="0" applyNumberFormat="1" applyFont="1" applyBorder="1" applyAlignment="1">
      <alignment horizontal="center"/>
    </xf>
    <xf numFmtId="0" fontId="2" fillId="0" borderId="31" xfId="0" applyFont="1" applyBorder="1"/>
    <xf numFmtId="44" fontId="2" fillId="0" borderId="89" xfId="1" applyFont="1" applyFill="1" applyBorder="1"/>
    <xf numFmtId="0" fontId="2" fillId="0" borderId="20" xfId="0" applyFont="1" applyBorder="1" applyAlignment="1">
      <alignment wrapText="1"/>
    </xf>
    <xf numFmtId="0" fontId="58" fillId="0" borderId="0" xfId="0" applyFont="1" applyAlignment="1">
      <alignment horizontal="center" vertical="center" wrapText="1"/>
    </xf>
    <xf numFmtId="0" fontId="58" fillId="0" borderId="20" xfId="0" applyFont="1" applyBorder="1" applyAlignment="1">
      <alignment horizontal="center" wrapText="1"/>
    </xf>
    <xf numFmtId="165" fontId="18" fillId="3" borderId="0" xfId="0" applyNumberFormat="1" applyFont="1" applyFill="1" applyAlignment="1">
      <alignment horizontal="center"/>
    </xf>
    <xf numFmtId="44" fontId="18" fillId="3" borderId="0" xfId="1" applyFont="1" applyFill="1"/>
    <xf numFmtId="0" fontId="58" fillId="23" borderId="0" xfId="0" applyFont="1" applyFill="1" applyAlignment="1">
      <alignment horizontal="center" vertical="center" wrapText="1"/>
    </xf>
    <xf numFmtId="0" fontId="58" fillId="13" borderId="0" xfId="0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44" fontId="8" fillId="0" borderId="0" xfId="1" applyFont="1" applyFill="1"/>
    <xf numFmtId="0" fontId="2" fillId="0" borderId="37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8" fillId="0" borderId="25" xfId="0" applyFont="1" applyBorder="1" applyAlignment="1">
      <alignment horizontal="center"/>
    </xf>
    <xf numFmtId="165" fontId="8" fillId="0" borderId="25" xfId="0" applyNumberFormat="1" applyFont="1" applyBorder="1" applyAlignment="1">
      <alignment horizontal="center"/>
    </xf>
    <xf numFmtId="44" fontId="8" fillId="0" borderId="25" xfId="1" applyFont="1" applyFill="1" applyBorder="1"/>
    <xf numFmtId="44" fontId="8" fillId="0" borderId="0" xfId="0" applyNumberFormat="1" applyFont="1"/>
    <xf numFmtId="165" fontId="8" fillId="0" borderId="2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13" borderId="0" xfId="0" applyNumberFormat="1" applyFont="1" applyFill="1" applyAlignment="1">
      <alignment horizontal="center"/>
    </xf>
    <xf numFmtId="44" fontId="2" fillId="13" borderId="0" xfId="1" applyFont="1" applyFill="1"/>
    <xf numFmtId="166" fontId="2" fillId="0" borderId="93" xfId="0" applyNumberFormat="1" applyFont="1" applyBorder="1"/>
    <xf numFmtId="44" fontId="2" fillId="0" borderId="50" xfId="1" applyFont="1" applyFill="1" applyBorder="1"/>
    <xf numFmtId="0" fontId="0" fillId="0" borderId="47" xfId="0" applyBorder="1"/>
    <xf numFmtId="0" fontId="8" fillId="0" borderId="0" xfId="0" applyFont="1" applyAlignment="1">
      <alignment horizontal="center"/>
    </xf>
    <xf numFmtId="44" fontId="5" fillId="0" borderId="0" xfId="0" applyNumberFormat="1" applyFont="1"/>
    <xf numFmtId="44" fontId="5" fillId="0" borderId="10" xfId="1" applyFont="1" applyBorder="1"/>
    <xf numFmtId="165" fontId="9" fillId="3" borderId="0" xfId="0" applyNumberFormat="1" applyFont="1" applyFill="1" applyAlignment="1">
      <alignment horizontal="center"/>
    </xf>
    <xf numFmtId="44" fontId="9" fillId="3" borderId="0" xfId="1" applyFont="1" applyFill="1"/>
    <xf numFmtId="0" fontId="5" fillId="0" borderId="94" xfId="0" applyFont="1" applyBorder="1" applyAlignment="1">
      <alignment horizontal="right"/>
    </xf>
    <xf numFmtId="44" fontId="5" fillId="0" borderId="95" xfId="0" applyNumberFormat="1" applyFont="1" applyBorder="1"/>
    <xf numFmtId="0" fontId="0" fillId="0" borderId="36" xfId="0" applyBorder="1"/>
    <xf numFmtId="0" fontId="0" fillId="0" borderId="96" xfId="0" applyBorder="1"/>
    <xf numFmtId="164" fontId="0" fillId="0" borderId="97" xfId="0" applyNumberFormat="1" applyBorder="1" applyAlignment="1">
      <alignment horizontal="center"/>
    </xf>
    <xf numFmtId="0" fontId="18" fillId="0" borderId="98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2" fillId="0" borderId="47" xfId="0" applyFont="1" applyBorder="1"/>
    <xf numFmtId="165" fontId="2" fillId="0" borderId="47" xfId="0" applyNumberFormat="1" applyFont="1" applyBorder="1" applyAlignment="1">
      <alignment horizontal="center"/>
    </xf>
    <xf numFmtId="166" fontId="2" fillId="0" borderId="99" xfId="0" applyNumberFormat="1" applyFont="1" applyBorder="1"/>
    <xf numFmtId="0" fontId="0" fillId="20" borderId="0" xfId="0" applyFill="1" applyAlignment="1">
      <alignment horizontal="center"/>
    </xf>
    <xf numFmtId="44" fontId="2" fillId="20" borderId="0" xfId="1" applyFont="1" applyFill="1"/>
    <xf numFmtId="165" fontId="2" fillId="20" borderId="0" xfId="0" applyNumberFormat="1" applyFont="1" applyFill="1" applyAlignment="1">
      <alignment horizontal="center"/>
    </xf>
    <xf numFmtId="44" fontId="0" fillId="20" borderId="0" xfId="1" applyFont="1" applyFill="1"/>
    <xf numFmtId="165" fontId="0" fillId="20" borderId="0" xfId="0" applyNumberFormat="1" applyFill="1" applyAlignment="1">
      <alignment horizontal="center"/>
    </xf>
    <xf numFmtId="166" fontId="0" fillId="0" borderId="0" xfId="0" applyNumberFormat="1"/>
    <xf numFmtId="44" fontId="59" fillId="20" borderId="0" xfId="1" applyFont="1" applyFill="1" applyAlignment="1">
      <alignment horizontal="center" wrapText="1"/>
    </xf>
    <xf numFmtId="44" fontId="21" fillId="20" borderId="0" xfId="1" applyFont="1" applyFill="1" applyAlignment="1">
      <alignment horizontal="center" wrapText="1"/>
    </xf>
    <xf numFmtId="165" fontId="61" fillId="2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0" borderId="55" xfId="0" applyNumberFormat="1" applyFill="1" applyBorder="1" applyAlignment="1">
      <alignment horizontal="center"/>
    </xf>
    <xf numFmtId="0" fontId="2" fillId="3" borderId="20" xfId="0" applyFont="1" applyFill="1" applyBorder="1"/>
    <xf numFmtId="44" fontId="2" fillId="3" borderId="21" xfId="1" applyFont="1" applyFill="1" applyBorder="1"/>
    <xf numFmtId="0" fontId="2" fillId="3" borderId="31" xfId="0" applyFont="1" applyFill="1" applyBorder="1"/>
    <xf numFmtId="44" fontId="2" fillId="3" borderId="89" xfId="1" applyFont="1" applyFill="1" applyBorder="1"/>
    <xf numFmtId="165" fontId="62" fillId="3" borderId="0" xfId="0" applyNumberFormat="1" applyFont="1" applyFill="1" applyAlignment="1">
      <alignment horizontal="center"/>
    </xf>
    <xf numFmtId="44" fontId="62" fillId="3" borderId="0" xfId="1" applyFont="1" applyFill="1"/>
    <xf numFmtId="0" fontId="18" fillId="3" borderId="0" xfId="0" applyFont="1" applyFill="1" applyAlignment="1">
      <alignment horizontal="center" wrapText="1"/>
    </xf>
    <xf numFmtId="166" fontId="2" fillId="23" borderId="46" xfId="0" applyNumberFormat="1" applyFont="1" applyFill="1" applyBorder="1"/>
    <xf numFmtId="166" fontId="2" fillId="25" borderId="46" xfId="0" applyNumberFormat="1" applyFont="1" applyFill="1" applyBorder="1"/>
    <xf numFmtId="166" fontId="2" fillId="25" borderId="93" xfId="0" applyNumberFormat="1" applyFont="1" applyFill="1" applyBorder="1"/>
    <xf numFmtId="164" fontId="2" fillId="3" borderId="31" xfId="0" applyNumberFormat="1" applyFont="1" applyFill="1" applyBorder="1" applyAlignment="1">
      <alignment horizontal="center"/>
    </xf>
    <xf numFmtId="166" fontId="2" fillId="23" borderId="93" xfId="0" applyNumberFormat="1" applyFont="1" applyFill="1" applyBorder="1"/>
    <xf numFmtId="44" fontId="2" fillId="0" borderId="38" xfId="1" applyFont="1" applyFill="1" applyBorder="1"/>
    <xf numFmtId="0" fontId="8" fillId="0" borderId="80" xfId="0" applyFont="1" applyBorder="1"/>
    <xf numFmtId="165" fontId="9" fillId="25" borderId="0" xfId="0" applyNumberFormat="1" applyFont="1" applyFill="1" applyAlignment="1">
      <alignment horizontal="center"/>
    </xf>
    <xf numFmtId="44" fontId="9" fillId="25" borderId="0" xfId="1" applyFont="1" applyFill="1"/>
    <xf numFmtId="164" fontId="0" fillId="20" borderId="0" xfId="0" applyNumberFormat="1" applyFill="1" applyAlignment="1">
      <alignment horizontal="center"/>
    </xf>
    <xf numFmtId="168" fontId="26" fillId="3" borderId="21" xfId="1" applyNumberFormat="1" applyFont="1" applyFill="1" applyBorder="1"/>
    <xf numFmtId="44" fontId="27" fillId="3" borderId="37" xfId="1" applyFont="1" applyFill="1" applyBorder="1"/>
    <xf numFmtId="44" fontId="2" fillId="13" borderId="17" xfId="1" applyFont="1" applyFill="1" applyBorder="1"/>
    <xf numFmtId="164" fontId="2" fillId="8" borderId="65" xfId="0" applyNumberFormat="1" applyFont="1" applyFill="1" applyBorder="1" applyAlignment="1">
      <alignment horizontal="center"/>
    </xf>
    <xf numFmtId="44" fontId="8" fillId="8" borderId="20" xfId="1" applyFont="1" applyFill="1" applyBorder="1"/>
    <xf numFmtId="0" fontId="18" fillId="8" borderId="20" xfId="0" applyFont="1" applyFill="1" applyBorder="1" applyAlignment="1">
      <alignment horizontal="left"/>
    </xf>
    <xf numFmtId="15" fontId="2" fillId="8" borderId="13" xfId="0" applyNumberFormat="1" applyFont="1" applyFill="1" applyBorder="1"/>
    <xf numFmtId="44" fontId="2" fillId="8" borderId="20" xfId="1" applyFont="1" applyFill="1" applyBorder="1"/>
    <xf numFmtId="0" fontId="0" fillId="8" borderId="0" xfId="0" applyFill="1"/>
    <xf numFmtId="15" fontId="2" fillId="8" borderId="15" xfId="0" applyNumberFormat="1" applyFont="1" applyFill="1" applyBorder="1"/>
    <xf numFmtId="44" fontId="2" fillId="8" borderId="60" xfId="1" applyFont="1" applyFill="1" applyBorder="1"/>
    <xf numFmtId="165" fontId="17" fillId="8" borderId="20" xfId="1" applyNumberFormat="1" applyFont="1" applyFill="1" applyBorder="1" applyAlignment="1">
      <alignment horizontal="left"/>
    </xf>
    <xf numFmtId="0" fontId="2" fillId="8" borderId="20" xfId="0" applyFont="1" applyFill="1" applyBorder="1"/>
    <xf numFmtId="166" fontId="2" fillId="8" borderId="20" xfId="0" applyNumberFormat="1" applyFont="1" applyFill="1" applyBorder="1"/>
    <xf numFmtId="44" fontId="2" fillId="8" borderId="17" xfId="1" applyFont="1" applyFill="1" applyBorder="1"/>
    <xf numFmtId="44" fontId="2" fillId="8" borderId="18" xfId="1" applyFont="1" applyFill="1" applyBorder="1"/>
    <xf numFmtId="164" fontId="2" fillId="0" borderId="65" xfId="0" applyNumberFormat="1" applyFont="1" applyBorder="1" applyAlignment="1">
      <alignment horizontal="left"/>
    </xf>
    <xf numFmtId="165" fontId="2" fillId="0" borderId="20" xfId="0" applyNumberFormat="1" applyFont="1" applyBorder="1" applyAlignment="1">
      <alignment horizontal="left"/>
    </xf>
    <xf numFmtId="165" fontId="2" fillId="0" borderId="92" xfId="0" applyNumberFormat="1" applyFont="1" applyBorder="1" applyAlignment="1">
      <alignment horizontal="left"/>
    </xf>
    <xf numFmtId="44" fontId="2" fillId="0" borderId="92" xfId="1" applyFont="1" applyFill="1" applyBorder="1"/>
    <xf numFmtId="0" fontId="2" fillId="0" borderId="31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16" fillId="0" borderId="0" xfId="0" applyFont="1" applyAlignment="1">
      <alignment horizontal="center"/>
    </xf>
    <xf numFmtId="166" fontId="9" fillId="0" borderId="92" xfId="0" applyNumberFormat="1" applyFont="1" applyBorder="1"/>
    <xf numFmtId="44" fontId="2" fillId="0" borderId="100" xfId="1" applyFont="1" applyFill="1" applyBorder="1"/>
    <xf numFmtId="164" fontId="18" fillId="0" borderId="101" xfId="0" applyNumberFormat="1" applyFont="1" applyBorder="1" applyAlignment="1">
      <alignment horizontal="center"/>
    </xf>
    <xf numFmtId="44" fontId="9" fillId="0" borderId="102" xfId="1" applyFont="1" applyBorder="1"/>
    <xf numFmtId="164" fontId="2" fillId="8" borderId="25" xfId="0" applyNumberFormat="1" applyFont="1" applyFill="1" applyBorder="1" applyAlignment="1">
      <alignment horizontal="center"/>
    </xf>
    <xf numFmtId="44" fontId="2" fillId="0" borderId="25" xfId="1" applyFont="1" applyFill="1" applyBorder="1"/>
    <xf numFmtId="44" fontId="2" fillId="0" borderId="103" xfId="1" applyFont="1" applyFill="1" applyBorder="1"/>
    <xf numFmtId="0" fontId="2" fillId="8" borderId="38" xfId="0" applyFont="1" applyFill="1" applyBorder="1" applyAlignment="1">
      <alignment horizontal="left"/>
    </xf>
    <xf numFmtId="164" fontId="2" fillId="8" borderId="31" xfId="0" applyNumberFormat="1" applyFont="1" applyFill="1" applyBorder="1" applyAlignment="1">
      <alignment horizontal="center"/>
    </xf>
    <xf numFmtId="0" fontId="2" fillId="0" borderId="31" xfId="0" applyFont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44" fontId="2" fillId="0" borderId="104" xfId="1" applyFont="1" applyFill="1" applyBorder="1"/>
    <xf numFmtId="44" fontId="2" fillId="0" borderId="105" xfId="1" applyFont="1" applyFill="1" applyBorder="1"/>
    <xf numFmtId="164" fontId="18" fillId="0" borderId="2" xfId="0" applyNumberFormat="1" applyFont="1" applyBorder="1" applyAlignment="1">
      <alignment horizontal="center"/>
    </xf>
    <xf numFmtId="44" fontId="8" fillId="0" borderId="44" xfId="1" applyFont="1" applyFill="1" applyBorder="1"/>
    <xf numFmtId="0" fontId="37" fillId="0" borderId="2" xfId="0" applyFont="1" applyBorder="1" applyAlignment="1">
      <alignment horizontal="center"/>
    </xf>
    <xf numFmtId="44" fontId="41" fillId="0" borderId="44" xfId="1" applyFont="1" applyBorder="1"/>
    <xf numFmtId="0" fontId="2" fillId="0" borderId="2" xfId="0" applyFont="1" applyBorder="1" applyAlignment="1">
      <alignment horizontal="center"/>
    </xf>
    <xf numFmtId="44" fontId="8" fillId="0" borderId="44" xfId="1" applyFont="1" applyBorder="1"/>
    <xf numFmtId="166" fontId="2" fillId="0" borderId="2" xfId="0" applyNumberFormat="1" applyFont="1" applyBorder="1" applyAlignment="1">
      <alignment horizontal="center"/>
    </xf>
    <xf numFmtId="166" fontId="8" fillId="0" borderId="44" xfId="0" applyNumberFormat="1" applyFont="1" applyBorder="1"/>
    <xf numFmtId="44" fontId="8" fillId="0" borderId="2" xfId="1" applyFont="1" applyBorder="1" applyAlignment="1">
      <alignment horizontal="right"/>
    </xf>
    <xf numFmtId="44" fontId="9" fillId="0" borderId="0" xfId="1" applyFont="1" applyBorder="1"/>
    <xf numFmtId="165" fontId="2" fillId="3" borderId="0" xfId="1" applyNumberFormat="1" applyFont="1" applyFill="1"/>
    <xf numFmtId="0" fontId="19" fillId="0" borderId="0" xfId="0" applyFont="1" applyAlignment="1">
      <alignment horizontal="center"/>
    </xf>
    <xf numFmtId="44" fontId="19" fillId="0" borderId="0" xfId="1" applyFont="1" applyAlignment="1">
      <alignment horizontal="center"/>
    </xf>
    <xf numFmtId="44" fontId="0" fillId="0" borderId="0" xfId="1" applyFont="1" applyFill="1"/>
    <xf numFmtId="44" fontId="19" fillId="0" borderId="0" xfId="1" applyFont="1" applyFill="1" applyAlignment="1">
      <alignment horizontal="center"/>
    </xf>
    <xf numFmtId="44" fontId="12" fillId="0" borderId="9" xfId="1" applyFont="1" applyBorder="1"/>
    <xf numFmtId="44" fontId="19" fillId="0" borderId="0" xfId="1" applyFont="1" applyFill="1" applyBorder="1" applyAlignment="1">
      <alignment horizontal="center"/>
    </xf>
    <xf numFmtId="15" fontId="2" fillId="0" borderId="20" xfId="0" applyNumberFormat="1" applyFont="1" applyBorder="1"/>
    <xf numFmtId="44" fontId="2" fillId="0" borderId="75" xfId="1" applyFont="1" applyFill="1" applyBorder="1"/>
    <xf numFmtId="165" fontId="0" fillId="0" borderId="0" xfId="1" applyNumberFormat="1" applyFont="1" applyFill="1"/>
    <xf numFmtId="44" fontId="2" fillId="0" borderId="107" xfId="1" applyFont="1" applyFill="1" applyBorder="1"/>
    <xf numFmtId="44" fontId="63" fillId="0" borderId="0" xfId="1" applyFont="1" applyFill="1" applyBorder="1" applyAlignment="1">
      <alignment horizontal="center"/>
    </xf>
    <xf numFmtId="165" fontId="18" fillId="0" borderId="15" xfId="1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left"/>
    </xf>
    <xf numFmtId="44" fontId="2" fillId="12" borderId="66" xfId="1" applyFont="1" applyFill="1" applyBorder="1"/>
    <xf numFmtId="166" fontId="17" fillId="12" borderId="67" xfId="0" applyNumberFormat="1" applyFont="1" applyFill="1" applyBorder="1"/>
    <xf numFmtId="15" fontId="2" fillId="12" borderId="13" xfId="0" applyNumberFormat="1" applyFont="1" applyFill="1" applyBorder="1"/>
    <xf numFmtId="0" fontId="0" fillId="12" borderId="0" xfId="0" applyFill="1"/>
    <xf numFmtId="15" fontId="2" fillId="12" borderId="20" xfId="0" applyNumberFormat="1" applyFont="1" applyFill="1" applyBorder="1"/>
    <xf numFmtId="0" fontId="18" fillId="12" borderId="20" xfId="0" applyFont="1" applyFill="1" applyBorder="1" applyAlignment="1">
      <alignment horizontal="left"/>
    </xf>
    <xf numFmtId="44" fontId="2" fillId="12" borderId="20" xfId="1" applyFont="1" applyFill="1" applyBorder="1"/>
    <xf numFmtId="44" fontId="2" fillId="12" borderId="60" xfId="1" applyFont="1" applyFill="1" applyBorder="1"/>
    <xf numFmtId="0" fontId="19" fillId="13" borderId="20" xfId="0" applyFont="1" applyFill="1" applyBorder="1" applyAlignment="1">
      <alignment horizontal="center" wrapText="1"/>
    </xf>
    <xf numFmtId="44" fontId="2" fillId="0" borderId="20" xfId="1" applyFont="1" applyBorder="1"/>
    <xf numFmtId="165" fontId="2" fillId="3" borderId="20" xfId="0" applyNumberFormat="1" applyFont="1" applyFill="1" applyBorder="1" applyAlignment="1">
      <alignment horizontal="left"/>
    </xf>
    <xf numFmtId="166" fontId="9" fillId="3" borderId="108" xfId="0" applyNumberFormat="1" applyFont="1" applyFill="1" applyBorder="1"/>
    <xf numFmtId="166" fontId="9" fillId="3" borderId="109" xfId="0" applyNumberFormat="1" applyFont="1" applyFill="1" applyBorder="1"/>
    <xf numFmtId="15" fontId="2" fillId="0" borderId="68" xfId="0" applyNumberFormat="1" applyFont="1" applyBorder="1"/>
    <xf numFmtId="44" fontId="2" fillId="0" borderId="46" xfId="1" applyFont="1" applyFill="1" applyBorder="1"/>
    <xf numFmtId="165" fontId="17" fillId="13" borderId="20" xfId="1" applyNumberFormat="1" applyFont="1" applyFill="1" applyBorder="1" applyAlignment="1">
      <alignment horizontal="left"/>
    </xf>
    <xf numFmtId="0" fontId="2" fillId="13" borderId="0" xfId="0" applyFont="1" applyFill="1" applyAlignment="1">
      <alignment horizontal="right"/>
    </xf>
    <xf numFmtId="164" fontId="2" fillId="0" borderId="68" xfId="0" applyNumberFormat="1" applyFont="1" applyBorder="1" applyAlignment="1">
      <alignment horizontal="left"/>
    </xf>
    <xf numFmtId="44" fontId="2" fillId="25" borderId="20" xfId="1" applyFont="1" applyFill="1" applyBorder="1"/>
    <xf numFmtId="0" fontId="8" fillId="25" borderId="20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44" fontId="2" fillId="25" borderId="31" xfId="1" applyFont="1" applyFill="1" applyBorder="1"/>
    <xf numFmtId="0" fontId="8" fillId="25" borderId="3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8" fillId="3" borderId="0" xfId="0" applyFont="1" applyFill="1" applyAlignment="1">
      <alignment horizontal="center" vertical="center"/>
    </xf>
    <xf numFmtId="0" fontId="19" fillId="0" borderId="0" xfId="0" applyFont="1" applyAlignment="1">
      <alignment horizontal="left"/>
    </xf>
    <xf numFmtId="44" fontId="2" fillId="0" borderId="27" xfId="1" applyFont="1" applyBorder="1"/>
    <xf numFmtId="44" fontId="63" fillId="0" borderId="0" xfId="1" applyFont="1" applyFill="1" applyAlignment="1">
      <alignment horizontal="center"/>
    </xf>
    <xf numFmtId="167" fontId="63" fillId="0" borderId="0" xfId="1" applyNumberFormat="1" applyFont="1" applyFill="1" applyBorder="1" applyAlignment="1">
      <alignment horizontal="center" vertical="center" wrapText="1"/>
    </xf>
    <xf numFmtId="44" fontId="8" fillId="0" borderId="88" xfId="1" applyFont="1" applyBorder="1"/>
    <xf numFmtId="44" fontId="0" fillId="0" borderId="0" xfId="1" applyFont="1" applyBorder="1"/>
    <xf numFmtId="44" fontId="66" fillId="0" borderId="49" xfId="1" applyFont="1" applyFill="1" applyBorder="1"/>
    <xf numFmtId="164" fontId="32" fillId="0" borderId="38" xfId="0" applyNumberFormat="1" applyFont="1" applyBorder="1" applyAlignment="1">
      <alignment horizontal="center"/>
    </xf>
    <xf numFmtId="1" fontId="33" fillId="0" borderId="38" xfId="0" applyNumberFormat="1" applyFont="1" applyBorder="1" applyAlignment="1">
      <alignment horizontal="center"/>
    </xf>
    <xf numFmtId="44" fontId="65" fillId="3" borderId="49" xfId="1" applyFont="1" applyFill="1" applyBorder="1"/>
    <xf numFmtId="44" fontId="52" fillId="0" borderId="49" xfId="1" applyFont="1" applyBorder="1"/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1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7" fontId="5" fillId="3" borderId="2" xfId="1" applyNumberFormat="1" applyFont="1" applyFill="1" applyBorder="1" applyAlignment="1">
      <alignment horizontal="center" vertical="center" wrapText="1"/>
    </xf>
    <xf numFmtId="167" fontId="5" fillId="3" borderId="44" xfId="1" applyNumberFormat="1" applyFont="1" applyFill="1" applyBorder="1" applyAlignment="1">
      <alignment horizontal="center" vertical="center" wrapText="1"/>
    </xf>
    <xf numFmtId="166" fontId="9" fillId="0" borderId="21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 vertical="center" wrapText="1"/>
    </xf>
    <xf numFmtId="166" fontId="9" fillId="0" borderId="45" xfId="0" applyNumberFormat="1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19" fillId="0" borderId="0" xfId="0" applyFont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vertical="center" wrapText="1"/>
    </xf>
    <xf numFmtId="44" fontId="9" fillId="0" borderId="21" xfId="1" applyFont="1" applyBorder="1" applyAlignment="1">
      <alignment horizontal="center" vertical="center" wrapText="1"/>
    </xf>
    <xf numFmtId="44" fontId="9" fillId="0" borderId="45" xfId="1" applyFont="1" applyBorder="1" applyAlignment="1">
      <alignment horizontal="center" vertical="center" wrapText="1"/>
    </xf>
    <xf numFmtId="44" fontId="5" fillId="0" borderId="45" xfId="1" applyFont="1" applyBorder="1" applyAlignment="1">
      <alignment horizontal="center"/>
    </xf>
    <xf numFmtId="44" fontId="5" fillId="0" borderId="46" xfId="1" applyFont="1" applyBorder="1" applyAlignment="1">
      <alignment horizontal="center"/>
    </xf>
    <xf numFmtId="44" fontId="12" fillId="0" borderId="21" xfId="1" applyFont="1" applyBorder="1" applyAlignment="1">
      <alignment horizontal="center"/>
    </xf>
    <xf numFmtId="44" fontId="12" fillId="0" borderId="46" xfId="1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46" xfId="0" applyFont="1" applyBorder="1" applyAlignment="1">
      <alignment horizontal="center"/>
    </xf>
    <xf numFmtId="44" fontId="5" fillId="8" borderId="7" xfId="1" applyFont="1" applyFill="1" applyBorder="1" applyAlignment="1">
      <alignment horizontal="center"/>
    </xf>
    <xf numFmtId="44" fontId="5" fillId="8" borderId="48" xfId="1" applyFont="1" applyFill="1" applyBorder="1" applyAlignment="1">
      <alignment horizontal="center"/>
    </xf>
    <xf numFmtId="166" fontId="5" fillId="8" borderId="48" xfId="1" applyNumberFormat="1" applyFont="1" applyFill="1" applyBorder="1" applyAlignment="1">
      <alignment horizontal="center"/>
    </xf>
    <xf numFmtId="166" fontId="5" fillId="8" borderId="8" xfId="1" applyNumberFormat="1" applyFont="1" applyFill="1" applyBorder="1" applyAlignment="1">
      <alignment horizontal="center"/>
    </xf>
    <xf numFmtId="0" fontId="36" fillId="10" borderId="0" xfId="0" applyFont="1" applyFill="1" applyAlignment="1">
      <alignment horizontal="center" vertical="center" wrapText="1"/>
    </xf>
    <xf numFmtId="0" fontId="36" fillId="10" borderId="37" xfId="0" applyFont="1" applyFill="1" applyBorder="1" applyAlignment="1">
      <alignment horizontal="center" vertical="center" wrapText="1"/>
    </xf>
    <xf numFmtId="0" fontId="43" fillId="10" borderId="47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/>
    </xf>
    <xf numFmtId="0" fontId="19" fillId="0" borderId="45" xfId="0" applyFont="1" applyBorder="1" applyAlignment="1">
      <alignment horizontal="center"/>
    </xf>
    <xf numFmtId="1" fontId="47" fillId="2" borderId="31" xfId="0" applyNumberFormat="1" applyFont="1" applyFill="1" applyBorder="1" applyAlignment="1">
      <alignment horizontal="center" wrapText="1"/>
    </xf>
    <xf numFmtId="1" fontId="47" fillId="2" borderId="25" xfId="0" applyNumberFormat="1" applyFont="1" applyFill="1" applyBorder="1" applyAlignment="1">
      <alignment horizontal="center" wrapText="1"/>
    </xf>
    <xf numFmtId="0" fontId="49" fillId="17" borderId="31" xfId="0" applyFont="1" applyFill="1" applyBorder="1" applyAlignment="1">
      <alignment horizontal="center" wrapText="1"/>
    </xf>
    <xf numFmtId="0" fontId="49" fillId="17" borderId="25" xfId="0" applyFont="1" applyFill="1" applyBorder="1" applyAlignment="1">
      <alignment horizontal="center" wrapText="1"/>
    </xf>
    <xf numFmtId="0" fontId="50" fillId="0" borderId="2" xfId="0" applyFont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50" fillId="0" borderId="44" xfId="0" applyFont="1" applyBorder="1" applyAlignment="1">
      <alignment horizontal="center"/>
    </xf>
    <xf numFmtId="44" fontId="5" fillId="18" borderId="7" xfId="1" applyFont="1" applyFill="1" applyBorder="1" applyAlignment="1">
      <alignment horizontal="center"/>
    </xf>
    <xf numFmtId="44" fontId="5" fillId="18" borderId="48" xfId="1" applyFont="1" applyFill="1" applyBorder="1" applyAlignment="1">
      <alignment horizontal="center"/>
    </xf>
    <xf numFmtId="166" fontId="5" fillId="18" borderId="48" xfId="1" applyNumberFormat="1" applyFont="1" applyFill="1" applyBorder="1" applyAlignment="1">
      <alignment horizontal="center"/>
    </xf>
    <xf numFmtId="166" fontId="5" fillId="18" borderId="8" xfId="1" applyNumberFormat="1" applyFont="1" applyFill="1" applyBorder="1" applyAlignment="1">
      <alignment horizontal="center"/>
    </xf>
    <xf numFmtId="0" fontId="27" fillId="3" borderId="45" xfId="0" applyFont="1" applyFill="1" applyBorder="1" applyAlignment="1">
      <alignment horizontal="center"/>
    </xf>
    <xf numFmtId="0" fontId="27" fillId="3" borderId="46" xfId="0" applyFont="1" applyFill="1" applyBorder="1" applyAlignment="1">
      <alignment horizontal="center"/>
    </xf>
    <xf numFmtId="44" fontId="5" fillId="12" borderId="7" xfId="1" applyFont="1" applyFill="1" applyBorder="1" applyAlignment="1">
      <alignment horizontal="center"/>
    </xf>
    <xf numFmtId="44" fontId="5" fillId="12" borderId="48" xfId="1" applyFont="1" applyFill="1" applyBorder="1" applyAlignment="1">
      <alignment horizontal="center"/>
    </xf>
    <xf numFmtId="166" fontId="5" fillId="12" borderId="48" xfId="1" applyNumberFormat="1" applyFont="1" applyFill="1" applyBorder="1" applyAlignment="1">
      <alignment horizontal="center"/>
    </xf>
    <xf numFmtId="166" fontId="5" fillId="12" borderId="8" xfId="1" applyNumberFormat="1" applyFont="1" applyFill="1" applyBorder="1" applyAlignment="1">
      <alignment horizontal="center"/>
    </xf>
    <xf numFmtId="166" fontId="60" fillId="20" borderId="0" xfId="0" applyNumberFormat="1" applyFont="1" applyFill="1" applyAlignment="1">
      <alignment horizontal="center"/>
    </xf>
    <xf numFmtId="0" fontId="5" fillId="20" borderId="2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5" fillId="20" borderId="44" xfId="0" applyFont="1" applyFill="1" applyBorder="1" applyAlignment="1">
      <alignment horizontal="center"/>
    </xf>
    <xf numFmtId="0" fontId="55" fillId="20" borderId="56" xfId="0" applyFont="1" applyFill="1" applyBorder="1" applyAlignment="1">
      <alignment horizontal="center"/>
    </xf>
    <xf numFmtId="0" fontId="19" fillId="0" borderId="31" xfId="0" applyFont="1" applyBorder="1" applyAlignment="1">
      <alignment horizontal="center" wrapText="1"/>
    </xf>
    <xf numFmtId="0" fontId="19" fillId="0" borderId="91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8" fillId="0" borderId="94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44" fontId="8" fillId="0" borderId="90" xfId="0" applyNumberFormat="1" applyFont="1" applyBorder="1" applyAlignment="1">
      <alignment horizontal="center" vertical="center"/>
    </xf>
    <xf numFmtId="44" fontId="8" fillId="0" borderId="92" xfId="0" applyNumberFormat="1" applyFont="1" applyBorder="1" applyAlignment="1">
      <alignment horizontal="center" vertical="center"/>
    </xf>
    <xf numFmtId="166" fontId="31" fillId="24" borderId="2" xfId="0" applyNumberFormat="1" applyFont="1" applyFill="1" applyBorder="1" applyAlignment="1">
      <alignment horizontal="center"/>
    </xf>
    <xf numFmtId="166" fontId="31" fillId="24" borderId="3" xfId="0" applyNumberFormat="1" applyFont="1" applyFill="1" applyBorder="1" applyAlignment="1">
      <alignment horizontal="center"/>
    </xf>
    <xf numFmtId="166" fontId="31" fillId="24" borderId="44" xfId="0" applyNumberFormat="1" applyFont="1" applyFill="1" applyBorder="1" applyAlignment="1">
      <alignment horizontal="center"/>
    </xf>
    <xf numFmtId="44" fontId="5" fillId="4" borderId="7" xfId="1" applyFont="1" applyFill="1" applyBorder="1" applyAlignment="1">
      <alignment horizontal="center"/>
    </xf>
    <xf numFmtId="44" fontId="5" fillId="4" borderId="48" xfId="1" applyFont="1" applyFill="1" applyBorder="1" applyAlignment="1">
      <alignment horizontal="center"/>
    </xf>
    <xf numFmtId="166" fontId="5" fillId="4" borderId="48" xfId="1" applyNumberFormat="1" applyFont="1" applyFill="1" applyBorder="1" applyAlignment="1">
      <alignment horizontal="center"/>
    </xf>
    <xf numFmtId="166" fontId="5" fillId="4" borderId="8" xfId="1" applyNumberFormat="1" applyFont="1" applyFill="1" applyBorder="1" applyAlignment="1">
      <alignment horizontal="center"/>
    </xf>
    <xf numFmtId="44" fontId="5" fillId="3" borderId="7" xfId="1" applyFont="1" applyFill="1" applyBorder="1" applyAlignment="1">
      <alignment horizontal="center"/>
    </xf>
    <xf numFmtId="44" fontId="5" fillId="3" borderId="48" xfId="1" applyFont="1" applyFill="1" applyBorder="1" applyAlignment="1">
      <alignment horizontal="center"/>
    </xf>
    <xf numFmtId="166" fontId="5" fillId="3" borderId="48" xfId="1" applyNumberFormat="1" applyFont="1" applyFill="1" applyBorder="1" applyAlignment="1">
      <alignment horizontal="center"/>
    </xf>
    <xf numFmtId="166" fontId="5" fillId="3" borderId="8" xfId="1" applyNumberFormat="1" applyFont="1" applyFill="1" applyBorder="1" applyAlignment="1">
      <alignment horizontal="center"/>
    </xf>
    <xf numFmtId="0" fontId="12" fillId="0" borderId="10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CC"/>
      <color rgb="FFFF00FF"/>
      <color rgb="FFB2B2B2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72C7E14-C0A2-41C3-9A96-B55EBFD55F04}"/>
            </a:ext>
          </a:extLst>
        </xdr:cNvPr>
        <xdr:cNvCxnSpPr/>
      </xdr:nvCxnSpPr>
      <xdr:spPr>
        <a:xfrm>
          <a:off x="5124450" y="93916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357A2-A49D-4145-89FF-4A1BB529872D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D00CC464-1115-4C32-A264-342FC1C0BAAF}"/>
            </a:ext>
          </a:extLst>
        </xdr:cNvPr>
        <xdr:cNvCxnSpPr/>
      </xdr:nvCxnSpPr>
      <xdr:spPr>
        <a:xfrm>
          <a:off x="5019675" y="92868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C761269-EA55-4C84-BB8A-4999CC6B05CF}"/>
            </a:ext>
          </a:extLst>
        </xdr:cNvPr>
        <xdr:cNvCxnSpPr/>
      </xdr:nvCxnSpPr>
      <xdr:spPr>
        <a:xfrm rot="10800000" flipV="1">
          <a:off x="5105400" y="98297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DC391EE-7077-46E0-849D-3136E2CF5B5B}"/>
            </a:ext>
          </a:extLst>
        </xdr:cNvPr>
        <xdr:cNvCxnSpPr/>
      </xdr:nvCxnSpPr>
      <xdr:spPr>
        <a:xfrm>
          <a:off x="2181225" y="9267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2D4CB823-E48E-41FB-926D-E30627A86784}"/>
            </a:ext>
          </a:extLst>
        </xdr:cNvPr>
        <xdr:cNvSpPr/>
      </xdr:nvSpPr>
      <xdr:spPr>
        <a:xfrm rot="5400000">
          <a:off x="10829923" y="90106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A699FC8-1A5D-4770-AC9A-A0B30E92EEF2}"/>
            </a:ext>
          </a:extLst>
        </xdr:cNvPr>
        <xdr:cNvCxnSpPr/>
      </xdr:nvCxnSpPr>
      <xdr:spPr>
        <a:xfrm flipV="1">
          <a:off x="5029200" y="10125075"/>
          <a:ext cx="1009650" cy="12858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BBA4161-7DB4-4DE9-9027-D8F62B5A530F}"/>
            </a:ext>
          </a:extLst>
        </xdr:cNvPr>
        <xdr:cNvSpPr/>
      </xdr:nvSpPr>
      <xdr:spPr>
        <a:xfrm rot="16200000">
          <a:off x="7705726" y="837247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D6D82E3E-73CC-46E3-BCB8-53ADFD749568}"/>
            </a:ext>
          </a:extLst>
        </xdr:cNvPr>
        <xdr:cNvSpPr/>
      </xdr:nvSpPr>
      <xdr:spPr>
        <a:xfrm rot="18916712">
          <a:off x="9553429" y="10660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894FCEB-8F36-4920-93E0-8216D3BC851E}"/>
            </a:ext>
          </a:extLst>
        </xdr:cNvPr>
        <xdr:cNvCxnSpPr/>
      </xdr:nvCxnSpPr>
      <xdr:spPr>
        <a:xfrm>
          <a:off x="5124450" y="10934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AB74E3F-986D-4324-8BCF-238407225506}"/>
            </a:ext>
          </a:extLst>
        </xdr:cNvPr>
        <xdr:cNvCxnSpPr/>
      </xdr:nvCxnSpPr>
      <xdr:spPr>
        <a:xfrm rot="10800000" flipV="1">
          <a:off x="5105400" y="11334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2171A4C-1875-4659-A13B-C36223460508}"/>
            </a:ext>
          </a:extLst>
        </xdr:cNvPr>
        <xdr:cNvCxnSpPr/>
      </xdr:nvCxnSpPr>
      <xdr:spPr>
        <a:xfrm>
          <a:off x="5019675" y="10829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9C1C0F0-07E5-4F06-A750-7C5CA438E878}"/>
            </a:ext>
          </a:extLst>
        </xdr:cNvPr>
        <xdr:cNvCxnSpPr/>
      </xdr:nvCxnSpPr>
      <xdr:spPr>
        <a:xfrm rot="10800000" flipV="1">
          <a:off x="5105400" y="11334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9334826-812F-42F0-A3DC-DA8A448DBC03}"/>
            </a:ext>
          </a:extLst>
        </xdr:cNvPr>
        <xdr:cNvCxnSpPr/>
      </xdr:nvCxnSpPr>
      <xdr:spPr>
        <a:xfrm>
          <a:off x="2181225" y="10810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F8D46B8C-2580-4AC1-A9F3-2188375EEE3B}"/>
            </a:ext>
          </a:extLst>
        </xdr:cNvPr>
        <xdr:cNvSpPr/>
      </xdr:nvSpPr>
      <xdr:spPr>
        <a:xfrm rot="5400000">
          <a:off x="10944223" y="107727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420826D-105D-4849-BA59-F10A90E3C3E3}"/>
            </a:ext>
          </a:extLst>
        </xdr:cNvPr>
        <xdr:cNvSpPr/>
      </xdr:nvSpPr>
      <xdr:spPr>
        <a:xfrm rot="16200000">
          <a:off x="7772401" y="98488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AEB178A-C833-4297-AE9F-ABF5E10F6F0C}"/>
            </a:ext>
          </a:extLst>
        </xdr:cNvPr>
        <xdr:cNvSpPr/>
      </xdr:nvSpPr>
      <xdr:spPr>
        <a:xfrm rot="18916712">
          <a:off x="9686779" y="120224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F2221DA-CF47-498A-9E10-1D3A7D695001}"/>
            </a:ext>
          </a:extLst>
        </xdr:cNvPr>
        <xdr:cNvCxnSpPr/>
      </xdr:nvCxnSpPr>
      <xdr:spPr>
        <a:xfrm flipV="1">
          <a:off x="5029200" y="1166812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B7A74A45-8218-40FB-BACB-EF1430C3243C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7E7F5B97-A91D-41FB-BB12-07ED4563C6BF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121</xdr:row>
      <xdr:rowOff>152402</xdr:rowOff>
    </xdr:from>
    <xdr:to>
      <xdr:col>5</xdr:col>
      <xdr:colOff>180974</xdr:colOff>
      <xdr:row>123</xdr:row>
      <xdr:rowOff>133349</xdr:rowOff>
    </xdr:to>
    <xdr:cxnSp macro="">
      <xdr:nvCxnSpPr>
        <xdr:cNvPr id="10" name="1 Conector recto de flecha">
          <a:extLst>
            <a:ext uri="{FF2B5EF4-FFF2-40B4-BE49-F238E27FC236}">
              <a16:creationId xmlns:a16="http://schemas.microsoft.com/office/drawing/2014/main" id="{C8F6390B-C4BF-4BEA-A64C-5AF54CC02B01}"/>
            </a:ext>
          </a:extLst>
        </xdr:cNvPr>
        <xdr:cNvCxnSpPr/>
      </xdr:nvCxnSpPr>
      <xdr:spPr>
        <a:xfrm rot="16200000" flipH="1">
          <a:off x="4219577" y="25450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121</xdr:row>
      <xdr:rowOff>123829</xdr:rowOff>
    </xdr:from>
    <xdr:to>
      <xdr:col>6</xdr:col>
      <xdr:colOff>171450</xdr:colOff>
      <xdr:row>123</xdr:row>
      <xdr:rowOff>161927</xdr:rowOff>
    </xdr:to>
    <xdr:cxnSp macro="">
      <xdr:nvCxnSpPr>
        <xdr:cNvPr id="11" name="2 Conector recto de flecha">
          <a:extLst>
            <a:ext uri="{FF2B5EF4-FFF2-40B4-BE49-F238E27FC236}">
              <a16:creationId xmlns:a16="http://schemas.microsoft.com/office/drawing/2014/main" id="{24CEF87D-3883-4AB2-8D21-33823CDCB926}"/>
            </a:ext>
          </a:extLst>
        </xdr:cNvPr>
        <xdr:cNvCxnSpPr/>
      </xdr:nvCxnSpPr>
      <xdr:spPr>
        <a:xfrm rot="5400000">
          <a:off x="5057777" y="2544127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AF92C204-5CEA-48E4-89D2-20D49502A674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1FBC45B5-F3D3-44CB-A1A9-E2037BBE3BA1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56</xdr:row>
      <xdr:rowOff>19050</xdr:rowOff>
    </xdr:from>
    <xdr:to>
      <xdr:col>6</xdr:col>
      <xdr:colOff>295275</xdr:colOff>
      <xdr:row>56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9B03A0E-E7EE-4816-8263-30E50E4C03C6}"/>
            </a:ext>
          </a:extLst>
        </xdr:cNvPr>
        <xdr:cNvCxnSpPr/>
      </xdr:nvCxnSpPr>
      <xdr:spPr>
        <a:xfrm>
          <a:off x="5124450" y="107442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0362CA7-CBA0-4BA3-AFCC-E4EBD9310699}"/>
            </a:ext>
          </a:extLst>
        </xdr:cNvPr>
        <xdr:cNvCxnSpPr/>
      </xdr:nvCxnSpPr>
      <xdr:spPr>
        <a:xfrm rot="10800000" flipV="1">
          <a:off x="5105400" y="11144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55</xdr:row>
      <xdr:rowOff>47625</xdr:rowOff>
    </xdr:from>
    <xdr:to>
      <xdr:col>7</xdr:col>
      <xdr:colOff>0</xdr:colOff>
      <xdr:row>56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7D4DC29-C79A-419E-ADE8-5B8739B41B7B}"/>
            </a:ext>
          </a:extLst>
        </xdr:cNvPr>
        <xdr:cNvCxnSpPr/>
      </xdr:nvCxnSpPr>
      <xdr:spPr>
        <a:xfrm>
          <a:off x="5010150" y="10563225"/>
          <a:ext cx="24765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365EA6E-6EBA-443B-9876-3603E9A6E0BE}"/>
            </a:ext>
          </a:extLst>
        </xdr:cNvPr>
        <xdr:cNvCxnSpPr/>
      </xdr:nvCxnSpPr>
      <xdr:spPr>
        <a:xfrm rot="10800000" flipV="1">
          <a:off x="5105400" y="11144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55</xdr:row>
      <xdr:rowOff>152400</xdr:rowOff>
    </xdr:from>
    <xdr:to>
      <xdr:col>5</xdr:col>
      <xdr:colOff>85725</xdr:colOff>
      <xdr:row>57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09610E7-17CC-40E3-80F6-3D0A47B208D6}"/>
            </a:ext>
          </a:extLst>
        </xdr:cNvPr>
        <xdr:cNvCxnSpPr/>
      </xdr:nvCxnSpPr>
      <xdr:spPr>
        <a:xfrm>
          <a:off x="2076450" y="10668000"/>
          <a:ext cx="1885950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56</xdr:row>
      <xdr:rowOff>47626</xdr:rowOff>
    </xdr:from>
    <xdr:to>
      <xdr:col>13</xdr:col>
      <xdr:colOff>180974</xdr:colOff>
      <xdr:row>56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2F22045-F2D8-4102-9ECC-0B972D232DDB}"/>
            </a:ext>
          </a:extLst>
        </xdr:cNvPr>
        <xdr:cNvSpPr/>
      </xdr:nvSpPr>
      <xdr:spPr>
        <a:xfrm rot="5400000">
          <a:off x="10944223" y="105822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55</xdr:row>
      <xdr:rowOff>180974</xdr:rowOff>
    </xdr:from>
    <xdr:to>
      <xdr:col>11</xdr:col>
      <xdr:colOff>133352</xdr:colOff>
      <xdr:row>56</xdr:row>
      <xdr:rowOff>190498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0E40632-64F5-45A6-8CA6-D27307612334}"/>
            </a:ext>
          </a:extLst>
        </xdr:cNvPr>
        <xdr:cNvSpPr/>
      </xdr:nvSpPr>
      <xdr:spPr>
        <a:xfrm rot="16200000">
          <a:off x="7762877" y="9648822"/>
          <a:ext cx="219074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E03EF14-B287-4017-B38A-D54E81EAEC30}"/>
            </a:ext>
          </a:extLst>
        </xdr:cNvPr>
        <xdr:cNvSpPr/>
      </xdr:nvSpPr>
      <xdr:spPr>
        <a:xfrm rot="18916712">
          <a:off x="96867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4E2AF4F-C4F8-4E05-950D-364908385691}"/>
            </a:ext>
          </a:extLst>
        </xdr:cNvPr>
        <xdr:cNvCxnSpPr/>
      </xdr:nvCxnSpPr>
      <xdr:spPr>
        <a:xfrm flipV="1">
          <a:off x="5029200" y="1147762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74</xdr:row>
      <xdr:rowOff>152402</xdr:rowOff>
    </xdr:from>
    <xdr:to>
      <xdr:col>5</xdr:col>
      <xdr:colOff>180974</xdr:colOff>
      <xdr:row>76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13B486-ACC7-4FAE-8C4E-07E3F86E9528}"/>
            </a:ext>
          </a:extLst>
        </xdr:cNvPr>
        <xdr:cNvCxnSpPr/>
      </xdr:nvCxnSpPr>
      <xdr:spPr>
        <a:xfrm rot="16200000" flipH="1">
          <a:off x="4219577" y="160591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74</xdr:row>
      <xdr:rowOff>123829</xdr:rowOff>
    </xdr:from>
    <xdr:to>
      <xdr:col>6</xdr:col>
      <xdr:colOff>171450</xdr:colOff>
      <xdr:row>76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9619A4C-A2F7-497A-AB12-949CB1A08BD2}"/>
            </a:ext>
          </a:extLst>
        </xdr:cNvPr>
        <xdr:cNvCxnSpPr/>
      </xdr:nvCxnSpPr>
      <xdr:spPr>
        <a:xfrm rot="5400000">
          <a:off x="5057777" y="16049629"/>
          <a:ext cx="609598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952499</xdr:colOff>
      <xdr:row>64</xdr:row>
      <xdr:rowOff>19051</xdr:rowOff>
    </xdr:from>
    <xdr:to>
      <xdr:col>22</xdr:col>
      <xdr:colOff>561974</xdr:colOff>
      <xdr:row>66</xdr:row>
      <xdr:rowOff>66678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D125033A-9E8B-4CAA-9C48-40F3785F758F}"/>
            </a:ext>
          </a:extLst>
        </xdr:cNvPr>
        <xdr:cNvSpPr/>
      </xdr:nvSpPr>
      <xdr:spPr>
        <a:xfrm rot="5400000">
          <a:off x="18083210" y="13215940"/>
          <a:ext cx="447677" cy="16573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21</xdr:col>
      <xdr:colOff>590550</xdr:colOff>
      <xdr:row>64</xdr:row>
      <xdr:rowOff>47625</xdr:rowOff>
    </xdr:from>
    <xdr:to>
      <xdr:col>23</xdr:col>
      <xdr:colOff>438150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6C39DC0-44BB-4E06-8E7D-D4357A1C444B}"/>
            </a:ext>
          </a:extLst>
        </xdr:cNvPr>
        <xdr:cNvCxnSpPr/>
      </xdr:nvCxnSpPr>
      <xdr:spPr>
        <a:xfrm flipH="1">
          <a:off x="18345150" y="13849350"/>
          <a:ext cx="1847850" cy="933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51A6EAB7-22D6-49F7-A6A0-41173D45BD8F}"/>
            </a:ext>
          </a:extLst>
        </xdr:cNvPr>
        <xdr:cNvSpPr/>
      </xdr:nvSpPr>
      <xdr:spPr>
        <a:xfrm rot="5400000">
          <a:off x="11312840" y="1222724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554EB57-5C0D-4928-93C8-7DC0A3E6BAC3}"/>
            </a:ext>
          </a:extLst>
        </xdr:cNvPr>
        <xdr:cNvSpPr/>
      </xdr:nvSpPr>
      <xdr:spPr>
        <a:xfrm rot="18916712">
          <a:off x="9964909" y="1364739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8363B96A-5357-4ABA-9816-C8D321019214}"/>
            </a:ext>
          </a:extLst>
        </xdr:cNvPr>
        <xdr:cNvCxnSpPr/>
      </xdr:nvCxnSpPr>
      <xdr:spPr>
        <a:xfrm rot="10800000" flipV="1">
          <a:off x="5265420" y="1281112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67277087-1F83-4D57-9A46-4893FAF329BC}"/>
            </a:ext>
          </a:extLst>
        </xdr:cNvPr>
        <xdr:cNvCxnSpPr/>
      </xdr:nvCxnSpPr>
      <xdr:spPr>
        <a:xfrm>
          <a:off x="5143500" y="1228534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2DF7054-1DAB-45D3-A49D-92DD7C85B9AD}"/>
            </a:ext>
          </a:extLst>
        </xdr:cNvPr>
        <xdr:cNvCxnSpPr/>
      </xdr:nvCxnSpPr>
      <xdr:spPr>
        <a:xfrm rot="10800000" flipV="1">
          <a:off x="5265420" y="1281112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77F54F5-048B-4500-9778-A0865B55FC42}"/>
            </a:ext>
          </a:extLst>
        </xdr:cNvPr>
        <xdr:cNvCxnSpPr/>
      </xdr:nvCxnSpPr>
      <xdr:spPr>
        <a:xfrm>
          <a:off x="2242185" y="1226629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27EB88D7-5F57-41BB-9A57-7A05CB57CE4E}"/>
            </a:ext>
          </a:extLst>
        </xdr:cNvPr>
        <xdr:cNvSpPr/>
      </xdr:nvSpPr>
      <xdr:spPr>
        <a:xfrm rot="16200000">
          <a:off x="8012431" y="1126235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813289</xdr:colOff>
      <xdr:row>66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850BB2D-3526-49DA-A495-948BB11469D7}"/>
            </a:ext>
          </a:extLst>
        </xdr:cNvPr>
        <xdr:cNvSpPr/>
      </xdr:nvSpPr>
      <xdr:spPr>
        <a:xfrm rot="18916712">
          <a:off x="9987769" y="1341117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4BC9BE49-B832-40D3-88F6-81407A4954CF}"/>
            </a:ext>
          </a:extLst>
        </xdr:cNvPr>
        <xdr:cNvCxnSpPr/>
      </xdr:nvCxnSpPr>
      <xdr:spPr>
        <a:xfrm flipV="1">
          <a:off x="5153025" y="13154025"/>
          <a:ext cx="967740" cy="76581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DB2D28D6-9571-45E6-B3A1-C8C552567589}"/>
            </a:ext>
          </a:extLst>
        </xdr:cNvPr>
        <xdr:cNvCxnSpPr/>
      </xdr:nvCxnSpPr>
      <xdr:spPr>
        <a:xfrm>
          <a:off x="5124450" y="8639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105D404-A2DF-4110-9D15-B9B6C7196EB3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8B7AAEB8-3DFD-4271-8F55-891A821358DD}"/>
            </a:ext>
          </a:extLst>
        </xdr:cNvPr>
        <xdr:cNvCxnSpPr/>
      </xdr:nvCxnSpPr>
      <xdr:spPr>
        <a:xfrm>
          <a:off x="5019675" y="8534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DF7B5E0-F500-4E37-BE42-7BDD6A47BDF6}"/>
            </a:ext>
          </a:extLst>
        </xdr:cNvPr>
        <xdr:cNvCxnSpPr/>
      </xdr:nvCxnSpPr>
      <xdr:spPr>
        <a:xfrm rot="10800000" flipV="1">
          <a:off x="5105400" y="90773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608CCDB-B9A0-4DB7-8F89-8A57639BE88E}"/>
            </a:ext>
          </a:extLst>
        </xdr:cNvPr>
        <xdr:cNvCxnSpPr/>
      </xdr:nvCxnSpPr>
      <xdr:spPr>
        <a:xfrm>
          <a:off x="2181225" y="85153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687E0BE4-A7BC-4037-86A7-2EE16A9EA5FC}"/>
            </a:ext>
          </a:extLst>
        </xdr:cNvPr>
        <xdr:cNvSpPr/>
      </xdr:nvSpPr>
      <xdr:spPr>
        <a:xfrm rot="5400000">
          <a:off x="10829923" y="8258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EE77911-BE8E-4091-92C6-5011D445CC8D}"/>
            </a:ext>
          </a:extLst>
        </xdr:cNvPr>
        <xdr:cNvCxnSpPr/>
      </xdr:nvCxnSpPr>
      <xdr:spPr>
        <a:xfrm flipV="1">
          <a:off x="5029200" y="937260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1BD7792-EFF0-4D86-BBD7-6ADE69483692}"/>
            </a:ext>
          </a:extLst>
        </xdr:cNvPr>
        <xdr:cNvSpPr/>
      </xdr:nvSpPr>
      <xdr:spPr>
        <a:xfrm rot="16200000">
          <a:off x="7705726" y="7619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0D576D8-E57D-464F-95C1-E7EB95FFEE48}"/>
            </a:ext>
          </a:extLst>
        </xdr:cNvPr>
        <xdr:cNvSpPr/>
      </xdr:nvSpPr>
      <xdr:spPr>
        <a:xfrm rot="18916712">
          <a:off x="9553429" y="9717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E4669B-ECC3-45B1-8DA5-53A4E541CFD3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8F4135E-160C-4E8C-A3EF-0801B3E77A48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718A1DCC-BAD6-4EE9-A189-20BD52E82E0C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470317-1AA6-4D48-A190-546E71CA9C7E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E0282D2-AC9E-4D85-8CD1-CBDA4653BC7F}"/>
            </a:ext>
          </a:extLst>
        </xdr:cNvPr>
        <xdr:cNvCxnSpPr/>
      </xdr:nvCxnSpPr>
      <xdr:spPr>
        <a:xfrm>
          <a:off x="2181225" y="81438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3D63E84-B190-4D95-AB3B-3AB85442567E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D19F76C-E222-496D-B3DF-8DBC90BE091B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F64DC2F-2265-43C9-AE41-C80AFC5024DA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FFBAFC8-E840-4247-8B6E-36A43593C631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B8580F0-3286-45AD-AA93-22063C1ED6E2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3C3DB8B-8683-4007-A49B-DF464F374E53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1B854E5-9583-4A7F-AB83-5035E31983BB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52388F7-43EC-4AFD-8A80-C5AE1708147F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20D0D82-8D37-4F50-957C-1901110DFF46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6B025EC-5485-497C-BAD7-EFEC9D7C26C8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2B00E20-FABB-4B07-8A47-6C8872768E6D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483224A-2320-4809-A3AB-917C583170FC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EA6E546-698D-4E7B-9E4B-1BA0F241F82D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43</xdr:row>
      <xdr:rowOff>19050</xdr:rowOff>
    </xdr:from>
    <xdr:to>
      <xdr:col>6</xdr:col>
      <xdr:colOff>295275</xdr:colOff>
      <xdr:row>43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C03EC7C-084D-4914-AAA1-90FFFC894950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D53337A-5B6A-4555-9EFC-E988C7C443E4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42</xdr:row>
      <xdr:rowOff>123825</xdr:rowOff>
    </xdr:from>
    <xdr:to>
      <xdr:col>7</xdr:col>
      <xdr:colOff>0</xdr:colOff>
      <xdr:row>43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335F143B-5E94-4055-9E0C-72307A202B07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44</xdr:row>
      <xdr:rowOff>200024</xdr:rowOff>
    </xdr:from>
    <xdr:to>
      <xdr:col>6</xdr:col>
      <xdr:colOff>285750</xdr:colOff>
      <xdr:row>45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DEA8A64-BDE5-41AD-BA11-B60DD5270AB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42</xdr:row>
      <xdr:rowOff>104775</xdr:rowOff>
    </xdr:from>
    <xdr:to>
      <xdr:col>5</xdr:col>
      <xdr:colOff>85725</xdr:colOff>
      <xdr:row>44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95492EE-9052-489E-B993-A9CAB32102B0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42</xdr:row>
      <xdr:rowOff>38101</xdr:rowOff>
    </xdr:from>
    <xdr:to>
      <xdr:col>13</xdr:col>
      <xdr:colOff>200024</xdr:colOff>
      <xdr:row>42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86324EC9-FE23-4ECA-A917-98FC3C1C162D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46</xdr:row>
      <xdr:rowOff>95250</xdr:rowOff>
    </xdr:from>
    <xdr:to>
      <xdr:col>8</xdr:col>
      <xdr:colOff>19050</xdr:colOff>
      <xdr:row>51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7346F1-B569-4210-9E52-FC5E4C690EE4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42</xdr:row>
      <xdr:rowOff>200023</xdr:rowOff>
    </xdr:from>
    <xdr:to>
      <xdr:col>11</xdr:col>
      <xdr:colOff>133352</xdr:colOff>
      <xdr:row>43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AC903B42-2DE3-4D7E-ADEB-F3D8F131A3D1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48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19A73A6A-C2AA-4415-B3D6-D25D6DAFD1DE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EB273F2-AB5F-4532-BAF3-C7127054A5FD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1D183E6-E548-4230-B1B9-5506249140A5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BC26B7A-0B2B-4398-A6E2-9F32CFD29B84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C47959EE-F018-4EA4-817D-97AB11BD53CD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65A51EA-0596-418A-B862-F78E4050A937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CBFEE34-2BE9-4746-B8BF-3E01466B861B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D9B6E8BD-27DD-47E9-99CF-98388D747E4F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1EF4BA7-C109-4EE4-B10B-D32466E3950E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42794B8-7DCD-4C02-902B-7379C06174CC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6031B4C-D476-48C2-8528-08F7C4AED3F9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682A2F8-FED5-4201-AECF-CE33AE6305A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9F509F11-A34F-44CA-9D6D-89A8617F29B0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62ECF95-E2E0-480A-AD11-A80BC964B18A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7E194D-D17C-451F-A7AC-FFDA98D42543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7FFAFD6-65E7-4A5B-B2D9-F34DAF4EFC1E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0560558-B690-420B-8341-55711952CA65}"/>
            </a:ext>
          </a:extLst>
        </xdr:cNvPr>
        <xdr:cNvCxnSpPr/>
      </xdr:nvCxnSpPr>
      <xdr:spPr>
        <a:xfrm flipV="1">
          <a:off x="5029200" y="9039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CCE6C964-92F6-4E31-9078-531262AE3ABF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45E32EF2-BC36-4C94-BBD5-1DCA535E537A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9F60AB08-6592-4128-9278-300A193215C1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CF68218-882A-46A5-ACF7-E71A0B76E65E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461D016-119D-45C3-A352-93BF4031A247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0C15906-0491-45F9-803E-5CC21C9A80A4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A0B98E0-30EA-4092-8ED1-4DF676268ED5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C7707474-0299-47E6-9BC5-8C9ED1E71F76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FAC6FC4-B03E-4284-8504-1D626B16C988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3A40EDB-B852-4CDD-BABA-4999737C6877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C1C52CC-C070-47EE-81A4-F46576561078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52</xdr:row>
      <xdr:rowOff>19050</xdr:rowOff>
    </xdr:from>
    <xdr:to>
      <xdr:col>6</xdr:col>
      <xdr:colOff>295275</xdr:colOff>
      <xdr:row>52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9E9992B-817E-4226-AB5B-39B55C66A6EB}"/>
            </a:ext>
          </a:extLst>
        </xdr:cNvPr>
        <xdr:cNvCxnSpPr/>
      </xdr:nvCxnSpPr>
      <xdr:spPr>
        <a:xfrm>
          <a:off x="5124450" y="109918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53</xdr:row>
      <xdr:rowOff>200024</xdr:rowOff>
    </xdr:from>
    <xdr:to>
      <xdr:col>6</xdr:col>
      <xdr:colOff>285750</xdr:colOff>
      <xdr:row>54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A671594-2966-41CF-AF5A-84AFCD206269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51</xdr:row>
      <xdr:rowOff>123825</xdr:rowOff>
    </xdr:from>
    <xdr:to>
      <xdr:col>7</xdr:col>
      <xdr:colOff>0</xdr:colOff>
      <xdr:row>52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A5EFF6D9-582C-417F-976B-8B25307376D7}"/>
            </a:ext>
          </a:extLst>
        </xdr:cNvPr>
        <xdr:cNvCxnSpPr/>
      </xdr:nvCxnSpPr>
      <xdr:spPr>
        <a:xfrm>
          <a:off x="5019675" y="108870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53</xdr:row>
      <xdr:rowOff>200024</xdr:rowOff>
    </xdr:from>
    <xdr:to>
      <xdr:col>6</xdr:col>
      <xdr:colOff>285750</xdr:colOff>
      <xdr:row>54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5B205E8-B9E5-4C50-B8DD-90D8188D9230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51</xdr:row>
      <xdr:rowOff>104775</xdr:rowOff>
    </xdr:from>
    <xdr:to>
      <xdr:col>5</xdr:col>
      <xdr:colOff>85725</xdr:colOff>
      <xdr:row>53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B35E90-4A2A-4962-BBA3-50B125F3CAE6}"/>
            </a:ext>
          </a:extLst>
        </xdr:cNvPr>
        <xdr:cNvCxnSpPr/>
      </xdr:nvCxnSpPr>
      <xdr:spPr>
        <a:xfrm>
          <a:off x="2181225" y="108680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52</xdr:row>
      <xdr:rowOff>47626</xdr:rowOff>
    </xdr:from>
    <xdr:to>
      <xdr:col>13</xdr:col>
      <xdr:colOff>180974</xdr:colOff>
      <xdr:row>52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E7AC65D6-250D-4AF1-8FAF-1D712DA20247}"/>
            </a:ext>
          </a:extLst>
        </xdr:cNvPr>
        <xdr:cNvSpPr/>
      </xdr:nvSpPr>
      <xdr:spPr>
        <a:xfrm rot="5400000">
          <a:off x="10944223" y="108299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51</xdr:row>
      <xdr:rowOff>200023</xdr:rowOff>
    </xdr:from>
    <xdr:to>
      <xdr:col>11</xdr:col>
      <xdr:colOff>133352</xdr:colOff>
      <xdr:row>52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C04FF5E7-AE9C-414E-89FB-B95ED086B73D}"/>
            </a:ext>
          </a:extLst>
        </xdr:cNvPr>
        <xdr:cNvSpPr/>
      </xdr:nvSpPr>
      <xdr:spPr>
        <a:xfrm rot="16200000">
          <a:off x="7772401" y="99059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1F2FCABA-05FC-4789-8438-606579AD52F9}"/>
            </a:ext>
          </a:extLst>
        </xdr:cNvPr>
        <xdr:cNvSpPr/>
      </xdr:nvSpPr>
      <xdr:spPr>
        <a:xfrm rot="18916712">
          <a:off x="9686779" y="120795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55</xdr:row>
      <xdr:rowOff>85725</xdr:rowOff>
    </xdr:from>
    <xdr:to>
      <xdr:col>7</xdr:col>
      <xdr:colOff>695325</xdr:colOff>
      <xdr:row>59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DB76324C-0A07-48FC-AF9D-245740CF8B3A}"/>
            </a:ext>
          </a:extLst>
        </xdr:cNvPr>
        <xdr:cNvCxnSpPr/>
      </xdr:nvCxnSpPr>
      <xdr:spPr>
        <a:xfrm flipV="1">
          <a:off x="5029200" y="117252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1118-16B8-42C8-A4CC-3BFD0616CB3F}">
  <sheetPr>
    <tabColor rgb="FF00B050"/>
  </sheetPr>
  <dimension ref="A1:O83"/>
  <sheetViews>
    <sheetView workbookViewId="0">
      <selection activeCell="E21" sqref="E21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2.109375" style="13" customWidth="1"/>
    <col min="10" max="10" width="11.6640625" style="13" customWidth="1"/>
    <col min="11" max="11" width="17.33203125" customWidth="1"/>
    <col min="12" max="12" width="14.5546875" customWidth="1"/>
    <col min="13" max="13" width="18.109375" style="13" customWidth="1"/>
    <col min="14" max="14" width="14.44140625" style="4" customWidth="1"/>
    <col min="15" max="15" width="32.44140625" style="4" customWidth="1"/>
  </cols>
  <sheetData>
    <row r="1" spans="1:15" ht="23.4" x14ac:dyDescent="0.45">
      <c r="C1" s="592" t="s">
        <v>69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8" x14ac:dyDescent="0.35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  <c r="O2" s="56"/>
    </row>
    <row r="3" spans="1:15" ht="18.600000000000001" thickBot="1" x14ac:dyDescent="0.4">
      <c r="B3" s="593" t="s">
        <v>2</v>
      </c>
      <c r="C3" s="594"/>
      <c r="D3" s="12"/>
      <c r="I3" s="14" t="s">
        <v>3</v>
      </c>
      <c r="J3" s="9"/>
      <c r="K3" s="15" t="s">
        <v>4</v>
      </c>
      <c r="L3" s="15"/>
    </row>
    <row r="4" spans="1:15" ht="19.2" thickTop="1" thickBot="1" x14ac:dyDescent="0.4">
      <c r="A4" s="16" t="s">
        <v>5</v>
      </c>
      <c r="B4" s="17"/>
      <c r="C4" s="18">
        <v>273391.58</v>
      </c>
      <c r="D4" s="19">
        <v>43837</v>
      </c>
      <c r="E4" s="595" t="s">
        <v>6</v>
      </c>
      <c r="F4" s="596"/>
      <c r="H4" s="597" t="s">
        <v>7</v>
      </c>
      <c r="I4" s="598"/>
      <c r="J4" s="20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">
        <v>43838</v>
      </c>
      <c r="C5" s="25">
        <v>2390</v>
      </c>
      <c r="D5" s="26" t="s">
        <v>70</v>
      </c>
      <c r="E5" s="27">
        <v>43838</v>
      </c>
      <c r="F5" s="28">
        <v>60353</v>
      </c>
      <c r="H5" s="29">
        <v>43838</v>
      </c>
      <c r="I5" s="30">
        <v>0</v>
      </c>
      <c r="M5" s="31">
        <v>62504</v>
      </c>
      <c r="N5" s="32">
        <v>790</v>
      </c>
      <c r="O5" s="91"/>
    </row>
    <row r="6" spans="1:15" ht="15" thickBot="1" x14ac:dyDescent="0.35">
      <c r="A6" s="23"/>
      <c r="B6" s="24">
        <v>43839</v>
      </c>
      <c r="C6" s="25">
        <v>18916</v>
      </c>
      <c r="D6" s="33" t="s">
        <v>71</v>
      </c>
      <c r="E6" s="27">
        <v>43839</v>
      </c>
      <c r="F6" s="28">
        <v>76615</v>
      </c>
      <c r="H6" s="29">
        <v>43839</v>
      </c>
      <c r="I6" s="34">
        <v>1005</v>
      </c>
      <c r="J6" s="35"/>
      <c r="K6" s="36"/>
      <c r="L6" s="37"/>
      <c r="M6" s="31">
        <f>50363+5634.3</f>
        <v>55997.3</v>
      </c>
      <c r="N6" s="32">
        <v>697</v>
      </c>
      <c r="O6" s="91" t="s">
        <v>10</v>
      </c>
    </row>
    <row r="7" spans="1:15" ht="16.2" thickBot="1" x14ac:dyDescent="0.35">
      <c r="A7" s="23"/>
      <c r="B7" s="24">
        <v>43840</v>
      </c>
      <c r="C7" s="25">
        <v>2600</v>
      </c>
      <c r="D7" s="38" t="s">
        <v>72</v>
      </c>
      <c r="E7" s="27">
        <v>43840</v>
      </c>
      <c r="F7" s="28">
        <v>130274</v>
      </c>
      <c r="H7" s="29">
        <v>43840</v>
      </c>
      <c r="I7" s="34">
        <v>12096</v>
      </c>
      <c r="J7" s="39"/>
      <c r="K7" s="40" t="s">
        <v>13</v>
      </c>
      <c r="L7" s="41">
        <v>0</v>
      </c>
      <c r="M7" s="31">
        <f>114354+10504</f>
        <v>124858</v>
      </c>
      <c r="N7" s="32">
        <v>1224</v>
      </c>
      <c r="O7" s="91"/>
    </row>
    <row r="8" spans="1:15" ht="16.2" thickBot="1" x14ac:dyDescent="0.35">
      <c r="A8" s="23"/>
      <c r="B8" s="24">
        <v>43841</v>
      </c>
      <c r="C8" s="25">
        <v>1022</v>
      </c>
      <c r="D8" s="42" t="s">
        <v>73</v>
      </c>
      <c r="E8" s="27">
        <v>43841</v>
      </c>
      <c r="F8" s="28">
        <v>148006</v>
      </c>
      <c r="H8" s="29">
        <v>43841</v>
      </c>
      <c r="I8" s="34">
        <v>483.8</v>
      </c>
      <c r="J8" s="43">
        <v>43834</v>
      </c>
      <c r="K8" s="44" t="s">
        <v>15</v>
      </c>
      <c r="L8" s="45">
        <v>21637</v>
      </c>
      <c r="M8" s="31">
        <f>113000+21521</f>
        <v>134521</v>
      </c>
      <c r="N8" s="32">
        <v>5341</v>
      </c>
      <c r="O8" s="91"/>
    </row>
    <row r="9" spans="1:15" ht="16.2" thickBot="1" x14ac:dyDescent="0.35">
      <c r="A9" s="23"/>
      <c r="B9" s="24">
        <v>43842</v>
      </c>
      <c r="C9" s="25">
        <v>3138</v>
      </c>
      <c r="D9" s="46" t="s">
        <v>30</v>
      </c>
      <c r="E9" s="27">
        <v>43842</v>
      </c>
      <c r="F9" s="28">
        <v>121720</v>
      </c>
      <c r="H9" s="29">
        <v>43842</v>
      </c>
      <c r="I9" s="34">
        <v>0</v>
      </c>
      <c r="J9" s="47">
        <v>43861</v>
      </c>
      <c r="K9" s="48" t="s">
        <v>17</v>
      </c>
      <c r="L9" s="49">
        <v>20000</v>
      </c>
      <c r="M9" s="31">
        <v>113363</v>
      </c>
      <c r="N9" s="32">
        <v>5219</v>
      </c>
      <c r="O9" s="91"/>
    </row>
    <row r="10" spans="1:15" ht="16.2" thickBot="1" x14ac:dyDescent="0.35">
      <c r="A10" s="23"/>
      <c r="B10" s="24">
        <v>43843</v>
      </c>
      <c r="C10" s="25">
        <v>17388</v>
      </c>
      <c r="D10" s="33" t="s">
        <v>74</v>
      </c>
      <c r="E10" s="27">
        <v>43843</v>
      </c>
      <c r="F10" s="28">
        <v>122133</v>
      </c>
      <c r="H10" s="29">
        <v>43843</v>
      </c>
      <c r="I10" s="34">
        <v>0</v>
      </c>
      <c r="J10" s="50"/>
      <c r="K10" s="51"/>
      <c r="L10" s="52"/>
      <c r="M10" s="31">
        <f>70271+33504+2784.18</f>
        <v>106559.18</v>
      </c>
      <c r="N10" s="32">
        <v>970</v>
      </c>
      <c r="O10" s="91"/>
    </row>
    <row r="11" spans="1:15" ht="15" thickBot="1" x14ac:dyDescent="0.35">
      <c r="A11" s="23"/>
      <c r="B11" s="24">
        <v>43844</v>
      </c>
      <c r="C11" s="25">
        <v>2143</v>
      </c>
      <c r="D11" s="33" t="s">
        <v>75</v>
      </c>
      <c r="E11" s="27">
        <v>43844</v>
      </c>
      <c r="F11" s="28">
        <v>59180</v>
      </c>
      <c r="H11" s="29">
        <v>43844</v>
      </c>
      <c r="I11" s="34">
        <v>17</v>
      </c>
      <c r="J11" s="53"/>
      <c r="K11" s="54"/>
      <c r="L11" s="52"/>
      <c r="M11" s="31">
        <f>54960+210</f>
        <v>55170</v>
      </c>
      <c r="N11" s="32">
        <v>1850</v>
      </c>
      <c r="O11" s="91"/>
    </row>
    <row r="12" spans="1:15" ht="15" thickBot="1" x14ac:dyDescent="0.35">
      <c r="A12" s="23"/>
      <c r="B12" s="24">
        <v>43845</v>
      </c>
      <c r="C12" s="25">
        <v>852</v>
      </c>
      <c r="D12" s="33" t="s">
        <v>19</v>
      </c>
      <c r="E12" s="27">
        <v>43845</v>
      </c>
      <c r="F12" s="28">
        <v>83150</v>
      </c>
      <c r="H12" s="29">
        <v>43845</v>
      </c>
      <c r="I12" s="34">
        <v>0</v>
      </c>
      <c r="J12" s="55">
        <v>43841</v>
      </c>
      <c r="K12" s="48" t="s">
        <v>76</v>
      </c>
      <c r="L12" s="52">
        <f>13708.52+4000</f>
        <v>17708.52</v>
      </c>
      <c r="M12" s="31">
        <f>72439+5205.9</f>
        <v>77644.899999999994</v>
      </c>
      <c r="N12" s="32">
        <v>4653</v>
      </c>
      <c r="O12" s="91"/>
    </row>
    <row r="13" spans="1:15" ht="15" thickBot="1" x14ac:dyDescent="0.35">
      <c r="A13" s="23"/>
      <c r="B13" s="24">
        <v>43846</v>
      </c>
      <c r="C13" s="25">
        <v>15857.72</v>
      </c>
      <c r="D13" s="42" t="s">
        <v>71</v>
      </c>
      <c r="E13" s="27">
        <v>43846</v>
      </c>
      <c r="F13" s="28">
        <v>117604</v>
      </c>
      <c r="H13" s="29">
        <v>43846</v>
      </c>
      <c r="I13" s="34">
        <v>250</v>
      </c>
      <c r="J13" s="55">
        <v>43848</v>
      </c>
      <c r="K13" s="48" t="s">
        <v>77</v>
      </c>
      <c r="L13" s="52">
        <f>12600.87+4000+454</f>
        <v>17054.870000000003</v>
      </c>
      <c r="M13" s="31">
        <f>33402+65630</f>
        <v>99032</v>
      </c>
      <c r="N13" s="32">
        <v>2464</v>
      </c>
      <c r="O13" s="91"/>
    </row>
    <row r="14" spans="1:15" ht="15" thickBot="1" x14ac:dyDescent="0.35">
      <c r="A14" s="23"/>
      <c r="B14" s="24">
        <v>43847</v>
      </c>
      <c r="C14" s="25">
        <v>1562</v>
      </c>
      <c r="D14" s="38" t="s">
        <v>18</v>
      </c>
      <c r="E14" s="27">
        <v>43847</v>
      </c>
      <c r="F14" s="28">
        <v>159779</v>
      </c>
      <c r="H14" s="29">
        <v>43847</v>
      </c>
      <c r="I14" s="34">
        <v>12058</v>
      </c>
      <c r="J14" s="55">
        <v>43849</v>
      </c>
      <c r="K14" s="48" t="s">
        <v>78</v>
      </c>
      <c r="L14" s="52">
        <v>400</v>
      </c>
      <c r="M14" s="31">
        <f>120000+20672+2105</f>
        <v>142777</v>
      </c>
      <c r="N14" s="32">
        <v>4112</v>
      </c>
      <c r="O14" s="91"/>
    </row>
    <row r="15" spans="1:15" ht="15" thickBot="1" x14ac:dyDescent="0.35">
      <c r="A15" s="23"/>
      <c r="B15" s="24">
        <v>43848</v>
      </c>
      <c r="C15" s="25">
        <v>20611</v>
      </c>
      <c r="D15" s="33" t="s">
        <v>79</v>
      </c>
      <c r="E15" s="27">
        <v>43848</v>
      </c>
      <c r="F15" s="28">
        <v>157439</v>
      </c>
      <c r="H15" s="29">
        <v>43848</v>
      </c>
      <c r="I15" s="34">
        <v>150</v>
      </c>
      <c r="J15" s="55">
        <v>43855</v>
      </c>
      <c r="K15" s="48" t="s">
        <v>78</v>
      </c>
      <c r="L15" s="52">
        <f>400+14144.7+4000</f>
        <v>18544.7</v>
      </c>
      <c r="M15" s="31">
        <v>124928</v>
      </c>
      <c r="N15" s="32">
        <v>5315</v>
      </c>
      <c r="O15" s="91"/>
    </row>
    <row r="16" spans="1:15" ht="15" thickBot="1" x14ac:dyDescent="0.35">
      <c r="A16" s="23"/>
      <c r="B16" s="24">
        <v>43849</v>
      </c>
      <c r="C16" s="25">
        <v>4674</v>
      </c>
      <c r="D16" s="33" t="s">
        <v>80</v>
      </c>
      <c r="E16" s="27">
        <v>43849</v>
      </c>
      <c r="F16" s="28">
        <v>89220</v>
      </c>
      <c r="H16" s="29">
        <v>43849</v>
      </c>
      <c r="I16" s="34">
        <v>229</v>
      </c>
      <c r="J16" s="55">
        <v>43862</v>
      </c>
      <c r="K16" s="48" t="s">
        <v>81</v>
      </c>
      <c r="L16" s="56">
        <f>400+14230.41+4000</f>
        <v>18630.41</v>
      </c>
      <c r="M16" s="31">
        <f>72650+6650.5+75</f>
        <v>79375.5</v>
      </c>
      <c r="N16" s="32">
        <v>4544</v>
      </c>
      <c r="O16" s="91"/>
    </row>
    <row r="17" spans="1:15" ht="15" thickBot="1" x14ac:dyDescent="0.35">
      <c r="A17" s="23"/>
      <c r="B17" s="24">
        <v>43850</v>
      </c>
      <c r="C17" s="25">
        <v>689</v>
      </c>
      <c r="D17" s="42" t="s">
        <v>19</v>
      </c>
      <c r="E17" s="27">
        <v>43850</v>
      </c>
      <c r="F17" s="28">
        <v>90073</v>
      </c>
      <c r="H17" s="29">
        <v>43850</v>
      </c>
      <c r="I17" s="34">
        <v>0</v>
      </c>
      <c r="J17" s="57"/>
      <c r="K17" s="48" t="s">
        <v>21</v>
      </c>
      <c r="L17" s="58"/>
      <c r="M17" s="31">
        <v>89063</v>
      </c>
      <c r="N17" s="32">
        <v>321</v>
      </c>
      <c r="O17" s="91"/>
    </row>
    <row r="18" spans="1:15" ht="15" thickBot="1" x14ac:dyDescent="0.35">
      <c r="A18" s="23"/>
      <c r="B18" s="24">
        <v>43851</v>
      </c>
      <c r="C18" s="25">
        <v>1137</v>
      </c>
      <c r="D18" s="33" t="s">
        <v>72</v>
      </c>
      <c r="E18" s="27">
        <v>43851</v>
      </c>
      <c r="F18" s="28">
        <v>85811</v>
      </c>
      <c r="H18" s="29">
        <v>43851</v>
      </c>
      <c r="I18" s="34">
        <v>0</v>
      </c>
      <c r="J18" s="57"/>
      <c r="K18" s="59"/>
      <c r="L18" s="52"/>
      <c r="M18" s="31">
        <f>75693+8002.5+200</f>
        <v>83895.5</v>
      </c>
      <c r="N18" s="32">
        <v>778</v>
      </c>
      <c r="O18" s="91"/>
    </row>
    <row r="19" spans="1:15" ht="15" thickBot="1" x14ac:dyDescent="0.35">
      <c r="A19" s="23"/>
      <c r="B19" s="24">
        <v>43852</v>
      </c>
      <c r="C19" s="25">
        <v>848</v>
      </c>
      <c r="D19" s="33" t="s">
        <v>82</v>
      </c>
      <c r="E19" s="27">
        <v>43852</v>
      </c>
      <c r="F19" s="28">
        <v>59210</v>
      </c>
      <c r="H19" s="29">
        <v>43852</v>
      </c>
      <c r="I19" s="34">
        <v>0</v>
      </c>
      <c r="J19" s="57"/>
      <c r="K19" s="60"/>
      <c r="L19" s="61"/>
      <c r="M19" s="31">
        <v>54134</v>
      </c>
      <c r="N19" s="32">
        <v>4228</v>
      </c>
      <c r="O19" s="91" t="s">
        <v>10</v>
      </c>
    </row>
    <row r="20" spans="1:15" ht="15" thickBot="1" x14ac:dyDescent="0.35">
      <c r="A20" s="23"/>
      <c r="B20" s="24">
        <v>43853</v>
      </c>
      <c r="C20" s="25">
        <v>3277</v>
      </c>
      <c r="D20" s="33" t="s">
        <v>83</v>
      </c>
      <c r="E20" s="27">
        <v>43853</v>
      </c>
      <c r="F20" s="28">
        <v>104143</v>
      </c>
      <c r="H20" s="29">
        <v>43853</v>
      </c>
      <c r="I20" s="34">
        <v>190</v>
      </c>
      <c r="J20" s="57">
        <v>43847</v>
      </c>
      <c r="K20" s="166" t="s">
        <v>84</v>
      </c>
      <c r="L20" s="167">
        <v>1374.88</v>
      </c>
      <c r="M20" s="31">
        <v>99234</v>
      </c>
      <c r="N20" s="32">
        <v>1442</v>
      </c>
      <c r="O20" s="91"/>
    </row>
    <row r="21" spans="1:15" ht="16.2" thickBot="1" x14ac:dyDescent="0.35">
      <c r="A21" s="23"/>
      <c r="B21" s="24">
        <v>43854</v>
      </c>
      <c r="C21" s="25">
        <v>1513</v>
      </c>
      <c r="D21" s="33" t="s">
        <v>19</v>
      </c>
      <c r="E21" s="27">
        <v>43854</v>
      </c>
      <c r="F21" s="28">
        <v>103378</v>
      </c>
      <c r="H21" s="29">
        <v>43854</v>
      </c>
      <c r="I21" s="34">
        <v>12058</v>
      </c>
      <c r="J21" s="57"/>
      <c r="K21" s="63" t="s">
        <v>85</v>
      </c>
      <c r="L21" s="58">
        <v>4042</v>
      </c>
      <c r="M21" s="31">
        <f>81812+650</f>
        <v>82462</v>
      </c>
      <c r="N21" s="32">
        <v>3303</v>
      </c>
      <c r="O21" s="91"/>
    </row>
    <row r="22" spans="1:15" ht="15" thickBot="1" x14ac:dyDescent="0.35">
      <c r="A22" s="23"/>
      <c r="B22" s="24">
        <v>43855</v>
      </c>
      <c r="C22" s="25">
        <v>1203</v>
      </c>
      <c r="D22" s="33" t="s">
        <v>19</v>
      </c>
      <c r="E22" s="27">
        <v>43855</v>
      </c>
      <c r="F22" s="28">
        <v>144095</v>
      </c>
      <c r="H22" s="29">
        <v>43855</v>
      </c>
      <c r="I22" s="34">
        <v>345</v>
      </c>
      <c r="J22" s="64"/>
      <c r="K22" s="65"/>
      <c r="L22" s="66"/>
      <c r="M22" s="31">
        <f>111000+18968</f>
        <v>129968</v>
      </c>
      <c r="N22" s="32">
        <v>4250</v>
      </c>
      <c r="O22" s="91"/>
    </row>
    <row r="23" spans="1:15" ht="15" thickBot="1" x14ac:dyDescent="0.35">
      <c r="A23" s="23"/>
      <c r="B23" s="24">
        <v>43856</v>
      </c>
      <c r="C23" s="25">
        <v>7336</v>
      </c>
      <c r="D23" s="33" t="s">
        <v>86</v>
      </c>
      <c r="E23" s="27">
        <v>43856</v>
      </c>
      <c r="F23" s="28">
        <v>82376</v>
      </c>
      <c r="H23" s="29">
        <v>43856</v>
      </c>
      <c r="I23" s="34">
        <v>0</v>
      </c>
      <c r="J23" s="67"/>
      <c r="K23" s="68"/>
      <c r="L23" s="58"/>
      <c r="M23" s="31">
        <v>72580</v>
      </c>
      <c r="N23" s="32">
        <v>2460</v>
      </c>
      <c r="O23" s="91"/>
    </row>
    <row r="24" spans="1:15" ht="15" thickBot="1" x14ac:dyDescent="0.35">
      <c r="A24" s="23"/>
      <c r="B24" s="24">
        <v>43857</v>
      </c>
      <c r="C24" s="25">
        <v>312</v>
      </c>
      <c r="D24" s="33" t="s">
        <v>19</v>
      </c>
      <c r="E24" s="27">
        <v>43857</v>
      </c>
      <c r="F24" s="28">
        <v>76937</v>
      </c>
      <c r="H24" s="29">
        <v>43857</v>
      </c>
      <c r="I24" s="34">
        <v>0</v>
      </c>
      <c r="J24" s="69"/>
      <c r="K24" s="70"/>
      <c r="L24" s="71"/>
      <c r="M24" s="31">
        <v>76125</v>
      </c>
      <c r="N24" s="32">
        <v>500</v>
      </c>
      <c r="O24" s="91"/>
    </row>
    <row r="25" spans="1:15" ht="15" thickBot="1" x14ac:dyDescent="0.35">
      <c r="A25" s="23"/>
      <c r="B25" s="24">
        <v>43858</v>
      </c>
      <c r="C25" s="25">
        <v>1475</v>
      </c>
      <c r="D25" s="33" t="s">
        <v>87</v>
      </c>
      <c r="E25" s="27">
        <v>43858</v>
      </c>
      <c r="F25" s="28">
        <v>75250</v>
      </c>
      <c r="H25" s="29">
        <v>43858</v>
      </c>
      <c r="I25" s="34">
        <v>0</v>
      </c>
      <c r="J25" s="72"/>
      <c r="K25" s="73"/>
      <c r="L25" s="74"/>
      <c r="M25" s="31">
        <v>72530</v>
      </c>
      <c r="N25" s="32">
        <v>1245</v>
      </c>
      <c r="O25" s="91" t="s">
        <v>10</v>
      </c>
    </row>
    <row r="26" spans="1:15" ht="15" thickBot="1" x14ac:dyDescent="0.35">
      <c r="A26" s="23"/>
      <c r="B26" s="24">
        <v>43859</v>
      </c>
      <c r="C26" s="25">
        <v>1577</v>
      </c>
      <c r="D26" s="33" t="s">
        <v>12</v>
      </c>
      <c r="E26" s="27">
        <v>43859</v>
      </c>
      <c r="F26" s="28">
        <v>69335</v>
      </c>
      <c r="H26" s="29">
        <v>43859</v>
      </c>
      <c r="I26" s="34">
        <v>0</v>
      </c>
      <c r="J26" s="57"/>
      <c r="K26" s="75"/>
      <c r="L26" s="52"/>
      <c r="M26" s="31">
        <f>59200+7065.6</f>
        <v>66265.600000000006</v>
      </c>
      <c r="N26" s="32">
        <v>1494</v>
      </c>
      <c r="O26" s="91"/>
    </row>
    <row r="27" spans="1:15" ht="15" thickBot="1" x14ac:dyDescent="0.35">
      <c r="A27" s="23"/>
      <c r="B27" s="24">
        <v>43860</v>
      </c>
      <c r="C27" s="25">
        <v>3793.5</v>
      </c>
      <c r="D27" s="33" t="s">
        <v>88</v>
      </c>
      <c r="E27" s="27">
        <v>43860</v>
      </c>
      <c r="F27" s="28">
        <v>64007</v>
      </c>
      <c r="H27" s="29">
        <v>43860</v>
      </c>
      <c r="I27" s="34">
        <v>2000</v>
      </c>
      <c r="J27" s="76"/>
      <c r="K27" s="77"/>
      <c r="L27" s="74"/>
      <c r="M27" s="31">
        <v>52578</v>
      </c>
      <c r="N27" s="32">
        <v>5635</v>
      </c>
      <c r="O27" s="91"/>
    </row>
    <row r="28" spans="1:15" ht="15" thickBot="1" x14ac:dyDescent="0.35">
      <c r="A28" s="23"/>
      <c r="B28" s="24">
        <v>43861</v>
      </c>
      <c r="C28" s="25">
        <v>2354</v>
      </c>
      <c r="D28" s="33" t="s">
        <v>30</v>
      </c>
      <c r="E28" s="27">
        <v>43861</v>
      </c>
      <c r="F28" s="28">
        <v>124945</v>
      </c>
      <c r="H28" s="29">
        <v>43861</v>
      </c>
      <c r="I28" s="34">
        <v>10096</v>
      </c>
      <c r="J28" s="76"/>
      <c r="K28" s="78"/>
      <c r="L28" s="74"/>
      <c r="M28" s="31">
        <v>88114</v>
      </c>
      <c r="N28" s="32">
        <v>4381</v>
      </c>
      <c r="O28" s="91"/>
    </row>
    <row r="29" spans="1:15" ht="15" thickBot="1" x14ac:dyDescent="0.35">
      <c r="A29" s="23"/>
      <c r="B29" s="24">
        <v>43862</v>
      </c>
      <c r="C29" s="25">
        <v>2318</v>
      </c>
      <c r="D29" s="33" t="s">
        <v>12</v>
      </c>
      <c r="E29" s="27">
        <v>43862</v>
      </c>
      <c r="F29" s="28">
        <v>129574</v>
      </c>
      <c r="H29" s="29">
        <v>43862</v>
      </c>
      <c r="I29" s="34">
        <v>0</v>
      </c>
      <c r="J29" s="76"/>
      <c r="K29" s="73"/>
      <c r="L29" s="74"/>
      <c r="M29" s="31">
        <f>109270+4378+90</f>
        <v>113738</v>
      </c>
      <c r="N29" s="32">
        <v>5104</v>
      </c>
      <c r="O29" s="91"/>
    </row>
    <row r="30" spans="1:15" ht="16.2" thickBot="1" x14ac:dyDescent="0.35">
      <c r="A30" s="23"/>
      <c r="B30" s="24">
        <v>43863</v>
      </c>
      <c r="C30" s="25">
        <v>0</v>
      </c>
      <c r="D30" s="33"/>
      <c r="E30" s="27">
        <v>43863</v>
      </c>
      <c r="F30" s="28">
        <v>103824</v>
      </c>
      <c r="H30" s="29">
        <v>43863</v>
      </c>
      <c r="I30" s="79">
        <v>250</v>
      </c>
      <c r="J30" s="80"/>
      <c r="K30" s="168"/>
      <c r="L30" s="82"/>
      <c r="M30" s="31">
        <v>98355</v>
      </c>
      <c r="N30" s="32">
        <v>5219</v>
      </c>
      <c r="O30" s="91"/>
    </row>
    <row r="31" spans="1:15" ht="16.2" thickBot="1" x14ac:dyDescent="0.35">
      <c r="A31" s="23"/>
      <c r="B31" s="24">
        <v>43864</v>
      </c>
      <c r="C31" s="83">
        <v>5858</v>
      </c>
      <c r="D31" s="33" t="s">
        <v>89</v>
      </c>
      <c r="E31" s="27">
        <v>43864</v>
      </c>
      <c r="F31" s="28">
        <v>75502</v>
      </c>
      <c r="H31" s="29">
        <v>43864</v>
      </c>
      <c r="I31" s="84">
        <v>0</v>
      </c>
      <c r="J31" s="80"/>
      <c r="K31" s="168"/>
      <c r="L31" s="82"/>
      <c r="M31" s="31">
        <v>66714</v>
      </c>
      <c r="N31" s="32">
        <v>2930</v>
      </c>
      <c r="O31" s="91"/>
    </row>
    <row r="32" spans="1:15" ht="16.2" thickBot="1" x14ac:dyDescent="0.35">
      <c r="A32" s="23"/>
      <c r="B32" s="24">
        <v>43865</v>
      </c>
      <c r="C32" s="83">
        <v>1406</v>
      </c>
      <c r="D32" s="33" t="s">
        <v>90</v>
      </c>
      <c r="E32" s="27">
        <v>43865</v>
      </c>
      <c r="F32" s="28">
        <v>62785</v>
      </c>
      <c r="H32" s="29">
        <v>43865</v>
      </c>
      <c r="I32" s="84">
        <v>60</v>
      </c>
      <c r="J32" s="80"/>
      <c r="K32" s="168"/>
      <c r="L32" s="82"/>
      <c r="M32" s="31">
        <v>60121</v>
      </c>
      <c r="N32" s="32">
        <v>1198</v>
      </c>
      <c r="O32" s="91"/>
    </row>
    <row r="33" spans="1:15" ht="16.2" thickBot="1" x14ac:dyDescent="0.35">
      <c r="A33" s="23"/>
      <c r="B33" s="24">
        <v>43866</v>
      </c>
      <c r="C33" s="83">
        <v>1811</v>
      </c>
      <c r="D33" s="33" t="s">
        <v>91</v>
      </c>
      <c r="E33" s="27">
        <v>43866</v>
      </c>
      <c r="F33" s="28">
        <v>52515</v>
      </c>
      <c r="H33" s="29">
        <v>43866</v>
      </c>
      <c r="I33" s="84">
        <v>0</v>
      </c>
      <c r="J33" s="80"/>
      <c r="K33" s="168"/>
      <c r="L33" s="82"/>
      <c r="M33" s="31">
        <v>50204</v>
      </c>
      <c r="N33" s="32">
        <v>500</v>
      </c>
      <c r="O33" s="91"/>
    </row>
    <row r="34" spans="1:15" ht="16.2" thickBot="1" x14ac:dyDescent="0.35">
      <c r="A34" s="23"/>
      <c r="B34" s="24">
        <v>43867</v>
      </c>
      <c r="C34" s="83">
        <v>918</v>
      </c>
      <c r="D34" s="33" t="s">
        <v>19</v>
      </c>
      <c r="E34" s="27">
        <v>43867</v>
      </c>
      <c r="F34" s="28">
        <v>79823</v>
      </c>
      <c r="H34" s="29">
        <v>43867</v>
      </c>
      <c r="I34" s="84">
        <v>600</v>
      </c>
      <c r="J34" s="80"/>
      <c r="K34" s="168"/>
      <c r="L34" s="82"/>
      <c r="M34" s="31">
        <v>76876</v>
      </c>
      <c r="N34" s="32">
        <v>1429</v>
      </c>
      <c r="O34" s="91"/>
    </row>
    <row r="35" spans="1:15" ht="16.2" thickBot="1" x14ac:dyDescent="0.35">
      <c r="A35" s="23"/>
      <c r="B35" s="169"/>
      <c r="C35" s="170"/>
      <c r="D35" s="33"/>
      <c r="E35" s="171"/>
      <c r="F35" s="172"/>
      <c r="G35" s="173"/>
      <c r="H35" s="29"/>
      <c r="I35" s="174"/>
      <c r="J35" s="80"/>
      <c r="K35" s="168"/>
      <c r="L35" s="82"/>
      <c r="M35" s="31">
        <v>0</v>
      </c>
      <c r="N35" s="32">
        <v>0</v>
      </c>
      <c r="O35" s="91"/>
    </row>
    <row r="36" spans="1:15" ht="15.6" x14ac:dyDescent="0.3">
      <c r="A36" s="23"/>
      <c r="B36" s="87">
        <v>43852</v>
      </c>
      <c r="C36" s="175">
        <v>13264.76</v>
      </c>
      <c r="D36" s="89" t="s">
        <v>41</v>
      </c>
      <c r="E36" s="90"/>
      <c r="F36" s="91"/>
      <c r="H36" s="29"/>
      <c r="I36" s="92"/>
      <c r="J36" s="176" t="s">
        <v>92</v>
      </c>
      <c r="K36" s="93" t="s">
        <v>42</v>
      </c>
      <c r="L36" s="45">
        <v>3750.22</v>
      </c>
      <c r="M36" s="31">
        <v>0</v>
      </c>
      <c r="N36" s="32">
        <v>0</v>
      </c>
      <c r="O36" s="91"/>
    </row>
    <row r="37" spans="1:15" ht="15.6" x14ac:dyDescent="0.3">
      <c r="A37" s="23"/>
      <c r="B37" s="24">
        <v>43854</v>
      </c>
      <c r="C37" s="97">
        <v>37192.32</v>
      </c>
      <c r="D37" s="95" t="s">
        <v>41</v>
      </c>
      <c r="E37" s="90"/>
      <c r="F37" s="91"/>
      <c r="H37" s="29"/>
      <c r="I37" s="91"/>
      <c r="J37" s="176" t="s">
        <v>92</v>
      </c>
      <c r="K37" s="86" t="s">
        <v>93</v>
      </c>
      <c r="L37" s="82">
        <v>1999.74</v>
      </c>
      <c r="M37" s="31">
        <v>0</v>
      </c>
      <c r="N37" s="32">
        <v>0</v>
      </c>
      <c r="O37" s="91"/>
    </row>
    <row r="38" spans="1:15" ht="15.6" x14ac:dyDescent="0.3">
      <c r="A38" s="23"/>
      <c r="B38" s="24">
        <v>43858</v>
      </c>
      <c r="C38" s="97">
        <v>10018</v>
      </c>
      <c r="D38" s="95" t="s">
        <v>41</v>
      </c>
      <c r="E38" s="90"/>
      <c r="F38" s="91"/>
      <c r="H38" s="29"/>
      <c r="I38" s="91"/>
      <c r="J38" s="176" t="s">
        <v>92</v>
      </c>
      <c r="K38" s="86" t="s">
        <v>44</v>
      </c>
      <c r="L38" s="82">
        <v>10381.799999999999</v>
      </c>
      <c r="M38" s="31">
        <v>0</v>
      </c>
      <c r="N38" s="32">
        <v>0</v>
      </c>
      <c r="O38" s="91"/>
    </row>
    <row r="39" spans="1:15" ht="15.6" x14ac:dyDescent="0.3">
      <c r="A39" s="23"/>
      <c r="B39" s="24">
        <v>43860</v>
      </c>
      <c r="C39" s="97">
        <v>11866</v>
      </c>
      <c r="D39" s="95" t="s">
        <v>41</v>
      </c>
      <c r="E39" s="90"/>
      <c r="F39" s="91"/>
      <c r="H39" s="29"/>
      <c r="I39" s="91"/>
      <c r="J39" s="176" t="s">
        <v>92</v>
      </c>
      <c r="K39" s="96" t="s">
        <v>45</v>
      </c>
      <c r="L39" s="82">
        <v>29047</v>
      </c>
      <c r="M39" s="31">
        <v>0</v>
      </c>
      <c r="N39" s="32">
        <v>0</v>
      </c>
      <c r="O39" s="91"/>
    </row>
    <row r="40" spans="1:15" ht="15.6" x14ac:dyDescent="0.3">
      <c r="A40" s="23"/>
      <c r="B40" s="24">
        <v>43864</v>
      </c>
      <c r="C40" s="97">
        <v>10826.96</v>
      </c>
      <c r="D40" s="95" t="s">
        <v>41</v>
      </c>
      <c r="E40" s="90"/>
      <c r="F40" s="91"/>
      <c r="H40" s="29"/>
      <c r="I40" s="91"/>
      <c r="J40" s="176" t="s">
        <v>92</v>
      </c>
      <c r="K40" s="86" t="s">
        <v>46</v>
      </c>
      <c r="L40" s="82">
        <v>1315.86</v>
      </c>
      <c r="M40" s="31">
        <v>0</v>
      </c>
      <c r="N40" s="32">
        <v>0</v>
      </c>
      <c r="O40" s="91"/>
    </row>
    <row r="41" spans="1:15" ht="15.6" x14ac:dyDescent="0.3">
      <c r="A41" s="23"/>
      <c r="B41" s="24">
        <v>43867</v>
      </c>
      <c r="C41" s="97">
        <v>15199.8</v>
      </c>
      <c r="D41" s="95" t="s">
        <v>41</v>
      </c>
      <c r="E41" s="90"/>
      <c r="F41" s="91"/>
      <c r="H41" s="29"/>
      <c r="I41" s="91"/>
      <c r="J41" s="177"/>
      <c r="K41" s="86"/>
      <c r="L41" s="178"/>
      <c r="M41" s="31">
        <v>0</v>
      </c>
      <c r="N41" s="32">
        <v>0</v>
      </c>
      <c r="O41" s="91"/>
    </row>
    <row r="42" spans="1:15" ht="15.6" x14ac:dyDescent="0.3">
      <c r="A42" s="23"/>
      <c r="B42" s="24"/>
      <c r="C42" s="97"/>
      <c r="D42" s="95"/>
      <c r="E42" s="90"/>
      <c r="F42" s="91"/>
      <c r="H42" s="29"/>
      <c r="I42" s="91"/>
      <c r="J42" s="177"/>
      <c r="K42" s="86"/>
      <c r="L42" s="178"/>
      <c r="M42" s="31">
        <v>0</v>
      </c>
      <c r="N42" s="32">
        <v>0</v>
      </c>
      <c r="O42" s="91"/>
    </row>
    <row r="43" spans="1:15" ht="16.2" thickBot="1" x14ac:dyDescent="0.35">
      <c r="A43" s="23"/>
      <c r="B43" s="98"/>
      <c r="C43" s="99"/>
      <c r="D43" s="100"/>
      <c r="E43" s="90"/>
      <c r="F43" s="91"/>
      <c r="H43" s="29"/>
      <c r="I43" s="91"/>
      <c r="J43" s="179"/>
      <c r="K43" s="101"/>
      <c r="L43" s="178"/>
      <c r="M43" s="91"/>
      <c r="N43" s="91"/>
      <c r="O43" s="91"/>
    </row>
    <row r="44" spans="1:15" ht="16.2" thickBot="1" x14ac:dyDescent="0.35">
      <c r="A44" s="102"/>
      <c r="B44" s="103"/>
      <c r="C44" s="104"/>
      <c r="D44" s="105"/>
      <c r="E44" s="106"/>
      <c r="F44" s="107"/>
      <c r="G44" s="108"/>
      <c r="H44" s="29"/>
      <c r="I44" s="107"/>
      <c r="J44" s="180"/>
      <c r="M44" s="110">
        <f>SUM(M5:M43)</f>
        <v>2609686.98</v>
      </c>
      <c r="N44" s="111">
        <f>SUM(N5:N43)</f>
        <v>83596</v>
      </c>
      <c r="O44" s="181"/>
    </row>
    <row r="45" spans="1:15" ht="16.2" thickBot="1" x14ac:dyDescent="0.35">
      <c r="B45" s="112" t="s">
        <v>51</v>
      </c>
      <c r="C45" s="113">
        <f>SUM(C5:C44)</f>
        <v>227347.06</v>
      </c>
      <c r="D45" s="114"/>
      <c r="E45" s="115" t="s">
        <v>51</v>
      </c>
      <c r="F45" s="116">
        <f>SUM(F5:F44)</f>
        <v>2909056</v>
      </c>
      <c r="G45" s="114"/>
      <c r="H45" s="117" t="s">
        <v>51</v>
      </c>
      <c r="I45" s="118">
        <f>SUM(I5:I44)</f>
        <v>51887.8</v>
      </c>
      <c r="J45" s="119"/>
      <c r="K45" s="120" t="s">
        <v>51</v>
      </c>
      <c r="L45" s="121">
        <f>SUM(L6:L43)</f>
        <v>165887</v>
      </c>
      <c r="O45" s="56"/>
    </row>
    <row r="46" spans="1:15" ht="19.2" thickTop="1" thickBot="1" x14ac:dyDescent="0.35">
      <c r="C46" s="5" t="s">
        <v>10</v>
      </c>
      <c r="M46" s="599">
        <f>N44+M44</f>
        <v>2693282.98</v>
      </c>
      <c r="N46" s="600"/>
      <c r="O46" s="182"/>
    </row>
    <row r="47" spans="1:15" ht="15.6" x14ac:dyDescent="0.3">
      <c r="A47" s="65"/>
      <c r="B47" s="122"/>
      <c r="C47" s="4"/>
      <c r="H47" s="601" t="s">
        <v>52</v>
      </c>
      <c r="I47" s="602"/>
      <c r="J47" s="123"/>
      <c r="K47" s="603">
        <f>I45+L45</f>
        <v>217774.8</v>
      </c>
      <c r="L47" s="604"/>
    </row>
    <row r="48" spans="1:15" ht="15.6" x14ac:dyDescent="0.3">
      <c r="D48" s="606" t="s">
        <v>53</v>
      </c>
      <c r="E48" s="606"/>
      <c r="F48" s="124">
        <f>F45-K47-C45</f>
        <v>2463934.14</v>
      </c>
      <c r="I48" s="125"/>
      <c r="J48" s="125"/>
    </row>
    <row r="49" spans="2:15" ht="18" x14ac:dyDescent="0.35">
      <c r="D49" s="607" t="s">
        <v>54</v>
      </c>
      <c r="E49" s="607"/>
      <c r="F49" s="126">
        <v>-2518468.4500000002</v>
      </c>
      <c r="I49" s="608" t="s">
        <v>55</v>
      </c>
      <c r="J49" s="609"/>
      <c r="K49" s="610">
        <f>F54</f>
        <v>333404.95999999996</v>
      </c>
      <c r="L49" s="611"/>
    </row>
    <row r="50" spans="2:15" ht="18.600000000000001" thickBot="1" x14ac:dyDescent="0.4">
      <c r="D50" s="127"/>
      <c r="E50" s="128"/>
      <c r="F50" s="129" t="s">
        <v>10</v>
      </c>
      <c r="I50" s="130"/>
      <c r="J50" s="130"/>
      <c r="K50" s="131"/>
      <c r="L50" s="131"/>
    </row>
    <row r="51" spans="2:15" ht="18.600000000000001" thickTop="1" x14ac:dyDescent="0.35">
      <c r="C51" s="13" t="s">
        <v>10</v>
      </c>
      <c r="E51" s="65" t="s">
        <v>56</v>
      </c>
      <c r="F51" s="126">
        <f>SUM(F48:F50)</f>
        <v>-54534.310000000056</v>
      </c>
      <c r="H51" s="23"/>
      <c r="I51" s="132" t="s">
        <v>57</v>
      </c>
      <c r="J51" s="133"/>
      <c r="K51" s="612">
        <f>-C4</f>
        <v>-273391.58</v>
      </c>
      <c r="L51" s="613"/>
      <c r="M51" s="134"/>
    </row>
    <row r="52" spans="2:15" ht="16.2" thickBot="1" x14ac:dyDescent="0.35">
      <c r="D52" s="135" t="s">
        <v>58</v>
      </c>
      <c r="E52" s="65" t="s">
        <v>59</v>
      </c>
      <c r="F52" s="136">
        <v>32730</v>
      </c>
    </row>
    <row r="53" spans="2:15" ht="19.2" thickTop="1" thickBot="1" x14ac:dyDescent="0.4">
      <c r="C53" s="183">
        <v>43867</v>
      </c>
      <c r="D53" s="614" t="s">
        <v>60</v>
      </c>
      <c r="E53" s="615"/>
      <c r="F53" s="138">
        <v>355209.27</v>
      </c>
      <c r="I53" s="616" t="s">
        <v>61</v>
      </c>
      <c r="J53" s="617"/>
      <c r="K53" s="618">
        <f>K49+K51</f>
        <v>60013.379999999946</v>
      </c>
      <c r="L53" s="619"/>
    </row>
    <row r="54" spans="2:15" ht="18" x14ac:dyDescent="0.35">
      <c r="C54" s="139"/>
      <c r="D54" s="140"/>
      <c r="E54" s="141" t="s">
        <v>62</v>
      </c>
      <c r="F54" s="142">
        <f>F51+F52+F53</f>
        <v>333404.95999999996</v>
      </c>
      <c r="J54" s="6"/>
      <c r="M54" s="143"/>
    </row>
    <row r="56" spans="2:15" x14ac:dyDescent="0.3">
      <c r="B56"/>
      <c r="C56"/>
      <c r="D56" s="605"/>
      <c r="E56" s="605"/>
      <c r="M56" s="144"/>
      <c r="N56" s="65"/>
      <c r="O56" s="65"/>
    </row>
    <row r="57" spans="2:15" x14ac:dyDescent="0.3">
      <c r="B57"/>
      <c r="C57"/>
      <c r="M57" s="144"/>
      <c r="N57" s="65"/>
      <c r="O57" s="65"/>
    </row>
    <row r="58" spans="2:15" x14ac:dyDescent="0.3">
      <c r="B58"/>
      <c r="C58"/>
      <c r="N58" s="65"/>
      <c r="O58" s="65"/>
    </row>
    <row r="59" spans="2:15" x14ac:dyDescent="0.3">
      <c r="B59"/>
      <c r="C59"/>
      <c r="F59"/>
      <c r="I59"/>
      <c r="J59"/>
      <c r="M59"/>
      <c r="N59" s="65"/>
      <c r="O59" s="65"/>
    </row>
    <row r="60" spans="2:15" x14ac:dyDescent="0.3">
      <c r="B60"/>
      <c r="C60"/>
      <c r="F60" s="145"/>
      <c r="N60" s="65"/>
      <c r="O60" s="65"/>
    </row>
    <row r="61" spans="2:15" x14ac:dyDescent="0.3">
      <c r="F61" s="91"/>
      <c r="M61" s="4"/>
      <c r="N61" s="65"/>
      <c r="O61" s="65"/>
    </row>
    <row r="62" spans="2:15" x14ac:dyDescent="0.3">
      <c r="F62" s="91"/>
      <c r="M62" s="4"/>
      <c r="N62" s="65"/>
      <c r="O62" s="65"/>
    </row>
    <row r="63" spans="2:15" x14ac:dyDescent="0.3">
      <c r="F63" s="91"/>
      <c r="M63" s="4"/>
      <c r="N63" s="65"/>
      <c r="O63" s="65"/>
    </row>
    <row r="64" spans="2:15" x14ac:dyDescent="0.3">
      <c r="F64" s="91"/>
      <c r="M64" s="4"/>
      <c r="N64" s="65"/>
      <c r="O64" s="65"/>
    </row>
    <row r="65" spans="6:13" x14ac:dyDescent="0.3">
      <c r="F65" s="91"/>
      <c r="M65" s="4"/>
    </row>
    <row r="66" spans="6:13" x14ac:dyDescent="0.3">
      <c r="F66" s="91"/>
      <c r="M66" s="4"/>
    </row>
    <row r="67" spans="6:13" x14ac:dyDescent="0.3">
      <c r="F67" s="91"/>
      <c r="M67" s="4"/>
    </row>
    <row r="68" spans="6:13" x14ac:dyDescent="0.3">
      <c r="F68" s="91"/>
      <c r="M68" s="4"/>
    </row>
    <row r="69" spans="6:13" x14ac:dyDescent="0.3">
      <c r="F69" s="91"/>
      <c r="M69" s="4"/>
    </row>
    <row r="70" spans="6:13" x14ac:dyDescent="0.3">
      <c r="F70" s="145"/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  <row r="79" spans="6:13" x14ac:dyDescent="0.3">
      <c r="M79" s="4"/>
    </row>
    <row r="80" spans="6:13" x14ac:dyDescent="0.3">
      <c r="M80" s="4"/>
    </row>
    <row r="81" spans="13:13" x14ac:dyDescent="0.3">
      <c r="M81" s="4"/>
    </row>
    <row r="82" spans="13:13" x14ac:dyDescent="0.3">
      <c r="M82" s="4"/>
    </row>
    <row r="83" spans="13:13" x14ac:dyDescent="0.3">
      <c r="M83" s="4"/>
    </row>
  </sheetData>
  <mergeCells count="16">
    <mergeCell ref="H47:I47"/>
    <mergeCell ref="K47:L47"/>
    <mergeCell ref="D56:E56"/>
    <mergeCell ref="D48:E48"/>
    <mergeCell ref="D49:E49"/>
    <mergeCell ref="I49:J49"/>
    <mergeCell ref="K49:L49"/>
    <mergeCell ref="K51:L51"/>
    <mergeCell ref="D53:E53"/>
    <mergeCell ref="I53:J53"/>
    <mergeCell ref="K53:L53"/>
    <mergeCell ref="C1:K1"/>
    <mergeCell ref="B3:C3"/>
    <mergeCell ref="E4:F4"/>
    <mergeCell ref="H4:I4"/>
    <mergeCell ref="M46:N46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2969-2D0F-43C0-962E-E73CE3E76166}">
  <sheetPr>
    <tabColor theme="9" tint="-0.249977111117893"/>
  </sheetPr>
  <dimension ref="A1:F87"/>
  <sheetViews>
    <sheetView topLeftCell="A7" workbookViewId="0">
      <selection activeCell="H23" sqref="H23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177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6">
        <v>43958</v>
      </c>
      <c r="B3" s="157">
        <v>14095</v>
      </c>
      <c r="C3" s="97">
        <v>79581.399999999994</v>
      </c>
      <c r="D3" s="154"/>
      <c r="E3" s="56"/>
      <c r="F3" s="155">
        <f>C3-E3</f>
        <v>79581.399999999994</v>
      </c>
    </row>
    <row r="4" spans="1:6" x14ac:dyDescent="0.3">
      <c r="A4" s="156">
        <v>43959</v>
      </c>
      <c r="B4" s="157">
        <v>14233</v>
      </c>
      <c r="C4" s="97">
        <v>3666</v>
      </c>
      <c r="D4" s="158">
        <v>43959</v>
      </c>
      <c r="E4" s="97">
        <v>83247.399999999994</v>
      </c>
      <c r="F4" s="155">
        <f>F3+C4-E4</f>
        <v>0</v>
      </c>
    </row>
    <row r="5" spans="1:6" x14ac:dyDescent="0.3">
      <c r="A5" s="158">
        <v>43960</v>
      </c>
      <c r="B5" s="157">
        <v>14387</v>
      </c>
      <c r="C5" s="97">
        <v>133106</v>
      </c>
      <c r="D5" s="158"/>
      <c r="E5" s="97"/>
      <c r="F5" s="155">
        <f t="shared" ref="F5:F50" si="0">F4+C5-E5</f>
        <v>133106</v>
      </c>
    </row>
    <row r="6" spans="1:6" x14ac:dyDescent="0.3">
      <c r="A6" s="158">
        <v>43960</v>
      </c>
      <c r="B6" s="157">
        <v>14388</v>
      </c>
      <c r="C6" s="97">
        <v>79782.67</v>
      </c>
      <c r="D6" s="158"/>
      <c r="E6" s="97"/>
      <c r="F6" s="155">
        <f t="shared" si="0"/>
        <v>212888.66999999998</v>
      </c>
    </row>
    <row r="7" spans="1:6" x14ac:dyDescent="0.3">
      <c r="A7" s="158">
        <v>43960</v>
      </c>
      <c r="B7" s="157">
        <v>14390</v>
      </c>
      <c r="C7" s="97">
        <v>28090.400000000001</v>
      </c>
      <c r="D7" s="158"/>
      <c r="E7" s="97"/>
      <c r="F7" s="155">
        <f t="shared" si="0"/>
        <v>240979.06999999998</v>
      </c>
    </row>
    <row r="8" spans="1:6" x14ac:dyDescent="0.3">
      <c r="A8" s="158">
        <v>43961</v>
      </c>
      <c r="B8" s="157">
        <v>14487</v>
      </c>
      <c r="C8" s="97">
        <v>25851.5</v>
      </c>
      <c r="D8" s="158"/>
      <c r="E8" s="97"/>
      <c r="F8" s="155">
        <f t="shared" si="0"/>
        <v>266830.56999999995</v>
      </c>
    </row>
    <row r="9" spans="1:6" x14ac:dyDescent="0.3">
      <c r="A9" s="158">
        <v>43962</v>
      </c>
      <c r="B9" s="157">
        <v>14648</v>
      </c>
      <c r="C9" s="97">
        <v>84770.49</v>
      </c>
      <c r="D9" s="158"/>
      <c r="E9" s="97"/>
      <c r="F9" s="155">
        <f t="shared" si="0"/>
        <v>351601.05999999994</v>
      </c>
    </row>
    <row r="10" spans="1:6" x14ac:dyDescent="0.3">
      <c r="A10" s="158">
        <v>43963</v>
      </c>
      <c r="B10" s="157">
        <v>14766</v>
      </c>
      <c r="C10" s="97">
        <v>3075.79</v>
      </c>
      <c r="D10" s="158"/>
      <c r="E10" s="97"/>
      <c r="F10" s="155">
        <f t="shared" si="0"/>
        <v>354676.84999999992</v>
      </c>
    </row>
    <row r="11" spans="1:6" x14ac:dyDescent="0.3">
      <c r="A11" s="156">
        <v>43964</v>
      </c>
      <c r="B11" s="157">
        <v>14779</v>
      </c>
      <c r="C11" s="97">
        <v>103355</v>
      </c>
      <c r="D11" s="158"/>
      <c r="E11" s="97"/>
      <c r="F11" s="155">
        <f t="shared" si="0"/>
        <v>458031.84999999992</v>
      </c>
    </row>
    <row r="12" spans="1:6" x14ac:dyDescent="0.3">
      <c r="A12" s="158">
        <v>43964</v>
      </c>
      <c r="B12" s="157">
        <v>14872</v>
      </c>
      <c r="C12" s="97">
        <v>77501.89</v>
      </c>
      <c r="D12" s="158"/>
      <c r="E12" s="97"/>
      <c r="F12" s="155">
        <f t="shared" si="0"/>
        <v>535533.73999999987</v>
      </c>
    </row>
    <row r="13" spans="1:6" x14ac:dyDescent="0.3">
      <c r="A13" s="158">
        <v>43965</v>
      </c>
      <c r="B13" s="157">
        <v>14894</v>
      </c>
      <c r="C13" s="97">
        <v>1261.5</v>
      </c>
      <c r="D13" s="158">
        <v>43966</v>
      </c>
      <c r="E13" s="97">
        <v>536795.24</v>
      </c>
      <c r="F13" s="155">
        <f t="shared" si="0"/>
        <v>0</v>
      </c>
    </row>
    <row r="14" spans="1:6" x14ac:dyDescent="0.3">
      <c r="A14" s="158">
        <v>43967</v>
      </c>
      <c r="B14" s="157">
        <v>15178</v>
      </c>
      <c r="C14" s="97">
        <v>12104</v>
      </c>
      <c r="D14" s="158"/>
      <c r="E14" s="97"/>
      <c r="F14" s="155">
        <f t="shared" si="0"/>
        <v>12104</v>
      </c>
    </row>
    <row r="15" spans="1:6" x14ac:dyDescent="0.3">
      <c r="A15" s="158">
        <v>43967</v>
      </c>
      <c r="B15" s="157">
        <v>15258</v>
      </c>
      <c r="C15" s="97">
        <v>37598.54</v>
      </c>
      <c r="D15" s="158"/>
      <c r="E15" s="97"/>
      <c r="F15" s="155">
        <f t="shared" si="0"/>
        <v>49702.54</v>
      </c>
    </row>
    <row r="16" spans="1:6" x14ac:dyDescent="0.3">
      <c r="A16" s="158">
        <v>43968</v>
      </c>
      <c r="B16" s="157">
        <v>15278</v>
      </c>
      <c r="C16" s="97">
        <v>1428</v>
      </c>
      <c r="D16" s="158"/>
      <c r="E16" s="97"/>
      <c r="F16" s="155">
        <f t="shared" si="0"/>
        <v>51130.54</v>
      </c>
    </row>
    <row r="17" spans="1:6" x14ac:dyDescent="0.3">
      <c r="A17" s="158">
        <v>43969</v>
      </c>
      <c r="B17" s="157">
        <v>15364</v>
      </c>
      <c r="C17" s="97">
        <v>34928.9</v>
      </c>
      <c r="D17" s="158"/>
      <c r="E17" s="97"/>
      <c r="F17" s="155">
        <f t="shared" si="0"/>
        <v>86059.44</v>
      </c>
    </row>
    <row r="18" spans="1:6" x14ac:dyDescent="0.3">
      <c r="A18" s="158">
        <v>43970</v>
      </c>
      <c r="B18" s="157">
        <v>15498</v>
      </c>
      <c r="C18" s="97">
        <v>12930.6</v>
      </c>
      <c r="D18" s="158"/>
      <c r="E18" s="97"/>
      <c r="F18" s="155">
        <f t="shared" si="0"/>
        <v>98990.040000000008</v>
      </c>
    </row>
    <row r="19" spans="1:6" x14ac:dyDescent="0.3">
      <c r="A19" s="158">
        <v>43971</v>
      </c>
      <c r="B19" s="157">
        <v>15635</v>
      </c>
      <c r="C19" s="97">
        <v>36627.279999999999</v>
      </c>
      <c r="D19" s="158"/>
      <c r="E19" s="97"/>
      <c r="F19" s="155">
        <f t="shared" si="0"/>
        <v>135617.32</v>
      </c>
    </row>
    <row r="20" spans="1:6" x14ac:dyDescent="0.3">
      <c r="A20" s="158">
        <v>43971</v>
      </c>
      <c r="B20" s="157">
        <v>15638</v>
      </c>
      <c r="C20" s="97">
        <v>14591.08</v>
      </c>
      <c r="D20" s="158"/>
      <c r="E20" s="97"/>
      <c r="F20" s="155">
        <f t="shared" si="0"/>
        <v>150208.4</v>
      </c>
    </row>
    <row r="21" spans="1:6" x14ac:dyDescent="0.3">
      <c r="A21" s="158">
        <v>43971</v>
      </c>
      <c r="B21" s="157">
        <v>15708</v>
      </c>
      <c r="C21" s="97">
        <v>4401.3999999999996</v>
      </c>
      <c r="D21" s="158"/>
      <c r="E21" s="97"/>
      <c r="F21" s="155">
        <f t="shared" si="0"/>
        <v>154609.79999999999</v>
      </c>
    </row>
    <row r="22" spans="1:6" x14ac:dyDescent="0.3">
      <c r="A22" s="158">
        <v>43971</v>
      </c>
      <c r="B22" s="157">
        <v>15711</v>
      </c>
      <c r="C22" s="97">
        <v>4428</v>
      </c>
      <c r="D22" s="158"/>
      <c r="E22" s="97"/>
      <c r="F22" s="155">
        <f t="shared" si="0"/>
        <v>159037.79999999999</v>
      </c>
    </row>
    <row r="23" spans="1:6" x14ac:dyDescent="0.3">
      <c r="A23" s="158">
        <v>43972</v>
      </c>
      <c r="B23" s="157">
        <v>15845</v>
      </c>
      <c r="C23" s="97">
        <v>75141.94</v>
      </c>
      <c r="D23" s="158"/>
      <c r="E23" s="97"/>
      <c r="F23" s="155">
        <f t="shared" si="0"/>
        <v>234179.74</v>
      </c>
    </row>
    <row r="24" spans="1:6" x14ac:dyDescent="0.3">
      <c r="A24" s="158">
        <v>43973</v>
      </c>
      <c r="B24" s="157">
        <v>15893</v>
      </c>
      <c r="C24" s="97">
        <v>19906</v>
      </c>
      <c r="D24" s="158">
        <v>43974</v>
      </c>
      <c r="E24" s="97">
        <v>254085.74</v>
      </c>
      <c r="F24" s="155">
        <f t="shared" si="0"/>
        <v>0</v>
      </c>
    </row>
    <row r="25" spans="1:6" x14ac:dyDescent="0.3">
      <c r="A25" s="158">
        <v>43974</v>
      </c>
      <c r="B25" s="157">
        <v>16046</v>
      </c>
      <c r="C25" s="97">
        <v>66341.899999999994</v>
      </c>
      <c r="D25" s="158"/>
      <c r="E25" s="97"/>
      <c r="F25" s="155">
        <f t="shared" si="0"/>
        <v>66341.899999999994</v>
      </c>
    </row>
    <row r="26" spans="1:6" x14ac:dyDescent="0.3">
      <c r="A26" s="158">
        <v>43974</v>
      </c>
      <c r="B26" s="157">
        <v>16109</v>
      </c>
      <c r="C26" s="97">
        <v>42381.72</v>
      </c>
      <c r="D26" s="158"/>
      <c r="E26" s="97"/>
      <c r="F26" s="155">
        <f t="shared" si="0"/>
        <v>108723.62</v>
      </c>
    </row>
    <row r="27" spans="1:6" x14ac:dyDescent="0.3">
      <c r="A27" s="158">
        <v>43975</v>
      </c>
      <c r="B27" s="157">
        <v>16148</v>
      </c>
      <c r="C27" s="97">
        <v>23473.9</v>
      </c>
      <c r="D27" s="158"/>
      <c r="E27" s="97"/>
      <c r="F27" s="155">
        <f t="shared" si="0"/>
        <v>132197.51999999999</v>
      </c>
    </row>
    <row r="28" spans="1:6" x14ac:dyDescent="0.3">
      <c r="A28" s="156">
        <v>43975</v>
      </c>
      <c r="B28" s="157">
        <v>16198</v>
      </c>
      <c r="C28" s="97">
        <v>24648</v>
      </c>
      <c r="D28" s="158"/>
      <c r="E28" s="97"/>
      <c r="F28" s="155">
        <f t="shared" si="0"/>
        <v>156845.51999999999</v>
      </c>
    </row>
    <row r="29" spans="1:6" x14ac:dyDescent="0.3">
      <c r="A29" s="156">
        <v>43976</v>
      </c>
      <c r="B29" s="157">
        <v>16268</v>
      </c>
      <c r="C29" s="97">
        <v>35223.24</v>
      </c>
      <c r="D29" s="158"/>
      <c r="E29" s="97"/>
      <c r="F29" s="155">
        <f t="shared" si="0"/>
        <v>192068.75999999998</v>
      </c>
    </row>
    <row r="30" spans="1:6" x14ac:dyDescent="0.3">
      <c r="A30" s="156">
        <v>43977</v>
      </c>
      <c r="B30" s="157">
        <v>16335</v>
      </c>
      <c r="C30" s="97">
        <v>13000.32</v>
      </c>
      <c r="D30" s="158"/>
      <c r="E30" s="97"/>
      <c r="F30" s="155">
        <f t="shared" si="0"/>
        <v>205069.08</v>
      </c>
    </row>
    <row r="31" spans="1:6" x14ac:dyDescent="0.3">
      <c r="A31" s="156">
        <v>43978</v>
      </c>
      <c r="B31" s="157">
        <v>16485</v>
      </c>
      <c r="C31" s="97">
        <v>44075.09</v>
      </c>
      <c r="D31" s="158"/>
      <c r="E31" s="97"/>
      <c r="F31" s="155">
        <f t="shared" si="0"/>
        <v>249144.16999999998</v>
      </c>
    </row>
    <row r="32" spans="1:6" x14ac:dyDescent="0.3">
      <c r="A32" s="156">
        <v>43978</v>
      </c>
      <c r="B32" s="157">
        <v>16499</v>
      </c>
      <c r="C32" s="97">
        <v>2259.6</v>
      </c>
      <c r="D32" s="158"/>
      <c r="E32" s="97"/>
      <c r="F32" s="155">
        <f t="shared" si="0"/>
        <v>251403.77</v>
      </c>
    </row>
    <row r="33" spans="1:6" x14ac:dyDescent="0.3">
      <c r="A33" s="156">
        <v>43978</v>
      </c>
      <c r="B33" s="157">
        <v>16557</v>
      </c>
      <c r="C33" s="97">
        <v>32743.56</v>
      </c>
      <c r="D33" s="158"/>
      <c r="E33" s="97"/>
      <c r="F33" s="155">
        <f t="shared" si="0"/>
        <v>284147.33</v>
      </c>
    </row>
    <row r="34" spans="1:6" x14ac:dyDescent="0.3">
      <c r="A34" s="156">
        <v>43979</v>
      </c>
      <c r="B34" s="157">
        <v>16574</v>
      </c>
      <c r="C34" s="97">
        <v>27533.4</v>
      </c>
      <c r="D34" s="158"/>
      <c r="E34" s="97"/>
      <c r="F34" s="155">
        <f t="shared" si="0"/>
        <v>311680.73000000004</v>
      </c>
    </row>
    <row r="35" spans="1:6" x14ac:dyDescent="0.3">
      <c r="A35" s="156">
        <v>43979</v>
      </c>
      <c r="B35" s="157">
        <v>16648</v>
      </c>
      <c r="C35" s="97">
        <v>137280.17000000001</v>
      </c>
      <c r="D35" s="158"/>
      <c r="E35" s="97"/>
      <c r="F35" s="155">
        <f t="shared" si="0"/>
        <v>448960.9</v>
      </c>
    </row>
    <row r="36" spans="1:6" x14ac:dyDescent="0.3">
      <c r="A36" s="156">
        <v>43979</v>
      </c>
      <c r="B36" s="157">
        <v>16649</v>
      </c>
      <c r="C36" s="97">
        <v>1834.8</v>
      </c>
      <c r="D36" s="158"/>
      <c r="E36" s="97"/>
      <c r="F36" s="155">
        <f t="shared" si="0"/>
        <v>450795.7</v>
      </c>
    </row>
    <row r="37" spans="1:6" x14ac:dyDescent="0.3">
      <c r="A37" s="156">
        <v>43980</v>
      </c>
      <c r="B37" s="157">
        <v>16702</v>
      </c>
      <c r="C37" s="97">
        <v>18531.599999999999</v>
      </c>
      <c r="D37" s="158">
        <v>43980</v>
      </c>
      <c r="E37" s="97">
        <v>469327.3</v>
      </c>
      <c r="F37" s="155">
        <f t="shared" si="0"/>
        <v>0</v>
      </c>
    </row>
    <row r="38" spans="1:6" x14ac:dyDescent="0.3">
      <c r="A38" s="156">
        <v>43981</v>
      </c>
      <c r="B38" s="276">
        <v>16910</v>
      </c>
      <c r="C38" s="97">
        <v>26087.84</v>
      </c>
      <c r="D38" s="158"/>
      <c r="E38" s="97"/>
      <c r="F38" s="155">
        <f t="shared" si="0"/>
        <v>26087.84</v>
      </c>
    </row>
    <row r="39" spans="1:6" x14ac:dyDescent="0.3">
      <c r="A39" s="156">
        <v>43981</v>
      </c>
      <c r="B39" s="276">
        <v>16967</v>
      </c>
      <c r="C39" s="97">
        <v>76968.05</v>
      </c>
      <c r="D39" s="158"/>
      <c r="E39" s="97"/>
      <c r="F39" s="155">
        <f t="shared" si="0"/>
        <v>103055.89</v>
      </c>
    </row>
    <row r="40" spans="1:6" x14ac:dyDescent="0.3">
      <c r="A40" s="156">
        <v>43982</v>
      </c>
      <c r="B40" s="276">
        <v>16973</v>
      </c>
      <c r="C40" s="97">
        <v>1492.4</v>
      </c>
      <c r="D40" s="158"/>
      <c r="E40" s="97"/>
      <c r="F40" s="155">
        <f t="shared" si="0"/>
        <v>104548.29</v>
      </c>
    </row>
    <row r="41" spans="1:6" x14ac:dyDescent="0.3">
      <c r="A41" s="156">
        <v>43982</v>
      </c>
      <c r="B41" s="276">
        <v>16975</v>
      </c>
      <c r="C41" s="97">
        <v>1120</v>
      </c>
      <c r="D41" s="158"/>
      <c r="E41" s="97"/>
      <c r="F41" s="155">
        <f t="shared" si="0"/>
        <v>105668.29</v>
      </c>
    </row>
    <row r="42" spans="1:6" x14ac:dyDescent="0.3">
      <c r="A42" s="156">
        <v>43983</v>
      </c>
      <c r="B42" s="276">
        <v>17106</v>
      </c>
      <c r="C42" s="97">
        <v>75463.360000000001</v>
      </c>
      <c r="D42" s="158"/>
      <c r="E42" s="97"/>
      <c r="F42" s="155">
        <f t="shared" si="0"/>
        <v>181131.65</v>
      </c>
    </row>
    <row r="43" spans="1:6" x14ac:dyDescent="0.3">
      <c r="A43" s="156">
        <v>43984</v>
      </c>
      <c r="B43" s="276">
        <v>17221</v>
      </c>
      <c r="C43" s="97">
        <v>62772.95</v>
      </c>
      <c r="D43" s="158"/>
      <c r="E43" s="97"/>
      <c r="F43" s="155">
        <f t="shared" si="0"/>
        <v>243904.59999999998</v>
      </c>
    </row>
    <row r="44" spans="1:6" x14ac:dyDescent="0.3">
      <c r="A44" s="156">
        <v>43985</v>
      </c>
      <c r="B44" s="276">
        <v>17271</v>
      </c>
      <c r="C44" s="97">
        <v>3032.8</v>
      </c>
      <c r="D44" s="158"/>
      <c r="E44" s="97"/>
      <c r="F44" s="155">
        <f>F43+C44-E44</f>
        <v>246937.39999999997</v>
      </c>
    </row>
    <row r="45" spans="1:6" x14ac:dyDescent="0.3">
      <c r="A45" s="156">
        <v>43985</v>
      </c>
      <c r="B45" s="276">
        <v>17353</v>
      </c>
      <c r="C45" s="97">
        <v>477</v>
      </c>
      <c r="D45" s="158">
        <v>43956</v>
      </c>
      <c r="E45" s="97"/>
      <c r="F45" s="155">
        <f>F44+C45-E45</f>
        <v>247414.39999999997</v>
      </c>
    </row>
    <row r="46" spans="1:6" x14ac:dyDescent="0.3">
      <c r="A46" s="156"/>
      <c r="B46" s="157"/>
      <c r="C46" s="97">
        <v>0</v>
      </c>
      <c r="D46" s="158"/>
      <c r="E46" s="97"/>
      <c r="F46" s="155">
        <f t="shared" si="0"/>
        <v>247414.39999999997</v>
      </c>
    </row>
    <row r="47" spans="1:6" x14ac:dyDescent="0.3">
      <c r="A47" s="156"/>
      <c r="B47" s="157"/>
      <c r="C47" s="97">
        <v>0</v>
      </c>
      <c r="D47" s="158"/>
      <c r="E47" s="97"/>
      <c r="F47" s="155">
        <f t="shared" si="0"/>
        <v>247414.39999999997</v>
      </c>
    </row>
    <row r="48" spans="1:6" x14ac:dyDescent="0.3">
      <c r="A48" s="156"/>
      <c r="B48" s="157"/>
      <c r="C48" s="97">
        <v>0</v>
      </c>
      <c r="D48" s="158"/>
      <c r="E48" s="97"/>
      <c r="F48" s="155">
        <f t="shared" si="0"/>
        <v>247414.39999999997</v>
      </c>
    </row>
    <row r="49" spans="1:6" x14ac:dyDescent="0.3">
      <c r="A49" s="156"/>
      <c r="B49" s="157"/>
      <c r="C49" s="97">
        <v>0</v>
      </c>
      <c r="D49" s="158"/>
      <c r="E49" s="97"/>
      <c r="F49" s="155">
        <f t="shared" si="0"/>
        <v>247414.39999999997</v>
      </c>
    </row>
    <row r="50" spans="1:6" ht="15" thickBot="1" x14ac:dyDescent="0.35">
      <c r="A50" s="159"/>
      <c r="B50" s="160"/>
      <c r="C50" s="161">
        <v>0</v>
      </c>
      <c r="D50" s="162"/>
      <c r="E50" s="161"/>
      <c r="F50" s="155">
        <f t="shared" si="0"/>
        <v>247414.39999999997</v>
      </c>
    </row>
    <row r="51" spans="1:6" ht="18.600000000000001" thickTop="1" x14ac:dyDescent="0.35">
      <c r="B51" s="65"/>
      <c r="C51" s="4">
        <f>SUM(C3:C50)</f>
        <v>1590870.0800000005</v>
      </c>
      <c r="D51" s="1"/>
      <c r="E51" s="4">
        <f>SUM(E3:E50)</f>
        <v>1343455.68</v>
      </c>
      <c r="F51" s="163">
        <f>F50</f>
        <v>247414.39999999997</v>
      </c>
    </row>
    <row r="52" spans="1:6" x14ac:dyDescent="0.3">
      <c r="B52" s="65"/>
      <c r="C52" s="4"/>
      <c r="D52" s="1"/>
      <c r="E52" s="5"/>
      <c r="F52" s="4"/>
    </row>
    <row r="53" spans="1:6" x14ac:dyDescent="0.3">
      <c r="B53" s="65"/>
      <c r="C53" s="4"/>
      <c r="D53" s="1"/>
      <c r="E53" s="5"/>
      <c r="F53" s="4"/>
    </row>
    <row r="54" spans="1:6" x14ac:dyDescent="0.3">
      <c r="A54"/>
      <c r="B54" s="23"/>
      <c r="D54" s="23"/>
    </row>
    <row r="55" spans="1:6" x14ac:dyDescent="0.3">
      <c r="A55"/>
      <c r="B55" s="23"/>
      <c r="D55" s="23"/>
    </row>
    <row r="56" spans="1:6" x14ac:dyDescent="0.3">
      <c r="A56"/>
      <c r="B56" s="23"/>
      <c r="D56" s="23"/>
    </row>
    <row r="57" spans="1:6" x14ac:dyDescent="0.3">
      <c r="A57"/>
      <c r="B57" s="23"/>
      <c r="D57" s="23"/>
      <c r="F57"/>
    </row>
    <row r="58" spans="1:6" x14ac:dyDescent="0.3">
      <c r="A58"/>
      <c r="B58" s="23"/>
      <c r="D58" s="23"/>
      <c r="F58"/>
    </row>
    <row r="59" spans="1:6" x14ac:dyDescent="0.3">
      <c r="A59"/>
      <c r="B59" s="23"/>
      <c r="D59" s="23"/>
      <c r="F59"/>
    </row>
    <row r="60" spans="1:6" x14ac:dyDescent="0.3">
      <c r="A60"/>
      <c r="B60" s="23"/>
      <c r="D60" s="23"/>
      <c r="F60"/>
    </row>
    <row r="61" spans="1:6" x14ac:dyDescent="0.3">
      <c r="A61"/>
      <c r="B61" s="23"/>
      <c r="D61" s="23"/>
      <c r="F61"/>
    </row>
    <row r="62" spans="1:6" x14ac:dyDescent="0.3">
      <c r="A62"/>
      <c r="B62" s="23"/>
      <c r="D62" s="23"/>
      <c r="F62"/>
    </row>
    <row r="63" spans="1:6" x14ac:dyDescent="0.3">
      <c r="A63"/>
      <c r="B63" s="23"/>
      <c r="D63" s="23"/>
      <c r="F63"/>
    </row>
    <row r="64" spans="1:6" x14ac:dyDescent="0.3">
      <c r="A64"/>
      <c r="B64" s="23"/>
      <c r="D64" s="23"/>
      <c r="F64"/>
    </row>
    <row r="65" spans="1:6" x14ac:dyDescent="0.3">
      <c r="A65"/>
      <c r="B65" s="23"/>
      <c r="D65" s="23"/>
      <c r="F65"/>
    </row>
    <row r="66" spans="1:6" x14ac:dyDescent="0.3">
      <c r="A66"/>
      <c r="B66" s="23"/>
      <c r="D66" s="23"/>
      <c r="E66"/>
      <c r="F66"/>
    </row>
    <row r="67" spans="1:6" x14ac:dyDescent="0.3">
      <c r="A67"/>
      <c r="B67" s="23"/>
      <c r="D67" s="23"/>
      <c r="E67"/>
      <c r="F67"/>
    </row>
    <row r="68" spans="1:6" x14ac:dyDescent="0.3">
      <c r="A68"/>
      <c r="B68" s="23"/>
      <c r="D68" s="23"/>
      <c r="E68"/>
      <c r="F68"/>
    </row>
    <row r="69" spans="1:6" x14ac:dyDescent="0.3">
      <c r="A69"/>
      <c r="B69" s="23"/>
      <c r="D69" s="23"/>
      <c r="E69"/>
      <c r="F69"/>
    </row>
    <row r="70" spans="1:6" x14ac:dyDescent="0.3">
      <c r="A70"/>
      <c r="B70" s="23"/>
      <c r="D70" s="23"/>
      <c r="E70"/>
      <c r="F70"/>
    </row>
    <row r="71" spans="1:6" x14ac:dyDescent="0.3">
      <c r="A71"/>
      <c r="B71" s="23"/>
      <c r="D71" s="23"/>
      <c r="E71"/>
      <c r="F71"/>
    </row>
    <row r="72" spans="1:6" x14ac:dyDescent="0.3">
      <c r="B72" s="23"/>
      <c r="D72" s="23"/>
      <c r="E72"/>
    </row>
    <row r="73" spans="1:6" x14ac:dyDescent="0.3">
      <c r="B73" s="23"/>
      <c r="D73" s="23"/>
      <c r="E73"/>
    </row>
    <row r="74" spans="1:6" x14ac:dyDescent="0.3">
      <c r="B74" s="23"/>
      <c r="D74" s="23"/>
      <c r="E74"/>
    </row>
    <row r="75" spans="1:6" x14ac:dyDescent="0.3">
      <c r="B75" s="23"/>
      <c r="D75" s="23"/>
      <c r="E75"/>
    </row>
    <row r="76" spans="1:6" x14ac:dyDescent="0.3">
      <c r="B76" s="23"/>
      <c r="D76" s="23"/>
      <c r="E76"/>
    </row>
    <row r="77" spans="1:6" x14ac:dyDescent="0.3">
      <c r="B77" s="23"/>
      <c r="D77" s="23"/>
      <c r="E77"/>
    </row>
    <row r="78" spans="1:6" x14ac:dyDescent="0.3">
      <c r="B78" s="23"/>
      <c r="D78" s="23"/>
      <c r="E78"/>
    </row>
    <row r="79" spans="1:6" x14ac:dyDescent="0.3">
      <c r="B79" s="23"/>
      <c r="D79" s="23"/>
      <c r="E79"/>
    </row>
    <row r="80" spans="1:6" x14ac:dyDescent="0.3">
      <c r="B80" s="23"/>
      <c r="D80" s="23"/>
      <c r="E80"/>
    </row>
    <row r="81" spans="2:4" x14ac:dyDescent="0.3">
      <c r="B81" s="23"/>
    </row>
    <row r="82" spans="2:4" x14ac:dyDescent="0.3">
      <c r="B82" s="23"/>
    </row>
    <row r="83" spans="2:4" x14ac:dyDescent="0.3">
      <c r="B83" s="23"/>
      <c r="D83" s="23"/>
    </row>
    <row r="84" spans="2:4" x14ac:dyDescent="0.3">
      <c r="B84" s="23"/>
    </row>
    <row r="85" spans="2:4" x14ac:dyDescent="0.3">
      <c r="B85" s="23"/>
    </row>
    <row r="86" spans="2:4" x14ac:dyDescent="0.3">
      <c r="B86" s="23"/>
    </row>
    <row r="87" spans="2:4" ht="18" x14ac:dyDescent="0.35">
      <c r="C87" s="1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C976-D518-4466-BA01-94BF9F014F92}">
  <sheetPr>
    <tabColor rgb="FFFFFF00"/>
  </sheetPr>
  <dimension ref="A1:N104"/>
  <sheetViews>
    <sheetView topLeftCell="A43" workbookViewId="0">
      <selection activeCell="K57" sqref="K57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109375" style="4" customWidth="1"/>
  </cols>
  <sheetData>
    <row r="1" spans="1:14" ht="23.4" x14ac:dyDescent="0.45">
      <c r="C1" s="592" t="s">
        <v>248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4" ht="15.6" x14ac:dyDescent="0.3">
      <c r="C2" s="5"/>
      <c r="H2" s="284" t="s">
        <v>1</v>
      </c>
      <c r="I2" s="3"/>
      <c r="J2" s="243"/>
      <c r="M2" s="3"/>
      <c r="N2" s="56"/>
    </row>
    <row r="3" spans="1:14" ht="21.6" thickBot="1" x14ac:dyDescent="0.4">
      <c r="B3" s="593" t="s">
        <v>2</v>
      </c>
      <c r="C3" s="594"/>
      <c r="D3" s="12"/>
      <c r="E3" s="285"/>
      <c r="F3" s="285"/>
      <c r="H3" s="622" t="s">
        <v>135</v>
      </c>
      <c r="I3" s="622"/>
      <c r="K3" s="185" t="s">
        <v>3</v>
      </c>
      <c r="L3" s="187" t="s">
        <v>136</v>
      </c>
      <c r="M3" s="187"/>
    </row>
    <row r="4" spans="1:14" ht="19.2" thickTop="1" thickBot="1" x14ac:dyDescent="0.4">
      <c r="A4" s="16" t="s">
        <v>5</v>
      </c>
      <c r="B4" s="17"/>
      <c r="C4" s="245">
        <v>258902.98</v>
      </c>
      <c r="D4" s="246">
        <v>43985</v>
      </c>
      <c r="E4" s="595" t="s">
        <v>6</v>
      </c>
      <c r="F4" s="596"/>
      <c r="H4" s="597" t="s">
        <v>7</v>
      </c>
      <c r="I4" s="598"/>
      <c r="J4" s="247"/>
      <c r="K4" s="20"/>
      <c r="L4" s="20"/>
      <c r="M4" s="21" t="s">
        <v>8</v>
      </c>
      <c r="N4" s="22" t="s">
        <v>9</v>
      </c>
    </row>
    <row r="5" spans="1:14" ht="15" thickBot="1" x14ac:dyDescent="0.35">
      <c r="A5" s="23" t="s">
        <v>10</v>
      </c>
      <c r="B5" s="248">
        <v>43986</v>
      </c>
      <c r="C5" s="249">
        <v>1628</v>
      </c>
      <c r="D5" s="250" t="s">
        <v>19</v>
      </c>
      <c r="E5" s="27">
        <v>43986</v>
      </c>
      <c r="F5" s="28">
        <v>63308</v>
      </c>
      <c r="H5" s="29">
        <v>43986</v>
      </c>
      <c r="I5" s="30">
        <v>0</v>
      </c>
      <c r="M5" s="31">
        <v>60417</v>
      </c>
      <c r="N5" s="32">
        <v>1263</v>
      </c>
    </row>
    <row r="6" spans="1:14" ht="16.2" thickBot="1" x14ac:dyDescent="0.35">
      <c r="A6" s="23"/>
      <c r="B6" s="248">
        <v>43987</v>
      </c>
      <c r="C6" s="249">
        <v>2529</v>
      </c>
      <c r="D6" s="252" t="s">
        <v>30</v>
      </c>
      <c r="E6" s="27">
        <v>43987</v>
      </c>
      <c r="F6" s="28">
        <v>111162</v>
      </c>
      <c r="H6" s="29">
        <v>43987</v>
      </c>
      <c r="I6" s="34">
        <v>10020</v>
      </c>
      <c r="J6" s="55">
        <v>44010</v>
      </c>
      <c r="K6" s="40" t="s">
        <v>13</v>
      </c>
      <c r="L6" s="41">
        <v>1450</v>
      </c>
      <c r="M6" s="31">
        <v>96999</v>
      </c>
      <c r="N6" s="32">
        <v>1614</v>
      </c>
    </row>
    <row r="7" spans="1:14" ht="15" thickBot="1" x14ac:dyDescent="0.35">
      <c r="A7" s="23"/>
      <c r="B7" s="248">
        <v>43988</v>
      </c>
      <c r="C7" s="249">
        <v>1537</v>
      </c>
      <c r="D7" s="253" t="s">
        <v>249</v>
      </c>
      <c r="E7" s="27">
        <v>43988</v>
      </c>
      <c r="F7" s="28">
        <v>90597</v>
      </c>
      <c r="H7" s="29">
        <v>43988</v>
      </c>
      <c r="I7" s="34">
        <v>0</v>
      </c>
      <c r="J7" s="254"/>
      <c r="K7" s="286" t="s">
        <v>15</v>
      </c>
      <c r="L7" s="45">
        <v>27661</v>
      </c>
      <c r="M7" s="31">
        <v>76979</v>
      </c>
      <c r="N7" s="32">
        <v>2131</v>
      </c>
    </row>
    <row r="8" spans="1:14" ht="15" thickBot="1" x14ac:dyDescent="0.35">
      <c r="A8" s="23"/>
      <c r="B8" s="248">
        <v>43989</v>
      </c>
      <c r="C8" s="287">
        <v>2981.7</v>
      </c>
      <c r="D8" s="255" t="s">
        <v>72</v>
      </c>
      <c r="E8" s="288">
        <v>43989</v>
      </c>
      <c r="F8" s="289">
        <v>163567</v>
      </c>
      <c r="H8" s="29">
        <v>43989</v>
      </c>
      <c r="I8" s="290">
        <f>14990+1800+990+120+38</f>
        <v>17938</v>
      </c>
      <c r="J8" s="291" t="s">
        <v>250</v>
      </c>
      <c r="K8" s="48" t="s">
        <v>251</v>
      </c>
      <c r="L8" s="49">
        <v>20000</v>
      </c>
      <c r="M8" s="31">
        <f>48800+90+51400+52850</f>
        <v>153140</v>
      </c>
      <c r="N8" s="32">
        <v>7614</v>
      </c>
    </row>
    <row r="9" spans="1:14" ht="15" thickBot="1" x14ac:dyDescent="0.35">
      <c r="A9" s="23"/>
      <c r="B9" s="248">
        <v>43990</v>
      </c>
      <c r="C9" s="292">
        <v>0</v>
      </c>
      <c r="D9" s="257"/>
      <c r="E9" s="293">
        <v>43990</v>
      </c>
      <c r="F9" s="294">
        <v>0</v>
      </c>
      <c r="H9" s="29">
        <v>43990</v>
      </c>
      <c r="I9" s="295">
        <v>0</v>
      </c>
      <c r="J9" s="296" t="s">
        <v>252</v>
      </c>
      <c r="K9" s="297"/>
      <c r="L9" s="41">
        <v>0</v>
      </c>
      <c r="M9" s="298">
        <v>0</v>
      </c>
      <c r="N9" s="299">
        <v>0</v>
      </c>
    </row>
    <row r="10" spans="1:14" ht="15" thickBot="1" x14ac:dyDescent="0.35">
      <c r="A10" s="23"/>
      <c r="B10" s="248">
        <v>43991</v>
      </c>
      <c r="C10" s="292">
        <v>0</v>
      </c>
      <c r="D10" s="253"/>
      <c r="E10" s="293">
        <v>43991</v>
      </c>
      <c r="F10" s="294">
        <v>0</v>
      </c>
      <c r="H10" s="29">
        <v>43991</v>
      </c>
      <c r="I10" s="295">
        <v>0</v>
      </c>
      <c r="J10" s="296" t="s">
        <v>252</v>
      </c>
      <c r="K10" s="300"/>
      <c r="L10" s="58"/>
      <c r="M10" s="298">
        <v>0</v>
      </c>
      <c r="N10" s="299">
        <v>0</v>
      </c>
    </row>
    <row r="11" spans="1:14" ht="15" thickBot="1" x14ac:dyDescent="0.35">
      <c r="A11" s="23"/>
      <c r="B11" s="248">
        <v>43992</v>
      </c>
      <c r="C11" s="249">
        <v>5416</v>
      </c>
      <c r="D11" s="252" t="s">
        <v>253</v>
      </c>
      <c r="E11" s="27">
        <v>43992</v>
      </c>
      <c r="F11" s="28">
        <v>58587</v>
      </c>
      <c r="H11" s="29">
        <v>43992</v>
      </c>
      <c r="I11" s="34">
        <v>1499</v>
      </c>
      <c r="J11" s="259"/>
      <c r="K11" s="54"/>
      <c r="L11" s="52"/>
      <c r="M11" s="31">
        <v>48424</v>
      </c>
      <c r="N11" s="32">
        <v>3248</v>
      </c>
    </row>
    <row r="12" spans="1:14" ht="15" thickBot="1" x14ac:dyDescent="0.35">
      <c r="A12" s="23"/>
      <c r="B12" s="248">
        <v>43993</v>
      </c>
      <c r="C12" s="249">
        <v>2545</v>
      </c>
      <c r="D12" s="252" t="s">
        <v>72</v>
      </c>
      <c r="E12" s="27">
        <v>43993</v>
      </c>
      <c r="F12" s="28">
        <v>73669</v>
      </c>
      <c r="H12" s="29">
        <v>43993</v>
      </c>
      <c r="I12" s="34">
        <v>0</v>
      </c>
      <c r="J12" s="55">
        <v>43988</v>
      </c>
      <c r="K12" s="48" t="s">
        <v>254</v>
      </c>
      <c r="L12" s="52">
        <f>14394.42+400+4000</f>
        <v>18794.419999999998</v>
      </c>
      <c r="M12" s="31">
        <v>65800</v>
      </c>
      <c r="N12" s="32">
        <v>5327</v>
      </c>
    </row>
    <row r="13" spans="1:14" ht="15" thickBot="1" x14ac:dyDescent="0.35">
      <c r="A13" s="23"/>
      <c r="B13" s="248">
        <v>43994</v>
      </c>
      <c r="C13" s="249">
        <v>2532</v>
      </c>
      <c r="D13" s="255" t="s">
        <v>255</v>
      </c>
      <c r="E13" s="27">
        <v>43994</v>
      </c>
      <c r="F13" s="28">
        <v>74415</v>
      </c>
      <c r="H13" s="29">
        <v>43994</v>
      </c>
      <c r="I13" s="34">
        <v>12000</v>
      </c>
      <c r="J13" s="55">
        <v>43995</v>
      </c>
      <c r="K13" s="48" t="s">
        <v>256</v>
      </c>
      <c r="L13" s="52">
        <f>13827.16+4000</f>
        <v>17827.16</v>
      </c>
      <c r="M13" s="31">
        <v>56323</v>
      </c>
      <c r="N13" s="32">
        <v>3560</v>
      </c>
    </row>
    <row r="14" spans="1:14" ht="15" thickBot="1" x14ac:dyDescent="0.35">
      <c r="A14" s="23"/>
      <c r="B14" s="248">
        <v>43995</v>
      </c>
      <c r="C14" s="249">
        <v>1160</v>
      </c>
      <c r="D14" s="253" t="s">
        <v>257</v>
      </c>
      <c r="E14" s="27">
        <v>43995</v>
      </c>
      <c r="F14" s="28">
        <v>99608</v>
      </c>
      <c r="H14" s="29">
        <v>43995</v>
      </c>
      <c r="I14" s="34">
        <v>0</v>
      </c>
      <c r="J14" s="55">
        <v>43996</v>
      </c>
      <c r="K14" s="48" t="s">
        <v>256</v>
      </c>
      <c r="L14" s="52">
        <v>400</v>
      </c>
      <c r="M14" s="31">
        <v>83411</v>
      </c>
      <c r="N14" s="32">
        <v>5756</v>
      </c>
    </row>
    <row r="15" spans="1:14" ht="15" thickBot="1" x14ac:dyDescent="0.35">
      <c r="A15" s="23"/>
      <c r="B15" s="248">
        <v>43996</v>
      </c>
      <c r="C15" s="249">
        <v>12071</v>
      </c>
      <c r="D15" s="252" t="s">
        <v>258</v>
      </c>
      <c r="E15" s="27">
        <v>43996</v>
      </c>
      <c r="F15" s="28">
        <v>80402</v>
      </c>
      <c r="H15" s="29">
        <v>43996</v>
      </c>
      <c r="I15" s="34">
        <v>0</v>
      </c>
      <c r="J15" s="55">
        <v>44002</v>
      </c>
      <c r="K15" s="48" t="s">
        <v>259</v>
      </c>
      <c r="L15" s="52">
        <f>15085.71+4000+400</f>
        <v>19485.71</v>
      </c>
      <c r="M15" s="31">
        <v>62436</v>
      </c>
      <c r="N15" s="32">
        <v>5495</v>
      </c>
    </row>
    <row r="16" spans="1:14" ht="15" thickBot="1" x14ac:dyDescent="0.35">
      <c r="A16" s="23"/>
      <c r="B16" s="248">
        <v>43997</v>
      </c>
      <c r="C16" s="249">
        <v>1875</v>
      </c>
      <c r="D16" s="252" t="s">
        <v>19</v>
      </c>
      <c r="E16" s="27">
        <v>43997</v>
      </c>
      <c r="F16" s="28">
        <v>58690</v>
      </c>
      <c r="H16" s="29">
        <v>43997</v>
      </c>
      <c r="I16" s="34">
        <v>400</v>
      </c>
      <c r="J16" s="55">
        <v>44009</v>
      </c>
      <c r="K16" s="48" t="s">
        <v>260</v>
      </c>
      <c r="L16" s="56">
        <f>12360.87+4000</f>
        <v>16360.87</v>
      </c>
      <c r="M16" s="31">
        <v>54259</v>
      </c>
      <c r="N16" s="32">
        <v>2156</v>
      </c>
    </row>
    <row r="17" spans="1:14" ht="15" thickBot="1" x14ac:dyDescent="0.35">
      <c r="A17" s="23"/>
      <c r="B17" s="248">
        <v>43998</v>
      </c>
      <c r="C17" s="249">
        <v>298.8</v>
      </c>
      <c r="D17" s="255" t="s">
        <v>87</v>
      </c>
      <c r="E17" s="27">
        <v>43998</v>
      </c>
      <c r="F17" s="28">
        <v>55065</v>
      </c>
      <c r="H17" s="29">
        <v>43998</v>
      </c>
      <c r="I17" s="34">
        <v>932</v>
      </c>
      <c r="J17" s="57">
        <v>44010</v>
      </c>
      <c r="K17" s="48" t="s">
        <v>228</v>
      </c>
      <c r="L17" s="58">
        <v>400</v>
      </c>
      <c r="M17" s="31">
        <v>50358</v>
      </c>
      <c r="N17" s="32">
        <v>3476</v>
      </c>
    </row>
    <row r="18" spans="1:14" ht="15" thickBot="1" x14ac:dyDescent="0.35">
      <c r="A18" s="23"/>
      <c r="B18" s="248">
        <v>43999</v>
      </c>
      <c r="C18" s="249">
        <v>5807.82</v>
      </c>
      <c r="D18" s="252" t="s">
        <v>261</v>
      </c>
      <c r="E18" s="27">
        <v>43999</v>
      </c>
      <c r="F18" s="28">
        <v>70382</v>
      </c>
      <c r="H18" s="29">
        <v>43999</v>
      </c>
      <c r="I18" s="34">
        <v>3000</v>
      </c>
      <c r="J18" s="57">
        <v>44015</v>
      </c>
      <c r="K18" s="59" t="s">
        <v>262</v>
      </c>
      <c r="L18" s="52">
        <f>13732.3+4000+400</f>
        <v>18132.3</v>
      </c>
      <c r="M18" s="31">
        <v>59681</v>
      </c>
      <c r="N18" s="32">
        <v>1893</v>
      </c>
    </row>
    <row r="19" spans="1:14" ht="15" thickBot="1" x14ac:dyDescent="0.35">
      <c r="A19" s="23"/>
      <c r="B19" s="248">
        <v>44000</v>
      </c>
      <c r="C19" s="249">
        <v>854</v>
      </c>
      <c r="D19" s="252" t="s">
        <v>19</v>
      </c>
      <c r="E19" s="27">
        <v>44000</v>
      </c>
      <c r="F19" s="28">
        <v>70688</v>
      </c>
      <c r="H19" s="29">
        <v>44000</v>
      </c>
      <c r="I19" s="34">
        <v>0</v>
      </c>
      <c r="J19" s="57">
        <v>44023</v>
      </c>
      <c r="K19" s="59" t="s">
        <v>263</v>
      </c>
      <c r="L19" s="61">
        <f>11274.59+4000+400</f>
        <v>15674.59</v>
      </c>
      <c r="M19" s="31">
        <v>68185</v>
      </c>
      <c r="N19" s="32">
        <v>1649</v>
      </c>
    </row>
    <row r="20" spans="1:14" ht="15" thickBot="1" x14ac:dyDescent="0.35">
      <c r="A20" s="23"/>
      <c r="B20" s="248">
        <v>44001</v>
      </c>
      <c r="C20" s="249">
        <v>11305</v>
      </c>
      <c r="D20" s="252" t="s">
        <v>264</v>
      </c>
      <c r="E20" s="27">
        <v>44001</v>
      </c>
      <c r="F20" s="28">
        <v>100344</v>
      </c>
      <c r="H20" s="29">
        <v>44001</v>
      </c>
      <c r="I20" s="34">
        <v>10020</v>
      </c>
      <c r="J20" s="55"/>
      <c r="K20" s="62"/>
      <c r="L20" s="58"/>
      <c r="M20" s="31">
        <v>76170</v>
      </c>
      <c r="N20" s="32">
        <v>2849</v>
      </c>
    </row>
    <row r="21" spans="1:14" ht="16.2" thickBot="1" x14ac:dyDescent="0.35">
      <c r="A21" s="23"/>
      <c r="B21" s="248">
        <v>44002</v>
      </c>
      <c r="C21" s="249">
        <v>5569</v>
      </c>
      <c r="D21" s="252" t="s">
        <v>265</v>
      </c>
      <c r="E21" s="27">
        <v>44002</v>
      </c>
      <c r="F21" s="28">
        <v>132341</v>
      </c>
      <c r="H21" s="29">
        <v>44002</v>
      </c>
      <c r="I21" s="34">
        <v>50.82</v>
      </c>
      <c r="J21" s="57"/>
      <c r="K21" s="63"/>
      <c r="L21" s="58"/>
      <c r="M21" s="31">
        <f>70000+38982</f>
        <v>108982</v>
      </c>
      <c r="N21" s="32">
        <v>7175</v>
      </c>
    </row>
    <row r="22" spans="1:14" ht="15" thickBot="1" x14ac:dyDescent="0.35">
      <c r="A22" s="23"/>
      <c r="B22" s="248">
        <v>44003</v>
      </c>
      <c r="C22" s="249">
        <v>2634</v>
      </c>
      <c r="D22" s="252" t="s">
        <v>266</v>
      </c>
      <c r="E22" s="27">
        <v>44003</v>
      </c>
      <c r="F22" s="28">
        <v>126332</v>
      </c>
      <c r="H22" s="29">
        <v>44003</v>
      </c>
      <c r="I22" s="34">
        <v>0</v>
      </c>
      <c r="J22" s="64"/>
      <c r="K22" s="65"/>
      <c r="L22" s="66"/>
      <c r="M22" s="31">
        <v>117788</v>
      </c>
      <c r="N22" s="32">
        <v>5910</v>
      </c>
    </row>
    <row r="23" spans="1:14" ht="15" thickBot="1" x14ac:dyDescent="0.35">
      <c r="A23" s="23"/>
      <c r="B23" s="248">
        <v>44004</v>
      </c>
      <c r="C23" s="249">
        <v>0</v>
      </c>
      <c r="D23" s="252"/>
      <c r="E23" s="27">
        <v>44004</v>
      </c>
      <c r="F23" s="28">
        <v>68769</v>
      </c>
      <c r="H23" s="29">
        <v>44004</v>
      </c>
      <c r="I23" s="34">
        <v>0</v>
      </c>
      <c r="J23" s="221"/>
      <c r="K23" s="222"/>
      <c r="L23" s="223"/>
      <c r="M23" s="31">
        <v>64930</v>
      </c>
      <c r="N23" s="32">
        <v>3839</v>
      </c>
    </row>
    <row r="24" spans="1:14" ht="15" thickBot="1" x14ac:dyDescent="0.35">
      <c r="A24" s="23"/>
      <c r="B24" s="248">
        <v>44005</v>
      </c>
      <c r="C24" s="249">
        <v>10976</v>
      </c>
      <c r="D24" s="252" t="s">
        <v>267</v>
      </c>
      <c r="E24" s="27">
        <v>44005</v>
      </c>
      <c r="F24" s="28">
        <v>59178</v>
      </c>
      <c r="H24" s="29">
        <v>44005</v>
      </c>
      <c r="I24" s="34">
        <v>426</v>
      </c>
      <c r="J24" s="224" t="s">
        <v>268</v>
      </c>
      <c r="K24" s="228" t="s">
        <v>269</v>
      </c>
      <c r="L24" s="226">
        <v>6500</v>
      </c>
      <c r="M24" s="31">
        <v>47086</v>
      </c>
      <c r="N24" s="32">
        <v>690</v>
      </c>
    </row>
    <row r="25" spans="1:14" ht="15" thickBot="1" x14ac:dyDescent="0.35">
      <c r="A25" s="23"/>
      <c r="B25" s="248">
        <v>44006</v>
      </c>
      <c r="C25" s="249">
        <v>3935</v>
      </c>
      <c r="D25" s="252" t="s">
        <v>270</v>
      </c>
      <c r="E25" s="27">
        <v>44006</v>
      </c>
      <c r="F25" s="28">
        <v>66092</v>
      </c>
      <c r="H25" s="29">
        <v>44006</v>
      </c>
      <c r="I25" s="34">
        <v>450</v>
      </c>
      <c r="J25" s="227" t="s">
        <v>268</v>
      </c>
      <c r="K25" s="86" t="s">
        <v>176</v>
      </c>
      <c r="L25" s="178">
        <f>10260+9345</f>
        <v>19605</v>
      </c>
      <c r="M25" s="31">
        <v>57772</v>
      </c>
      <c r="N25" s="32">
        <v>3935</v>
      </c>
    </row>
    <row r="26" spans="1:14" ht="15" thickBot="1" x14ac:dyDescent="0.35">
      <c r="A26" s="23"/>
      <c r="B26" s="248">
        <v>44007</v>
      </c>
      <c r="C26" s="249">
        <v>6279</v>
      </c>
      <c r="D26" s="252" t="s">
        <v>271</v>
      </c>
      <c r="E26" s="27">
        <v>44007</v>
      </c>
      <c r="F26" s="28">
        <v>57063</v>
      </c>
      <c r="H26" s="29">
        <v>44007</v>
      </c>
      <c r="I26" s="34">
        <v>0</v>
      </c>
      <c r="J26" s="57" t="s">
        <v>268</v>
      </c>
      <c r="K26" s="228" t="s">
        <v>165</v>
      </c>
      <c r="L26" s="223">
        <v>10000</v>
      </c>
      <c r="M26" s="31">
        <v>48139</v>
      </c>
      <c r="N26" s="32">
        <v>2645</v>
      </c>
    </row>
    <row r="27" spans="1:14" ht="15" thickBot="1" x14ac:dyDescent="0.35">
      <c r="A27" s="23"/>
      <c r="B27" s="248">
        <v>44008</v>
      </c>
      <c r="C27" s="249">
        <v>8880</v>
      </c>
      <c r="D27" s="252" t="s">
        <v>272</v>
      </c>
      <c r="E27" s="27">
        <v>44008</v>
      </c>
      <c r="F27" s="28">
        <v>98558</v>
      </c>
      <c r="H27" s="29">
        <v>44008</v>
      </c>
      <c r="I27" s="34">
        <v>12020</v>
      </c>
      <c r="J27" s="176" t="s">
        <v>268</v>
      </c>
      <c r="K27" s="96" t="s">
        <v>192</v>
      </c>
      <c r="L27" s="178">
        <v>986</v>
      </c>
      <c r="M27" s="31">
        <f>72343+935</f>
        <v>73278</v>
      </c>
      <c r="N27" s="32">
        <v>4380</v>
      </c>
    </row>
    <row r="28" spans="1:14" ht="15" thickBot="1" x14ac:dyDescent="0.35">
      <c r="A28" s="23"/>
      <c r="B28" s="248">
        <v>44009</v>
      </c>
      <c r="C28" s="249">
        <v>2416</v>
      </c>
      <c r="D28" s="260" t="s">
        <v>273</v>
      </c>
      <c r="E28" s="27">
        <v>44009</v>
      </c>
      <c r="F28" s="28">
        <v>111522</v>
      </c>
      <c r="H28" s="29">
        <v>44009</v>
      </c>
      <c r="I28" s="34">
        <v>0</v>
      </c>
      <c r="J28" s="176" t="s">
        <v>268</v>
      </c>
      <c r="K28" s="301" t="s">
        <v>274</v>
      </c>
      <c r="L28" s="178">
        <v>15196</v>
      </c>
      <c r="M28" s="31">
        <v>97570</v>
      </c>
      <c r="N28" s="32">
        <v>3419</v>
      </c>
    </row>
    <row r="29" spans="1:14" ht="15" thickBot="1" x14ac:dyDescent="0.35">
      <c r="A29" s="23"/>
      <c r="B29" s="248">
        <v>44010</v>
      </c>
      <c r="C29" s="249">
        <v>5855</v>
      </c>
      <c r="D29" s="261" t="s">
        <v>275</v>
      </c>
      <c r="E29" s="27">
        <v>44010</v>
      </c>
      <c r="F29" s="28">
        <v>70842</v>
      </c>
      <c r="H29" s="29">
        <v>44010</v>
      </c>
      <c r="I29" s="34">
        <v>88</v>
      </c>
      <c r="J29" s="176" t="s">
        <v>268</v>
      </c>
      <c r="K29" s="86" t="s">
        <v>276</v>
      </c>
      <c r="L29" s="178">
        <v>6828.96</v>
      </c>
      <c r="M29" s="31">
        <v>56789</v>
      </c>
      <c r="N29" s="32">
        <v>6260</v>
      </c>
    </row>
    <row r="30" spans="1:14" ht="15" thickBot="1" x14ac:dyDescent="0.35">
      <c r="A30" s="23"/>
      <c r="B30" s="248">
        <v>44011</v>
      </c>
      <c r="C30" s="249">
        <v>1160</v>
      </c>
      <c r="D30" s="261" t="s">
        <v>277</v>
      </c>
      <c r="E30" s="27">
        <v>44011</v>
      </c>
      <c r="F30" s="28">
        <v>73563</v>
      </c>
      <c r="H30" s="29">
        <v>44011</v>
      </c>
      <c r="I30" s="199">
        <v>0</v>
      </c>
      <c r="J30" s="176" t="s">
        <v>268</v>
      </c>
      <c r="K30" s="231" t="s">
        <v>46</v>
      </c>
      <c r="L30" s="232">
        <v>1315.86</v>
      </c>
      <c r="M30" s="31">
        <v>72771</v>
      </c>
      <c r="N30" s="32">
        <v>2109</v>
      </c>
    </row>
    <row r="31" spans="1:14" ht="15" thickBot="1" x14ac:dyDescent="0.35">
      <c r="A31" s="23"/>
      <c r="B31" s="248">
        <v>44012</v>
      </c>
      <c r="C31" s="262">
        <v>6640</v>
      </c>
      <c r="D31" s="261" t="s">
        <v>278</v>
      </c>
      <c r="E31" s="27">
        <v>44012</v>
      </c>
      <c r="F31" s="28">
        <v>62116</v>
      </c>
      <c r="H31" s="29">
        <v>44012</v>
      </c>
      <c r="I31" s="199">
        <v>678</v>
      </c>
      <c r="J31" s="176" t="s">
        <v>268</v>
      </c>
      <c r="K31" s="86" t="s">
        <v>279</v>
      </c>
      <c r="L31" s="178">
        <v>1914</v>
      </c>
      <c r="M31" s="31">
        <v>52032</v>
      </c>
      <c r="N31" s="32">
        <v>2766</v>
      </c>
    </row>
    <row r="32" spans="1:14" ht="15" thickBot="1" x14ac:dyDescent="0.35">
      <c r="A32" s="23"/>
      <c r="B32" s="248">
        <v>44013</v>
      </c>
      <c r="C32" s="262">
        <v>1915</v>
      </c>
      <c r="D32" s="261" t="s">
        <v>280</v>
      </c>
      <c r="E32" s="27">
        <v>44013</v>
      </c>
      <c r="F32" s="202">
        <v>68656</v>
      </c>
      <c r="H32" s="29">
        <v>44013</v>
      </c>
      <c r="I32" s="199">
        <v>2000</v>
      </c>
      <c r="J32" s="176" t="s">
        <v>268</v>
      </c>
      <c r="K32" s="302" t="s">
        <v>281</v>
      </c>
      <c r="L32" s="178">
        <v>1148.0999999999999</v>
      </c>
      <c r="M32" s="31">
        <v>58984</v>
      </c>
      <c r="N32" s="32">
        <v>5757</v>
      </c>
    </row>
    <row r="33" spans="1:14" ht="16.2" thickBot="1" x14ac:dyDescent="0.35">
      <c r="A33" s="23"/>
      <c r="B33" s="248">
        <v>44014</v>
      </c>
      <c r="C33" s="262">
        <v>1753</v>
      </c>
      <c r="D33" s="263" t="s">
        <v>19</v>
      </c>
      <c r="E33" s="27">
        <v>44014</v>
      </c>
      <c r="F33" s="97">
        <v>73032</v>
      </c>
      <c r="H33" s="29">
        <v>44014</v>
      </c>
      <c r="I33" s="199">
        <v>0</v>
      </c>
      <c r="J33" s="176" t="s">
        <v>268</v>
      </c>
      <c r="K33" s="303" t="s">
        <v>282</v>
      </c>
      <c r="L33" s="178">
        <v>1508</v>
      </c>
      <c r="M33" s="31">
        <v>67373</v>
      </c>
      <c r="N33" s="32">
        <v>3906</v>
      </c>
    </row>
    <row r="34" spans="1:14" ht="15" thickBot="1" x14ac:dyDescent="0.35">
      <c r="A34" s="23"/>
      <c r="B34" s="248">
        <v>44015</v>
      </c>
      <c r="C34" s="262">
        <v>5579</v>
      </c>
      <c r="D34" s="304" t="s">
        <v>283</v>
      </c>
      <c r="E34" s="27">
        <v>44015</v>
      </c>
      <c r="F34" s="97">
        <v>93850</v>
      </c>
      <c r="H34" s="29">
        <v>44015</v>
      </c>
      <c r="I34" s="199">
        <v>14652.99</v>
      </c>
      <c r="J34" s="176" t="s">
        <v>268</v>
      </c>
      <c r="K34" s="86" t="s">
        <v>243</v>
      </c>
      <c r="L34" s="178">
        <v>1899.74</v>
      </c>
      <c r="M34" s="31">
        <v>50825</v>
      </c>
      <c r="N34" s="32">
        <v>2793</v>
      </c>
    </row>
    <row r="35" spans="1:14" ht="15" thickBot="1" x14ac:dyDescent="0.35">
      <c r="A35" s="23"/>
      <c r="B35" s="248">
        <v>44016</v>
      </c>
      <c r="C35" s="262">
        <v>10900</v>
      </c>
      <c r="D35" s="263" t="s">
        <v>284</v>
      </c>
      <c r="E35" s="27">
        <v>44016</v>
      </c>
      <c r="F35" s="97">
        <v>99053</v>
      </c>
      <c r="H35" s="29">
        <v>44016</v>
      </c>
      <c r="I35" s="199">
        <v>0</v>
      </c>
      <c r="J35" s="176"/>
      <c r="K35" s="96" t="s">
        <v>285</v>
      </c>
      <c r="L35" s="233">
        <v>11600</v>
      </c>
      <c r="M35" s="31">
        <f>73069+135+570</f>
        <v>73774</v>
      </c>
      <c r="N35" s="32">
        <v>4940</v>
      </c>
    </row>
    <row r="36" spans="1:14" ht="15" thickBot="1" x14ac:dyDescent="0.35">
      <c r="A36" s="23"/>
      <c r="B36" s="248">
        <v>44017</v>
      </c>
      <c r="C36" s="262">
        <v>9059</v>
      </c>
      <c r="D36" s="263" t="s">
        <v>286</v>
      </c>
      <c r="E36" s="27">
        <v>44017</v>
      </c>
      <c r="F36" s="97">
        <v>72452</v>
      </c>
      <c r="H36" s="29">
        <v>44017</v>
      </c>
      <c r="I36" s="199">
        <v>0</v>
      </c>
      <c r="J36" s="176" t="s">
        <v>268</v>
      </c>
      <c r="K36" s="86" t="s">
        <v>287</v>
      </c>
      <c r="L36" s="178">
        <v>20</v>
      </c>
      <c r="M36" s="31">
        <v>61030</v>
      </c>
      <c r="N36" s="32">
        <v>2363</v>
      </c>
    </row>
    <row r="37" spans="1:14" ht="15" thickBot="1" x14ac:dyDescent="0.35">
      <c r="A37" s="23"/>
      <c r="B37" s="248">
        <v>44018</v>
      </c>
      <c r="C37" s="262">
        <v>3220</v>
      </c>
      <c r="D37" s="305" t="s">
        <v>288</v>
      </c>
      <c r="E37" s="27">
        <v>44018</v>
      </c>
      <c r="F37" s="97">
        <v>73507</v>
      </c>
      <c r="H37" s="29">
        <v>44018</v>
      </c>
      <c r="I37" s="199">
        <v>0</v>
      </c>
      <c r="J37" s="176" t="s">
        <v>268</v>
      </c>
      <c r="K37" s="86" t="s">
        <v>289</v>
      </c>
      <c r="L37" s="178">
        <v>8394.5</v>
      </c>
      <c r="M37" s="31">
        <v>68986</v>
      </c>
      <c r="N37" s="32">
        <v>1301</v>
      </c>
    </row>
    <row r="38" spans="1:14" ht="15" thickBot="1" x14ac:dyDescent="0.35">
      <c r="A38" s="23"/>
      <c r="B38" s="248">
        <v>44019</v>
      </c>
      <c r="C38" s="306">
        <v>3535</v>
      </c>
      <c r="D38" s="305" t="s">
        <v>290</v>
      </c>
      <c r="E38" s="27">
        <v>44019</v>
      </c>
      <c r="F38" s="97">
        <v>69909</v>
      </c>
      <c r="H38" s="29">
        <v>44019</v>
      </c>
      <c r="I38" s="199">
        <v>118</v>
      </c>
      <c r="J38" s="176" t="s">
        <v>268</v>
      </c>
      <c r="K38" s="109" t="s">
        <v>238</v>
      </c>
      <c r="L38" s="235">
        <v>10180.040000000001</v>
      </c>
      <c r="M38" s="31">
        <v>62096</v>
      </c>
      <c r="N38" s="32">
        <v>4160</v>
      </c>
    </row>
    <row r="39" spans="1:14" ht="15" thickBot="1" x14ac:dyDescent="0.35">
      <c r="A39" s="23"/>
      <c r="B39" s="248">
        <v>44020</v>
      </c>
      <c r="C39" s="306">
        <v>2705</v>
      </c>
      <c r="D39" s="46" t="s">
        <v>291</v>
      </c>
      <c r="E39" s="27">
        <v>44020</v>
      </c>
      <c r="F39" s="97">
        <v>81573</v>
      </c>
      <c r="H39" s="29">
        <v>44020</v>
      </c>
      <c r="I39" s="307">
        <v>0</v>
      </c>
      <c r="J39" s="176" t="s">
        <v>268</v>
      </c>
      <c r="K39" s="109" t="s">
        <v>292</v>
      </c>
      <c r="L39" s="235">
        <v>2075</v>
      </c>
      <c r="M39" s="31">
        <v>76950</v>
      </c>
      <c r="N39" s="32">
        <v>1920</v>
      </c>
    </row>
    <row r="40" spans="1:14" ht="15" thickBot="1" x14ac:dyDescent="0.35">
      <c r="A40" s="23"/>
      <c r="B40" s="248">
        <v>44021</v>
      </c>
      <c r="C40" s="306">
        <v>2880</v>
      </c>
      <c r="D40" s="46" t="s">
        <v>293</v>
      </c>
      <c r="E40" s="27">
        <v>44021</v>
      </c>
      <c r="F40" s="97">
        <v>60427</v>
      </c>
      <c r="G40" s="308"/>
      <c r="H40" s="90">
        <v>44021</v>
      </c>
      <c r="I40" s="307">
        <f>35767</f>
        <v>35767</v>
      </c>
      <c r="J40" s="309" t="s">
        <v>294</v>
      </c>
      <c r="K40" s="109"/>
      <c r="L40" s="235"/>
      <c r="M40" s="31">
        <v>55412</v>
      </c>
      <c r="N40" s="32">
        <v>2135</v>
      </c>
    </row>
    <row r="41" spans="1:14" ht="15" thickBot="1" x14ac:dyDescent="0.35">
      <c r="A41" s="102"/>
      <c r="B41" s="248">
        <v>44022</v>
      </c>
      <c r="C41" s="310">
        <v>9694</v>
      </c>
      <c r="D41" s="311" t="s">
        <v>295</v>
      </c>
      <c r="E41" s="171">
        <v>44022</v>
      </c>
      <c r="F41" s="312">
        <v>121105</v>
      </c>
      <c r="G41" s="313"/>
      <c r="H41" s="90">
        <v>44022</v>
      </c>
      <c r="I41" s="104">
        <v>12020</v>
      </c>
      <c r="J41" s="85"/>
      <c r="K41" s="213"/>
      <c r="L41" s="66"/>
      <c r="M41" s="97">
        <v>93691</v>
      </c>
      <c r="N41" s="97">
        <v>5700</v>
      </c>
    </row>
    <row r="42" spans="1:14" ht="15" thickBot="1" x14ac:dyDescent="0.35">
      <c r="A42" s="102"/>
      <c r="B42" s="248">
        <v>44023</v>
      </c>
      <c r="C42" s="310">
        <v>2148</v>
      </c>
      <c r="D42" s="46" t="s">
        <v>12</v>
      </c>
      <c r="E42" s="314">
        <v>44023</v>
      </c>
      <c r="F42" s="104">
        <v>124490</v>
      </c>
      <c r="G42" s="313"/>
      <c r="H42" s="90">
        <v>44023</v>
      </c>
      <c r="I42" s="104">
        <v>238</v>
      </c>
      <c r="J42" s="315" t="s">
        <v>296</v>
      </c>
      <c r="K42" s="316" t="s">
        <v>297</v>
      </c>
      <c r="L42" s="66">
        <v>4792</v>
      </c>
      <c r="M42" s="97">
        <v>108611</v>
      </c>
      <c r="N42" s="97">
        <v>5657</v>
      </c>
    </row>
    <row r="43" spans="1:14" ht="15" thickBot="1" x14ac:dyDescent="0.35">
      <c r="A43" s="102"/>
      <c r="B43" s="248">
        <v>44024</v>
      </c>
      <c r="C43" s="310">
        <v>3042</v>
      </c>
      <c r="D43" s="46" t="s">
        <v>298</v>
      </c>
      <c r="E43" s="27">
        <v>44024</v>
      </c>
      <c r="F43" s="104">
        <v>68031</v>
      </c>
      <c r="G43" s="313"/>
      <c r="H43" s="90">
        <v>44024</v>
      </c>
      <c r="I43" s="104">
        <v>0</v>
      </c>
      <c r="J43" s="85"/>
      <c r="K43" s="316"/>
      <c r="L43" s="66"/>
      <c r="M43" s="97">
        <v>63676</v>
      </c>
      <c r="N43" s="97">
        <v>1313</v>
      </c>
    </row>
    <row r="44" spans="1:14" ht="15" thickBot="1" x14ac:dyDescent="0.35">
      <c r="A44" s="102"/>
      <c r="B44" s="248">
        <v>44025</v>
      </c>
      <c r="C44" s="317">
        <v>6560.96</v>
      </c>
      <c r="D44" s="46" t="s">
        <v>299</v>
      </c>
      <c r="E44" s="27">
        <v>44025</v>
      </c>
      <c r="F44" s="104">
        <v>88944</v>
      </c>
      <c r="G44" s="313"/>
      <c r="H44" s="90">
        <v>44025</v>
      </c>
      <c r="I44" s="104">
        <v>0</v>
      </c>
      <c r="J44" s="85"/>
      <c r="K44" s="316"/>
      <c r="L44" s="66"/>
      <c r="M44" s="97">
        <v>78406</v>
      </c>
      <c r="N44" s="97">
        <v>3977</v>
      </c>
    </row>
    <row r="45" spans="1:14" ht="15" thickBot="1" x14ac:dyDescent="0.35">
      <c r="A45" s="102"/>
      <c r="B45" s="318">
        <v>44026</v>
      </c>
      <c r="C45" s="319">
        <v>4450</v>
      </c>
      <c r="D45" s="46" t="s">
        <v>300</v>
      </c>
      <c r="E45" s="27">
        <v>44026</v>
      </c>
      <c r="F45" s="104">
        <v>83382</v>
      </c>
      <c r="G45" s="313"/>
      <c r="H45" s="90">
        <v>44026</v>
      </c>
      <c r="I45" s="104">
        <v>39</v>
      </c>
      <c r="J45" s="320"/>
      <c r="K45" s="316"/>
      <c r="L45" s="66"/>
      <c r="M45" s="97">
        <v>77874</v>
      </c>
      <c r="N45" s="97">
        <v>1019</v>
      </c>
    </row>
    <row r="46" spans="1:14" x14ac:dyDescent="0.3">
      <c r="A46" s="102"/>
      <c r="B46" s="321"/>
      <c r="C46" s="319"/>
      <c r="D46" s="46"/>
      <c r="E46" s="322"/>
      <c r="F46" s="119"/>
      <c r="H46" s="90"/>
      <c r="I46" s="119"/>
      <c r="J46" s="323"/>
      <c r="K46" s="316"/>
      <c r="L46" s="66"/>
      <c r="M46" s="97">
        <v>0</v>
      </c>
      <c r="N46" s="97">
        <v>0</v>
      </c>
    </row>
    <row r="47" spans="1:14" x14ac:dyDescent="0.3">
      <c r="A47" s="102"/>
      <c r="B47" s="248">
        <v>43986</v>
      </c>
      <c r="C47" s="319">
        <v>20490.72</v>
      </c>
      <c r="D47" s="46" t="s">
        <v>301</v>
      </c>
      <c r="E47" s="90"/>
      <c r="F47" s="119"/>
      <c r="H47" s="90"/>
      <c r="I47" s="119"/>
      <c r="J47" s="323"/>
      <c r="K47" s="316"/>
      <c r="L47" s="66"/>
      <c r="M47" s="97">
        <v>0</v>
      </c>
      <c r="N47" s="97">
        <v>0</v>
      </c>
    </row>
    <row r="48" spans="1:14" x14ac:dyDescent="0.3">
      <c r="A48" s="102"/>
      <c r="B48" s="248">
        <v>43988</v>
      </c>
      <c r="C48" s="319">
        <v>17866.36</v>
      </c>
      <c r="D48" s="46" t="s">
        <v>301</v>
      </c>
      <c r="E48" s="90"/>
      <c r="F48" s="119"/>
      <c r="H48" s="90"/>
      <c r="I48" s="119"/>
      <c r="J48" s="323"/>
      <c r="K48" s="316"/>
      <c r="L48" s="66"/>
      <c r="M48" s="97">
        <v>0</v>
      </c>
      <c r="N48" s="97">
        <v>0</v>
      </c>
    </row>
    <row r="49" spans="1:14" x14ac:dyDescent="0.3">
      <c r="A49" s="102"/>
      <c r="B49" s="248">
        <v>43992</v>
      </c>
      <c r="C49" s="319">
        <v>13936.04</v>
      </c>
      <c r="D49" s="46" t="s">
        <v>301</v>
      </c>
      <c r="E49" s="90"/>
      <c r="F49" s="119"/>
      <c r="H49" s="90"/>
      <c r="I49" s="119"/>
      <c r="J49" s="323"/>
      <c r="K49" s="316"/>
      <c r="L49" s="66"/>
      <c r="M49" s="97">
        <v>0</v>
      </c>
      <c r="N49" s="97">
        <v>0</v>
      </c>
    </row>
    <row r="50" spans="1:14" x14ac:dyDescent="0.3">
      <c r="A50" s="102"/>
      <c r="B50" s="324">
        <v>43993</v>
      </c>
      <c r="C50" s="319">
        <v>25553.72</v>
      </c>
      <c r="D50" s="46" t="s">
        <v>301</v>
      </c>
      <c r="E50" s="90"/>
      <c r="F50" s="119"/>
      <c r="H50" s="90"/>
      <c r="I50" s="119"/>
      <c r="J50" s="323"/>
      <c r="K50" s="316"/>
      <c r="L50" s="66"/>
      <c r="M50" s="97">
        <v>0</v>
      </c>
      <c r="N50" s="97">
        <v>0</v>
      </c>
    </row>
    <row r="51" spans="1:14" x14ac:dyDescent="0.3">
      <c r="A51" s="102"/>
      <c r="B51" s="324">
        <v>43995</v>
      </c>
      <c r="C51" s="325">
        <v>5188.4799999999996</v>
      </c>
      <c r="D51" s="46" t="s">
        <v>302</v>
      </c>
      <c r="E51" s="90"/>
      <c r="F51" s="119"/>
      <c r="H51" s="90"/>
      <c r="I51" s="119"/>
      <c r="J51" s="323"/>
      <c r="K51" s="316"/>
      <c r="L51" s="66"/>
      <c r="M51" s="97">
        <v>0</v>
      </c>
      <c r="N51" s="97">
        <v>0</v>
      </c>
    </row>
    <row r="52" spans="1:14" x14ac:dyDescent="0.3">
      <c r="A52" s="102"/>
      <c r="B52" s="324">
        <v>43997</v>
      </c>
      <c r="C52" s="319">
        <v>15549.93</v>
      </c>
      <c r="D52" s="46" t="s">
        <v>301</v>
      </c>
      <c r="E52" s="90"/>
      <c r="F52" s="119"/>
      <c r="H52" s="90"/>
      <c r="I52" s="119"/>
      <c r="J52" s="323"/>
      <c r="K52" s="316"/>
      <c r="L52" s="66"/>
      <c r="M52" s="97">
        <v>0</v>
      </c>
      <c r="N52" s="97">
        <v>0</v>
      </c>
    </row>
    <row r="53" spans="1:14" x14ac:dyDescent="0.3">
      <c r="A53" s="102"/>
      <c r="B53" s="324">
        <v>43999</v>
      </c>
      <c r="C53" s="326">
        <v>30243.02</v>
      </c>
      <c r="D53" s="46" t="s">
        <v>303</v>
      </c>
      <c r="E53" s="90"/>
      <c r="F53" s="119"/>
      <c r="H53" s="90"/>
      <c r="I53" s="119"/>
      <c r="J53" s="323"/>
      <c r="K53" s="316"/>
      <c r="L53" s="66"/>
      <c r="M53" s="97">
        <v>0</v>
      </c>
      <c r="N53" s="97">
        <v>0</v>
      </c>
    </row>
    <row r="54" spans="1:14" x14ac:dyDescent="0.3">
      <c r="A54" s="102"/>
      <c r="B54" s="324">
        <v>44002</v>
      </c>
      <c r="C54" s="327">
        <v>15580.51</v>
      </c>
      <c r="D54" s="46" t="s">
        <v>41</v>
      </c>
      <c r="E54" s="90"/>
      <c r="F54" s="119"/>
      <c r="H54" s="90"/>
      <c r="I54" s="119"/>
      <c r="J54" s="323"/>
      <c r="K54" s="316"/>
      <c r="L54" s="66"/>
      <c r="M54" s="97">
        <v>0</v>
      </c>
      <c r="N54" s="97">
        <v>0</v>
      </c>
    </row>
    <row r="55" spans="1:14" x14ac:dyDescent="0.3">
      <c r="A55" s="102"/>
      <c r="B55" s="324">
        <v>44004</v>
      </c>
      <c r="C55" s="326">
        <v>16551.009999999998</v>
      </c>
      <c r="D55" s="46" t="s">
        <v>304</v>
      </c>
      <c r="E55" s="90"/>
      <c r="F55" s="119"/>
      <c r="H55" s="90"/>
      <c r="I55" s="119"/>
      <c r="J55" s="323"/>
      <c r="K55" s="316"/>
      <c r="L55" s="66"/>
      <c r="M55" s="97">
        <v>0</v>
      </c>
      <c r="N55" s="97">
        <v>0</v>
      </c>
    </row>
    <row r="56" spans="1:14" x14ac:dyDescent="0.3">
      <c r="A56" s="102"/>
      <c r="B56" s="324">
        <v>44006</v>
      </c>
      <c r="C56" s="326">
        <v>14103.63</v>
      </c>
      <c r="D56" s="46" t="s">
        <v>305</v>
      </c>
      <c r="E56" s="90"/>
      <c r="F56" s="119"/>
      <c r="H56" s="90"/>
      <c r="I56" s="119"/>
      <c r="J56" s="323"/>
      <c r="K56" s="316"/>
      <c r="L56" s="66"/>
      <c r="M56" s="97">
        <v>0</v>
      </c>
      <c r="N56" s="97">
        <v>0</v>
      </c>
    </row>
    <row r="57" spans="1:14" x14ac:dyDescent="0.3">
      <c r="A57" s="102"/>
      <c r="B57" s="324">
        <v>44011</v>
      </c>
      <c r="C57" s="326">
        <v>18181.38</v>
      </c>
      <c r="D57" s="46" t="s">
        <v>306</v>
      </c>
      <c r="E57" s="90"/>
      <c r="F57" s="119"/>
      <c r="H57" s="90"/>
      <c r="I57" s="119"/>
      <c r="J57" s="323"/>
      <c r="K57" s="316"/>
      <c r="L57" s="66"/>
      <c r="M57" s="97">
        <v>0</v>
      </c>
      <c r="N57" s="97">
        <v>0</v>
      </c>
    </row>
    <row r="58" spans="1:14" x14ac:dyDescent="0.3">
      <c r="A58" s="102"/>
      <c r="B58" s="324">
        <v>44015</v>
      </c>
      <c r="C58" s="326">
        <v>20548.68</v>
      </c>
      <c r="D58" s="46" t="s">
        <v>307</v>
      </c>
      <c r="E58" s="90"/>
      <c r="F58" s="119"/>
      <c r="H58" s="90"/>
      <c r="I58" s="119"/>
      <c r="J58" s="323"/>
      <c r="K58" s="316"/>
      <c r="L58" s="66"/>
      <c r="M58" s="97">
        <v>0</v>
      </c>
      <c r="N58" s="97">
        <v>0</v>
      </c>
    </row>
    <row r="59" spans="1:14" x14ac:dyDescent="0.3">
      <c r="A59" s="102"/>
      <c r="B59" s="324">
        <v>44019</v>
      </c>
      <c r="C59" s="327">
        <v>18086.080000000002</v>
      </c>
      <c r="D59" s="46" t="s">
        <v>41</v>
      </c>
      <c r="E59" s="90"/>
      <c r="F59" s="119"/>
      <c r="H59" s="90"/>
      <c r="I59" s="119"/>
      <c r="J59" s="323"/>
      <c r="K59" s="316"/>
      <c r="L59" s="66"/>
      <c r="M59" s="97">
        <v>0</v>
      </c>
      <c r="N59" s="97">
        <v>0</v>
      </c>
    </row>
    <row r="60" spans="1:14" x14ac:dyDescent="0.3">
      <c r="A60" s="102"/>
      <c r="B60" s="324">
        <v>44022</v>
      </c>
      <c r="C60" s="326">
        <v>20753.509999999998</v>
      </c>
      <c r="D60" s="46" t="s">
        <v>308</v>
      </c>
      <c r="E60" s="90"/>
      <c r="F60" s="119"/>
      <c r="H60" s="328"/>
      <c r="I60" s="91"/>
      <c r="J60" s="323"/>
      <c r="K60" s="316"/>
      <c r="L60" s="66"/>
      <c r="M60" s="97">
        <v>0</v>
      </c>
      <c r="N60" s="97">
        <v>0</v>
      </c>
    </row>
    <row r="61" spans="1:14" ht="17.399999999999999" x14ac:dyDescent="0.35">
      <c r="A61" s="102"/>
      <c r="B61" s="324">
        <v>44004</v>
      </c>
      <c r="C61" s="317">
        <v>25135.38</v>
      </c>
      <c r="D61" s="46" t="s">
        <v>309</v>
      </c>
      <c r="E61" s="90"/>
      <c r="F61" s="119"/>
      <c r="H61" s="328"/>
      <c r="I61" s="329"/>
      <c r="J61" s="323"/>
      <c r="K61" s="316"/>
      <c r="L61" s="66"/>
      <c r="M61" s="97">
        <v>0</v>
      </c>
      <c r="N61" s="97">
        <v>0</v>
      </c>
    </row>
    <row r="62" spans="1:14" ht="17.399999999999999" x14ac:dyDescent="0.35">
      <c r="A62" s="330"/>
      <c r="B62" s="324">
        <v>44006</v>
      </c>
      <c r="C62" s="317">
        <v>41675.78</v>
      </c>
      <c r="D62" s="46" t="s">
        <v>310</v>
      </c>
      <c r="E62" s="90"/>
      <c r="F62" s="119"/>
      <c r="H62" s="331"/>
      <c r="I62" s="329"/>
      <c r="J62" s="323"/>
      <c r="K62" s="316"/>
      <c r="L62" s="66"/>
      <c r="M62" s="332"/>
      <c r="N62" s="332"/>
    </row>
    <row r="63" spans="1:14" ht="17.399999999999999" x14ac:dyDescent="0.35">
      <c r="A63" s="102"/>
      <c r="B63" s="324">
        <v>44012</v>
      </c>
      <c r="C63" s="317">
        <v>50865.279999999999</v>
      </c>
      <c r="D63" s="46" t="s">
        <v>309</v>
      </c>
      <c r="E63" s="90"/>
      <c r="F63" s="119"/>
      <c r="H63" s="331"/>
      <c r="I63" s="333"/>
      <c r="J63" s="323"/>
      <c r="K63" s="316"/>
      <c r="L63" s="66"/>
      <c r="M63" s="332"/>
      <c r="N63" s="332"/>
    </row>
    <row r="64" spans="1:14" ht="17.399999999999999" x14ac:dyDescent="0.35">
      <c r="A64" s="102"/>
      <c r="B64" s="324"/>
      <c r="C64" s="317"/>
      <c r="D64" s="46"/>
      <c r="E64" s="90"/>
      <c r="F64" s="119"/>
      <c r="H64" s="331"/>
      <c r="I64" s="333"/>
      <c r="J64" s="323"/>
      <c r="K64" s="316"/>
      <c r="L64" s="66"/>
      <c r="M64" s="332"/>
      <c r="N64" s="332"/>
    </row>
    <row r="65" spans="1:14" ht="15" thickBot="1" x14ac:dyDescent="0.35">
      <c r="A65" s="102"/>
      <c r="B65" s="324"/>
      <c r="C65" s="334"/>
      <c r="D65" s="46"/>
      <c r="E65" s="90"/>
      <c r="F65" s="119"/>
      <c r="H65" s="90"/>
      <c r="I65" s="119"/>
      <c r="J65" s="323"/>
      <c r="K65" s="316"/>
      <c r="L65" s="66"/>
      <c r="M65" s="99">
        <v>0</v>
      </c>
      <c r="N65" s="99">
        <v>0</v>
      </c>
    </row>
    <row r="66" spans="1:14" ht="16.2" thickBot="1" x14ac:dyDescent="0.35">
      <c r="B66" s="335" t="s">
        <v>51</v>
      </c>
      <c r="C66" s="336">
        <f>SUM(C5:C65)</f>
        <v>544634.79000000015</v>
      </c>
      <c r="D66" s="114"/>
      <c r="E66" s="237" t="s">
        <v>51</v>
      </c>
      <c r="F66" s="238">
        <f>SUM(F5:F45)</f>
        <v>3275271</v>
      </c>
      <c r="G66" s="114"/>
      <c r="H66" s="117" t="s">
        <v>245</v>
      </c>
      <c r="I66" s="118">
        <f>SUM(I5:I65)</f>
        <v>134356.81</v>
      </c>
      <c r="J66" s="265"/>
      <c r="K66" s="120" t="s">
        <v>246</v>
      </c>
      <c r="L66" s="121">
        <f>SUM(L6:L65)</f>
        <v>260149.24999999997</v>
      </c>
      <c r="M66" s="126">
        <f>SUM(M5:M65)</f>
        <v>2807407</v>
      </c>
      <c r="N66" s="126">
        <f>SUM(N5:N65)</f>
        <v>138100</v>
      </c>
    </row>
    <row r="67" spans="1:14" ht="15.6" thickTop="1" thickBot="1" x14ac:dyDescent="0.35">
      <c r="C67" s="5" t="s">
        <v>10</v>
      </c>
    </row>
    <row r="68" spans="1:14" ht="18.600000000000001" thickBot="1" x14ac:dyDescent="0.35">
      <c r="A68" s="65"/>
      <c r="B68" s="122"/>
      <c r="C68" s="4"/>
      <c r="H68" s="601" t="s">
        <v>52</v>
      </c>
      <c r="I68" s="602"/>
      <c r="J68" s="266"/>
      <c r="K68" s="603">
        <f>I66+L66</f>
        <v>394506.05999999994</v>
      </c>
      <c r="L68" s="604"/>
      <c r="M68" s="599">
        <f>M66+N66</f>
        <v>2945507</v>
      </c>
      <c r="N68" s="600"/>
    </row>
    <row r="69" spans="1:14" ht="15.6" x14ac:dyDescent="0.3">
      <c r="D69" s="606" t="s">
        <v>53</v>
      </c>
      <c r="E69" s="606"/>
      <c r="F69" s="124">
        <f>F66-K68-C66</f>
        <v>2336130.15</v>
      </c>
      <c r="I69" s="125"/>
      <c r="J69" s="267"/>
    </row>
    <row r="70" spans="1:14" ht="18" x14ac:dyDescent="0.35">
      <c r="D70" s="607" t="s">
        <v>54</v>
      </c>
      <c r="E70" s="607"/>
      <c r="F70" s="126">
        <v>-2046393.89</v>
      </c>
      <c r="I70" s="608" t="s">
        <v>55</v>
      </c>
      <c r="J70" s="609"/>
      <c r="K70" s="610">
        <f>F75</f>
        <v>528592.64000000001</v>
      </c>
      <c r="L70" s="611"/>
    </row>
    <row r="71" spans="1:14" ht="18.600000000000001" thickBot="1" x14ac:dyDescent="0.4">
      <c r="D71" s="127"/>
      <c r="E71" s="128"/>
      <c r="F71" s="129">
        <v>0</v>
      </c>
      <c r="I71" s="130"/>
      <c r="J71" s="268"/>
      <c r="K71" s="131"/>
      <c r="L71" s="131"/>
    </row>
    <row r="72" spans="1:14" ht="18.600000000000001" thickTop="1" x14ac:dyDescent="0.35">
      <c r="C72" s="13" t="s">
        <v>10</v>
      </c>
      <c r="E72" s="65" t="s">
        <v>56</v>
      </c>
      <c r="F72" s="126">
        <f>SUM(F69:F71)</f>
        <v>289736.26</v>
      </c>
      <c r="H72" s="23"/>
      <c r="I72" s="132" t="s">
        <v>57</v>
      </c>
      <c r="J72" s="269"/>
      <c r="K72" s="612">
        <f>-C4</f>
        <v>-258902.98</v>
      </c>
      <c r="L72" s="613"/>
      <c r="M72" s="134"/>
    </row>
    <row r="73" spans="1:14" ht="16.2" thickBot="1" x14ac:dyDescent="0.35">
      <c r="D73" s="135" t="s">
        <v>58</v>
      </c>
      <c r="E73" s="65" t="s">
        <v>59</v>
      </c>
      <c r="F73" s="136">
        <v>9148</v>
      </c>
    </row>
    <row r="74" spans="1:14" ht="19.2" thickTop="1" thickBot="1" x14ac:dyDescent="0.4">
      <c r="C74" s="137">
        <v>44026</v>
      </c>
      <c r="D74" s="614" t="s">
        <v>60</v>
      </c>
      <c r="E74" s="615"/>
      <c r="F74" s="138">
        <v>229708.38</v>
      </c>
      <c r="I74" s="616" t="s">
        <v>61</v>
      </c>
      <c r="J74" s="617"/>
      <c r="K74" s="618">
        <f>K70+K72</f>
        <v>269689.66000000003</v>
      </c>
      <c r="L74" s="619"/>
    </row>
    <row r="75" spans="1:14" ht="18" x14ac:dyDescent="0.35">
      <c r="C75" s="139"/>
      <c r="D75" s="140"/>
      <c r="E75" s="141" t="s">
        <v>62</v>
      </c>
      <c r="F75" s="142">
        <f>F72+F73+F74</f>
        <v>528592.64000000001</v>
      </c>
      <c r="J75" s="270"/>
      <c r="M75" s="143"/>
    </row>
    <row r="77" spans="1:14" x14ac:dyDescent="0.3">
      <c r="B77"/>
      <c r="C77"/>
      <c r="D77" s="605"/>
      <c r="E77" s="605"/>
      <c r="M77" s="144"/>
      <c r="N77" s="65"/>
    </row>
    <row r="78" spans="1:14" x14ac:dyDescent="0.3">
      <c r="B78"/>
      <c r="C78"/>
      <c r="M78" s="144"/>
      <c r="N78" s="65"/>
    </row>
    <row r="79" spans="1:14" x14ac:dyDescent="0.3">
      <c r="B79"/>
      <c r="C79"/>
      <c r="N79" s="65"/>
    </row>
    <row r="80" spans="1:14" x14ac:dyDescent="0.3">
      <c r="B80"/>
      <c r="C80"/>
      <c r="F80"/>
      <c r="I80"/>
      <c r="J80" s="271"/>
      <c r="L80" s="273"/>
      <c r="M80"/>
      <c r="N80" s="65"/>
    </row>
    <row r="81" spans="2:14" x14ac:dyDescent="0.3">
      <c r="B81"/>
      <c r="C81"/>
      <c r="F81" s="145"/>
      <c r="L81" s="273"/>
      <c r="N81" s="65"/>
    </row>
    <row r="82" spans="2:14" x14ac:dyDescent="0.3">
      <c r="F82" s="91"/>
      <c r="L82" s="273"/>
      <c r="M82" s="4"/>
      <c r="N82" s="65"/>
    </row>
    <row r="83" spans="2:14" x14ac:dyDescent="0.3">
      <c r="F83" s="91"/>
      <c r="L83" s="232"/>
      <c r="M83" s="4"/>
      <c r="N83" s="65"/>
    </row>
    <row r="84" spans="2:14" x14ac:dyDescent="0.3">
      <c r="F84" s="91"/>
      <c r="L84" s="273"/>
      <c r="M84" s="4"/>
      <c r="N84" s="65"/>
    </row>
    <row r="85" spans="2:14" x14ac:dyDescent="0.3">
      <c r="F85" s="91"/>
      <c r="L85" s="273"/>
      <c r="M85" s="4"/>
      <c r="N85" s="65"/>
    </row>
    <row r="86" spans="2:14" x14ac:dyDescent="0.3">
      <c r="F86" s="91"/>
      <c r="L86" s="273"/>
      <c r="M86" s="4"/>
    </row>
    <row r="87" spans="2:14" x14ac:dyDescent="0.3">
      <c r="F87" s="91"/>
      <c r="L87" s="273"/>
      <c r="M87" s="4"/>
    </row>
    <row r="88" spans="2:14" x14ac:dyDescent="0.3">
      <c r="F88" s="91"/>
      <c r="L88" s="46"/>
      <c r="M88" s="4"/>
    </row>
    <row r="89" spans="2:14" x14ac:dyDescent="0.3">
      <c r="F89" s="91"/>
      <c r="L89" s="273"/>
      <c r="M89" s="4"/>
    </row>
    <row r="90" spans="2:14" x14ac:dyDescent="0.3">
      <c r="F90" s="91"/>
      <c r="L90" s="337"/>
      <c r="M90" s="4"/>
    </row>
    <row r="91" spans="2:14" x14ac:dyDescent="0.3">
      <c r="F91" s="145"/>
      <c r="M91" s="4"/>
    </row>
    <row r="92" spans="2:14" x14ac:dyDescent="0.3">
      <c r="M92" s="4"/>
    </row>
    <row r="93" spans="2:14" x14ac:dyDescent="0.3">
      <c r="M93" s="4"/>
    </row>
    <row r="94" spans="2:14" x14ac:dyDescent="0.3">
      <c r="M94" s="4"/>
    </row>
    <row r="95" spans="2:14" x14ac:dyDescent="0.3">
      <c r="M95" s="4"/>
    </row>
    <row r="96" spans="2:14" x14ac:dyDescent="0.3">
      <c r="M96" s="4"/>
    </row>
    <row r="97" spans="13:13" x14ac:dyDescent="0.3">
      <c r="M97" s="4"/>
    </row>
    <row r="98" spans="13:13" x14ac:dyDescent="0.3">
      <c r="M98" s="4"/>
    </row>
    <row r="99" spans="13:13" x14ac:dyDescent="0.3">
      <c r="M99" s="4"/>
    </row>
    <row r="100" spans="13:13" x14ac:dyDescent="0.3">
      <c r="M100" s="4"/>
    </row>
    <row r="101" spans="13:13" x14ac:dyDescent="0.3">
      <c r="M101" s="4"/>
    </row>
    <row r="102" spans="13:13" x14ac:dyDescent="0.3">
      <c r="M102" s="4"/>
    </row>
    <row r="103" spans="13:13" x14ac:dyDescent="0.3">
      <c r="M103" s="4"/>
    </row>
    <row r="104" spans="13:13" x14ac:dyDescent="0.3">
      <c r="M104" s="4"/>
    </row>
  </sheetData>
  <mergeCells count="17">
    <mergeCell ref="C1:K1"/>
    <mergeCell ref="B3:C3"/>
    <mergeCell ref="H3:I3"/>
    <mergeCell ref="E4:F4"/>
    <mergeCell ref="H4:I4"/>
    <mergeCell ref="D74:E74"/>
    <mergeCell ref="I74:J74"/>
    <mergeCell ref="K74:L74"/>
    <mergeCell ref="D77:E77"/>
    <mergeCell ref="M68:N68"/>
    <mergeCell ref="D69:E69"/>
    <mergeCell ref="D70:E70"/>
    <mergeCell ref="I70:J70"/>
    <mergeCell ref="K70:L70"/>
    <mergeCell ref="K72:L72"/>
    <mergeCell ref="H68:I68"/>
    <mergeCell ref="K68:L68"/>
  </mergeCells>
  <pageMargins left="0.27559055118110237" right="0.15748031496062992" top="0.35433070866141736" bottom="0.35433070866141736" header="0.31496062992125984" footer="0.31496062992125984"/>
  <pageSetup scale="73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8C43-3063-40CF-B1A8-B94EC49ED489}">
  <sheetPr>
    <tabColor rgb="FFFFFF00"/>
  </sheetPr>
  <dimension ref="A1:F89"/>
  <sheetViews>
    <sheetView workbookViewId="0">
      <selection activeCell="K17" sqref="K16:K17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177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6">
        <v>43986</v>
      </c>
      <c r="B3" s="157">
        <v>17378</v>
      </c>
      <c r="C3" s="97">
        <v>28849.86</v>
      </c>
      <c r="D3" s="154"/>
      <c r="E3" s="56"/>
      <c r="F3" s="155">
        <f>C3-E3</f>
        <v>28849.86</v>
      </c>
    </row>
    <row r="4" spans="1:6" x14ac:dyDescent="0.3">
      <c r="A4" s="156">
        <v>43986</v>
      </c>
      <c r="B4" s="157">
        <v>17457</v>
      </c>
      <c r="C4" s="97">
        <v>85417.1</v>
      </c>
      <c r="D4" s="158"/>
      <c r="E4" s="97"/>
      <c r="F4" s="155">
        <f>F3+C4-E4</f>
        <v>114266.96</v>
      </c>
    </row>
    <row r="5" spans="1:6" x14ac:dyDescent="0.3">
      <c r="A5" s="158">
        <v>43986</v>
      </c>
      <c r="B5" s="157">
        <v>17458</v>
      </c>
      <c r="C5" s="97">
        <v>445</v>
      </c>
      <c r="D5" s="158">
        <v>43987</v>
      </c>
      <c r="E5" s="97">
        <v>114711.96</v>
      </c>
      <c r="F5" s="155">
        <f t="shared" ref="F5:F52" si="0">F4+C5-E5</f>
        <v>0</v>
      </c>
    </row>
    <row r="6" spans="1:6" x14ac:dyDescent="0.3">
      <c r="A6" s="158">
        <v>43987</v>
      </c>
      <c r="B6" s="157">
        <v>17514</v>
      </c>
      <c r="C6" s="97">
        <v>971.95</v>
      </c>
      <c r="D6" s="158"/>
      <c r="E6" s="97"/>
      <c r="F6" s="155">
        <f t="shared" si="0"/>
        <v>971.95</v>
      </c>
    </row>
    <row r="7" spans="1:6" x14ac:dyDescent="0.3">
      <c r="A7" s="158">
        <v>43987</v>
      </c>
      <c r="B7" s="157">
        <v>17587</v>
      </c>
      <c r="C7" s="97">
        <v>1839</v>
      </c>
      <c r="D7" s="158"/>
      <c r="E7" s="97"/>
      <c r="F7" s="155">
        <f t="shared" si="0"/>
        <v>2810.95</v>
      </c>
    </row>
    <row r="8" spans="1:6" x14ac:dyDescent="0.3">
      <c r="A8" s="158">
        <v>43988</v>
      </c>
      <c r="B8" s="157">
        <v>17702</v>
      </c>
      <c r="C8" s="97">
        <v>61426.15</v>
      </c>
      <c r="D8" s="158"/>
      <c r="E8" s="97"/>
      <c r="F8" s="155">
        <f t="shared" si="0"/>
        <v>64237.1</v>
      </c>
    </row>
    <row r="9" spans="1:6" x14ac:dyDescent="0.3">
      <c r="A9" s="158">
        <v>43988</v>
      </c>
      <c r="B9" s="157">
        <v>17718</v>
      </c>
      <c r="C9" s="97">
        <v>8660.4</v>
      </c>
      <c r="D9" s="158"/>
      <c r="E9" s="97"/>
      <c r="F9" s="155">
        <f t="shared" si="0"/>
        <v>72897.5</v>
      </c>
    </row>
    <row r="10" spans="1:6" x14ac:dyDescent="0.3">
      <c r="A10" s="158">
        <v>43988</v>
      </c>
      <c r="B10" s="157">
        <v>17725</v>
      </c>
      <c r="C10" s="97">
        <v>48913.2</v>
      </c>
      <c r="D10" s="158"/>
      <c r="E10" s="97"/>
      <c r="F10" s="155">
        <f t="shared" si="0"/>
        <v>121810.7</v>
      </c>
    </row>
    <row r="11" spans="1:6" x14ac:dyDescent="0.3">
      <c r="A11" s="156">
        <v>43991</v>
      </c>
      <c r="B11" s="157">
        <v>18039</v>
      </c>
      <c r="C11" s="97">
        <v>87558.8</v>
      </c>
      <c r="D11" s="158"/>
      <c r="E11" s="97"/>
      <c r="F11" s="155">
        <f t="shared" si="0"/>
        <v>209369.5</v>
      </c>
    </row>
    <row r="12" spans="1:6" x14ac:dyDescent="0.3">
      <c r="A12" s="158">
        <v>43991</v>
      </c>
      <c r="B12" s="157">
        <v>18040</v>
      </c>
      <c r="C12" s="97">
        <v>28949.32</v>
      </c>
      <c r="D12" s="158"/>
      <c r="E12" s="97"/>
      <c r="F12" s="155">
        <f t="shared" si="0"/>
        <v>238318.82</v>
      </c>
    </row>
    <row r="13" spans="1:6" x14ac:dyDescent="0.3">
      <c r="A13" s="158">
        <v>43992</v>
      </c>
      <c r="B13" s="157">
        <v>18144</v>
      </c>
      <c r="C13" s="97">
        <v>640</v>
      </c>
      <c r="D13" s="158">
        <v>43998</v>
      </c>
      <c r="E13" s="97">
        <v>238958.82</v>
      </c>
      <c r="F13" s="155">
        <f t="shared" si="0"/>
        <v>0</v>
      </c>
    </row>
    <row r="14" spans="1:6" x14ac:dyDescent="0.3">
      <c r="A14" s="158">
        <v>43993</v>
      </c>
      <c r="B14" s="157">
        <v>18176</v>
      </c>
      <c r="C14" s="97">
        <v>47703.4</v>
      </c>
      <c r="D14" s="158"/>
      <c r="E14" s="97"/>
      <c r="F14" s="155">
        <f t="shared" si="0"/>
        <v>47703.4</v>
      </c>
    </row>
    <row r="15" spans="1:6" x14ac:dyDescent="0.3">
      <c r="A15" s="158">
        <v>43994</v>
      </c>
      <c r="B15" s="157">
        <v>18421</v>
      </c>
      <c r="C15" s="97">
        <v>56510.8</v>
      </c>
      <c r="D15" s="158"/>
      <c r="E15" s="97"/>
      <c r="F15" s="155">
        <f t="shared" si="0"/>
        <v>104214.20000000001</v>
      </c>
    </row>
    <row r="16" spans="1:6" x14ac:dyDescent="0.3">
      <c r="A16" s="158">
        <v>43995</v>
      </c>
      <c r="B16" s="157">
        <v>18539</v>
      </c>
      <c r="C16" s="97">
        <v>51466.7</v>
      </c>
      <c r="D16" s="158"/>
      <c r="E16" s="97"/>
      <c r="F16" s="155">
        <f t="shared" si="0"/>
        <v>155680.90000000002</v>
      </c>
    </row>
    <row r="17" spans="1:6" x14ac:dyDescent="0.3">
      <c r="A17" s="158">
        <v>43997</v>
      </c>
      <c r="B17" s="157">
        <v>18620</v>
      </c>
      <c r="C17" s="97">
        <v>40253.699999999997</v>
      </c>
      <c r="D17" s="158"/>
      <c r="E17" s="97"/>
      <c r="F17" s="155">
        <f t="shared" si="0"/>
        <v>195934.60000000003</v>
      </c>
    </row>
    <row r="18" spans="1:6" x14ac:dyDescent="0.3">
      <c r="A18" s="158">
        <v>43998</v>
      </c>
      <c r="B18" s="157">
        <v>18854</v>
      </c>
      <c r="C18" s="97">
        <v>51598.7</v>
      </c>
      <c r="D18" s="158"/>
      <c r="E18" s="97"/>
      <c r="F18" s="155">
        <f t="shared" si="0"/>
        <v>247533.30000000005</v>
      </c>
    </row>
    <row r="19" spans="1:6" x14ac:dyDescent="0.3">
      <c r="A19" s="158">
        <v>44000</v>
      </c>
      <c r="B19" s="157">
        <v>18990</v>
      </c>
      <c r="C19" s="97">
        <v>68060.2</v>
      </c>
      <c r="D19" s="158"/>
      <c r="E19" s="97"/>
      <c r="F19" s="155">
        <f t="shared" si="0"/>
        <v>315593.50000000006</v>
      </c>
    </row>
    <row r="20" spans="1:6" x14ac:dyDescent="0.3">
      <c r="A20" s="158">
        <v>44000</v>
      </c>
      <c r="B20" s="157">
        <v>19037</v>
      </c>
      <c r="C20" s="97">
        <v>8960.4</v>
      </c>
      <c r="D20" s="158"/>
      <c r="E20" s="97"/>
      <c r="F20" s="155">
        <f t="shared" si="0"/>
        <v>324553.90000000008</v>
      </c>
    </row>
    <row r="21" spans="1:6" x14ac:dyDescent="0.3">
      <c r="A21" s="158">
        <v>44001</v>
      </c>
      <c r="B21" s="157">
        <v>19137</v>
      </c>
      <c r="C21" s="97">
        <v>43781.88</v>
      </c>
      <c r="D21" s="158"/>
      <c r="E21" s="97"/>
      <c r="F21" s="155">
        <f t="shared" si="0"/>
        <v>368335.78000000009</v>
      </c>
    </row>
    <row r="22" spans="1:6" x14ac:dyDescent="0.3">
      <c r="A22" s="158">
        <v>44001</v>
      </c>
      <c r="B22" s="157">
        <v>19141</v>
      </c>
      <c r="C22" s="97">
        <v>4339.2</v>
      </c>
      <c r="D22" s="158">
        <v>44002</v>
      </c>
      <c r="E22" s="97">
        <v>372674.98</v>
      </c>
      <c r="F22" s="155">
        <f t="shared" si="0"/>
        <v>0</v>
      </c>
    </row>
    <row r="23" spans="1:6" x14ac:dyDescent="0.3">
      <c r="A23" s="158">
        <v>44001</v>
      </c>
      <c r="B23" s="157">
        <v>19221</v>
      </c>
      <c r="C23" s="97">
        <v>15091.8</v>
      </c>
      <c r="D23" s="158"/>
      <c r="E23" s="97"/>
      <c r="F23" s="155">
        <f t="shared" si="0"/>
        <v>15091.8</v>
      </c>
    </row>
    <row r="24" spans="1:6" x14ac:dyDescent="0.3">
      <c r="A24" s="158">
        <v>44002</v>
      </c>
      <c r="B24" s="157">
        <v>19267</v>
      </c>
      <c r="C24" s="97">
        <v>109081.68</v>
      </c>
      <c r="D24" s="158"/>
      <c r="E24" s="97"/>
      <c r="F24" s="155">
        <f t="shared" si="0"/>
        <v>124173.48</v>
      </c>
    </row>
    <row r="25" spans="1:6" x14ac:dyDescent="0.3">
      <c r="A25" s="158">
        <v>44002</v>
      </c>
      <c r="B25" s="157">
        <v>19269</v>
      </c>
      <c r="C25" s="97">
        <v>21909.599999999999</v>
      </c>
      <c r="D25" s="158"/>
      <c r="E25" s="97"/>
      <c r="F25" s="155">
        <f t="shared" si="0"/>
        <v>146083.07999999999</v>
      </c>
    </row>
    <row r="26" spans="1:6" x14ac:dyDescent="0.3">
      <c r="A26" s="158">
        <v>44002</v>
      </c>
      <c r="B26" s="157">
        <v>19375</v>
      </c>
      <c r="C26" s="97">
        <v>50248.2</v>
      </c>
      <c r="D26" s="158"/>
      <c r="E26" s="97"/>
      <c r="F26" s="155">
        <f t="shared" si="0"/>
        <v>196331.27999999997</v>
      </c>
    </row>
    <row r="27" spans="1:6" x14ac:dyDescent="0.3">
      <c r="A27" s="158">
        <v>44005</v>
      </c>
      <c r="B27" s="157">
        <v>19711</v>
      </c>
      <c r="C27" s="97">
        <v>31477.4</v>
      </c>
      <c r="D27" s="158"/>
      <c r="E27" s="97"/>
      <c r="F27" s="155">
        <f t="shared" si="0"/>
        <v>227808.67999999996</v>
      </c>
    </row>
    <row r="28" spans="1:6" x14ac:dyDescent="0.3">
      <c r="A28" s="156">
        <v>44006</v>
      </c>
      <c r="B28" s="157">
        <v>19786</v>
      </c>
      <c r="C28" s="97">
        <v>55823.4</v>
      </c>
      <c r="D28" s="158"/>
      <c r="E28" s="97"/>
      <c r="F28" s="155">
        <f t="shared" si="0"/>
        <v>283632.07999999996</v>
      </c>
    </row>
    <row r="29" spans="1:6" x14ac:dyDescent="0.3">
      <c r="A29" s="156">
        <v>44007</v>
      </c>
      <c r="B29" s="157">
        <v>19841</v>
      </c>
      <c r="C29" s="97">
        <v>57456.2</v>
      </c>
      <c r="D29" s="158"/>
      <c r="E29" s="97"/>
      <c r="F29" s="155">
        <f t="shared" si="0"/>
        <v>341088.27999999997</v>
      </c>
    </row>
    <row r="30" spans="1:6" x14ac:dyDescent="0.3">
      <c r="A30" s="156">
        <v>44007</v>
      </c>
      <c r="B30" s="157">
        <v>19892</v>
      </c>
      <c r="C30" s="97">
        <v>8515</v>
      </c>
      <c r="D30" s="158"/>
      <c r="E30" s="97"/>
      <c r="F30" s="155">
        <f t="shared" si="0"/>
        <v>349603.27999999997</v>
      </c>
    </row>
    <row r="31" spans="1:6" x14ac:dyDescent="0.3">
      <c r="A31" s="156">
        <v>44008</v>
      </c>
      <c r="B31" s="157">
        <v>20017</v>
      </c>
      <c r="C31" s="97">
        <v>2835</v>
      </c>
      <c r="D31" s="158">
        <v>44009</v>
      </c>
      <c r="E31" s="97">
        <v>352438.28</v>
      </c>
      <c r="F31" s="155">
        <f t="shared" si="0"/>
        <v>0</v>
      </c>
    </row>
    <row r="32" spans="1:6" x14ac:dyDescent="0.3">
      <c r="A32" s="156">
        <v>44009</v>
      </c>
      <c r="B32" s="157">
        <v>20128</v>
      </c>
      <c r="C32" s="97">
        <v>64865.599999999999</v>
      </c>
      <c r="D32" s="158"/>
      <c r="E32" s="97"/>
      <c r="F32" s="155">
        <f t="shared" si="0"/>
        <v>64865.599999999999</v>
      </c>
    </row>
    <row r="33" spans="1:6" x14ac:dyDescent="0.3">
      <c r="A33" s="156">
        <v>44009</v>
      </c>
      <c r="B33" s="157">
        <v>20167</v>
      </c>
      <c r="C33" s="97">
        <v>45689.8</v>
      </c>
      <c r="D33" s="158"/>
      <c r="E33" s="97"/>
      <c r="F33" s="155">
        <f t="shared" si="0"/>
        <v>110555.4</v>
      </c>
    </row>
    <row r="34" spans="1:6" x14ac:dyDescent="0.3">
      <c r="A34" s="156">
        <v>44010</v>
      </c>
      <c r="B34" s="157">
        <v>20268</v>
      </c>
      <c r="C34" s="97">
        <v>856</v>
      </c>
      <c r="D34" s="158"/>
      <c r="E34" s="97"/>
      <c r="F34" s="155">
        <f t="shared" si="0"/>
        <v>111411.4</v>
      </c>
    </row>
    <row r="35" spans="1:6" x14ac:dyDescent="0.3">
      <c r="A35" s="156">
        <v>44010</v>
      </c>
      <c r="B35" s="157">
        <v>20275</v>
      </c>
      <c r="C35" s="97">
        <v>62299.3</v>
      </c>
      <c r="D35" s="158"/>
      <c r="E35" s="97"/>
      <c r="F35" s="155">
        <f t="shared" si="0"/>
        <v>173710.7</v>
      </c>
    </row>
    <row r="36" spans="1:6" x14ac:dyDescent="0.3">
      <c r="A36" s="156">
        <v>44012</v>
      </c>
      <c r="B36" s="157">
        <v>20435</v>
      </c>
      <c r="C36" s="97">
        <v>52181.99</v>
      </c>
      <c r="D36" s="158">
        <v>44013</v>
      </c>
      <c r="E36" s="97">
        <v>225892.69</v>
      </c>
      <c r="F36" s="155">
        <f t="shared" si="0"/>
        <v>0</v>
      </c>
    </row>
    <row r="37" spans="1:6" x14ac:dyDescent="0.3">
      <c r="A37" s="156">
        <v>44014</v>
      </c>
      <c r="B37" s="157">
        <v>20748</v>
      </c>
      <c r="C37" s="97">
        <v>98374.46</v>
      </c>
      <c r="D37" s="158"/>
      <c r="E37" s="97"/>
      <c r="F37" s="155">
        <f t="shared" si="0"/>
        <v>98374.46</v>
      </c>
    </row>
    <row r="38" spans="1:6" x14ac:dyDescent="0.3">
      <c r="A38" s="156">
        <v>44015</v>
      </c>
      <c r="B38" s="157">
        <v>20924</v>
      </c>
      <c r="C38" s="97">
        <v>117708.8</v>
      </c>
      <c r="D38" s="158"/>
      <c r="E38" s="97"/>
      <c r="F38" s="155">
        <f t="shared" si="0"/>
        <v>216083.26</v>
      </c>
    </row>
    <row r="39" spans="1:6" x14ac:dyDescent="0.3">
      <c r="A39" s="156">
        <v>44016</v>
      </c>
      <c r="B39" s="157">
        <v>21028</v>
      </c>
      <c r="C39" s="97">
        <v>7143.5</v>
      </c>
      <c r="D39" s="158"/>
      <c r="E39" s="97"/>
      <c r="F39" s="155">
        <f t="shared" si="0"/>
        <v>223226.76</v>
      </c>
    </row>
    <row r="40" spans="1:6" x14ac:dyDescent="0.3">
      <c r="A40" s="156">
        <v>44017</v>
      </c>
      <c r="B40" s="157">
        <v>21111</v>
      </c>
      <c r="C40" s="97">
        <v>58593.1</v>
      </c>
      <c r="D40" s="158"/>
      <c r="E40" s="97"/>
      <c r="F40" s="155">
        <f t="shared" si="0"/>
        <v>281819.86</v>
      </c>
    </row>
    <row r="41" spans="1:6" x14ac:dyDescent="0.3">
      <c r="A41" s="156">
        <v>44018</v>
      </c>
      <c r="B41" s="157">
        <v>21153</v>
      </c>
      <c r="C41" s="97">
        <v>2093</v>
      </c>
      <c r="D41" s="158">
        <v>44019</v>
      </c>
      <c r="E41" s="97">
        <v>283912.86</v>
      </c>
      <c r="F41" s="155">
        <f t="shared" si="0"/>
        <v>0</v>
      </c>
    </row>
    <row r="42" spans="1:6" x14ac:dyDescent="0.3">
      <c r="A42" s="156">
        <v>44019</v>
      </c>
      <c r="B42" s="276">
        <v>21280</v>
      </c>
      <c r="C42" s="338">
        <v>83504.08</v>
      </c>
      <c r="D42" s="158"/>
      <c r="E42" s="97"/>
      <c r="F42" s="155">
        <f t="shared" si="0"/>
        <v>83504.08</v>
      </c>
    </row>
    <row r="43" spans="1:6" x14ac:dyDescent="0.3">
      <c r="A43" s="156">
        <v>44020</v>
      </c>
      <c r="B43" s="276">
        <v>21407</v>
      </c>
      <c r="C43" s="338">
        <v>78252.399999999994</v>
      </c>
      <c r="D43" s="158"/>
      <c r="E43" s="97"/>
      <c r="F43" s="155">
        <f t="shared" si="0"/>
        <v>161756.47999999998</v>
      </c>
    </row>
    <row r="44" spans="1:6" x14ac:dyDescent="0.3">
      <c r="A44" s="156">
        <v>44021</v>
      </c>
      <c r="B44" s="276">
        <v>21580</v>
      </c>
      <c r="C44" s="338">
        <v>82036.7</v>
      </c>
      <c r="D44" s="158"/>
      <c r="E44" s="97"/>
      <c r="F44" s="155">
        <f>F43+C44-E44</f>
        <v>243793.18</v>
      </c>
    </row>
    <row r="45" spans="1:6" x14ac:dyDescent="0.3">
      <c r="A45" s="156">
        <v>44022</v>
      </c>
      <c r="B45" s="276">
        <v>21673</v>
      </c>
      <c r="C45" s="338">
        <v>2840</v>
      </c>
      <c r="D45" s="158"/>
      <c r="E45" s="97"/>
      <c r="F45" s="155">
        <f>F44+C45-E45</f>
        <v>246633.18</v>
      </c>
    </row>
    <row r="46" spans="1:6" x14ac:dyDescent="0.3">
      <c r="A46" s="156">
        <v>44023</v>
      </c>
      <c r="B46" s="276">
        <v>21786</v>
      </c>
      <c r="C46" s="338">
        <v>93406.42</v>
      </c>
      <c r="D46" s="158"/>
      <c r="E46" s="97"/>
      <c r="F46" s="155">
        <f t="shared" si="0"/>
        <v>340039.6</v>
      </c>
    </row>
    <row r="47" spans="1:6" x14ac:dyDescent="0.3">
      <c r="A47" s="156">
        <v>44023</v>
      </c>
      <c r="B47" s="276">
        <v>21789</v>
      </c>
      <c r="C47" s="338">
        <v>8207.5</v>
      </c>
      <c r="D47" s="158"/>
      <c r="E47" s="97"/>
      <c r="F47" s="155">
        <f t="shared" si="0"/>
        <v>348247.1</v>
      </c>
    </row>
    <row r="48" spans="1:6" x14ac:dyDescent="0.3">
      <c r="A48" s="156">
        <v>44024</v>
      </c>
      <c r="B48" s="276">
        <v>21894</v>
      </c>
      <c r="C48" s="338">
        <v>1512.5</v>
      </c>
      <c r="D48" s="158"/>
      <c r="E48" s="97"/>
      <c r="F48" s="155">
        <f t="shared" si="0"/>
        <v>349759.6</v>
      </c>
    </row>
    <row r="49" spans="1:6" x14ac:dyDescent="0.3">
      <c r="A49" s="156">
        <v>44024</v>
      </c>
      <c r="B49" s="276">
        <v>21932</v>
      </c>
      <c r="C49" s="338">
        <v>58770.6</v>
      </c>
      <c r="D49" s="158"/>
      <c r="E49" s="97"/>
      <c r="F49" s="155">
        <f t="shared" si="0"/>
        <v>408530.19999999995</v>
      </c>
    </row>
    <row r="50" spans="1:6" x14ac:dyDescent="0.3">
      <c r="A50" s="156">
        <v>44026</v>
      </c>
      <c r="B50" s="276">
        <v>22120</v>
      </c>
      <c r="C50" s="338">
        <v>42102.9</v>
      </c>
      <c r="D50" s="154"/>
      <c r="E50" s="91"/>
      <c r="F50" s="155">
        <f t="shared" si="0"/>
        <v>450633.1</v>
      </c>
    </row>
    <row r="51" spans="1:6" x14ac:dyDescent="0.3">
      <c r="A51" s="156">
        <v>44026</v>
      </c>
      <c r="B51" s="276">
        <v>22134</v>
      </c>
      <c r="C51" s="338">
        <v>7171.2</v>
      </c>
      <c r="D51" s="154"/>
      <c r="E51" s="91"/>
      <c r="F51" s="155">
        <f t="shared" si="0"/>
        <v>457804.3</v>
      </c>
    </row>
    <row r="52" spans="1:6" ht="15" thickBot="1" x14ac:dyDescent="0.35">
      <c r="A52" s="159"/>
      <c r="B52" s="339"/>
      <c r="C52" s="340">
        <v>0</v>
      </c>
      <c r="D52" s="162"/>
      <c r="E52" s="161"/>
      <c r="F52" s="155">
        <f t="shared" si="0"/>
        <v>457804.3</v>
      </c>
    </row>
    <row r="53" spans="1:6" ht="18.600000000000001" thickTop="1" x14ac:dyDescent="0.35">
      <c r="B53" s="65"/>
      <c r="C53" s="4">
        <f>SUM(C3:C52)</f>
        <v>2046393.8900000001</v>
      </c>
      <c r="D53" s="1"/>
      <c r="E53" s="4">
        <f>SUM(E3:E52)</f>
        <v>1588589.5899999999</v>
      </c>
      <c r="F53" s="163">
        <f>F52</f>
        <v>457804.3</v>
      </c>
    </row>
    <row r="54" spans="1:6" x14ac:dyDescent="0.3">
      <c r="B54" s="65"/>
      <c r="C54" s="4"/>
      <c r="D54" s="1"/>
      <c r="E54" s="5"/>
      <c r="F54" s="4"/>
    </row>
    <row r="55" spans="1:6" x14ac:dyDescent="0.3">
      <c r="B55" s="65"/>
      <c r="C55" s="4"/>
      <c r="D55" s="1"/>
      <c r="E55" s="5"/>
      <c r="F55" s="4"/>
    </row>
    <row r="56" spans="1:6" x14ac:dyDescent="0.3">
      <c r="A56"/>
      <c r="B56" s="23"/>
      <c r="D56" s="23"/>
    </row>
    <row r="57" spans="1:6" x14ac:dyDescent="0.3">
      <c r="A57"/>
      <c r="B57" s="23"/>
      <c r="D57" s="23"/>
    </row>
    <row r="58" spans="1:6" x14ac:dyDescent="0.3">
      <c r="A58"/>
      <c r="B58" s="23"/>
      <c r="D58" s="23"/>
    </row>
    <row r="59" spans="1:6" x14ac:dyDescent="0.3">
      <c r="A59"/>
      <c r="B59" s="23"/>
      <c r="D59" s="23"/>
      <c r="F59"/>
    </row>
    <row r="60" spans="1:6" x14ac:dyDescent="0.3">
      <c r="A60"/>
      <c r="B60" s="23"/>
      <c r="D60" s="23"/>
      <c r="F60"/>
    </row>
    <row r="61" spans="1:6" x14ac:dyDescent="0.3">
      <c r="A61"/>
      <c r="B61" s="23"/>
      <c r="D61" s="23"/>
      <c r="F61"/>
    </row>
    <row r="62" spans="1:6" x14ac:dyDescent="0.3">
      <c r="A62"/>
      <c r="B62" s="23"/>
      <c r="D62" s="23"/>
      <c r="F62"/>
    </row>
    <row r="63" spans="1:6" x14ac:dyDescent="0.3">
      <c r="A63"/>
      <c r="B63" s="23"/>
      <c r="D63" s="23"/>
      <c r="F63"/>
    </row>
    <row r="64" spans="1:6" x14ac:dyDescent="0.3">
      <c r="A64"/>
      <c r="B64" s="23"/>
      <c r="D64" s="23"/>
      <c r="F64"/>
    </row>
    <row r="65" spans="1:6" x14ac:dyDescent="0.3">
      <c r="A65"/>
      <c r="B65" s="23"/>
      <c r="D65" s="23"/>
      <c r="F65"/>
    </row>
    <row r="66" spans="1:6" x14ac:dyDescent="0.3">
      <c r="A66"/>
      <c r="B66" s="23"/>
      <c r="D66" s="23"/>
      <c r="F66"/>
    </row>
    <row r="67" spans="1:6" x14ac:dyDescent="0.3">
      <c r="A67"/>
      <c r="B67" s="23"/>
      <c r="D67" s="23"/>
      <c r="F67"/>
    </row>
    <row r="68" spans="1:6" x14ac:dyDescent="0.3">
      <c r="A68"/>
      <c r="B68" s="23"/>
      <c r="D68" s="23"/>
      <c r="E68"/>
      <c r="F68"/>
    </row>
    <row r="69" spans="1:6" x14ac:dyDescent="0.3">
      <c r="A69"/>
      <c r="B69" s="23"/>
      <c r="D69" s="23"/>
      <c r="E69"/>
      <c r="F69"/>
    </row>
    <row r="70" spans="1:6" x14ac:dyDescent="0.3">
      <c r="A70"/>
      <c r="B70" s="23"/>
      <c r="D70" s="23"/>
      <c r="E70"/>
      <c r="F70"/>
    </row>
    <row r="71" spans="1:6" x14ac:dyDescent="0.3">
      <c r="A71"/>
      <c r="B71" s="23"/>
      <c r="D71" s="23"/>
      <c r="E71"/>
      <c r="F71"/>
    </row>
    <row r="72" spans="1:6" x14ac:dyDescent="0.3">
      <c r="A72"/>
      <c r="B72" s="23"/>
      <c r="D72" s="23"/>
      <c r="E72"/>
      <c r="F72"/>
    </row>
    <row r="73" spans="1:6" x14ac:dyDescent="0.3">
      <c r="A73"/>
      <c r="B73" s="23"/>
      <c r="D73" s="23"/>
      <c r="E73"/>
      <c r="F73"/>
    </row>
    <row r="74" spans="1:6" x14ac:dyDescent="0.3">
      <c r="B74" s="23"/>
      <c r="D74" s="23"/>
      <c r="E74"/>
    </row>
    <row r="75" spans="1:6" x14ac:dyDescent="0.3">
      <c r="B75" s="23"/>
      <c r="D75" s="23"/>
      <c r="E75"/>
    </row>
    <row r="76" spans="1:6" x14ac:dyDescent="0.3">
      <c r="B76" s="23"/>
      <c r="D76" s="23"/>
      <c r="E76"/>
    </row>
    <row r="77" spans="1:6" x14ac:dyDescent="0.3">
      <c r="B77" s="23"/>
      <c r="D77" s="23"/>
      <c r="E77"/>
    </row>
    <row r="78" spans="1:6" x14ac:dyDescent="0.3">
      <c r="B78" s="23"/>
      <c r="D78" s="23"/>
      <c r="E78"/>
    </row>
    <row r="79" spans="1:6" x14ac:dyDescent="0.3">
      <c r="B79" s="23"/>
      <c r="D79" s="23"/>
      <c r="E79"/>
    </row>
    <row r="80" spans="1:6" x14ac:dyDescent="0.3">
      <c r="B80" s="23"/>
      <c r="D80" s="23"/>
      <c r="E80"/>
    </row>
    <row r="81" spans="2:5" x14ac:dyDescent="0.3">
      <c r="B81" s="23"/>
      <c r="D81" s="23"/>
      <c r="E81"/>
    </row>
    <row r="82" spans="2:5" x14ac:dyDescent="0.3">
      <c r="B82" s="23"/>
      <c r="D82" s="23"/>
      <c r="E82"/>
    </row>
    <row r="83" spans="2:5" x14ac:dyDescent="0.3">
      <c r="B83" s="23"/>
    </row>
    <row r="84" spans="2:5" x14ac:dyDescent="0.3">
      <c r="B84" s="23"/>
    </row>
    <row r="85" spans="2:5" x14ac:dyDescent="0.3">
      <c r="B85" s="23"/>
      <c r="D85" s="23"/>
    </row>
    <row r="86" spans="2:5" x14ac:dyDescent="0.3">
      <c r="B86" s="23"/>
    </row>
    <row r="87" spans="2:5" x14ac:dyDescent="0.3">
      <c r="B87" s="23"/>
    </row>
    <row r="88" spans="2:5" x14ac:dyDescent="0.3">
      <c r="B88" s="23"/>
    </row>
    <row r="89" spans="2:5" ht="18" x14ac:dyDescent="0.35">
      <c r="C89" s="143"/>
    </row>
  </sheetData>
  <pageMargins left="0.97" right="0.23622047244094491" top="0.35433070866141736" bottom="0.3937007874015748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630-70AD-431A-BA3C-2A36D5098357}">
  <sheetPr>
    <tabColor rgb="FF92D050"/>
  </sheetPr>
  <dimension ref="A1:O78"/>
  <sheetViews>
    <sheetView topLeftCell="A16" workbookViewId="0">
      <selection activeCell="E35" sqref="E35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109375" style="4" customWidth="1"/>
    <col min="15" max="15" width="8.44140625" style="4" customWidth="1"/>
  </cols>
  <sheetData>
    <row r="1" spans="1:15" ht="23.4" x14ac:dyDescent="0.45">
      <c r="C1" s="592" t="s">
        <v>248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5.6" x14ac:dyDescent="0.3">
      <c r="C2" s="5"/>
      <c r="H2" s="284" t="s">
        <v>1</v>
      </c>
      <c r="I2" s="3"/>
      <c r="J2" s="243"/>
      <c r="M2" s="3"/>
      <c r="N2" s="56"/>
      <c r="O2" s="56"/>
    </row>
    <row r="3" spans="1:15" ht="21.6" thickBot="1" x14ac:dyDescent="0.4">
      <c r="B3" s="593" t="s">
        <v>2</v>
      </c>
      <c r="C3" s="594"/>
      <c r="D3" s="12"/>
      <c r="E3" s="285"/>
      <c r="F3" s="285"/>
      <c r="H3" s="622" t="s">
        <v>135</v>
      </c>
      <c r="I3" s="622"/>
      <c r="K3" s="185" t="s">
        <v>3</v>
      </c>
      <c r="L3" s="187" t="s">
        <v>136</v>
      </c>
      <c r="M3" s="187"/>
    </row>
    <row r="4" spans="1:15" ht="19.2" thickTop="1" thickBot="1" x14ac:dyDescent="0.4">
      <c r="A4" s="16" t="s">
        <v>5</v>
      </c>
      <c r="B4" s="17"/>
      <c r="C4" s="245">
        <v>229708.38</v>
      </c>
      <c r="D4" s="246">
        <v>44026</v>
      </c>
      <c r="E4" s="595" t="s">
        <v>6</v>
      </c>
      <c r="F4" s="596"/>
      <c r="H4" s="597" t="s">
        <v>7</v>
      </c>
      <c r="I4" s="598"/>
      <c r="J4" s="247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8">
        <v>44027</v>
      </c>
      <c r="C5" s="249">
        <v>4000</v>
      </c>
      <c r="D5" s="250" t="s">
        <v>72</v>
      </c>
      <c r="E5" s="27">
        <v>44027</v>
      </c>
      <c r="F5" s="28">
        <v>74887</v>
      </c>
      <c r="H5" s="29">
        <v>44027</v>
      </c>
      <c r="I5" s="30">
        <v>0</v>
      </c>
      <c r="M5" s="31">
        <v>67037</v>
      </c>
      <c r="N5" s="32">
        <v>3850</v>
      </c>
      <c r="O5" s="91"/>
    </row>
    <row r="6" spans="1:15" ht="16.2" thickBot="1" x14ac:dyDescent="0.35">
      <c r="A6" s="23"/>
      <c r="B6" s="248">
        <v>44028</v>
      </c>
      <c r="C6" s="249">
        <v>9328</v>
      </c>
      <c r="D6" s="252" t="s">
        <v>311</v>
      </c>
      <c r="E6" s="27">
        <v>44028</v>
      </c>
      <c r="F6" s="28">
        <v>121220</v>
      </c>
      <c r="H6" s="29">
        <v>44028</v>
      </c>
      <c r="I6" s="34">
        <v>407</v>
      </c>
      <c r="J6" s="55"/>
      <c r="K6" s="40" t="s">
        <v>13</v>
      </c>
      <c r="L6" s="41">
        <v>0</v>
      </c>
      <c r="M6" s="31">
        <v>111098</v>
      </c>
      <c r="N6" s="32">
        <v>3780</v>
      </c>
      <c r="O6" s="217"/>
    </row>
    <row r="7" spans="1:15" ht="15" thickBot="1" x14ac:dyDescent="0.35">
      <c r="A7" s="23"/>
      <c r="B7" s="248">
        <v>44029</v>
      </c>
      <c r="C7" s="249">
        <v>1568</v>
      </c>
      <c r="D7" s="253" t="s">
        <v>18</v>
      </c>
      <c r="E7" s="27">
        <v>44029</v>
      </c>
      <c r="F7" s="28">
        <v>141835</v>
      </c>
      <c r="H7" s="29">
        <v>44029</v>
      </c>
      <c r="I7" s="34">
        <v>12059</v>
      </c>
      <c r="J7" s="254">
        <v>44036</v>
      </c>
      <c r="K7" s="286" t="s">
        <v>15</v>
      </c>
      <c r="L7" s="45">
        <v>26562</v>
      </c>
      <c r="M7" s="31">
        <v>123197</v>
      </c>
      <c r="N7" s="32">
        <v>5011</v>
      </c>
      <c r="O7" s="219"/>
    </row>
    <row r="8" spans="1:15" ht="15" thickBot="1" x14ac:dyDescent="0.35">
      <c r="A8" s="23"/>
      <c r="B8" s="248">
        <v>44030</v>
      </c>
      <c r="C8" s="249">
        <v>5660</v>
      </c>
      <c r="D8" s="255" t="s">
        <v>312</v>
      </c>
      <c r="E8" s="27">
        <v>44030</v>
      </c>
      <c r="F8" s="28">
        <v>106369</v>
      </c>
      <c r="H8" s="29">
        <v>44030</v>
      </c>
      <c r="I8" s="34">
        <v>0</v>
      </c>
      <c r="J8" s="341">
        <v>44042</v>
      </c>
      <c r="K8" s="48" t="s">
        <v>313</v>
      </c>
      <c r="L8" s="49">
        <v>20000</v>
      </c>
      <c r="M8" s="31">
        <f>50000+37914.5</f>
        <v>87914.5</v>
      </c>
      <c r="N8" s="32">
        <v>4910</v>
      </c>
      <c r="O8" s="217"/>
    </row>
    <row r="9" spans="1:15" ht="15" thickBot="1" x14ac:dyDescent="0.35">
      <c r="A9" s="23"/>
      <c r="B9" s="248">
        <v>44031</v>
      </c>
      <c r="C9" s="249">
        <v>9229</v>
      </c>
      <c r="D9" s="257" t="s">
        <v>314</v>
      </c>
      <c r="E9" s="27">
        <v>44031</v>
      </c>
      <c r="F9" s="28">
        <v>102692</v>
      </c>
      <c r="H9" s="29">
        <v>44031</v>
      </c>
      <c r="I9" s="34">
        <v>0</v>
      </c>
      <c r="J9" s="342"/>
      <c r="K9" s="297"/>
      <c r="L9" s="41">
        <v>0</v>
      </c>
      <c r="M9" s="31">
        <v>90004</v>
      </c>
      <c r="N9" s="32">
        <v>3465</v>
      </c>
      <c r="O9" s="217"/>
    </row>
    <row r="10" spans="1:15" ht="15" thickBot="1" x14ac:dyDescent="0.35">
      <c r="A10" s="23"/>
      <c r="B10" s="248">
        <v>44032</v>
      </c>
      <c r="C10" s="249">
        <v>7458</v>
      </c>
      <c r="D10" s="253" t="s">
        <v>315</v>
      </c>
      <c r="E10" s="27">
        <v>44032</v>
      </c>
      <c r="F10" s="28">
        <v>86696</v>
      </c>
      <c r="H10" s="29">
        <v>44032</v>
      </c>
      <c r="I10" s="34">
        <v>0</v>
      </c>
      <c r="J10" s="342"/>
      <c r="K10" s="300"/>
      <c r="L10" s="58"/>
      <c r="M10" s="31">
        <v>77605</v>
      </c>
      <c r="N10" s="32">
        <v>1633</v>
      </c>
      <c r="O10" s="219"/>
    </row>
    <row r="11" spans="1:15" ht="15" thickBot="1" x14ac:dyDescent="0.35">
      <c r="A11" s="23"/>
      <c r="B11" s="248">
        <v>44033</v>
      </c>
      <c r="C11" s="249">
        <v>900</v>
      </c>
      <c r="D11" s="252" t="s">
        <v>19</v>
      </c>
      <c r="E11" s="27">
        <v>44033</v>
      </c>
      <c r="F11" s="28">
        <v>58292</v>
      </c>
      <c r="H11" s="29">
        <v>44033</v>
      </c>
      <c r="I11" s="34">
        <v>8</v>
      </c>
      <c r="J11" s="259"/>
      <c r="K11" s="54"/>
      <c r="L11" s="52"/>
      <c r="M11" s="31">
        <v>55051</v>
      </c>
      <c r="N11" s="32">
        <v>1933</v>
      </c>
      <c r="O11" s="217"/>
    </row>
    <row r="12" spans="1:15" ht="15" thickBot="1" x14ac:dyDescent="0.35">
      <c r="A12" s="23"/>
      <c r="B12" s="248">
        <v>44034</v>
      </c>
      <c r="C12" s="249">
        <v>10424</v>
      </c>
      <c r="D12" s="252" t="s">
        <v>316</v>
      </c>
      <c r="E12" s="27">
        <v>44034</v>
      </c>
      <c r="F12" s="28">
        <v>80051</v>
      </c>
      <c r="H12" s="29">
        <v>44034</v>
      </c>
      <c r="I12" s="34">
        <v>4703</v>
      </c>
      <c r="J12" s="55">
        <v>44030</v>
      </c>
      <c r="K12" s="48" t="s">
        <v>317</v>
      </c>
      <c r="L12" s="52">
        <f>11723.25+4571</f>
        <v>16294.25</v>
      </c>
      <c r="M12" s="31">
        <v>63129</v>
      </c>
      <c r="N12" s="32">
        <v>1795</v>
      </c>
      <c r="O12" s="220"/>
    </row>
    <row r="13" spans="1:15" ht="15" thickBot="1" x14ac:dyDescent="0.35">
      <c r="A13" s="23"/>
      <c r="B13" s="248">
        <v>44035</v>
      </c>
      <c r="C13" s="249">
        <v>4897</v>
      </c>
      <c r="D13" s="255" t="s">
        <v>283</v>
      </c>
      <c r="E13" s="27">
        <v>44035</v>
      </c>
      <c r="F13" s="28">
        <v>100131</v>
      </c>
      <c r="H13" s="29">
        <v>44035</v>
      </c>
      <c r="I13" s="34">
        <v>0</v>
      </c>
      <c r="J13" s="55">
        <v>44033</v>
      </c>
      <c r="K13" s="48" t="s">
        <v>317</v>
      </c>
      <c r="L13" s="52">
        <v>400</v>
      </c>
      <c r="M13" s="31">
        <f>81785+10209</f>
        <v>91994</v>
      </c>
      <c r="N13" s="32">
        <v>3510</v>
      </c>
      <c r="O13" s="217"/>
    </row>
    <row r="14" spans="1:15" ht="15" thickBot="1" x14ac:dyDescent="0.35">
      <c r="A14" s="23"/>
      <c r="B14" s="248">
        <v>44036</v>
      </c>
      <c r="C14" s="249">
        <v>3330</v>
      </c>
      <c r="D14" s="253" t="s">
        <v>318</v>
      </c>
      <c r="E14" s="27">
        <v>44036</v>
      </c>
      <c r="F14" s="28">
        <v>104283</v>
      </c>
      <c r="H14" s="29">
        <v>44036</v>
      </c>
      <c r="I14" s="34">
        <v>10059</v>
      </c>
      <c r="J14" s="55">
        <v>44037</v>
      </c>
      <c r="K14" s="48" t="s">
        <v>319</v>
      </c>
      <c r="L14" s="52">
        <f>13738.08+4000+400</f>
        <v>18138.080000000002</v>
      </c>
      <c r="M14" s="31">
        <v>84797</v>
      </c>
      <c r="N14" s="32">
        <v>6097</v>
      </c>
      <c r="O14" s="217"/>
    </row>
    <row r="15" spans="1:15" ht="15" thickBot="1" x14ac:dyDescent="0.35">
      <c r="A15" s="23"/>
      <c r="B15" s="248">
        <v>44037</v>
      </c>
      <c r="C15" s="249">
        <v>6355</v>
      </c>
      <c r="D15" s="252" t="s">
        <v>284</v>
      </c>
      <c r="E15" s="27">
        <v>44037</v>
      </c>
      <c r="F15" s="28">
        <v>107667</v>
      </c>
      <c r="H15" s="29">
        <v>44037</v>
      </c>
      <c r="I15" s="34">
        <v>50</v>
      </c>
      <c r="J15" s="55">
        <v>44044</v>
      </c>
      <c r="K15" s="48" t="s">
        <v>320</v>
      </c>
      <c r="L15" s="52">
        <f>10938.87+400+4571</f>
        <v>15909.87</v>
      </c>
      <c r="M15" s="31">
        <v>86609</v>
      </c>
      <c r="N15" s="32">
        <v>4353</v>
      </c>
      <c r="O15" s="343" t="s">
        <v>189</v>
      </c>
    </row>
    <row r="16" spans="1:15" ht="15" thickBot="1" x14ac:dyDescent="0.35">
      <c r="A16" s="23"/>
      <c r="B16" s="248">
        <v>44038</v>
      </c>
      <c r="C16" s="249">
        <v>3547</v>
      </c>
      <c r="D16" s="252" t="s">
        <v>321</v>
      </c>
      <c r="E16" s="27">
        <v>44038</v>
      </c>
      <c r="F16" s="28">
        <v>82478</v>
      </c>
      <c r="H16" s="29">
        <v>44038</v>
      </c>
      <c r="I16" s="34">
        <v>533</v>
      </c>
      <c r="J16" s="55"/>
      <c r="K16" s="48" t="s">
        <v>28</v>
      </c>
      <c r="L16" s="56">
        <v>0</v>
      </c>
      <c r="M16" s="31">
        <v>73187</v>
      </c>
      <c r="N16" s="32">
        <v>5211</v>
      </c>
      <c r="O16" s="343" t="s">
        <v>189</v>
      </c>
    </row>
    <row r="17" spans="1:15" ht="15" thickBot="1" x14ac:dyDescent="0.35">
      <c r="A17" s="23"/>
      <c r="B17" s="248">
        <v>44039</v>
      </c>
      <c r="C17" s="249">
        <v>2617</v>
      </c>
      <c r="D17" s="255" t="s">
        <v>322</v>
      </c>
      <c r="E17" s="27">
        <v>44039</v>
      </c>
      <c r="F17" s="28">
        <v>85099</v>
      </c>
      <c r="H17" s="29">
        <v>44039</v>
      </c>
      <c r="I17" s="34">
        <v>500</v>
      </c>
      <c r="J17" s="57"/>
      <c r="K17" s="48"/>
      <c r="L17" s="58">
        <v>0</v>
      </c>
      <c r="M17" s="31">
        <v>80663</v>
      </c>
      <c r="N17" s="32">
        <v>3412</v>
      </c>
      <c r="O17" s="217"/>
    </row>
    <row r="18" spans="1:15" ht="15" thickBot="1" x14ac:dyDescent="0.35">
      <c r="A18" s="23"/>
      <c r="B18" s="248">
        <v>44040</v>
      </c>
      <c r="C18" s="249">
        <v>2054</v>
      </c>
      <c r="D18" s="252" t="s">
        <v>323</v>
      </c>
      <c r="E18" s="27">
        <v>44040</v>
      </c>
      <c r="F18" s="28">
        <v>62584</v>
      </c>
      <c r="H18" s="29">
        <v>44040</v>
      </c>
      <c r="I18" s="34">
        <v>539</v>
      </c>
      <c r="J18" s="57"/>
      <c r="K18" s="59"/>
      <c r="L18" s="52"/>
      <c r="M18" s="31">
        <v>61179</v>
      </c>
      <c r="N18" s="32">
        <v>2016</v>
      </c>
      <c r="O18" s="217"/>
    </row>
    <row r="19" spans="1:15" ht="15" thickBot="1" x14ac:dyDescent="0.35">
      <c r="A19" s="23"/>
      <c r="B19" s="248">
        <v>44041</v>
      </c>
      <c r="C19" s="249">
        <v>4880</v>
      </c>
      <c r="D19" s="252" t="s">
        <v>324</v>
      </c>
      <c r="E19" s="27">
        <v>44041</v>
      </c>
      <c r="F19" s="28">
        <v>89999</v>
      </c>
      <c r="H19" s="29">
        <v>44041</v>
      </c>
      <c r="I19" s="34">
        <v>500</v>
      </c>
      <c r="J19" s="57"/>
      <c r="K19" s="59"/>
      <c r="L19" s="61"/>
      <c r="M19" s="31">
        <f>73120+8699</f>
        <v>81819</v>
      </c>
      <c r="N19" s="32">
        <v>2800</v>
      </c>
      <c r="O19" s="217"/>
    </row>
    <row r="20" spans="1:15" ht="15" thickBot="1" x14ac:dyDescent="0.35">
      <c r="A20" s="23"/>
      <c r="B20" s="248">
        <v>44042</v>
      </c>
      <c r="C20" s="249">
        <v>1335</v>
      </c>
      <c r="D20" s="252" t="s">
        <v>19</v>
      </c>
      <c r="E20" s="27">
        <v>44042</v>
      </c>
      <c r="F20" s="28">
        <v>69890</v>
      </c>
      <c r="H20" s="29">
        <v>44042</v>
      </c>
      <c r="I20" s="34">
        <v>642</v>
      </c>
      <c r="J20" s="55"/>
      <c r="K20" s="62"/>
      <c r="L20" s="58" t="s">
        <v>10</v>
      </c>
      <c r="M20" s="31">
        <v>44374</v>
      </c>
      <c r="N20" s="32">
        <v>3539</v>
      </c>
      <c r="O20" s="217"/>
    </row>
    <row r="21" spans="1:15" ht="16.2" thickBot="1" x14ac:dyDescent="0.35">
      <c r="A21" s="23"/>
      <c r="B21" s="248">
        <v>44043</v>
      </c>
      <c r="C21" s="249">
        <v>14020</v>
      </c>
      <c r="D21" s="252" t="s">
        <v>325</v>
      </c>
      <c r="E21" s="27">
        <v>44043</v>
      </c>
      <c r="F21" s="28">
        <v>125869</v>
      </c>
      <c r="H21" s="29">
        <v>44043</v>
      </c>
      <c r="I21" s="34">
        <v>12480</v>
      </c>
      <c r="J21" s="57"/>
      <c r="K21" s="63"/>
      <c r="L21" s="58"/>
      <c r="M21" s="344">
        <v>94434</v>
      </c>
      <c r="N21" s="32">
        <v>4935</v>
      </c>
      <c r="O21" s="204" t="s">
        <v>326</v>
      </c>
    </row>
    <row r="22" spans="1:15" ht="15" thickBot="1" x14ac:dyDescent="0.35">
      <c r="A22" s="23"/>
      <c r="B22" s="248">
        <v>44044</v>
      </c>
      <c r="C22" s="249">
        <v>22319</v>
      </c>
      <c r="D22" s="252" t="s">
        <v>327</v>
      </c>
      <c r="E22" s="27">
        <v>44044</v>
      </c>
      <c r="F22" s="28">
        <v>115253</v>
      </c>
      <c r="H22" s="29">
        <v>44044</v>
      </c>
      <c r="I22" s="34">
        <v>250</v>
      </c>
      <c r="J22" s="64"/>
      <c r="K22" s="65"/>
      <c r="L22" s="66"/>
      <c r="M22" s="31">
        <v>76649</v>
      </c>
      <c r="N22" s="32">
        <v>7528</v>
      </c>
      <c r="O22" s="217"/>
    </row>
    <row r="23" spans="1:15" ht="15" thickBot="1" x14ac:dyDescent="0.35">
      <c r="A23" s="23"/>
      <c r="B23" s="248">
        <v>44045</v>
      </c>
      <c r="C23" s="249">
        <v>0</v>
      </c>
      <c r="D23" s="252"/>
      <c r="E23" s="27">
        <v>44045</v>
      </c>
      <c r="F23" s="28">
        <v>99735</v>
      </c>
      <c r="H23" s="29">
        <v>44045</v>
      </c>
      <c r="I23" s="34">
        <v>0</v>
      </c>
      <c r="J23" s="221"/>
      <c r="K23" s="222"/>
      <c r="L23" s="223"/>
      <c r="M23" s="31">
        <v>97101</v>
      </c>
      <c r="N23" s="32">
        <v>2634</v>
      </c>
      <c r="O23" s="204"/>
    </row>
    <row r="24" spans="1:15" ht="15" thickBot="1" x14ac:dyDescent="0.35">
      <c r="A24" s="23"/>
      <c r="B24" s="248">
        <v>44046</v>
      </c>
      <c r="C24" s="249">
        <v>4715</v>
      </c>
      <c r="D24" s="252" t="s">
        <v>328</v>
      </c>
      <c r="E24" s="27">
        <v>44046</v>
      </c>
      <c r="F24" s="28">
        <v>71104</v>
      </c>
      <c r="H24" s="29">
        <v>44046</v>
      </c>
      <c r="I24" s="34">
        <v>0</v>
      </c>
      <c r="J24" s="224" t="s">
        <v>329</v>
      </c>
      <c r="K24" s="228" t="s">
        <v>330</v>
      </c>
      <c r="L24" s="345">
        <v>9345</v>
      </c>
      <c r="M24" s="31">
        <v>63173</v>
      </c>
      <c r="N24" s="32">
        <v>3216</v>
      </c>
      <c r="O24" s="217"/>
    </row>
    <row r="25" spans="1:15" ht="15" thickBot="1" x14ac:dyDescent="0.35">
      <c r="A25" s="23"/>
      <c r="B25" s="248">
        <v>44047</v>
      </c>
      <c r="C25" s="249">
        <v>8623</v>
      </c>
      <c r="D25" s="252" t="s">
        <v>331</v>
      </c>
      <c r="E25" s="27">
        <v>44047</v>
      </c>
      <c r="F25" s="28">
        <v>80334</v>
      </c>
      <c r="H25" s="29">
        <v>44047</v>
      </c>
      <c r="I25" s="34">
        <v>234</v>
      </c>
      <c r="J25" s="346" t="s">
        <v>329</v>
      </c>
      <c r="K25" s="86" t="s">
        <v>243</v>
      </c>
      <c r="L25" s="178">
        <v>1700.75</v>
      </c>
      <c r="M25" s="31">
        <v>69551</v>
      </c>
      <c r="N25" s="32">
        <v>1926</v>
      </c>
      <c r="O25" s="217"/>
    </row>
    <row r="26" spans="1:15" ht="15" thickBot="1" x14ac:dyDescent="0.35">
      <c r="A26" s="23"/>
      <c r="B26" s="248">
        <v>44048</v>
      </c>
      <c r="C26" s="249">
        <v>891</v>
      </c>
      <c r="D26" s="252" t="s">
        <v>19</v>
      </c>
      <c r="E26" s="27">
        <v>44048</v>
      </c>
      <c r="F26" s="28">
        <v>75554</v>
      </c>
      <c r="H26" s="29">
        <v>44048</v>
      </c>
      <c r="I26" s="34">
        <v>2159</v>
      </c>
      <c r="J26" s="55" t="s">
        <v>329</v>
      </c>
      <c r="K26" s="228" t="s">
        <v>46</v>
      </c>
      <c r="L26" s="223">
        <v>1315.8630000000001</v>
      </c>
      <c r="M26" s="31">
        <v>70780</v>
      </c>
      <c r="N26" s="32">
        <v>1724</v>
      </c>
      <c r="O26" s="217"/>
    </row>
    <row r="27" spans="1:15" ht="15" thickBot="1" x14ac:dyDescent="0.35">
      <c r="A27" s="23"/>
      <c r="B27" s="248"/>
      <c r="C27" s="249"/>
      <c r="D27" s="252"/>
      <c r="E27" s="27"/>
      <c r="F27" s="28"/>
      <c r="H27" s="29"/>
      <c r="I27" s="34"/>
      <c r="J27" s="176" t="s">
        <v>329</v>
      </c>
      <c r="K27" s="96" t="s">
        <v>243</v>
      </c>
      <c r="L27" s="178">
        <v>198.99</v>
      </c>
      <c r="M27" s="31">
        <v>0</v>
      </c>
      <c r="N27" s="32">
        <v>0</v>
      </c>
      <c r="O27" s="217"/>
    </row>
    <row r="28" spans="1:15" ht="15" thickBot="1" x14ac:dyDescent="0.35">
      <c r="A28" s="23"/>
      <c r="B28" s="248"/>
      <c r="C28" s="249"/>
      <c r="D28" s="260"/>
      <c r="E28" s="27"/>
      <c r="F28" s="28"/>
      <c r="H28" s="29"/>
      <c r="I28" s="34"/>
      <c r="J28" s="176" t="s">
        <v>329</v>
      </c>
      <c r="K28" s="230" t="s">
        <v>239</v>
      </c>
      <c r="L28" s="178">
        <v>22382.69</v>
      </c>
      <c r="M28" s="31">
        <v>0</v>
      </c>
      <c r="N28" s="32">
        <v>0</v>
      </c>
      <c r="O28" s="217"/>
    </row>
    <row r="29" spans="1:15" ht="16.2" thickBot="1" x14ac:dyDescent="0.35">
      <c r="A29" s="23"/>
      <c r="B29" s="248">
        <v>44028</v>
      </c>
      <c r="C29" s="249">
        <v>12095.08</v>
      </c>
      <c r="D29" s="347" t="s">
        <v>332</v>
      </c>
      <c r="E29" s="27"/>
      <c r="F29" s="28"/>
      <c r="H29" s="29" t="s">
        <v>172</v>
      </c>
      <c r="I29" s="34"/>
      <c r="J29" s="176" t="s">
        <v>329</v>
      </c>
      <c r="K29" s="231" t="s">
        <v>244</v>
      </c>
      <c r="L29" s="178">
        <v>3087.29</v>
      </c>
      <c r="M29" s="31">
        <v>0</v>
      </c>
      <c r="N29" s="32">
        <v>0</v>
      </c>
      <c r="O29" s="217"/>
    </row>
    <row r="30" spans="1:15" ht="16.2" thickBot="1" x14ac:dyDescent="0.35">
      <c r="A30" s="23"/>
      <c r="B30" s="248">
        <v>44030</v>
      </c>
      <c r="C30" s="249">
        <v>10086.85</v>
      </c>
      <c r="D30" s="347" t="s">
        <v>334</v>
      </c>
      <c r="E30" s="27"/>
      <c r="F30" s="28"/>
      <c r="H30" s="29"/>
      <c r="I30" s="199"/>
      <c r="J30" s="176" t="s">
        <v>329</v>
      </c>
      <c r="K30" s="231" t="s">
        <v>313</v>
      </c>
      <c r="L30" s="232">
        <v>5800</v>
      </c>
      <c r="M30" s="31">
        <v>0</v>
      </c>
      <c r="N30" s="32">
        <v>0</v>
      </c>
      <c r="O30" s="217"/>
    </row>
    <row r="31" spans="1:15" ht="16.2" thickBot="1" x14ac:dyDescent="0.35">
      <c r="A31" s="23"/>
      <c r="B31" s="248">
        <v>44032</v>
      </c>
      <c r="C31" s="262">
        <v>14947.36</v>
      </c>
      <c r="D31" s="347" t="s">
        <v>332</v>
      </c>
      <c r="E31" s="27" t="s">
        <v>172</v>
      </c>
      <c r="F31" s="28"/>
      <c r="H31" s="29"/>
      <c r="I31" s="199"/>
      <c r="J31" s="176"/>
      <c r="K31" s="86"/>
      <c r="L31" s="178"/>
      <c r="M31" s="31">
        <v>0</v>
      </c>
      <c r="N31" s="32">
        <v>0</v>
      </c>
      <c r="O31" s="217"/>
    </row>
    <row r="32" spans="1:15" ht="16.2" thickBot="1" x14ac:dyDescent="0.35">
      <c r="A32" s="23"/>
      <c r="B32" s="248">
        <v>44033</v>
      </c>
      <c r="C32" s="262">
        <v>10299.66</v>
      </c>
      <c r="D32" s="348" t="s">
        <v>333</v>
      </c>
      <c r="E32" s="27"/>
      <c r="F32" s="202"/>
      <c r="H32" s="29"/>
      <c r="I32" s="199"/>
      <c r="J32" s="176"/>
      <c r="K32" s="96"/>
      <c r="L32" s="178"/>
      <c r="M32" s="31">
        <v>0</v>
      </c>
      <c r="N32" s="32">
        <v>0</v>
      </c>
      <c r="O32" s="217"/>
    </row>
    <row r="33" spans="1:15" ht="16.2" thickBot="1" x14ac:dyDescent="0.35">
      <c r="A33" s="23"/>
      <c r="B33" s="248">
        <v>44035</v>
      </c>
      <c r="C33" s="262">
        <v>17215.71</v>
      </c>
      <c r="D33" s="348" t="s">
        <v>333</v>
      </c>
      <c r="E33" s="27"/>
      <c r="F33" s="97"/>
      <c r="H33" s="29"/>
      <c r="I33" s="199"/>
      <c r="J33" s="176"/>
      <c r="K33" s="349"/>
      <c r="L33" s="178"/>
      <c r="M33" s="31">
        <v>0</v>
      </c>
      <c r="N33" s="32">
        <v>0</v>
      </c>
      <c r="O33" s="217"/>
    </row>
    <row r="34" spans="1:15" ht="16.2" thickBot="1" x14ac:dyDescent="0.35">
      <c r="A34" s="23"/>
      <c r="B34" s="248">
        <v>44039</v>
      </c>
      <c r="C34" s="262">
        <v>19600.849999999999</v>
      </c>
      <c r="D34" s="348" t="s">
        <v>333</v>
      </c>
      <c r="E34" s="27"/>
      <c r="F34" s="97"/>
      <c r="H34" s="29"/>
      <c r="I34" s="199"/>
      <c r="J34" s="176"/>
      <c r="K34" s="86"/>
      <c r="L34" s="178"/>
      <c r="M34" s="31">
        <v>0</v>
      </c>
      <c r="N34" s="32">
        <v>0</v>
      </c>
      <c r="O34" s="217"/>
    </row>
    <row r="35" spans="1:15" ht="16.2" thickBot="1" x14ac:dyDescent="0.35">
      <c r="A35" s="23"/>
      <c r="B35" s="248">
        <v>44042</v>
      </c>
      <c r="C35" s="262">
        <v>9804.11</v>
      </c>
      <c r="D35" s="348" t="s">
        <v>333</v>
      </c>
      <c r="E35" s="27"/>
      <c r="F35" s="97"/>
      <c r="H35" s="29"/>
      <c r="I35" s="199"/>
      <c r="J35" s="176"/>
      <c r="K35" s="96"/>
      <c r="L35" s="233"/>
      <c r="M35" s="31">
        <v>0</v>
      </c>
      <c r="N35" s="32">
        <v>0</v>
      </c>
      <c r="O35" s="217"/>
    </row>
    <row r="36" spans="1:15" ht="16.2" thickBot="1" x14ac:dyDescent="0.35">
      <c r="A36" s="23"/>
      <c r="B36" s="248">
        <v>44043</v>
      </c>
      <c r="C36" s="262">
        <v>11968.59</v>
      </c>
      <c r="D36" s="348" t="s">
        <v>333</v>
      </c>
      <c r="E36" s="27"/>
      <c r="F36" s="97"/>
      <c r="H36" s="29"/>
      <c r="I36" s="199"/>
      <c r="J36" s="176"/>
      <c r="K36" s="86"/>
      <c r="L36" s="178"/>
      <c r="M36" s="31">
        <v>0</v>
      </c>
      <c r="N36" s="32">
        <v>0</v>
      </c>
      <c r="O36" s="217"/>
    </row>
    <row r="37" spans="1:15" ht="16.2" thickBot="1" x14ac:dyDescent="0.35">
      <c r="A37" s="23"/>
      <c r="B37" s="248">
        <v>44047</v>
      </c>
      <c r="C37" s="262">
        <v>14203.02</v>
      </c>
      <c r="D37" s="348" t="s">
        <v>333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6.2" thickBot="1" x14ac:dyDescent="0.35">
      <c r="A38" s="23"/>
      <c r="B38" s="248">
        <v>44048</v>
      </c>
      <c r="C38" s="306">
        <v>4690</v>
      </c>
      <c r="D38" s="348" t="s">
        <v>333</v>
      </c>
      <c r="E38" s="27"/>
      <c r="F38" s="97"/>
      <c r="H38" s="29"/>
      <c r="I38" s="199"/>
      <c r="J38" s="176"/>
      <c r="K38" s="109"/>
      <c r="L38" s="235"/>
      <c r="M38" s="31">
        <v>0</v>
      </c>
      <c r="N38" s="32">
        <v>0</v>
      </c>
      <c r="O38" s="217"/>
    </row>
    <row r="39" spans="1:15" ht="16.2" thickBot="1" x14ac:dyDescent="0.35">
      <c r="A39" s="102"/>
      <c r="B39" s="248"/>
      <c r="C39" s="310"/>
      <c r="D39" s="350"/>
      <c r="E39" s="171"/>
      <c r="F39" s="351"/>
      <c r="G39" s="313"/>
      <c r="H39" s="90"/>
      <c r="I39" s="307"/>
      <c r="J39" s="85"/>
      <c r="K39" s="213"/>
      <c r="L39" s="66"/>
      <c r="M39" s="31">
        <v>0</v>
      </c>
      <c r="N39" s="32">
        <v>0</v>
      </c>
      <c r="O39" s="236"/>
    </row>
    <row r="40" spans="1:15" ht="16.2" thickBot="1" x14ac:dyDescent="0.35">
      <c r="B40" s="335" t="s">
        <v>51</v>
      </c>
      <c r="C40" s="336">
        <f>SUM(C5:C39)</f>
        <v>253061.22999999998</v>
      </c>
      <c r="D40" s="114"/>
      <c r="E40" s="237" t="s">
        <v>51</v>
      </c>
      <c r="F40" s="238">
        <f>SUM(F5:F39)</f>
        <v>2042022</v>
      </c>
      <c r="G40" s="114"/>
      <c r="H40" s="117" t="s">
        <v>245</v>
      </c>
      <c r="I40" s="118">
        <f>SUM(I5:I39)</f>
        <v>45123</v>
      </c>
      <c r="J40" s="265"/>
      <c r="K40" s="120" t="s">
        <v>246</v>
      </c>
      <c r="L40" s="121">
        <f>SUM(L6:L39)</f>
        <v>141134.783</v>
      </c>
      <c r="M40" s="126">
        <f>SUM(M5:M39)</f>
        <v>1751345.5</v>
      </c>
      <c r="N40" s="126">
        <f>SUM(N5:N39)</f>
        <v>79278</v>
      </c>
      <c r="O40" s="239"/>
    </row>
    <row r="41" spans="1:15" ht="19.2" thickTop="1" thickBot="1" x14ac:dyDescent="0.35">
      <c r="C41" s="5" t="s">
        <v>10</v>
      </c>
      <c r="O41" s="240"/>
    </row>
    <row r="42" spans="1:15" ht="18.600000000000001" thickBot="1" x14ac:dyDescent="0.35">
      <c r="A42" s="65"/>
      <c r="B42" s="122"/>
      <c r="C42" s="4"/>
      <c r="H42" s="601" t="s">
        <v>52</v>
      </c>
      <c r="I42" s="602"/>
      <c r="J42" s="266"/>
      <c r="K42" s="603">
        <f>I40+L40</f>
        <v>186257.783</v>
      </c>
      <c r="L42" s="604"/>
      <c r="M42" s="599">
        <f>M40+N40</f>
        <v>1830623.5</v>
      </c>
      <c r="N42" s="600"/>
    </row>
    <row r="43" spans="1:15" ht="15.6" x14ac:dyDescent="0.3">
      <c r="D43" s="606" t="s">
        <v>53</v>
      </c>
      <c r="E43" s="606"/>
      <c r="F43" s="124">
        <f>F40-K42-C40</f>
        <v>1602702.987</v>
      </c>
      <c r="I43" s="125"/>
      <c r="J43" s="267"/>
    </row>
    <row r="44" spans="1:15" ht="18" x14ac:dyDescent="0.35">
      <c r="D44" s="607" t="s">
        <v>54</v>
      </c>
      <c r="E44" s="607"/>
      <c r="F44" s="126">
        <v>-1500498.43</v>
      </c>
      <c r="I44" s="608" t="s">
        <v>55</v>
      </c>
      <c r="J44" s="609"/>
      <c r="K44" s="610">
        <f>F49</f>
        <v>370904.37700000004</v>
      </c>
      <c r="L44" s="611"/>
    </row>
    <row r="45" spans="1:15" ht="18.600000000000001" thickBot="1" x14ac:dyDescent="0.4">
      <c r="D45" s="127"/>
      <c r="E45" s="128"/>
      <c r="F45" s="129">
        <v>0</v>
      </c>
      <c r="I45" s="130"/>
      <c r="J45" s="268"/>
      <c r="K45" s="131"/>
      <c r="L45" s="131"/>
    </row>
    <row r="46" spans="1:15" ht="18.600000000000001" thickTop="1" x14ac:dyDescent="0.35">
      <c r="C46" s="13" t="s">
        <v>10</v>
      </c>
      <c r="E46" s="65" t="s">
        <v>56</v>
      </c>
      <c r="F46" s="126">
        <f>SUM(F43:F45)</f>
        <v>102204.55700000003</v>
      </c>
      <c r="H46" s="23"/>
      <c r="I46" s="132" t="s">
        <v>57</v>
      </c>
      <c r="J46" s="269"/>
      <c r="K46" s="612">
        <f>-C4</f>
        <v>-229708.38</v>
      </c>
      <c r="L46" s="613"/>
      <c r="M46" s="134"/>
    </row>
    <row r="47" spans="1:15" ht="16.2" thickBot="1" x14ac:dyDescent="0.35">
      <c r="D47" s="135" t="s">
        <v>58</v>
      </c>
      <c r="E47" s="65" t="s">
        <v>59</v>
      </c>
      <c r="F47" s="136">
        <v>12321</v>
      </c>
    </row>
    <row r="48" spans="1:15" ht="19.2" thickTop="1" thickBot="1" x14ac:dyDescent="0.4">
      <c r="C48" s="137">
        <v>44048</v>
      </c>
      <c r="D48" s="614" t="s">
        <v>60</v>
      </c>
      <c r="E48" s="615"/>
      <c r="F48" s="138">
        <v>256378.82</v>
      </c>
      <c r="I48" s="616" t="s">
        <v>61</v>
      </c>
      <c r="J48" s="617"/>
      <c r="K48" s="618">
        <f>K44+K46</f>
        <v>141195.99700000003</v>
      </c>
      <c r="L48" s="619"/>
    </row>
    <row r="49" spans="2:15" ht="18" x14ac:dyDescent="0.35">
      <c r="C49" s="139"/>
      <c r="D49" s="140"/>
      <c r="E49" s="141" t="s">
        <v>62</v>
      </c>
      <c r="F49" s="142">
        <f>F46+F47+F48</f>
        <v>370904.37700000004</v>
      </c>
      <c r="J49" s="270"/>
      <c r="M49" s="143"/>
    </row>
    <row r="51" spans="2:15" x14ac:dyDescent="0.3">
      <c r="B51"/>
      <c r="C51"/>
      <c r="D51" s="605"/>
      <c r="E51" s="605"/>
      <c r="M51" s="144"/>
      <c r="N51" s="65"/>
      <c r="O51" s="65"/>
    </row>
    <row r="52" spans="2:15" x14ac:dyDescent="0.3">
      <c r="B52"/>
      <c r="C52"/>
      <c r="M52" s="144"/>
      <c r="N52" s="65"/>
      <c r="O52" s="65"/>
    </row>
    <row r="53" spans="2:15" x14ac:dyDescent="0.3">
      <c r="B53"/>
      <c r="C53"/>
      <c r="N53" s="65"/>
      <c r="O53" s="65"/>
    </row>
    <row r="54" spans="2:15" x14ac:dyDescent="0.3">
      <c r="B54"/>
      <c r="C54"/>
      <c r="F54"/>
      <c r="I54"/>
      <c r="J54" s="271"/>
      <c r="L54" s="273"/>
      <c r="M54"/>
      <c r="N54" s="65"/>
      <c r="O54" s="65"/>
    </row>
    <row r="55" spans="2:15" x14ac:dyDescent="0.3">
      <c r="B55"/>
      <c r="C55"/>
      <c r="F55" s="145"/>
      <c r="L55" s="273"/>
      <c r="N55" s="65"/>
      <c r="O55" s="65"/>
    </row>
    <row r="56" spans="2:15" x14ac:dyDescent="0.3">
      <c r="F56" s="91"/>
      <c r="L56" s="273"/>
      <c r="M56" s="4"/>
      <c r="N56" s="65"/>
      <c r="O56" s="65"/>
    </row>
    <row r="57" spans="2:15" x14ac:dyDescent="0.3">
      <c r="F57" s="91"/>
      <c r="L57" s="232"/>
      <c r="M57" s="4"/>
      <c r="N57" s="65"/>
      <c r="O57" s="65"/>
    </row>
    <row r="58" spans="2:15" x14ac:dyDescent="0.3">
      <c r="F58" s="91"/>
      <c r="L58" s="273"/>
      <c r="M58" s="4"/>
      <c r="N58" s="65"/>
      <c r="O58" s="65"/>
    </row>
    <row r="59" spans="2:15" x14ac:dyDescent="0.3">
      <c r="F59" s="91"/>
      <c r="L59" s="273"/>
      <c r="M59" s="4"/>
      <c r="N59" s="65"/>
      <c r="O59" s="65"/>
    </row>
    <row r="60" spans="2:15" x14ac:dyDescent="0.3">
      <c r="F60" s="91"/>
      <c r="L60" s="273"/>
      <c r="M60" s="4"/>
    </row>
    <row r="61" spans="2:15" x14ac:dyDescent="0.3">
      <c r="F61" s="91"/>
      <c r="L61" s="273"/>
      <c r="M61" s="4"/>
    </row>
    <row r="62" spans="2:15" x14ac:dyDescent="0.3">
      <c r="F62" s="91"/>
      <c r="L62" s="46"/>
      <c r="M62" s="4"/>
    </row>
    <row r="63" spans="2:15" x14ac:dyDescent="0.3">
      <c r="F63" s="91"/>
      <c r="L63" s="273"/>
      <c r="M63" s="4"/>
    </row>
    <row r="64" spans="2:15" x14ac:dyDescent="0.3">
      <c r="F64" s="91"/>
      <c r="L64" s="337"/>
      <c r="M64" s="4"/>
    </row>
    <row r="65" spans="6:13" x14ac:dyDescent="0.3">
      <c r="F65" s="145"/>
      <c r="M65" s="4"/>
    </row>
    <row r="66" spans="6:13" x14ac:dyDescent="0.3">
      <c r="M66" s="4"/>
    </row>
    <row r="67" spans="6:13" x14ac:dyDescent="0.3">
      <c r="M67" s="4"/>
    </row>
    <row r="68" spans="6:13" x14ac:dyDescent="0.3">
      <c r="M68" s="4"/>
    </row>
    <row r="69" spans="6:13" x14ac:dyDescent="0.3">
      <c r="M69" s="4"/>
    </row>
    <row r="70" spans="6:13" x14ac:dyDescent="0.3"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</sheetData>
  <mergeCells count="17">
    <mergeCell ref="D48:E48"/>
    <mergeCell ref="I48:J48"/>
    <mergeCell ref="K48:L48"/>
    <mergeCell ref="D51:E51"/>
    <mergeCell ref="M42:N42"/>
    <mergeCell ref="D43:E43"/>
    <mergeCell ref="D44:E44"/>
    <mergeCell ref="I44:J44"/>
    <mergeCell ref="K44:L44"/>
    <mergeCell ref="K46:L46"/>
    <mergeCell ref="H42:I42"/>
    <mergeCell ref="K42:L42"/>
    <mergeCell ref="C1:K1"/>
    <mergeCell ref="B3:C3"/>
    <mergeCell ref="H3:I3"/>
    <mergeCell ref="E4:F4"/>
    <mergeCell ref="H4:I4"/>
  </mergeCells>
  <pageMargins left="0.15748031496062992" right="0.15748031496062992" top="0.35433070866141736" bottom="0.27559055118110237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3C93-59BE-4C55-AAA2-6207A31428DB}">
  <sheetPr>
    <tabColor rgb="FF92D050"/>
  </sheetPr>
  <dimension ref="A1:F71"/>
  <sheetViews>
    <sheetView workbookViewId="0">
      <selection activeCell="H12" sqref="H12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177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6">
        <v>44027</v>
      </c>
      <c r="B3" s="157">
        <v>22181</v>
      </c>
      <c r="C3" s="97">
        <v>38328.9</v>
      </c>
      <c r="D3" s="154"/>
      <c r="E3" s="56"/>
      <c r="F3" s="155">
        <f>C3-E3</f>
        <v>38328.9</v>
      </c>
    </row>
    <row r="4" spans="1:6" x14ac:dyDescent="0.3">
      <c r="A4" s="156">
        <v>44027</v>
      </c>
      <c r="B4" s="157">
        <v>22193</v>
      </c>
      <c r="C4" s="97">
        <v>4424</v>
      </c>
      <c r="D4" s="158"/>
      <c r="E4" s="97"/>
      <c r="F4" s="155">
        <f>F3+C4-E4</f>
        <v>42752.9</v>
      </c>
    </row>
    <row r="5" spans="1:6" x14ac:dyDescent="0.3">
      <c r="A5" s="158">
        <v>44028</v>
      </c>
      <c r="B5" s="157">
        <v>22328</v>
      </c>
      <c r="C5" s="97">
        <v>80009.259999999995</v>
      </c>
      <c r="D5" s="158"/>
      <c r="E5" s="97"/>
      <c r="F5" s="155">
        <f t="shared" ref="F5:F34" si="0">F4+C5-E5</f>
        <v>122762.16</v>
      </c>
    </row>
    <row r="6" spans="1:6" x14ac:dyDescent="0.3">
      <c r="A6" s="158">
        <v>44028</v>
      </c>
      <c r="B6" s="157">
        <v>22330</v>
      </c>
      <c r="C6" s="97">
        <v>224</v>
      </c>
      <c r="D6" s="158"/>
      <c r="E6" s="97"/>
      <c r="F6" s="155">
        <f t="shared" si="0"/>
        <v>122986.16</v>
      </c>
    </row>
    <row r="7" spans="1:6" x14ac:dyDescent="0.3">
      <c r="A7" s="158">
        <v>44028</v>
      </c>
      <c r="B7" s="157">
        <v>22398</v>
      </c>
      <c r="C7" s="97">
        <v>31533.93</v>
      </c>
      <c r="D7" s="158"/>
      <c r="E7" s="97"/>
      <c r="F7" s="155">
        <f t="shared" si="0"/>
        <v>154520.09</v>
      </c>
    </row>
    <row r="8" spans="1:6" x14ac:dyDescent="0.3">
      <c r="A8" s="158">
        <v>44029</v>
      </c>
      <c r="B8" s="157">
        <v>22432</v>
      </c>
      <c r="C8" s="97">
        <v>102884.82</v>
      </c>
      <c r="D8" s="158">
        <v>44030</v>
      </c>
      <c r="E8" s="97">
        <v>257404.91</v>
      </c>
      <c r="F8" s="352">
        <f t="shared" si="0"/>
        <v>0</v>
      </c>
    </row>
    <row r="9" spans="1:6" x14ac:dyDescent="0.3">
      <c r="A9" s="158">
        <v>44030</v>
      </c>
      <c r="B9" s="157">
        <v>22624</v>
      </c>
      <c r="C9" s="97">
        <v>38316.9</v>
      </c>
      <c r="D9" s="158"/>
      <c r="E9" s="97"/>
      <c r="F9" s="155">
        <f t="shared" si="0"/>
        <v>38316.9</v>
      </c>
    </row>
    <row r="10" spans="1:6" x14ac:dyDescent="0.3">
      <c r="A10" s="158">
        <v>44030</v>
      </c>
      <c r="B10" s="157">
        <v>22720</v>
      </c>
      <c r="C10" s="97">
        <v>168559.44</v>
      </c>
      <c r="D10" s="158"/>
      <c r="E10" s="97"/>
      <c r="F10" s="155">
        <f t="shared" si="0"/>
        <v>206876.34</v>
      </c>
    </row>
    <row r="11" spans="1:6" x14ac:dyDescent="0.3">
      <c r="A11" s="156">
        <v>44032</v>
      </c>
      <c r="B11" s="157">
        <v>22830</v>
      </c>
      <c r="C11" s="97">
        <v>534</v>
      </c>
      <c r="D11" s="158"/>
      <c r="E11" s="97"/>
      <c r="F11" s="155">
        <f t="shared" si="0"/>
        <v>207410.34</v>
      </c>
    </row>
    <row r="12" spans="1:6" x14ac:dyDescent="0.3">
      <c r="A12" s="158">
        <v>44032</v>
      </c>
      <c r="B12" s="157">
        <v>22896</v>
      </c>
      <c r="C12" s="97">
        <v>84142.12</v>
      </c>
      <c r="D12" s="158"/>
      <c r="E12" s="97"/>
      <c r="F12" s="155">
        <f t="shared" si="0"/>
        <v>291552.45999999996</v>
      </c>
    </row>
    <row r="13" spans="1:6" x14ac:dyDescent="0.3">
      <c r="A13" s="158">
        <v>44034</v>
      </c>
      <c r="B13" s="157">
        <v>23105</v>
      </c>
      <c r="C13" s="97">
        <v>75996.600000000006</v>
      </c>
      <c r="D13" s="158"/>
      <c r="E13" s="97"/>
      <c r="F13" s="155">
        <f t="shared" si="0"/>
        <v>367549.05999999994</v>
      </c>
    </row>
    <row r="14" spans="1:6" x14ac:dyDescent="0.3">
      <c r="A14" s="158">
        <v>44035</v>
      </c>
      <c r="B14" s="157">
        <v>23253</v>
      </c>
      <c r="C14" s="97">
        <v>99624.7</v>
      </c>
      <c r="D14" s="158"/>
      <c r="E14" s="97"/>
      <c r="F14" s="155">
        <f t="shared" si="0"/>
        <v>467173.75999999995</v>
      </c>
    </row>
    <row r="15" spans="1:6" x14ac:dyDescent="0.3">
      <c r="A15" s="158">
        <v>44035</v>
      </c>
      <c r="B15" s="157">
        <v>23254</v>
      </c>
      <c r="C15" s="97">
        <v>29872.400000000001</v>
      </c>
      <c r="D15" s="158">
        <v>44037</v>
      </c>
      <c r="E15" s="97">
        <v>497046.16</v>
      </c>
      <c r="F15" s="352">
        <f t="shared" si="0"/>
        <v>0</v>
      </c>
    </row>
    <row r="16" spans="1:6" x14ac:dyDescent="0.3">
      <c r="A16" s="158">
        <v>44037</v>
      </c>
      <c r="B16" s="157">
        <v>23477</v>
      </c>
      <c r="C16" s="97">
        <v>129383.9</v>
      </c>
      <c r="D16" s="158"/>
      <c r="E16" s="97"/>
      <c r="F16" s="155">
        <f t="shared" si="0"/>
        <v>129383.9</v>
      </c>
    </row>
    <row r="17" spans="1:6" x14ac:dyDescent="0.3">
      <c r="A17" s="158">
        <v>44038</v>
      </c>
      <c r="B17" s="157">
        <v>23590</v>
      </c>
      <c r="C17" s="97">
        <v>48313.04</v>
      </c>
      <c r="D17" s="158"/>
      <c r="E17" s="97"/>
      <c r="F17" s="155">
        <f t="shared" si="0"/>
        <v>177696.94</v>
      </c>
    </row>
    <row r="18" spans="1:6" x14ac:dyDescent="0.3">
      <c r="A18" s="158">
        <v>44039</v>
      </c>
      <c r="B18" s="157">
        <v>23656</v>
      </c>
      <c r="C18" s="97">
        <v>15802.8</v>
      </c>
      <c r="D18" s="158"/>
      <c r="E18" s="97"/>
      <c r="F18" s="155">
        <f t="shared" si="0"/>
        <v>193499.74</v>
      </c>
    </row>
    <row r="19" spans="1:6" x14ac:dyDescent="0.3">
      <c r="A19" s="158">
        <v>44040</v>
      </c>
      <c r="B19" s="157">
        <v>23810</v>
      </c>
      <c r="C19" s="97">
        <v>114841.8</v>
      </c>
      <c r="D19" s="158">
        <v>44041</v>
      </c>
      <c r="E19" s="97">
        <v>308341.53999999998</v>
      </c>
      <c r="F19" s="155">
        <f t="shared" si="0"/>
        <v>0</v>
      </c>
    </row>
    <row r="20" spans="1:6" x14ac:dyDescent="0.3">
      <c r="A20" s="158">
        <v>44043</v>
      </c>
      <c r="B20" s="157">
        <v>24065</v>
      </c>
      <c r="C20" s="97">
        <v>100707.1</v>
      </c>
      <c r="D20" s="158"/>
      <c r="E20" s="97"/>
      <c r="F20" s="155">
        <f t="shared" si="0"/>
        <v>100707.1</v>
      </c>
    </row>
    <row r="21" spans="1:6" x14ac:dyDescent="0.3">
      <c r="A21" s="158">
        <v>44043</v>
      </c>
      <c r="B21" s="157">
        <v>24067</v>
      </c>
      <c r="C21" s="97">
        <v>35236.6</v>
      </c>
      <c r="D21" s="158"/>
      <c r="E21" s="97"/>
      <c r="F21" s="155">
        <f t="shared" si="0"/>
        <v>135943.70000000001</v>
      </c>
    </row>
    <row r="22" spans="1:6" x14ac:dyDescent="0.3">
      <c r="A22" s="158">
        <v>44043</v>
      </c>
      <c r="B22" s="157">
        <v>24069</v>
      </c>
      <c r="C22" s="97">
        <v>836</v>
      </c>
      <c r="D22" s="158"/>
      <c r="E22" s="97"/>
      <c r="F22" s="155">
        <f t="shared" si="0"/>
        <v>136779.70000000001</v>
      </c>
    </row>
    <row r="23" spans="1:6" x14ac:dyDescent="0.3">
      <c r="A23" s="158">
        <v>44043</v>
      </c>
      <c r="B23" s="157">
        <v>24118</v>
      </c>
      <c r="C23" s="97">
        <v>18659</v>
      </c>
      <c r="D23" s="158"/>
      <c r="E23" s="97"/>
      <c r="F23" s="155">
        <f t="shared" si="0"/>
        <v>155438.70000000001</v>
      </c>
    </row>
    <row r="24" spans="1:6" x14ac:dyDescent="0.3">
      <c r="A24" s="158">
        <v>44044</v>
      </c>
      <c r="B24" s="157">
        <v>24238</v>
      </c>
      <c r="C24" s="97">
        <v>2950.2</v>
      </c>
      <c r="D24" s="158"/>
      <c r="E24" s="97"/>
      <c r="F24" s="155">
        <f t="shared" si="0"/>
        <v>158388.90000000002</v>
      </c>
    </row>
    <row r="25" spans="1:6" x14ac:dyDescent="0.3">
      <c r="A25" s="158">
        <v>44044</v>
      </c>
      <c r="B25" s="157">
        <v>24275</v>
      </c>
      <c r="C25" s="97">
        <v>122609.62</v>
      </c>
      <c r="D25" s="158"/>
      <c r="E25" s="97"/>
      <c r="F25" s="155">
        <f t="shared" si="0"/>
        <v>280998.52</v>
      </c>
    </row>
    <row r="26" spans="1:6" x14ac:dyDescent="0.3">
      <c r="A26" s="158">
        <v>44044</v>
      </c>
      <c r="B26" s="157">
        <v>24277</v>
      </c>
      <c r="C26" s="97">
        <v>21246</v>
      </c>
      <c r="D26" s="158">
        <v>44044</v>
      </c>
      <c r="E26" s="97">
        <v>302244.52</v>
      </c>
      <c r="F26" s="155">
        <f t="shared" si="0"/>
        <v>0</v>
      </c>
    </row>
    <row r="27" spans="1:6" x14ac:dyDescent="0.3">
      <c r="A27" s="158"/>
      <c r="B27" s="157"/>
      <c r="C27" s="97"/>
      <c r="D27" s="158"/>
      <c r="E27" s="97"/>
      <c r="F27" s="155">
        <f t="shared" si="0"/>
        <v>0</v>
      </c>
    </row>
    <row r="28" spans="1:6" x14ac:dyDescent="0.3">
      <c r="A28" s="158">
        <v>44045</v>
      </c>
      <c r="B28" s="157">
        <v>24371</v>
      </c>
      <c r="C28" s="97">
        <v>81449.600000000006</v>
      </c>
      <c r="D28" s="158"/>
      <c r="E28" s="97"/>
      <c r="F28" s="155">
        <f t="shared" si="0"/>
        <v>81449.600000000006</v>
      </c>
    </row>
    <row r="29" spans="1:6" x14ac:dyDescent="0.3">
      <c r="A29" s="158">
        <v>44046</v>
      </c>
      <c r="B29" s="157">
        <v>24498</v>
      </c>
      <c r="C29" s="97">
        <v>24543.1</v>
      </c>
      <c r="D29" s="158"/>
      <c r="E29" s="97"/>
      <c r="F29" s="155">
        <f t="shared" si="0"/>
        <v>105992.70000000001</v>
      </c>
    </row>
    <row r="30" spans="1:6" x14ac:dyDescent="0.3">
      <c r="A30" s="158">
        <v>44048</v>
      </c>
      <c r="B30" s="157">
        <v>24625</v>
      </c>
      <c r="C30" s="97">
        <v>24553.8</v>
      </c>
      <c r="D30" s="158"/>
      <c r="E30" s="97"/>
      <c r="F30" s="155">
        <f t="shared" si="0"/>
        <v>130546.50000000001</v>
      </c>
    </row>
    <row r="31" spans="1:6" x14ac:dyDescent="0.3">
      <c r="A31" s="158">
        <v>44048</v>
      </c>
      <c r="B31" s="157">
        <v>24718</v>
      </c>
      <c r="C31" s="97">
        <v>4914.8</v>
      </c>
      <c r="D31" s="158"/>
      <c r="E31" s="97"/>
      <c r="F31" s="155">
        <f t="shared" si="0"/>
        <v>135461.30000000002</v>
      </c>
    </row>
    <row r="32" spans="1:6" x14ac:dyDescent="0.3">
      <c r="A32" s="156"/>
      <c r="B32" s="157"/>
      <c r="C32" s="97"/>
      <c r="D32" s="154"/>
      <c r="E32" s="91"/>
      <c r="F32" s="155">
        <f t="shared" si="0"/>
        <v>135461.30000000002</v>
      </c>
    </row>
    <row r="33" spans="1:6" x14ac:dyDescent="0.3">
      <c r="A33" s="156"/>
      <c r="B33" s="157"/>
      <c r="C33" s="97"/>
      <c r="D33" s="154"/>
      <c r="E33" s="91"/>
      <c r="F33" s="155">
        <f t="shared" si="0"/>
        <v>135461.30000000002</v>
      </c>
    </row>
    <row r="34" spans="1:6" ht="15" thickBot="1" x14ac:dyDescent="0.35">
      <c r="A34" s="159"/>
      <c r="B34" s="160"/>
      <c r="C34" s="161">
        <v>0</v>
      </c>
      <c r="D34" s="162"/>
      <c r="E34" s="161"/>
      <c r="F34" s="155">
        <f t="shared" si="0"/>
        <v>135461.30000000002</v>
      </c>
    </row>
    <row r="35" spans="1:6" ht="18.600000000000001" thickTop="1" x14ac:dyDescent="0.35">
      <c r="B35" s="65"/>
      <c r="C35" s="4">
        <f>SUM(C3:C34)</f>
        <v>1500498.4300000006</v>
      </c>
      <c r="D35" s="1"/>
      <c r="E35" s="4">
        <f>SUM(E3:E34)</f>
        <v>1365037.13</v>
      </c>
      <c r="F35" s="163">
        <f>F34</f>
        <v>135461.30000000002</v>
      </c>
    </row>
    <row r="36" spans="1:6" x14ac:dyDescent="0.3">
      <c r="B36" s="65"/>
      <c r="C36" s="4"/>
      <c r="D36" s="1"/>
      <c r="E36" s="5"/>
      <c r="F36" s="4"/>
    </row>
    <row r="37" spans="1:6" x14ac:dyDescent="0.3">
      <c r="B37" s="65"/>
      <c r="C37" s="4"/>
      <c r="D37" s="1"/>
      <c r="E37" s="5"/>
      <c r="F37" s="4"/>
    </row>
    <row r="38" spans="1:6" x14ac:dyDescent="0.3">
      <c r="A38"/>
      <c r="B38" s="23"/>
      <c r="D38" s="23"/>
    </row>
    <row r="39" spans="1:6" x14ac:dyDescent="0.3">
      <c r="A39"/>
      <c r="B39" s="23"/>
      <c r="D39" s="23"/>
    </row>
    <row r="40" spans="1:6" x14ac:dyDescent="0.3">
      <c r="A40"/>
      <c r="B40" s="23"/>
      <c r="D40" s="23"/>
    </row>
    <row r="41" spans="1:6" x14ac:dyDescent="0.3">
      <c r="A41"/>
      <c r="B41" s="23"/>
      <c r="D41" s="23"/>
      <c r="F41"/>
    </row>
    <row r="42" spans="1:6" x14ac:dyDescent="0.3">
      <c r="A42"/>
      <c r="B42" s="23"/>
      <c r="D42" s="23"/>
      <c r="F42"/>
    </row>
    <row r="43" spans="1:6" x14ac:dyDescent="0.3">
      <c r="A43"/>
      <c r="B43" s="23"/>
      <c r="D43" s="23"/>
      <c r="F43"/>
    </row>
    <row r="44" spans="1:6" x14ac:dyDescent="0.3">
      <c r="A44"/>
      <c r="B44" s="23"/>
      <c r="D44" s="23"/>
      <c r="F44"/>
    </row>
    <row r="45" spans="1:6" x14ac:dyDescent="0.3">
      <c r="A45"/>
      <c r="B45" s="23"/>
      <c r="D45" s="23"/>
      <c r="F45"/>
    </row>
    <row r="46" spans="1:6" x14ac:dyDescent="0.3">
      <c r="A46"/>
      <c r="B46" s="23"/>
      <c r="D46" s="23"/>
      <c r="F46"/>
    </row>
    <row r="47" spans="1:6" x14ac:dyDescent="0.3">
      <c r="A47"/>
      <c r="B47" s="23"/>
      <c r="D47" s="23"/>
      <c r="F47"/>
    </row>
    <row r="48" spans="1:6" x14ac:dyDescent="0.3">
      <c r="A48"/>
      <c r="B48" s="23"/>
      <c r="D48" s="23"/>
      <c r="F48"/>
    </row>
    <row r="49" spans="1:6" x14ac:dyDescent="0.3">
      <c r="A49"/>
      <c r="B49" s="23"/>
      <c r="D49" s="23"/>
      <c r="F49"/>
    </row>
    <row r="50" spans="1:6" x14ac:dyDescent="0.3">
      <c r="A50"/>
      <c r="B50" s="23"/>
      <c r="D50" s="23"/>
      <c r="E50"/>
      <c r="F50"/>
    </row>
    <row r="51" spans="1:6" x14ac:dyDescent="0.3">
      <c r="A51"/>
      <c r="B51" s="23"/>
      <c r="D51" s="23"/>
      <c r="E51"/>
      <c r="F51"/>
    </row>
    <row r="52" spans="1:6" x14ac:dyDescent="0.3">
      <c r="A52"/>
      <c r="B52" s="23"/>
      <c r="D52" s="23"/>
      <c r="E52"/>
      <c r="F52"/>
    </row>
    <row r="53" spans="1:6" x14ac:dyDescent="0.3">
      <c r="A53"/>
      <c r="B53" s="23"/>
      <c r="D53" s="23"/>
      <c r="E53"/>
      <c r="F53"/>
    </row>
    <row r="54" spans="1:6" x14ac:dyDescent="0.3">
      <c r="A54"/>
      <c r="B54" s="23"/>
      <c r="D54" s="23"/>
      <c r="E54"/>
      <c r="F54"/>
    </row>
    <row r="55" spans="1:6" x14ac:dyDescent="0.3">
      <c r="A55"/>
      <c r="B55" s="23"/>
      <c r="D55" s="23"/>
      <c r="E55"/>
      <c r="F55"/>
    </row>
    <row r="56" spans="1:6" x14ac:dyDescent="0.3">
      <c r="B56" s="23"/>
      <c r="D56" s="23"/>
      <c r="E56"/>
    </row>
    <row r="57" spans="1:6" x14ac:dyDescent="0.3">
      <c r="B57" s="23"/>
      <c r="D57" s="23"/>
      <c r="E57"/>
    </row>
    <row r="58" spans="1:6" x14ac:dyDescent="0.3">
      <c r="B58" s="23"/>
      <c r="D58" s="23"/>
      <c r="E58"/>
    </row>
    <row r="59" spans="1:6" x14ac:dyDescent="0.3">
      <c r="B59" s="23"/>
      <c r="D59" s="23"/>
      <c r="E59"/>
    </row>
    <row r="60" spans="1:6" x14ac:dyDescent="0.3">
      <c r="B60" s="23"/>
      <c r="D60" s="23"/>
      <c r="E60"/>
    </row>
    <row r="61" spans="1:6" x14ac:dyDescent="0.3">
      <c r="B61" s="23"/>
      <c r="D61" s="23"/>
      <c r="E61"/>
    </row>
    <row r="62" spans="1:6" x14ac:dyDescent="0.3">
      <c r="B62" s="23"/>
      <c r="D62" s="23"/>
      <c r="E62"/>
    </row>
    <row r="63" spans="1:6" x14ac:dyDescent="0.3">
      <c r="B63" s="23"/>
      <c r="D63" s="23"/>
      <c r="E63"/>
    </row>
    <row r="64" spans="1:6" x14ac:dyDescent="0.3">
      <c r="B64" s="23"/>
      <c r="D64" s="23"/>
      <c r="E64"/>
    </row>
    <row r="65" spans="2:4" x14ac:dyDescent="0.3">
      <c r="B65" s="23"/>
    </row>
    <row r="66" spans="2:4" x14ac:dyDescent="0.3">
      <c r="B66" s="23"/>
    </row>
    <row r="67" spans="2:4" x14ac:dyDescent="0.3">
      <c r="B67" s="23"/>
      <c r="D67" s="23"/>
    </row>
    <row r="68" spans="2:4" x14ac:dyDescent="0.3">
      <c r="B68" s="23"/>
    </row>
    <row r="69" spans="2:4" x14ac:dyDescent="0.3">
      <c r="B69" s="23"/>
    </row>
    <row r="70" spans="2:4" x14ac:dyDescent="0.3">
      <c r="B70" s="23"/>
    </row>
    <row r="71" spans="2:4" ht="18" x14ac:dyDescent="0.35">
      <c r="C71" s="14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3718-DF60-4357-84AA-483E69A3670C}">
  <sheetPr>
    <tabColor rgb="FF7030A0"/>
  </sheetPr>
  <dimension ref="A1:O88"/>
  <sheetViews>
    <sheetView workbookViewId="0">
      <selection activeCell="G15" sqref="G15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109375" style="4" customWidth="1"/>
    <col min="15" max="15" width="24.33203125" style="4" customWidth="1"/>
  </cols>
  <sheetData>
    <row r="1" spans="1:15" ht="23.4" x14ac:dyDescent="0.45">
      <c r="C1" s="592" t="s">
        <v>335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5.6" x14ac:dyDescent="0.3">
      <c r="C2" s="5"/>
      <c r="H2" s="284" t="s">
        <v>1</v>
      </c>
      <c r="I2" s="3"/>
      <c r="J2" s="243"/>
      <c r="M2" s="3"/>
      <c r="N2" s="56"/>
      <c r="O2" s="56"/>
    </row>
    <row r="3" spans="1:15" ht="21.6" thickBot="1" x14ac:dyDescent="0.4">
      <c r="B3" s="593" t="s">
        <v>2</v>
      </c>
      <c r="C3" s="594"/>
      <c r="D3" s="12"/>
      <c r="E3" s="285"/>
      <c r="F3" s="285"/>
      <c r="H3" s="622" t="s">
        <v>135</v>
      </c>
      <c r="I3" s="622"/>
      <c r="K3" s="185" t="s">
        <v>3</v>
      </c>
      <c r="L3" s="187" t="s">
        <v>136</v>
      </c>
      <c r="M3" s="187"/>
    </row>
    <row r="4" spans="1:15" ht="19.2" thickTop="1" thickBot="1" x14ac:dyDescent="0.4">
      <c r="A4" s="16" t="s">
        <v>5</v>
      </c>
      <c r="B4" s="17"/>
      <c r="C4" s="245">
        <v>256378.82</v>
      </c>
      <c r="D4" s="246">
        <v>44048</v>
      </c>
      <c r="E4" s="595" t="s">
        <v>6</v>
      </c>
      <c r="F4" s="596"/>
      <c r="H4" s="597" t="s">
        <v>7</v>
      </c>
      <c r="I4" s="598"/>
      <c r="J4" s="247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8">
        <v>44049</v>
      </c>
      <c r="C5" s="249">
        <v>3743</v>
      </c>
      <c r="D5" s="250" t="s">
        <v>336</v>
      </c>
      <c r="E5" s="27">
        <v>44049</v>
      </c>
      <c r="F5" s="28">
        <v>76082</v>
      </c>
      <c r="H5" s="29">
        <v>44049</v>
      </c>
      <c r="I5" s="30">
        <v>0</v>
      </c>
      <c r="M5" s="31">
        <v>82179</v>
      </c>
      <c r="N5" s="32">
        <v>1443</v>
      </c>
      <c r="O5" s="91"/>
    </row>
    <row r="6" spans="1:15" ht="16.2" thickBot="1" x14ac:dyDescent="0.35">
      <c r="A6" s="23"/>
      <c r="B6" s="248">
        <v>44050</v>
      </c>
      <c r="C6" s="249">
        <v>10201</v>
      </c>
      <c r="D6" s="252" t="s">
        <v>337</v>
      </c>
      <c r="E6" s="27">
        <v>44050</v>
      </c>
      <c r="F6" s="28">
        <v>97894</v>
      </c>
      <c r="H6" s="29">
        <v>44050</v>
      </c>
      <c r="I6" s="34">
        <v>10099.91</v>
      </c>
      <c r="J6" s="55"/>
      <c r="K6" s="40"/>
      <c r="L6" s="41">
        <v>0</v>
      </c>
      <c r="M6" s="31">
        <v>66768</v>
      </c>
      <c r="N6" s="32">
        <v>10826</v>
      </c>
      <c r="O6" s="217"/>
    </row>
    <row r="7" spans="1:15" ht="15" thickBot="1" x14ac:dyDescent="0.35">
      <c r="A7" s="23"/>
      <c r="B7" s="248">
        <v>44051</v>
      </c>
      <c r="C7" s="249">
        <v>3115</v>
      </c>
      <c r="D7" s="253" t="s">
        <v>322</v>
      </c>
      <c r="E7" s="27">
        <v>44051</v>
      </c>
      <c r="F7" s="28">
        <v>110897</v>
      </c>
      <c r="H7" s="29">
        <v>44051</v>
      </c>
      <c r="I7" s="34">
        <v>450</v>
      </c>
      <c r="J7" s="55">
        <v>44051</v>
      </c>
      <c r="K7" s="48" t="s">
        <v>338</v>
      </c>
      <c r="L7" s="52">
        <f>16644.94+4571+400</f>
        <v>21615.94</v>
      </c>
      <c r="M7" s="31">
        <v>89358</v>
      </c>
      <c r="N7" s="32">
        <v>5476</v>
      </c>
      <c r="O7" s="219"/>
    </row>
    <row r="8" spans="1:15" ht="15" thickBot="1" x14ac:dyDescent="0.35">
      <c r="A8" s="23"/>
      <c r="B8" s="248">
        <v>44052</v>
      </c>
      <c r="C8" s="249">
        <v>0</v>
      </c>
      <c r="D8" s="255"/>
      <c r="E8" s="27">
        <v>44052</v>
      </c>
      <c r="F8" s="28">
        <v>81282</v>
      </c>
      <c r="H8" s="29">
        <v>44052</v>
      </c>
      <c r="I8" s="34">
        <v>450</v>
      </c>
      <c r="J8" s="341"/>
      <c r="K8" s="48"/>
      <c r="L8" s="41">
        <v>0</v>
      </c>
      <c r="M8" s="31">
        <v>72756</v>
      </c>
      <c r="N8" s="32">
        <v>8076</v>
      </c>
      <c r="O8" s="217"/>
    </row>
    <row r="9" spans="1:15" ht="15" thickBot="1" x14ac:dyDescent="0.35">
      <c r="A9" s="23"/>
      <c r="B9" s="248">
        <v>44053</v>
      </c>
      <c r="C9" s="249">
        <v>5863.8</v>
      </c>
      <c r="D9" s="257" t="s">
        <v>339</v>
      </c>
      <c r="E9" s="27">
        <v>44053</v>
      </c>
      <c r="F9" s="28">
        <v>79560</v>
      </c>
      <c r="H9" s="29">
        <v>44053</v>
      </c>
      <c r="I9" s="34">
        <v>315</v>
      </c>
      <c r="J9" s="342"/>
      <c r="K9" s="297"/>
      <c r="L9" s="41">
        <v>0</v>
      </c>
      <c r="M9" s="31">
        <v>70897</v>
      </c>
      <c r="N9" s="32">
        <v>2484</v>
      </c>
      <c r="O9" s="217"/>
    </row>
    <row r="10" spans="1:15" ht="15" thickBot="1" x14ac:dyDescent="0.35">
      <c r="A10" s="23"/>
      <c r="B10" s="248">
        <v>44054</v>
      </c>
      <c r="C10" s="249">
        <v>5134</v>
      </c>
      <c r="D10" s="253" t="s">
        <v>340</v>
      </c>
      <c r="E10" s="27">
        <v>44054</v>
      </c>
      <c r="F10" s="28">
        <v>67244</v>
      </c>
      <c r="H10" s="29">
        <v>44054</v>
      </c>
      <c r="I10" s="34">
        <v>3363</v>
      </c>
      <c r="J10" s="342"/>
      <c r="K10" s="300"/>
      <c r="L10" s="58"/>
      <c r="M10" s="31">
        <v>57300</v>
      </c>
      <c r="N10" s="32">
        <v>3870</v>
      </c>
      <c r="O10" s="219"/>
    </row>
    <row r="11" spans="1:15" ht="15" thickBot="1" x14ac:dyDescent="0.35">
      <c r="A11" s="23"/>
      <c r="B11" s="248">
        <v>44055</v>
      </c>
      <c r="C11" s="249">
        <v>4400</v>
      </c>
      <c r="D11" s="252" t="s">
        <v>341</v>
      </c>
      <c r="E11" s="27">
        <v>44055</v>
      </c>
      <c r="F11" s="28">
        <v>85748</v>
      </c>
      <c r="H11" s="29">
        <v>44055</v>
      </c>
      <c r="I11" s="34">
        <v>360</v>
      </c>
      <c r="J11" s="259"/>
      <c r="K11" s="54"/>
      <c r="L11" s="52"/>
      <c r="M11" s="31">
        <f>72148+11546</f>
        <v>83694</v>
      </c>
      <c r="N11" s="32">
        <v>3140</v>
      </c>
      <c r="O11" s="217"/>
    </row>
    <row r="12" spans="1:15" ht="15" thickBot="1" x14ac:dyDescent="0.35">
      <c r="A12" s="23"/>
      <c r="B12" s="248">
        <v>44056</v>
      </c>
      <c r="C12" s="249">
        <v>803</v>
      </c>
      <c r="D12" s="252" t="s">
        <v>19</v>
      </c>
      <c r="E12" s="27">
        <v>44056</v>
      </c>
      <c r="F12" s="28">
        <v>70761</v>
      </c>
      <c r="H12" s="29">
        <v>44056</v>
      </c>
      <c r="I12" s="34">
        <v>405</v>
      </c>
      <c r="J12" s="55"/>
      <c r="K12" s="48"/>
      <c r="L12" s="52"/>
      <c r="M12" s="31">
        <v>67772</v>
      </c>
      <c r="N12" s="32">
        <v>1781</v>
      </c>
      <c r="O12" s="220"/>
    </row>
    <row r="13" spans="1:15" ht="15" thickBot="1" x14ac:dyDescent="0.35">
      <c r="A13" s="23"/>
      <c r="B13" s="248">
        <v>44057</v>
      </c>
      <c r="C13" s="249">
        <v>11361</v>
      </c>
      <c r="D13" s="255" t="s">
        <v>342</v>
      </c>
      <c r="E13" s="27">
        <v>44057</v>
      </c>
      <c r="F13" s="28">
        <v>100651</v>
      </c>
      <c r="H13" s="29">
        <v>44057</v>
      </c>
      <c r="I13" s="34">
        <v>12554</v>
      </c>
      <c r="J13" s="55"/>
      <c r="K13" s="48"/>
      <c r="L13" s="52"/>
      <c r="M13" s="31">
        <v>72082</v>
      </c>
      <c r="N13" s="32">
        <v>4654</v>
      </c>
      <c r="O13" s="217"/>
    </row>
    <row r="14" spans="1:15" ht="15" thickBot="1" x14ac:dyDescent="0.35">
      <c r="A14" s="23"/>
      <c r="B14" s="248">
        <v>44058</v>
      </c>
      <c r="C14" s="249">
        <v>4427</v>
      </c>
      <c r="D14" s="253" t="s">
        <v>343</v>
      </c>
      <c r="E14" s="27">
        <v>44058</v>
      </c>
      <c r="F14" s="28">
        <v>135806</v>
      </c>
      <c r="H14" s="29">
        <v>44058</v>
      </c>
      <c r="I14" s="34">
        <v>1668</v>
      </c>
      <c r="J14" s="55">
        <v>44058</v>
      </c>
      <c r="K14" s="48" t="s">
        <v>344</v>
      </c>
      <c r="L14" s="52">
        <f>16657.91+4000+400</f>
        <v>21057.91</v>
      </c>
      <c r="M14" s="31">
        <v>107673</v>
      </c>
      <c r="N14" s="32">
        <v>9925</v>
      </c>
      <c r="O14" s="217"/>
    </row>
    <row r="15" spans="1:15" ht="15" thickBot="1" x14ac:dyDescent="0.35">
      <c r="A15" s="23"/>
      <c r="B15" s="248">
        <v>44059</v>
      </c>
      <c r="C15" s="249">
        <v>0</v>
      </c>
      <c r="D15" s="252"/>
      <c r="E15" s="27">
        <v>44059</v>
      </c>
      <c r="F15" s="28">
        <v>87770</v>
      </c>
      <c r="H15" s="29">
        <v>44059</v>
      </c>
      <c r="I15" s="34">
        <v>450</v>
      </c>
      <c r="J15" s="55"/>
      <c r="K15" s="48"/>
      <c r="L15" s="52">
        <v>0</v>
      </c>
      <c r="M15" s="31">
        <v>84146</v>
      </c>
      <c r="N15" s="32">
        <v>3174</v>
      </c>
      <c r="O15" s="343"/>
    </row>
    <row r="16" spans="1:15" ht="15" thickBot="1" x14ac:dyDescent="0.35">
      <c r="A16" s="23"/>
      <c r="B16" s="248">
        <v>44060</v>
      </c>
      <c r="C16" s="249">
        <v>4219</v>
      </c>
      <c r="D16" s="252" t="s">
        <v>345</v>
      </c>
      <c r="E16" s="27">
        <v>44060</v>
      </c>
      <c r="F16" s="28">
        <v>92229</v>
      </c>
      <c r="H16" s="29">
        <v>44060</v>
      </c>
      <c r="I16" s="34">
        <v>315</v>
      </c>
      <c r="J16" s="55"/>
      <c r="K16" s="48"/>
      <c r="L16" s="56">
        <v>0</v>
      </c>
      <c r="M16" s="31">
        <f>17460+66365</f>
        <v>83825</v>
      </c>
      <c r="N16" s="32">
        <v>3870</v>
      </c>
      <c r="O16" s="343"/>
    </row>
    <row r="17" spans="1:15" ht="15" thickBot="1" x14ac:dyDescent="0.35">
      <c r="A17" s="23"/>
      <c r="B17" s="248">
        <v>44061</v>
      </c>
      <c r="C17" s="249">
        <v>10890</v>
      </c>
      <c r="D17" s="255" t="s">
        <v>346</v>
      </c>
      <c r="E17" s="27">
        <v>44061</v>
      </c>
      <c r="F17" s="28">
        <v>68209</v>
      </c>
      <c r="H17" s="29">
        <v>44061</v>
      </c>
      <c r="I17" s="34">
        <v>360</v>
      </c>
      <c r="J17" s="57"/>
      <c r="K17" s="48"/>
      <c r="L17" s="58">
        <v>0</v>
      </c>
      <c r="M17" s="31">
        <v>55330</v>
      </c>
      <c r="N17" s="32">
        <v>1629</v>
      </c>
      <c r="O17" s="217"/>
    </row>
    <row r="18" spans="1:15" ht="15" thickBot="1" x14ac:dyDescent="0.35">
      <c r="A18" s="23"/>
      <c r="B18" s="248">
        <v>44062</v>
      </c>
      <c r="C18" s="249">
        <v>7413</v>
      </c>
      <c r="D18" s="252" t="s">
        <v>347</v>
      </c>
      <c r="E18" s="27">
        <v>44062</v>
      </c>
      <c r="F18" s="28">
        <v>68394</v>
      </c>
      <c r="H18" s="29">
        <v>44062</v>
      </c>
      <c r="I18" s="34">
        <v>315</v>
      </c>
      <c r="J18" s="57"/>
      <c r="K18" s="59"/>
      <c r="L18" s="52"/>
      <c r="M18" s="31">
        <v>59112</v>
      </c>
      <c r="N18" s="32">
        <v>1554</v>
      </c>
      <c r="O18" s="217"/>
    </row>
    <row r="19" spans="1:15" ht="15" thickBot="1" x14ac:dyDescent="0.35">
      <c r="A19" s="23"/>
      <c r="B19" s="248">
        <v>44063</v>
      </c>
      <c r="C19" s="249">
        <v>2424</v>
      </c>
      <c r="D19" s="252" t="s">
        <v>348</v>
      </c>
      <c r="E19" s="27">
        <v>44063</v>
      </c>
      <c r="F19" s="28">
        <v>85387</v>
      </c>
      <c r="H19" s="29">
        <v>44063</v>
      </c>
      <c r="I19" s="34">
        <v>360</v>
      </c>
      <c r="J19" s="57"/>
      <c r="K19" s="59"/>
      <c r="L19" s="61"/>
      <c r="M19" s="203">
        <v>79848</v>
      </c>
      <c r="N19" s="32">
        <v>2755</v>
      </c>
      <c r="O19" s="343" t="s">
        <v>189</v>
      </c>
    </row>
    <row r="20" spans="1:15" ht="15" thickBot="1" x14ac:dyDescent="0.35">
      <c r="A20" s="23"/>
      <c r="B20" s="248">
        <v>44064</v>
      </c>
      <c r="C20" s="249">
        <v>11577</v>
      </c>
      <c r="D20" s="252" t="s">
        <v>349</v>
      </c>
      <c r="E20" s="27">
        <v>44064</v>
      </c>
      <c r="F20" s="28">
        <v>106201</v>
      </c>
      <c r="H20" s="29">
        <v>44064</v>
      </c>
      <c r="I20" s="34">
        <v>10419</v>
      </c>
      <c r="J20" s="55"/>
      <c r="K20" s="62"/>
      <c r="L20" s="58" t="s">
        <v>10</v>
      </c>
      <c r="M20" s="203">
        <v>77351</v>
      </c>
      <c r="N20" s="32">
        <v>6854</v>
      </c>
      <c r="O20" s="343" t="s">
        <v>189</v>
      </c>
    </row>
    <row r="21" spans="1:15" ht="15" thickBot="1" x14ac:dyDescent="0.35">
      <c r="A21" s="23"/>
      <c r="B21" s="248">
        <v>44065</v>
      </c>
      <c r="C21" s="249">
        <v>20061.599999999999</v>
      </c>
      <c r="D21" s="252" t="s">
        <v>350</v>
      </c>
      <c r="E21" s="27">
        <v>44065</v>
      </c>
      <c r="F21" s="28">
        <v>130016</v>
      </c>
      <c r="H21" s="29">
        <v>44065</v>
      </c>
      <c r="I21" s="34">
        <v>405</v>
      </c>
      <c r="J21" s="57">
        <v>44065</v>
      </c>
      <c r="K21" s="59" t="s">
        <v>351</v>
      </c>
      <c r="L21" s="58">
        <f>14093.76+400+4000</f>
        <v>18493.760000000002</v>
      </c>
      <c r="M21" s="203">
        <v>93674</v>
      </c>
      <c r="N21" s="32">
        <v>6031</v>
      </c>
      <c r="O21" s="343" t="s">
        <v>189</v>
      </c>
    </row>
    <row r="22" spans="1:15" ht="15" thickBot="1" x14ac:dyDescent="0.35">
      <c r="A22" s="23"/>
      <c r="B22" s="248">
        <v>44066</v>
      </c>
      <c r="C22" s="249">
        <v>0</v>
      </c>
      <c r="D22" s="252"/>
      <c r="E22" s="27">
        <v>44066</v>
      </c>
      <c r="F22" s="28">
        <v>84092</v>
      </c>
      <c r="H22" s="29">
        <v>44066</v>
      </c>
      <c r="I22" s="34">
        <v>405</v>
      </c>
      <c r="J22" s="64"/>
      <c r="K22" s="65"/>
      <c r="L22" s="66"/>
      <c r="M22" s="203">
        <v>76231</v>
      </c>
      <c r="N22" s="32">
        <v>7456</v>
      </c>
      <c r="O22" s="343" t="s">
        <v>189</v>
      </c>
    </row>
    <row r="23" spans="1:15" ht="15" thickBot="1" x14ac:dyDescent="0.35">
      <c r="A23" s="23"/>
      <c r="B23" s="248">
        <v>44067</v>
      </c>
      <c r="C23" s="249">
        <v>1645</v>
      </c>
      <c r="D23" s="252" t="s">
        <v>19</v>
      </c>
      <c r="E23" s="27">
        <v>44067</v>
      </c>
      <c r="F23" s="28">
        <v>58130</v>
      </c>
      <c r="H23" s="29">
        <v>44067</v>
      </c>
      <c r="I23" s="34">
        <v>405</v>
      </c>
      <c r="J23" s="221"/>
      <c r="K23" s="222"/>
      <c r="L23" s="223"/>
      <c r="M23" s="31">
        <v>54837</v>
      </c>
      <c r="N23" s="32">
        <v>1243</v>
      </c>
      <c r="O23" s="204"/>
    </row>
    <row r="24" spans="1:15" ht="15" thickBot="1" x14ac:dyDescent="0.35">
      <c r="A24" s="23"/>
      <c r="B24" s="248">
        <v>44068</v>
      </c>
      <c r="C24" s="249">
        <v>5431</v>
      </c>
      <c r="D24" s="252" t="s">
        <v>352</v>
      </c>
      <c r="E24" s="27">
        <v>44068</v>
      </c>
      <c r="F24" s="28">
        <v>73606</v>
      </c>
      <c r="H24" s="29">
        <v>44068</v>
      </c>
      <c r="I24" s="34">
        <v>620</v>
      </c>
      <c r="J24" s="224">
        <v>44057</v>
      </c>
      <c r="K24" s="228" t="s">
        <v>353</v>
      </c>
      <c r="L24" s="345">
        <v>2508</v>
      </c>
      <c r="M24" s="31">
        <v>62152</v>
      </c>
      <c r="N24" s="32">
        <v>5403</v>
      </c>
      <c r="O24" s="217"/>
    </row>
    <row r="25" spans="1:15" ht="15" thickBot="1" x14ac:dyDescent="0.35">
      <c r="A25" s="23"/>
      <c r="B25" s="248">
        <v>44069</v>
      </c>
      <c r="C25" s="249">
        <v>4557</v>
      </c>
      <c r="D25" s="252" t="s">
        <v>354</v>
      </c>
      <c r="E25" s="27">
        <v>44069</v>
      </c>
      <c r="F25" s="28">
        <v>67133</v>
      </c>
      <c r="H25" s="29">
        <v>44069</v>
      </c>
      <c r="I25" s="34">
        <v>4405</v>
      </c>
      <c r="J25" s="346"/>
      <c r="K25" s="86"/>
      <c r="L25" s="178"/>
      <c r="M25" s="31">
        <v>57455</v>
      </c>
      <c r="N25" s="32">
        <v>716</v>
      </c>
      <c r="O25" s="217"/>
    </row>
    <row r="26" spans="1:15" ht="15" thickBot="1" x14ac:dyDescent="0.35">
      <c r="A26" s="23"/>
      <c r="B26" s="248">
        <v>44070</v>
      </c>
      <c r="C26" s="249">
        <v>1033</v>
      </c>
      <c r="D26" s="252" t="s">
        <v>19</v>
      </c>
      <c r="E26" s="27">
        <v>44070</v>
      </c>
      <c r="F26" s="28">
        <v>82201</v>
      </c>
      <c r="H26" s="29">
        <v>44070</v>
      </c>
      <c r="I26" s="34">
        <v>360</v>
      </c>
      <c r="J26" s="55"/>
      <c r="K26" s="228"/>
      <c r="L26" s="223"/>
      <c r="M26" s="31">
        <v>75111</v>
      </c>
      <c r="N26" s="32">
        <v>5697</v>
      </c>
      <c r="O26" s="217"/>
    </row>
    <row r="27" spans="1:15" ht="15" thickBot="1" x14ac:dyDescent="0.35">
      <c r="A27" s="23"/>
      <c r="B27" s="248">
        <v>44071</v>
      </c>
      <c r="C27" s="249">
        <f>3472+1588+640+550+165</f>
        <v>6415</v>
      </c>
      <c r="D27" s="252" t="s">
        <v>355</v>
      </c>
      <c r="E27" s="27">
        <v>44071</v>
      </c>
      <c r="F27" s="28">
        <v>100091</v>
      </c>
      <c r="H27" s="29">
        <v>44071</v>
      </c>
      <c r="I27" s="34">
        <v>10515</v>
      </c>
      <c r="J27" s="176"/>
      <c r="K27" s="96"/>
      <c r="L27" s="178"/>
      <c r="M27" s="31">
        <v>79557</v>
      </c>
      <c r="N27" s="32">
        <v>3604</v>
      </c>
      <c r="O27" s="217"/>
    </row>
    <row r="28" spans="1:15" ht="15" thickBot="1" x14ac:dyDescent="0.35">
      <c r="A28" s="23"/>
      <c r="B28" s="248">
        <v>44072</v>
      </c>
      <c r="C28" s="249">
        <f>7100+1200+1004</f>
        <v>9304</v>
      </c>
      <c r="D28" s="253" t="s">
        <v>356</v>
      </c>
      <c r="E28" s="27">
        <v>44072</v>
      </c>
      <c r="F28" s="28">
        <v>120713</v>
      </c>
      <c r="H28" s="29">
        <v>44072</v>
      </c>
      <c r="I28" s="34">
        <v>495</v>
      </c>
      <c r="J28" s="176">
        <v>44072</v>
      </c>
      <c r="K28" s="353" t="s">
        <v>357</v>
      </c>
      <c r="L28" s="178">
        <f>16738.16+4000</f>
        <v>20738.16</v>
      </c>
      <c r="M28" s="31">
        <v>92168</v>
      </c>
      <c r="N28" s="32">
        <v>6854</v>
      </c>
      <c r="O28" s="217"/>
    </row>
    <row r="29" spans="1:15" ht="16.2" thickBot="1" x14ac:dyDescent="0.35">
      <c r="A29" s="23"/>
      <c r="B29" s="248">
        <v>44073</v>
      </c>
      <c r="C29" s="249">
        <v>0</v>
      </c>
      <c r="D29" s="347"/>
      <c r="E29" s="27">
        <v>44073</v>
      </c>
      <c r="F29" s="28">
        <v>101865</v>
      </c>
      <c r="H29" s="29">
        <v>44073</v>
      </c>
      <c r="I29" s="34">
        <v>520</v>
      </c>
      <c r="J29" s="176">
        <v>44073</v>
      </c>
      <c r="K29" s="354" t="s">
        <v>357</v>
      </c>
      <c r="L29" s="178">
        <v>400</v>
      </c>
      <c r="M29" s="31">
        <f>82343+14200</f>
        <v>96543</v>
      </c>
      <c r="N29" s="32">
        <v>4395</v>
      </c>
      <c r="O29" s="217"/>
    </row>
    <row r="30" spans="1:15" ht="15" thickBot="1" x14ac:dyDescent="0.35">
      <c r="A30" s="23"/>
      <c r="B30" s="248">
        <v>44074</v>
      </c>
      <c r="C30" s="249">
        <f>4100+1939+996+372</f>
        <v>7407</v>
      </c>
      <c r="D30" s="263" t="s">
        <v>358</v>
      </c>
      <c r="E30" s="27">
        <v>44074</v>
      </c>
      <c r="F30" s="28">
        <v>79394</v>
      </c>
      <c r="H30" s="29">
        <v>44074</v>
      </c>
      <c r="I30" s="199">
        <v>360</v>
      </c>
      <c r="J30" s="176">
        <v>44074</v>
      </c>
      <c r="K30" s="48" t="s">
        <v>313</v>
      </c>
      <c r="L30" s="49">
        <v>20000</v>
      </c>
      <c r="M30" s="31">
        <f>42100+6390</f>
        <v>48490</v>
      </c>
      <c r="N30" s="32">
        <v>3137</v>
      </c>
      <c r="O30" s="217"/>
    </row>
    <row r="31" spans="1:15" ht="15" thickBot="1" x14ac:dyDescent="0.35">
      <c r="A31" s="23"/>
      <c r="B31" s="248">
        <v>44075</v>
      </c>
      <c r="C31" s="262">
        <v>3364</v>
      </c>
      <c r="D31" s="304" t="s">
        <v>359</v>
      </c>
      <c r="E31" s="27">
        <v>44075</v>
      </c>
      <c r="F31" s="28">
        <v>66516</v>
      </c>
      <c r="H31" s="29">
        <v>44075</v>
      </c>
      <c r="I31" s="199">
        <v>405</v>
      </c>
      <c r="J31" s="176"/>
      <c r="K31" s="86"/>
      <c r="L31" s="178"/>
      <c r="M31" s="31">
        <v>59554</v>
      </c>
      <c r="N31" s="32">
        <v>3193</v>
      </c>
      <c r="O31" s="217"/>
    </row>
    <row r="32" spans="1:15" ht="31.8" thickBot="1" x14ac:dyDescent="0.35">
      <c r="A32" s="23"/>
      <c r="B32" s="248">
        <v>44076</v>
      </c>
      <c r="C32" s="262">
        <v>4968</v>
      </c>
      <c r="D32" s="304" t="s">
        <v>360</v>
      </c>
      <c r="E32" s="27">
        <v>44076</v>
      </c>
      <c r="F32" s="202">
        <v>81294</v>
      </c>
      <c r="H32" s="29">
        <v>44076</v>
      </c>
      <c r="I32" s="199">
        <v>2457</v>
      </c>
      <c r="J32" s="176"/>
      <c r="K32" s="355" t="s">
        <v>361</v>
      </c>
      <c r="L32" s="356">
        <v>0</v>
      </c>
      <c r="M32" s="31">
        <v>70866</v>
      </c>
      <c r="N32" s="32">
        <v>3003</v>
      </c>
      <c r="O32" s="217"/>
    </row>
    <row r="33" spans="1:15" ht="16.2" thickBot="1" x14ac:dyDescent="0.35">
      <c r="A33" s="23"/>
      <c r="B33" s="248"/>
      <c r="C33" s="262"/>
      <c r="D33" s="348"/>
      <c r="E33" s="27"/>
      <c r="F33" s="97"/>
      <c r="H33" s="29"/>
      <c r="I33" s="199"/>
      <c r="J33" s="176"/>
      <c r="K33" s="286" t="s">
        <v>15</v>
      </c>
      <c r="L33" s="45">
        <v>0</v>
      </c>
      <c r="M33" s="31">
        <v>0</v>
      </c>
      <c r="N33" s="32">
        <v>0</v>
      </c>
      <c r="O33" s="217"/>
    </row>
    <row r="34" spans="1:15" ht="16.2" thickBot="1" x14ac:dyDescent="0.35">
      <c r="A34" s="23"/>
      <c r="B34" s="248"/>
      <c r="C34" s="262"/>
      <c r="D34" s="348"/>
      <c r="E34" s="27"/>
      <c r="F34" s="97"/>
      <c r="H34" s="29"/>
      <c r="I34" s="199"/>
      <c r="J34" s="623" t="s">
        <v>362</v>
      </c>
      <c r="K34" s="624"/>
      <c r="L34" s="357">
        <v>3977.15</v>
      </c>
      <c r="M34" s="277">
        <v>0</v>
      </c>
      <c r="N34" s="32">
        <v>0</v>
      </c>
      <c r="O34" s="217"/>
    </row>
    <row r="35" spans="1:15" ht="16.2" thickBot="1" x14ac:dyDescent="0.35">
      <c r="A35" s="23"/>
      <c r="B35" s="248"/>
      <c r="C35" s="262"/>
      <c r="D35" s="348"/>
      <c r="E35" s="27"/>
      <c r="F35" s="97"/>
      <c r="H35" s="29"/>
      <c r="I35" s="199"/>
      <c r="J35" s="176" t="s">
        <v>363</v>
      </c>
      <c r="K35" s="48" t="s">
        <v>165</v>
      </c>
      <c r="L35" s="41">
        <v>10000</v>
      </c>
      <c r="M35" s="277">
        <v>0</v>
      </c>
      <c r="N35" s="32">
        <v>0</v>
      </c>
      <c r="O35" s="217"/>
    </row>
    <row r="36" spans="1:15" ht="16.2" thickBot="1" x14ac:dyDescent="0.35">
      <c r="A36" s="23"/>
      <c r="B36" s="248"/>
      <c r="C36" s="262"/>
      <c r="D36" s="348"/>
      <c r="E36" s="27"/>
      <c r="F36" s="97"/>
      <c r="H36" s="29"/>
      <c r="I36" s="199"/>
      <c r="J36" s="176" t="s">
        <v>363</v>
      </c>
      <c r="K36" s="48" t="s">
        <v>176</v>
      </c>
      <c r="L36" s="358">
        <f>9720+9345</f>
        <v>19065</v>
      </c>
      <c r="M36" s="31">
        <v>0</v>
      </c>
      <c r="N36" s="32">
        <v>0</v>
      </c>
      <c r="O36" s="217"/>
    </row>
    <row r="37" spans="1:15" ht="16.2" thickBot="1" x14ac:dyDescent="0.35">
      <c r="A37" s="23"/>
      <c r="B37" s="359">
        <v>44050</v>
      </c>
      <c r="C37" s="124">
        <v>14876.51</v>
      </c>
      <c r="D37" s="349" t="s">
        <v>364</v>
      </c>
      <c r="E37" s="27"/>
      <c r="F37" s="97"/>
      <c r="H37" s="29"/>
      <c r="I37" s="199"/>
      <c r="J37" s="176" t="s">
        <v>363</v>
      </c>
      <c r="K37" s="48" t="s">
        <v>365</v>
      </c>
      <c r="L37" s="358">
        <v>1545</v>
      </c>
      <c r="M37" s="31">
        <v>0</v>
      </c>
      <c r="N37" s="32">
        <v>0</v>
      </c>
      <c r="O37" s="217"/>
    </row>
    <row r="38" spans="1:15" ht="16.2" thickBot="1" x14ac:dyDescent="0.35">
      <c r="A38" s="23"/>
      <c r="B38" s="359">
        <v>44051</v>
      </c>
      <c r="C38" s="124">
        <v>11745.5</v>
      </c>
      <c r="D38" s="349" t="s">
        <v>366</v>
      </c>
      <c r="E38" s="27"/>
      <c r="F38" s="97"/>
      <c r="H38" s="29"/>
      <c r="I38" s="199"/>
      <c r="J38" s="176" t="s">
        <v>363</v>
      </c>
      <c r="K38" s="48" t="s">
        <v>192</v>
      </c>
      <c r="L38" s="358">
        <v>986</v>
      </c>
      <c r="M38" s="31">
        <v>0</v>
      </c>
      <c r="N38" s="32">
        <v>0</v>
      </c>
      <c r="O38" s="217"/>
    </row>
    <row r="39" spans="1:15" ht="16.2" thickBot="1" x14ac:dyDescent="0.35">
      <c r="A39" s="23"/>
      <c r="B39" s="359">
        <v>44053</v>
      </c>
      <c r="C39" s="124">
        <v>8792.41</v>
      </c>
      <c r="D39" s="349" t="s">
        <v>367</v>
      </c>
      <c r="E39" s="27"/>
      <c r="F39" s="97"/>
      <c r="H39" s="29"/>
      <c r="I39" s="199"/>
      <c r="J39" s="176" t="s">
        <v>363</v>
      </c>
      <c r="K39" s="48" t="s">
        <v>368</v>
      </c>
      <c r="L39" s="358">
        <v>2300</v>
      </c>
      <c r="M39" s="31">
        <v>0</v>
      </c>
      <c r="N39" s="32">
        <v>0</v>
      </c>
      <c r="O39" s="217"/>
    </row>
    <row r="40" spans="1:15" ht="16.2" thickBot="1" x14ac:dyDescent="0.35">
      <c r="A40" s="23"/>
      <c r="B40" s="359">
        <v>44056</v>
      </c>
      <c r="C40" s="124">
        <v>16210.65</v>
      </c>
      <c r="D40" s="349" t="s">
        <v>369</v>
      </c>
      <c r="E40" s="27"/>
      <c r="F40" s="97"/>
      <c r="H40" s="29"/>
      <c r="I40" s="199"/>
      <c r="J40" s="176" t="s">
        <v>363</v>
      </c>
      <c r="K40" s="48" t="s">
        <v>370</v>
      </c>
      <c r="L40" s="358">
        <v>5916</v>
      </c>
      <c r="M40" s="31">
        <v>0</v>
      </c>
      <c r="N40" s="32">
        <v>0</v>
      </c>
      <c r="O40" s="217"/>
    </row>
    <row r="41" spans="1:15" ht="16.2" thickBot="1" x14ac:dyDescent="0.35">
      <c r="A41" s="23"/>
      <c r="B41" s="359">
        <v>44057</v>
      </c>
      <c r="C41" s="124">
        <v>5123.49</v>
      </c>
      <c r="D41" s="349" t="s">
        <v>371</v>
      </c>
      <c r="E41" s="27"/>
      <c r="F41" s="97"/>
      <c r="H41" s="29"/>
      <c r="I41" s="199"/>
      <c r="J41" s="176" t="s">
        <v>363</v>
      </c>
      <c r="K41" s="48" t="s">
        <v>372</v>
      </c>
      <c r="L41" s="358">
        <v>3027.6</v>
      </c>
      <c r="M41" s="31">
        <v>0</v>
      </c>
      <c r="N41" s="32">
        <v>0</v>
      </c>
      <c r="O41" s="217"/>
    </row>
    <row r="42" spans="1:15" ht="16.2" thickBot="1" x14ac:dyDescent="0.35">
      <c r="A42" s="23"/>
      <c r="B42" s="359">
        <v>44060</v>
      </c>
      <c r="C42" s="124">
        <v>10919.15</v>
      </c>
      <c r="D42" s="349" t="s">
        <v>373</v>
      </c>
      <c r="E42" s="27"/>
      <c r="F42" s="97"/>
      <c r="H42" s="29"/>
      <c r="I42" s="199"/>
      <c r="J42" s="176" t="s">
        <v>363</v>
      </c>
      <c r="K42" s="48" t="s">
        <v>374</v>
      </c>
      <c r="L42" s="358">
        <v>9163.0499999999993</v>
      </c>
      <c r="M42" s="31">
        <v>0</v>
      </c>
      <c r="N42" s="32">
        <v>0</v>
      </c>
      <c r="O42" s="217"/>
    </row>
    <row r="43" spans="1:15" ht="16.2" thickBot="1" x14ac:dyDescent="0.35">
      <c r="A43" s="23"/>
      <c r="B43" s="359">
        <v>44063</v>
      </c>
      <c r="C43" s="124">
        <v>16344.3</v>
      </c>
      <c r="D43" s="349" t="s">
        <v>375</v>
      </c>
      <c r="E43" s="27"/>
      <c r="F43" s="97"/>
      <c r="H43" s="29"/>
      <c r="I43" s="199"/>
      <c r="J43" s="176" t="s">
        <v>363</v>
      </c>
      <c r="K43" s="48" t="s">
        <v>46</v>
      </c>
      <c r="L43" s="358">
        <v>1315.86</v>
      </c>
      <c r="M43" s="31">
        <v>0</v>
      </c>
      <c r="N43" s="32">
        <v>0</v>
      </c>
      <c r="O43" s="217"/>
    </row>
    <row r="44" spans="1:15" ht="16.2" thickBot="1" x14ac:dyDescent="0.35">
      <c r="A44" s="23"/>
      <c r="B44" s="359">
        <v>44064</v>
      </c>
      <c r="C44" s="124">
        <v>8515.7000000000007</v>
      </c>
      <c r="D44" s="303" t="s">
        <v>376</v>
      </c>
      <c r="E44" s="27"/>
      <c r="F44" s="97"/>
      <c r="H44" s="29"/>
      <c r="I44" s="199"/>
      <c r="J44" s="176" t="s">
        <v>363</v>
      </c>
      <c r="K44" s="48" t="s">
        <v>377</v>
      </c>
      <c r="L44" s="358">
        <v>1898.55</v>
      </c>
      <c r="M44" s="31">
        <v>0</v>
      </c>
      <c r="N44" s="32">
        <v>0</v>
      </c>
      <c r="O44" s="217"/>
    </row>
    <row r="45" spans="1:15" ht="16.2" thickBot="1" x14ac:dyDescent="0.35">
      <c r="A45" s="23"/>
      <c r="B45" s="359">
        <v>44067</v>
      </c>
      <c r="C45" s="124">
        <v>10981</v>
      </c>
      <c r="D45" s="303" t="s">
        <v>376</v>
      </c>
      <c r="E45" s="27"/>
      <c r="F45" s="97"/>
      <c r="H45" s="29"/>
      <c r="I45" s="199"/>
      <c r="J45" s="176" t="s">
        <v>363</v>
      </c>
      <c r="K45" s="48" t="s">
        <v>378</v>
      </c>
      <c r="L45" s="358">
        <v>5603.69</v>
      </c>
      <c r="M45" s="31">
        <v>0</v>
      </c>
      <c r="N45" s="32">
        <v>0</v>
      </c>
      <c r="O45" s="217"/>
    </row>
    <row r="46" spans="1:15" ht="16.2" thickBot="1" x14ac:dyDescent="0.35">
      <c r="A46" s="23"/>
      <c r="B46" s="248">
        <v>44069</v>
      </c>
      <c r="C46" s="262">
        <v>17133.77</v>
      </c>
      <c r="D46" s="360" t="s">
        <v>376</v>
      </c>
      <c r="E46" s="27"/>
      <c r="F46" s="97"/>
      <c r="H46" s="29"/>
      <c r="I46" s="199"/>
      <c r="J46" s="176" t="s">
        <v>363</v>
      </c>
      <c r="K46" s="361" t="s">
        <v>379</v>
      </c>
      <c r="L46" s="82">
        <v>6797.49</v>
      </c>
      <c r="M46" s="31">
        <v>0</v>
      </c>
      <c r="N46" s="32">
        <v>0</v>
      </c>
      <c r="O46" s="217"/>
    </row>
    <row r="47" spans="1:15" ht="16.2" thickBot="1" x14ac:dyDescent="0.35">
      <c r="A47" s="23"/>
      <c r="B47" s="248">
        <v>44071</v>
      </c>
      <c r="C47" s="262">
        <v>20122.96</v>
      </c>
      <c r="D47" s="360" t="s">
        <v>376</v>
      </c>
      <c r="E47" s="27"/>
      <c r="F47" s="97"/>
      <c r="H47" s="29"/>
      <c r="I47" s="199"/>
      <c r="J47" s="176" t="s">
        <v>363</v>
      </c>
      <c r="K47" s="362" t="s">
        <v>380</v>
      </c>
      <c r="L47" s="66">
        <v>894</v>
      </c>
      <c r="M47" s="31">
        <v>0</v>
      </c>
      <c r="N47" s="32">
        <v>0</v>
      </c>
      <c r="O47" s="217"/>
    </row>
    <row r="48" spans="1:15" ht="16.2" thickBot="1" x14ac:dyDescent="0.35">
      <c r="A48" s="23"/>
      <c r="B48" s="248">
        <v>44074</v>
      </c>
      <c r="C48" s="262">
        <v>8890.23</v>
      </c>
      <c r="D48" s="360" t="s">
        <v>376</v>
      </c>
      <c r="E48" s="27"/>
      <c r="F48" s="97"/>
      <c r="H48" s="29"/>
      <c r="I48" s="199"/>
      <c r="J48" s="176" t="s">
        <v>363</v>
      </c>
      <c r="K48" s="361" t="s">
        <v>381</v>
      </c>
      <c r="L48" s="82">
        <v>1311.29</v>
      </c>
      <c r="M48" s="277">
        <v>0</v>
      </c>
      <c r="N48" s="32">
        <v>0</v>
      </c>
      <c r="O48" s="217"/>
    </row>
    <row r="49" spans="1:15" ht="16.2" thickBot="1" x14ac:dyDescent="0.35">
      <c r="A49" s="23"/>
      <c r="B49" s="248"/>
      <c r="C49" s="363"/>
      <c r="D49" s="364"/>
      <c r="E49" s="365"/>
      <c r="F49" s="351"/>
      <c r="H49" s="29"/>
      <c r="I49" s="307"/>
      <c r="J49" s="176" t="s">
        <v>363</v>
      </c>
      <c r="K49" s="361" t="s">
        <v>382</v>
      </c>
      <c r="L49" s="82">
        <v>638</v>
      </c>
      <c r="M49" s="277">
        <v>0</v>
      </c>
      <c r="N49" s="32">
        <v>0</v>
      </c>
      <c r="O49" s="217"/>
    </row>
    <row r="50" spans="1:15" ht="16.2" thickBot="1" x14ac:dyDescent="0.35">
      <c r="B50" s="335" t="s">
        <v>51</v>
      </c>
      <c r="C50" s="336">
        <f>SUM(C5:C49)</f>
        <v>299412.07</v>
      </c>
      <c r="D50" s="114"/>
      <c r="E50" s="237" t="s">
        <v>51</v>
      </c>
      <c r="F50" s="238">
        <f>SUM(F5:F49)</f>
        <v>2459166</v>
      </c>
      <c r="G50" s="114"/>
      <c r="H50" s="117" t="s">
        <v>245</v>
      </c>
      <c r="I50" s="118">
        <f>SUM(I5:I49)</f>
        <v>63235.91</v>
      </c>
      <c r="J50" s="265"/>
      <c r="K50" s="120" t="s">
        <v>246</v>
      </c>
      <c r="L50" s="121">
        <f>SUM(L6:L49)</f>
        <v>179252.44999999995</v>
      </c>
      <c r="M50" s="126">
        <f>SUM(M5:M49)</f>
        <v>2076729</v>
      </c>
      <c r="N50" s="126">
        <f>SUM(N5:N49)</f>
        <v>122243</v>
      </c>
      <c r="O50" s="239"/>
    </row>
    <row r="51" spans="1:15" ht="19.2" thickTop="1" thickBot="1" x14ac:dyDescent="0.35">
      <c r="C51" s="5" t="s">
        <v>10</v>
      </c>
      <c r="O51" s="240"/>
    </row>
    <row r="52" spans="1:15" ht="18.600000000000001" thickBot="1" x14ac:dyDescent="0.35">
      <c r="A52" s="65"/>
      <c r="B52" s="122"/>
      <c r="C52" s="4"/>
      <c r="H52" s="601" t="s">
        <v>52</v>
      </c>
      <c r="I52" s="602"/>
      <c r="J52" s="266"/>
      <c r="K52" s="603">
        <f>I50+L50</f>
        <v>242488.35999999996</v>
      </c>
      <c r="L52" s="604"/>
      <c r="M52" s="599">
        <f>M50+N50</f>
        <v>2198972</v>
      </c>
      <c r="N52" s="600"/>
    </row>
    <row r="53" spans="1:15" ht="15.6" x14ac:dyDescent="0.3">
      <c r="D53" s="606" t="s">
        <v>53</v>
      </c>
      <c r="E53" s="606"/>
      <c r="F53" s="124">
        <f>F50-K52-C50</f>
        <v>1917265.57</v>
      </c>
      <c r="I53" s="125"/>
      <c r="J53" s="267"/>
    </row>
    <row r="54" spans="1:15" ht="18" x14ac:dyDescent="0.35">
      <c r="D54" s="607" t="s">
        <v>54</v>
      </c>
      <c r="E54" s="607"/>
      <c r="F54" s="126">
        <v>-1856050.41</v>
      </c>
      <c r="I54" s="608" t="s">
        <v>55</v>
      </c>
      <c r="J54" s="609"/>
      <c r="K54" s="610">
        <f>F56+F57+F58</f>
        <v>368326.89000000013</v>
      </c>
      <c r="L54" s="611"/>
    </row>
    <row r="55" spans="1:15" ht="18.600000000000001" thickBot="1" x14ac:dyDescent="0.4">
      <c r="D55" s="127"/>
      <c r="E55" s="128"/>
      <c r="F55" s="129">
        <v>0</v>
      </c>
      <c r="I55" s="130"/>
      <c r="J55" s="268"/>
      <c r="K55" s="131"/>
      <c r="L55" s="131"/>
    </row>
    <row r="56" spans="1:15" ht="18.600000000000001" thickTop="1" x14ac:dyDescent="0.35">
      <c r="C56" s="13" t="s">
        <v>10</v>
      </c>
      <c r="E56" s="65" t="s">
        <v>56</v>
      </c>
      <c r="F56" s="126">
        <f>SUM(F53:F55)</f>
        <v>61215.160000000149</v>
      </c>
      <c r="H56" s="23"/>
      <c r="I56" s="132" t="s">
        <v>57</v>
      </c>
      <c r="J56" s="269"/>
      <c r="K56" s="612">
        <f>-C4</f>
        <v>-256378.82</v>
      </c>
      <c r="L56" s="613"/>
      <c r="M56" s="134"/>
    </row>
    <row r="57" spans="1:15" ht="16.2" thickBot="1" x14ac:dyDescent="0.35">
      <c r="D57" s="135" t="s">
        <v>58</v>
      </c>
      <c r="E57" s="65" t="s">
        <v>59</v>
      </c>
      <c r="F57" s="136">
        <v>6068</v>
      </c>
    </row>
    <row r="58" spans="1:15" ht="19.2" thickTop="1" thickBot="1" x14ac:dyDescent="0.4">
      <c r="C58" s="137">
        <v>44076</v>
      </c>
      <c r="D58" s="614" t="s">
        <v>60</v>
      </c>
      <c r="E58" s="615"/>
      <c r="F58" s="138">
        <v>301043.73</v>
      </c>
      <c r="I58" s="616" t="s">
        <v>61</v>
      </c>
      <c r="J58" s="617"/>
      <c r="K58" s="618">
        <f>K54+K56</f>
        <v>111948.07000000012</v>
      </c>
      <c r="L58" s="619"/>
    </row>
    <row r="59" spans="1:15" ht="18" x14ac:dyDescent="0.35">
      <c r="C59" s="139"/>
      <c r="D59" s="140"/>
      <c r="E59" s="141"/>
      <c r="F59" s="142"/>
      <c r="J59" s="270"/>
      <c r="M59" s="143"/>
    </row>
    <row r="61" spans="1:15" x14ac:dyDescent="0.3">
      <c r="B61"/>
      <c r="C61"/>
      <c r="D61" s="605"/>
      <c r="E61" s="605"/>
      <c r="M61" s="144"/>
      <c r="N61" s="65"/>
      <c r="O61" s="65"/>
    </row>
    <row r="62" spans="1:15" x14ac:dyDescent="0.3">
      <c r="B62"/>
      <c r="C62"/>
      <c r="M62" s="144"/>
      <c r="N62" s="65"/>
      <c r="O62" s="65"/>
    </row>
    <row r="63" spans="1:15" x14ac:dyDescent="0.3">
      <c r="B63"/>
      <c r="C63"/>
      <c r="N63" s="65"/>
      <c r="O63" s="65"/>
    </row>
    <row r="64" spans="1:15" x14ac:dyDescent="0.3">
      <c r="B64"/>
      <c r="C64"/>
      <c r="F64"/>
      <c r="I64"/>
      <c r="J64" s="271"/>
      <c r="L64" s="273"/>
      <c r="M64"/>
      <c r="N64" s="65"/>
      <c r="O64" s="65"/>
    </row>
    <row r="65" spans="2:15" x14ac:dyDescent="0.3">
      <c r="B65"/>
      <c r="C65"/>
      <c r="F65" s="145"/>
      <c r="L65" s="273"/>
      <c r="N65" s="65"/>
      <c r="O65" s="65"/>
    </row>
    <row r="66" spans="2:15" x14ac:dyDescent="0.3">
      <c r="F66" s="91"/>
      <c r="L66" s="273"/>
      <c r="M66" s="4"/>
      <c r="N66" s="65"/>
      <c r="O66" s="65"/>
    </row>
    <row r="67" spans="2:15" x14ac:dyDescent="0.3">
      <c r="F67" s="91"/>
      <c r="L67" s="232"/>
      <c r="M67" s="4"/>
      <c r="N67" s="65"/>
      <c r="O67" s="65"/>
    </row>
    <row r="68" spans="2:15" x14ac:dyDescent="0.3">
      <c r="F68" s="91"/>
      <c r="L68" s="273"/>
      <c r="M68" s="4"/>
      <c r="N68" s="65"/>
      <c r="O68" s="65"/>
    </row>
    <row r="69" spans="2:15" x14ac:dyDescent="0.3">
      <c r="F69" s="91"/>
      <c r="L69" s="273"/>
      <c r="M69" s="4"/>
      <c r="N69" s="65"/>
      <c r="O69" s="65"/>
    </row>
    <row r="70" spans="2:15" x14ac:dyDescent="0.3">
      <c r="F70" s="91"/>
      <c r="L70" s="273"/>
      <c r="M70" s="4"/>
    </row>
    <row r="71" spans="2:15" x14ac:dyDescent="0.3">
      <c r="F71" s="91"/>
      <c r="L71" s="273"/>
      <c r="M71" s="4"/>
    </row>
    <row r="72" spans="2:15" x14ac:dyDescent="0.3">
      <c r="F72" s="91"/>
      <c r="L72" s="46"/>
      <c r="M72" s="4"/>
    </row>
    <row r="73" spans="2:15" x14ac:dyDescent="0.3">
      <c r="F73" s="91"/>
      <c r="L73" s="273"/>
      <c r="M73" s="4"/>
    </row>
    <row r="74" spans="2:15" x14ac:dyDescent="0.3">
      <c r="F74" s="91"/>
      <c r="L74" s="337"/>
      <c r="M74" s="4"/>
    </row>
    <row r="75" spans="2:15" x14ac:dyDescent="0.3">
      <c r="F75" s="145"/>
      <c r="M75" s="4"/>
    </row>
    <row r="76" spans="2:15" x14ac:dyDescent="0.3">
      <c r="M76" s="4"/>
    </row>
    <row r="77" spans="2:15" x14ac:dyDescent="0.3">
      <c r="M77" s="4"/>
    </row>
    <row r="78" spans="2:15" x14ac:dyDescent="0.3">
      <c r="M78" s="4"/>
    </row>
    <row r="79" spans="2:15" x14ac:dyDescent="0.3">
      <c r="M79" s="4"/>
    </row>
    <row r="80" spans="2:15" x14ac:dyDescent="0.3">
      <c r="M80" s="4"/>
    </row>
    <row r="81" spans="13:13" x14ac:dyDescent="0.3">
      <c r="M81" s="4"/>
    </row>
    <row r="82" spans="13:13" x14ac:dyDescent="0.3">
      <c r="M82" s="4"/>
    </row>
    <row r="83" spans="13:13" x14ac:dyDescent="0.3">
      <c r="M83" s="4"/>
    </row>
    <row r="84" spans="13:13" x14ac:dyDescent="0.3">
      <c r="M84" s="4"/>
    </row>
    <row r="85" spans="13:13" x14ac:dyDescent="0.3">
      <c r="M85" s="4"/>
    </row>
    <row r="86" spans="13:13" x14ac:dyDescent="0.3">
      <c r="M86" s="4"/>
    </row>
    <row r="87" spans="13:13" x14ac:dyDescent="0.3">
      <c r="M87" s="4"/>
    </row>
    <row r="88" spans="13:13" x14ac:dyDescent="0.3">
      <c r="M88" s="4"/>
    </row>
  </sheetData>
  <mergeCells count="18">
    <mergeCell ref="K56:L56"/>
    <mergeCell ref="D58:E58"/>
    <mergeCell ref="I58:J58"/>
    <mergeCell ref="K58:L58"/>
    <mergeCell ref="D61:E61"/>
    <mergeCell ref="H52:I52"/>
    <mergeCell ref="K52:L52"/>
    <mergeCell ref="M52:N52"/>
    <mergeCell ref="D53:E53"/>
    <mergeCell ref="D54:E54"/>
    <mergeCell ref="I54:J54"/>
    <mergeCell ref="K54:L54"/>
    <mergeCell ref="J34:K34"/>
    <mergeCell ref="C1:K1"/>
    <mergeCell ref="B3:C3"/>
    <mergeCell ref="H3:I3"/>
    <mergeCell ref="E4:F4"/>
    <mergeCell ref="H4:I4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CC53-3444-46AE-95D3-F52F41922708}">
  <sheetPr>
    <tabColor rgb="FF7030A0"/>
  </sheetPr>
  <dimension ref="A1:G80"/>
  <sheetViews>
    <sheetView topLeftCell="A31" workbookViewId="0">
      <selection activeCell="D47" sqref="D47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177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6">
        <v>44049</v>
      </c>
      <c r="B3" s="157">
        <v>24748</v>
      </c>
      <c r="C3" s="97">
        <v>100992.32000000001</v>
      </c>
      <c r="D3" s="154"/>
      <c r="E3" s="56"/>
      <c r="F3" s="155">
        <f>C3-E3</f>
        <v>100992.32000000001</v>
      </c>
    </row>
    <row r="4" spans="1:6" x14ac:dyDescent="0.3">
      <c r="A4" s="156">
        <v>44049</v>
      </c>
      <c r="B4" s="157">
        <v>24851</v>
      </c>
      <c r="C4" s="97">
        <v>17063.2</v>
      </c>
      <c r="D4" s="158"/>
      <c r="E4" s="97"/>
      <c r="F4" s="366">
        <f>F3+C4-E4</f>
        <v>118055.52</v>
      </c>
    </row>
    <row r="5" spans="1:6" x14ac:dyDescent="0.3">
      <c r="A5" s="158">
        <v>44050</v>
      </c>
      <c r="B5" s="157">
        <v>24898</v>
      </c>
      <c r="C5" s="97">
        <v>546</v>
      </c>
      <c r="D5" s="158"/>
      <c r="E5" s="97"/>
      <c r="F5" s="366">
        <f t="shared" ref="F5:F43" si="0">F4+C5-E5</f>
        <v>118601.52</v>
      </c>
    </row>
    <row r="6" spans="1:6" x14ac:dyDescent="0.3">
      <c r="A6" s="158">
        <v>44050</v>
      </c>
      <c r="B6" s="157" t="s">
        <v>383</v>
      </c>
      <c r="C6" s="97">
        <v>92305.7</v>
      </c>
      <c r="D6" s="158"/>
      <c r="E6" s="97"/>
      <c r="F6" s="366">
        <f t="shared" si="0"/>
        <v>210907.22</v>
      </c>
    </row>
    <row r="7" spans="1:6" x14ac:dyDescent="0.3">
      <c r="A7" s="158">
        <v>44050</v>
      </c>
      <c r="B7" s="157" t="s">
        <v>384</v>
      </c>
      <c r="C7" s="97">
        <v>4504</v>
      </c>
      <c r="D7" s="158"/>
      <c r="E7" s="97"/>
      <c r="F7" s="366">
        <f t="shared" si="0"/>
        <v>215411.22</v>
      </c>
    </row>
    <row r="8" spans="1:6" x14ac:dyDescent="0.3">
      <c r="A8" s="158">
        <v>44052</v>
      </c>
      <c r="B8" s="157" t="s">
        <v>385</v>
      </c>
      <c r="C8" s="97">
        <v>131630.72</v>
      </c>
      <c r="D8" s="158"/>
      <c r="E8" s="97"/>
      <c r="F8" s="366">
        <f t="shared" si="0"/>
        <v>347041.94</v>
      </c>
    </row>
    <row r="9" spans="1:6" x14ac:dyDescent="0.3">
      <c r="A9" s="158">
        <v>44054</v>
      </c>
      <c r="B9" s="157" t="s">
        <v>386</v>
      </c>
      <c r="C9" s="97">
        <v>23700.5</v>
      </c>
      <c r="D9" s="158"/>
      <c r="E9" s="97"/>
      <c r="F9" s="366">
        <f t="shared" si="0"/>
        <v>370742.44</v>
      </c>
    </row>
    <row r="10" spans="1:6" x14ac:dyDescent="0.3">
      <c r="A10" s="158">
        <v>44054</v>
      </c>
      <c r="B10" s="157" t="s">
        <v>387</v>
      </c>
      <c r="C10" s="97">
        <v>56455.65</v>
      </c>
      <c r="D10" s="158"/>
      <c r="E10" s="97"/>
      <c r="F10" s="366">
        <f t="shared" si="0"/>
        <v>427198.09</v>
      </c>
    </row>
    <row r="11" spans="1:6" x14ac:dyDescent="0.3">
      <c r="A11" s="156">
        <v>44055</v>
      </c>
      <c r="B11" s="157" t="s">
        <v>388</v>
      </c>
      <c r="C11" s="97">
        <v>22728</v>
      </c>
      <c r="D11" s="158">
        <v>44057</v>
      </c>
      <c r="E11" s="97">
        <v>449926.09</v>
      </c>
      <c r="F11" s="366">
        <f t="shared" si="0"/>
        <v>0</v>
      </c>
    </row>
    <row r="12" spans="1:6" x14ac:dyDescent="0.3">
      <c r="A12" s="158">
        <v>44056</v>
      </c>
      <c r="B12" s="157" t="s">
        <v>389</v>
      </c>
      <c r="C12" s="97">
        <v>81797</v>
      </c>
      <c r="D12" s="158">
        <v>44057</v>
      </c>
      <c r="E12" s="94">
        <v>9046.61</v>
      </c>
      <c r="F12" s="366">
        <f t="shared" si="0"/>
        <v>72750.39</v>
      </c>
    </row>
    <row r="13" spans="1:6" x14ac:dyDescent="0.3">
      <c r="A13" s="158">
        <v>44057</v>
      </c>
      <c r="B13" s="157" t="s">
        <v>390</v>
      </c>
      <c r="C13" s="97">
        <v>124563.6</v>
      </c>
      <c r="D13" s="158"/>
      <c r="E13" s="97"/>
      <c r="F13" s="366">
        <f t="shared" si="0"/>
        <v>197313.99</v>
      </c>
    </row>
    <row r="14" spans="1:6" x14ac:dyDescent="0.3">
      <c r="A14" s="158">
        <v>44058</v>
      </c>
      <c r="B14" s="157" t="s">
        <v>391</v>
      </c>
      <c r="C14" s="97">
        <v>31042.799999999999</v>
      </c>
      <c r="D14" s="158"/>
      <c r="E14" s="97"/>
      <c r="F14" s="366">
        <f t="shared" si="0"/>
        <v>228356.78999999998</v>
      </c>
    </row>
    <row r="15" spans="1:6" x14ac:dyDescent="0.3">
      <c r="A15" s="158">
        <v>44058</v>
      </c>
      <c r="B15" s="157" t="s">
        <v>392</v>
      </c>
      <c r="C15" s="97">
        <v>65853.3</v>
      </c>
      <c r="D15" s="158"/>
      <c r="E15" s="97"/>
      <c r="F15" s="366">
        <f t="shared" si="0"/>
        <v>294210.08999999997</v>
      </c>
    </row>
    <row r="16" spans="1:6" x14ac:dyDescent="0.3">
      <c r="A16" s="158">
        <v>44060</v>
      </c>
      <c r="B16" s="157" t="s">
        <v>393</v>
      </c>
      <c r="C16" s="97">
        <v>57160.4</v>
      </c>
      <c r="D16" s="158"/>
      <c r="E16" s="97"/>
      <c r="F16" s="366">
        <f t="shared" si="0"/>
        <v>351370.49</v>
      </c>
    </row>
    <row r="17" spans="1:7" x14ac:dyDescent="0.3">
      <c r="A17" s="158">
        <v>44060</v>
      </c>
      <c r="B17" s="157" t="s">
        <v>394</v>
      </c>
      <c r="C17" s="97">
        <v>1040</v>
      </c>
      <c r="D17" s="158"/>
      <c r="E17" s="97"/>
      <c r="F17" s="366">
        <f t="shared" si="0"/>
        <v>352410.49</v>
      </c>
    </row>
    <row r="18" spans="1:7" x14ac:dyDescent="0.3">
      <c r="A18" s="158">
        <v>44062</v>
      </c>
      <c r="B18" s="157" t="s">
        <v>395</v>
      </c>
      <c r="C18" s="97">
        <v>52992.959999999999</v>
      </c>
      <c r="D18" s="158"/>
      <c r="E18" s="97"/>
      <c r="F18" s="366">
        <f t="shared" si="0"/>
        <v>405403.45</v>
      </c>
    </row>
    <row r="19" spans="1:7" x14ac:dyDescent="0.3">
      <c r="A19" s="158">
        <v>44062</v>
      </c>
      <c r="B19" s="157" t="s">
        <v>396</v>
      </c>
      <c r="C19" s="97">
        <v>1648</v>
      </c>
      <c r="D19" s="158"/>
      <c r="E19" s="97"/>
      <c r="F19" s="366">
        <f t="shared" si="0"/>
        <v>407051.45</v>
      </c>
    </row>
    <row r="20" spans="1:7" x14ac:dyDescent="0.3">
      <c r="A20" s="158">
        <v>44063</v>
      </c>
      <c r="B20" s="157" t="s">
        <v>397</v>
      </c>
      <c r="C20" s="97">
        <v>89555.4</v>
      </c>
      <c r="D20" s="158"/>
      <c r="E20" s="97"/>
      <c r="F20" s="366">
        <f t="shared" si="0"/>
        <v>496606.85</v>
      </c>
    </row>
    <row r="21" spans="1:7" x14ac:dyDescent="0.3">
      <c r="A21" s="158">
        <v>44063</v>
      </c>
      <c r="B21" s="157" t="s">
        <v>398</v>
      </c>
      <c r="C21" s="97">
        <v>76257.179999999993</v>
      </c>
      <c r="D21" s="158"/>
      <c r="E21" s="97"/>
      <c r="F21" s="366">
        <f t="shared" si="0"/>
        <v>572864.03</v>
      </c>
    </row>
    <row r="22" spans="1:7" ht="18" x14ac:dyDescent="0.35">
      <c r="A22" s="158">
        <v>44064</v>
      </c>
      <c r="B22" s="157" t="s">
        <v>399</v>
      </c>
      <c r="C22" s="97">
        <v>3169.8</v>
      </c>
      <c r="D22" s="158">
        <v>44064</v>
      </c>
      <c r="E22" s="97">
        <v>579848</v>
      </c>
      <c r="F22" s="367">
        <f t="shared" si="0"/>
        <v>-3814.1699999999255</v>
      </c>
      <c r="G22" s="368" t="s">
        <v>400</v>
      </c>
    </row>
    <row r="23" spans="1:7" x14ac:dyDescent="0.3">
      <c r="A23" s="158">
        <v>44065</v>
      </c>
      <c r="B23" s="157" t="s">
        <v>401</v>
      </c>
      <c r="C23" s="97">
        <v>58341.440000000002</v>
      </c>
      <c r="D23" s="158"/>
      <c r="E23" s="97"/>
      <c r="F23" s="366">
        <f t="shared" si="0"/>
        <v>54527.270000000077</v>
      </c>
    </row>
    <row r="24" spans="1:7" x14ac:dyDescent="0.3">
      <c r="A24" s="158">
        <v>44065</v>
      </c>
      <c r="B24" s="157" t="s">
        <v>402</v>
      </c>
      <c r="C24" s="97">
        <v>38116.6</v>
      </c>
      <c r="D24" s="158"/>
      <c r="E24" s="97"/>
      <c r="F24" s="366">
        <f t="shared" si="0"/>
        <v>92643.870000000083</v>
      </c>
    </row>
    <row r="25" spans="1:7" x14ac:dyDescent="0.3">
      <c r="A25" s="158">
        <v>44066</v>
      </c>
      <c r="B25" s="157" t="s">
        <v>403</v>
      </c>
      <c r="C25" s="97">
        <v>50114.5</v>
      </c>
      <c r="D25" s="158"/>
      <c r="E25" s="97"/>
      <c r="F25" s="366">
        <f t="shared" si="0"/>
        <v>142758.37000000008</v>
      </c>
    </row>
    <row r="26" spans="1:7" x14ac:dyDescent="0.3">
      <c r="A26" s="158">
        <v>44068</v>
      </c>
      <c r="B26" s="157" t="s">
        <v>404</v>
      </c>
      <c r="C26" s="97">
        <v>47125.8</v>
      </c>
      <c r="D26" s="158"/>
      <c r="E26" s="97"/>
      <c r="F26" s="366">
        <f t="shared" si="0"/>
        <v>189884.1700000001</v>
      </c>
    </row>
    <row r="27" spans="1:7" x14ac:dyDescent="0.3">
      <c r="A27" s="158">
        <v>44069</v>
      </c>
      <c r="B27" s="157" t="s">
        <v>405</v>
      </c>
      <c r="C27" s="97">
        <v>43553.25</v>
      </c>
      <c r="D27" s="158"/>
      <c r="E27" s="97"/>
      <c r="F27" s="366">
        <f t="shared" si="0"/>
        <v>233437.4200000001</v>
      </c>
    </row>
    <row r="28" spans="1:7" x14ac:dyDescent="0.3">
      <c r="A28" s="158">
        <v>44069</v>
      </c>
      <c r="B28" s="157" t="s">
        <v>406</v>
      </c>
      <c r="C28" s="97">
        <v>2565</v>
      </c>
      <c r="D28" s="158"/>
      <c r="E28" s="97"/>
      <c r="F28" s="366">
        <f t="shared" si="0"/>
        <v>236002.4200000001</v>
      </c>
    </row>
    <row r="29" spans="1:7" x14ac:dyDescent="0.3">
      <c r="A29" s="158">
        <v>44070</v>
      </c>
      <c r="B29" s="157" t="s">
        <v>407</v>
      </c>
      <c r="C29" s="97">
        <v>129429.29</v>
      </c>
      <c r="D29" s="158"/>
      <c r="E29" s="97"/>
      <c r="F29" s="366">
        <f t="shared" si="0"/>
        <v>365431.71000000008</v>
      </c>
    </row>
    <row r="30" spans="1:7" ht="18" x14ac:dyDescent="0.35">
      <c r="A30" s="158">
        <v>44071</v>
      </c>
      <c r="B30" s="157" t="s">
        <v>408</v>
      </c>
      <c r="C30" s="97">
        <v>14437.2</v>
      </c>
      <c r="D30" s="158">
        <v>44071</v>
      </c>
      <c r="E30" s="97">
        <v>383683.08</v>
      </c>
      <c r="F30" s="367">
        <f t="shared" si="0"/>
        <v>-3814.1699999999255</v>
      </c>
      <c r="G30" s="368" t="s">
        <v>400</v>
      </c>
    </row>
    <row r="31" spans="1:7" x14ac:dyDescent="0.3">
      <c r="A31" s="158">
        <v>44071</v>
      </c>
      <c r="B31" s="157" t="s">
        <v>409</v>
      </c>
      <c r="C31" s="97">
        <v>20154.5</v>
      </c>
      <c r="D31" s="158"/>
      <c r="E31" s="97"/>
      <c r="F31" s="366">
        <f t="shared" si="0"/>
        <v>16340.330000000075</v>
      </c>
    </row>
    <row r="32" spans="1:7" x14ac:dyDescent="0.3">
      <c r="A32" s="156">
        <v>44072</v>
      </c>
      <c r="B32" s="157" t="s">
        <v>410</v>
      </c>
      <c r="C32" s="97">
        <v>121334.39999999999</v>
      </c>
      <c r="D32" s="154"/>
      <c r="E32" s="91"/>
      <c r="F32" s="366">
        <f t="shared" si="0"/>
        <v>137674.73000000007</v>
      </c>
    </row>
    <row r="33" spans="1:6" x14ac:dyDescent="0.3">
      <c r="A33" s="156">
        <v>44072</v>
      </c>
      <c r="B33" s="157" t="s">
        <v>411</v>
      </c>
      <c r="C33" s="97">
        <v>8562.4</v>
      </c>
      <c r="D33" s="154"/>
      <c r="E33" s="91"/>
      <c r="F33" s="366">
        <f t="shared" si="0"/>
        <v>146237.13000000006</v>
      </c>
    </row>
    <row r="34" spans="1:6" x14ac:dyDescent="0.3">
      <c r="A34" s="156">
        <v>44073</v>
      </c>
      <c r="B34" s="157" t="s">
        <v>412</v>
      </c>
      <c r="C34" s="97">
        <v>13545.8</v>
      </c>
      <c r="D34" s="154"/>
      <c r="E34" s="91"/>
      <c r="F34" s="366">
        <f t="shared" si="0"/>
        <v>159782.93000000005</v>
      </c>
    </row>
    <row r="35" spans="1:6" x14ac:dyDescent="0.3">
      <c r="A35" s="156">
        <v>44075</v>
      </c>
      <c r="B35" s="157" t="s">
        <v>413</v>
      </c>
      <c r="C35" s="97">
        <v>12380.1</v>
      </c>
      <c r="D35" s="154"/>
      <c r="E35" s="91"/>
      <c r="F35" s="366">
        <f t="shared" si="0"/>
        <v>172163.03000000006</v>
      </c>
    </row>
    <row r="36" spans="1:6" x14ac:dyDescent="0.3">
      <c r="A36" s="156">
        <v>44075</v>
      </c>
      <c r="B36" s="157" t="s">
        <v>414</v>
      </c>
      <c r="C36" s="97">
        <v>28605</v>
      </c>
      <c r="D36" s="154"/>
      <c r="E36" s="91"/>
      <c r="F36" s="366">
        <f t="shared" si="0"/>
        <v>200768.03000000006</v>
      </c>
    </row>
    <row r="37" spans="1:6" x14ac:dyDescent="0.3">
      <c r="A37" s="156">
        <v>44076</v>
      </c>
      <c r="B37" s="157" t="s">
        <v>415</v>
      </c>
      <c r="C37" s="97">
        <v>133444.6</v>
      </c>
      <c r="D37" s="154"/>
      <c r="E37" s="91"/>
      <c r="F37" s="366">
        <f t="shared" si="0"/>
        <v>334212.63000000006</v>
      </c>
    </row>
    <row r="38" spans="1:6" ht="18" x14ac:dyDescent="0.35">
      <c r="A38" s="369" t="s">
        <v>416</v>
      </c>
      <c r="B38" s="625" t="s">
        <v>417</v>
      </c>
      <c r="C38" s="370">
        <v>99334</v>
      </c>
      <c r="D38" s="154"/>
      <c r="E38" s="91"/>
      <c r="F38" s="366">
        <f t="shared" si="0"/>
        <v>433546.63000000006</v>
      </c>
    </row>
    <row r="39" spans="1:6" ht="18" x14ac:dyDescent="0.35">
      <c r="A39" s="369"/>
      <c r="B39" s="626"/>
      <c r="C39" s="370"/>
      <c r="D39" s="154"/>
      <c r="E39" s="91"/>
      <c r="F39" s="366">
        <f t="shared" si="0"/>
        <v>433546.63000000006</v>
      </c>
    </row>
    <row r="40" spans="1:6" x14ac:dyDescent="0.3">
      <c r="A40" s="156"/>
      <c r="B40" s="157"/>
      <c r="C40" s="97"/>
      <c r="D40" s="154"/>
      <c r="E40" s="91"/>
      <c r="F40" s="366">
        <f t="shared" si="0"/>
        <v>433546.63000000006</v>
      </c>
    </row>
    <row r="41" spans="1:6" x14ac:dyDescent="0.3">
      <c r="A41" s="156"/>
      <c r="B41" s="157"/>
      <c r="C41" s="97"/>
      <c r="D41" s="154"/>
      <c r="E41" s="91"/>
      <c r="F41" s="366">
        <f t="shared" si="0"/>
        <v>433546.63000000006</v>
      </c>
    </row>
    <row r="42" spans="1:6" x14ac:dyDescent="0.3">
      <c r="A42" s="156"/>
      <c r="B42" s="157"/>
      <c r="C42" s="97"/>
      <c r="D42" s="154"/>
      <c r="E42" s="91"/>
      <c r="F42" s="366">
        <f t="shared" si="0"/>
        <v>433546.63000000006</v>
      </c>
    </row>
    <row r="43" spans="1:6" ht="15" thickBot="1" x14ac:dyDescent="0.35">
      <c r="A43" s="159"/>
      <c r="B43" s="160"/>
      <c r="C43" s="161">
        <v>0</v>
      </c>
      <c r="D43" s="162"/>
      <c r="E43" s="161"/>
      <c r="F43" s="155">
        <f t="shared" si="0"/>
        <v>433546.63000000006</v>
      </c>
    </row>
    <row r="44" spans="1:6" ht="18.600000000000001" thickTop="1" x14ac:dyDescent="0.35">
      <c r="B44" s="65"/>
      <c r="C44" s="4">
        <f>SUM(C3:C43)</f>
        <v>1856050.4100000004</v>
      </c>
      <c r="D44" s="1"/>
      <c r="E44" s="4">
        <f>SUM(E3:E43)</f>
        <v>1422503.78</v>
      </c>
      <c r="F44" s="163">
        <f>F43</f>
        <v>433546.63000000006</v>
      </c>
    </row>
    <row r="45" spans="1:6" x14ac:dyDescent="0.3">
      <c r="B45" s="65"/>
      <c r="C45" s="4"/>
      <c r="D45" s="1"/>
      <c r="E45" s="5"/>
      <c r="F45" s="4"/>
    </row>
    <row r="46" spans="1:6" x14ac:dyDescent="0.3">
      <c r="B46" s="65"/>
      <c r="C46" s="4"/>
      <c r="D46" s="1"/>
      <c r="E46" s="5"/>
      <c r="F46" s="4"/>
    </row>
    <row r="47" spans="1:6" x14ac:dyDescent="0.3">
      <c r="A47"/>
      <c r="B47" s="23"/>
      <c r="D47" s="23"/>
    </row>
    <row r="48" spans="1:6" x14ac:dyDescent="0.3">
      <c r="A48"/>
      <c r="B48" s="23"/>
      <c r="D48" s="23"/>
    </row>
    <row r="49" spans="1:6" x14ac:dyDescent="0.3">
      <c r="A49"/>
      <c r="B49" s="23"/>
      <c r="D49" s="23"/>
    </row>
    <row r="50" spans="1:6" x14ac:dyDescent="0.3">
      <c r="A50"/>
      <c r="B50" s="23"/>
      <c r="D50" s="23"/>
      <c r="F50"/>
    </row>
    <row r="51" spans="1:6" x14ac:dyDescent="0.3">
      <c r="A51"/>
      <c r="B51" s="23"/>
      <c r="D51" s="23"/>
      <c r="F51"/>
    </row>
    <row r="52" spans="1:6" x14ac:dyDescent="0.3">
      <c r="A52"/>
      <c r="B52" s="23"/>
      <c r="D52" s="23"/>
      <c r="F52"/>
    </row>
    <row r="53" spans="1:6" x14ac:dyDescent="0.3">
      <c r="A53"/>
      <c r="B53" s="23"/>
      <c r="D53" s="23"/>
      <c r="F53"/>
    </row>
    <row r="54" spans="1:6" x14ac:dyDescent="0.3">
      <c r="A54"/>
      <c r="B54" s="23"/>
      <c r="D54" s="23"/>
      <c r="F54"/>
    </row>
    <row r="55" spans="1:6" x14ac:dyDescent="0.3">
      <c r="A55"/>
      <c r="B55" s="23"/>
      <c r="D55" s="23"/>
      <c r="F55"/>
    </row>
    <row r="56" spans="1:6" x14ac:dyDescent="0.3">
      <c r="A56"/>
      <c r="B56" s="23"/>
      <c r="D56" s="23"/>
      <c r="F56"/>
    </row>
    <row r="57" spans="1:6" x14ac:dyDescent="0.3">
      <c r="A57"/>
      <c r="B57" s="23"/>
      <c r="D57" s="23"/>
      <c r="F57"/>
    </row>
    <row r="58" spans="1:6" x14ac:dyDescent="0.3">
      <c r="A58"/>
      <c r="B58" s="23"/>
      <c r="D58" s="23"/>
      <c r="F58"/>
    </row>
    <row r="59" spans="1:6" x14ac:dyDescent="0.3">
      <c r="A59"/>
      <c r="B59" s="23"/>
      <c r="D59" s="23"/>
      <c r="E59"/>
      <c r="F59"/>
    </row>
    <row r="60" spans="1:6" x14ac:dyDescent="0.3">
      <c r="A60"/>
      <c r="B60" s="23"/>
      <c r="D60" s="23"/>
      <c r="E60"/>
      <c r="F60"/>
    </row>
    <row r="61" spans="1:6" x14ac:dyDescent="0.3">
      <c r="A61"/>
      <c r="B61" s="23"/>
      <c r="D61" s="23"/>
      <c r="E61"/>
      <c r="F61"/>
    </row>
    <row r="62" spans="1:6" x14ac:dyDescent="0.3">
      <c r="A62"/>
      <c r="B62" s="23"/>
      <c r="D62" s="23"/>
      <c r="E62"/>
      <c r="F62"/>
    </row>
    <row r="63" spans="1:6" x14ac:dyDescent="0.3">
      <c r="A63"/>
      <c r="B63" s="23"/>
      <c r="D63" s="23"/>
      <c r="E63"/>
      <c r="F63"/>
    </row>
    <row r="64" spans="1:6" x14ac:dyDescent="0.3">
      <c r="A64"/>
      <c r="B64" s="23"/>
      <c r="D64" s="23"/>
      <c r="E64"/>
      <c r="F64"/>
    </row>
    <row r="65" spans="2:5" x14ac:dyDescent="0.3">
      <c r="B65" s="23"/>
      <c r="D65" s="23"/>
      <c r="E65"/>
    </row>
    <row r="66" spans="2:5" x14ac:dyDescent="0.3">
      <c r="B66" s="23"/>
      <c r="D66" s="23"/>
      <c r="E66"/>
    </row>
    <row r="67" spans="2:5" x14ac:dyDescent="0.3">
      <c r="B67" s="23"/>
      <c r="D67" s="23"/>
      <c r="E67"/>
    </row>
    <row r="68" spans="2:5" x14ac:dyDescent="0.3">
      <c r="B68" s="23"/>
      <c r="D68" s="23"/>
      <c r="E68"/>
    </row>
    <row r="69" spans="2:5" x14ac:dyDescent="0.3">
      <c r="B69" s="23"/>
      <c r="D69" s="23"/>
      <c r="E69"/>
    </row>
    <row r="70" spans="2:5" x14ac:dyDescent="0.3">
      <c r="B70" s="23"/>
      <c r="D70" s="23"/>
      <c r="E70"/>
    </row>
    <row r="71" spans="2:5" x14ac:dyDescent="0.3">
      <c r="B71" s="23"/>
      <c r="D71" s="23"/>
      <c r="E71"/>
    </row>
    <row r="72" spans="2:5" x14ac:dyDescent="0.3">
      <c r="B72" s="23"/>
      <c r="D72" s="23"/>
      <c r="E72"/>
    </row>
    <row r="73" spans="2:5" x14ac:dyDescent="0.3">
      <c r="B73" s="23"/>
      <c r="D73" s="23"/>
      <c r="E73"/>
    </row>
    <row r="74" spans="2:5" x14ac:dyDescent="0.3">
      <c r="B74" s="23"/>
    </row>
    <row r="75" spans="2:5" x14ac:dyDescent="0.3">
      <c r="B75" s="23"/>
    </row>
    <row r="76" spans="2:5" x14ac:dyDescent="0.3">
      <c r="B76" s="23"/>
      <c r="D76" s="23"/>
    </row>
    <row r="77" spans="2:5" x14ac:dyDescent="0.3">
      <c r="B77" s="23"/>
    </row>
    <row r="78" spans="2:5" x14ac:dyDescent="0.3">
      <c r="B78" s="23"/>
    </row>
    <row r="79" spans="2:5" x14ac:dyDescent="0.3">
      <c r="B79" s="23"/>
    </row>
    <row r="80" spans="2:5" ht="18" x14ac:dyDescent="0.35">
      <c r="C80" s="143"/>
    </row>
  </sheetData>
  <mergeCells count="1">
    <mergeCell ref="B38:B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DB06-5FCC-4756-ABA1-B423A9801611}">
  <sheetPr>
    <tabColor rgb="FF996633"/>
  </sheetPr>
  <dimension ref="A1:O78"/>
  <sheetViews>
    <sheetView topLeftCell="D37" workbookViewId="0">
      <selection activeCell="H40" sqref="H40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109375" style="4" customWidth="1"/>
    <col min="15" max="15" width="7.5546875" style="4" customWidth="1"/>
  </cols>
  <sheetData>
    <row r="1" spans="1:15" ht="18.600000000000001" thickBot="1" x14ac:dyDescent="0.4">
      <c r="A1" s="629" t="s">
        <v>418</v>
      </c>
      <c r="B1" s="630"/>
      <c r="C1" s="630"/>
      <c r="D1" s="630"/>
      <c r="E1" s="630"/>
      <c r="F1" s="631"/>
      <c r="H1" s="284" t="s">
        <v>1</v>
      </c>
      <c r="I1" s="3"/>
      <c r="J1" s="243"/>
      <c r="M1" s="3"/>
      <c r="N1" s="56"/>
      <c r="O1" s="56"/>
    </row>
    <row r="2" spans="1:15" ht="21.6" thickBot="1" x14ac:dyDescent="0.4">
      <c r="B2" s="593" t="s">
        <v>2</v>
      </c>
      <c r="C2" s="594"/>
      <c r="D2" s="12"/>
      <c r="E2" s="285"/>
      <c r="F2" s="285"/>
      <c r="H2" s="622" t="s">
        <v>135</v>
      </c>
      <c r="I2" s="622"/>
      <c r="K2" s="185" t="s">
        <v>3</v>
      </c>
      <c r="L2" s="187" t="s">
        <v>136</v>
      </c>
      <c r="M2" s="187"/>
    </row>
    <row r="3" spans="1:15" ht="19.2" thickTop="1" thickBot="1" x14ac:dyDescent="0.4">
      <c r="A3" s="16" t="s">
        <v>5</v>
      </c>
      <c r="B3" s="17"/>
      <c r="C3" s="245">
        <v>301043.73</v>
      </c>
      <c r="D3" s="246">
        <v>44076</v>
      </c>
      <c r="E3" s="595" t="s">
        <v>6</v>
      </c>
      <c r="F3" s="596"/>
      <c r="H3" s="597" t="s">
        <v>7</v>
      </c>
      <c r="I3" s="598"/>
      <c r="J3" s="247"/>
      <c r="K3" s="20"/>
      <c r="L3" s="20"/>
      <c r="M3" s="21" t="s">
        <v>8</v>
      </c>
      <c r="N3" s="22" t="s">
        <v>9</v>
      </c>
      <c r="O3" s="165"/>
    </row>
    <row r="4" spans="1:15" ht="15" thickBot="1" x14ac:dyDescent="0.35">
      <c r="A4" s="23" t="s">
        <v>10</v>
      </c>
      <c r="B4" s="248">
        <v>44077</v>
      </c>
      <c r="C4" s="249">
        <v>15639.6</v>
      </c>
      <c r="D4" s="250" t="s">
        <v>419</v>
      </c>
      <c r="E4" s="27">
        <v>44077</v>
      </c>
      <c r="F4" s="28">
        <v>75851</v>
      </c>
      <c r="H4" s="29">
        <v>44077</v>
      </c>
      <c r="I4" s="30">
        <v>405</v>
      </c>
      <c r="M4" s="31">
        <f>4000+52817</f>
        <v>56817</v>
      </c>
      <c r="N4" s="32">
        <v>2989</v>
      </c>
      <c r="O4" s="91"/>
    </row>
    <row r="5" spans="1:15" ht="16.2" thickBot="1" x14ac:dyDescent="0.35">
      <c r="A5" s="23"/>
      <c r="B5" s="248">
        <v>44078</v>
      </c>
      <c r="C5" s="249">
        <v>10767</v>
      </c>
      <c r="D5" s="252" t="s">
        <v>420</v>
      </c>
      <c r="E5" s="27">
        <v>44078</v>
      </c>
      <c r="F5" s="28">
        <v>94908</v>
      </c>
      <c r="H5" s="29">
        <v>44078</v>
      </c>
      <c r="I5" s="34">
        <v>10554</v>
      </c>
      <c r="J5" s="55"/>
      <c r="K5" s="40"/>
      <c r="L5" s="41"/>
      <c r="M5" s="31">
        <v>69479</v>
      </c>
      <c r="N5" s="32">
        <v>4108</v>
      </c>
      <c r="O5" s="217"/>
    </row>
    <row r="6" spans="1:15" ht="15" thickBot="1" x14ac:dyDescent="0.35">
      <c r="A6" s="23"/>
      <c r="B6" s="248">
        <v>44079</v>
      </c>
      <c r="C6" s="249">
        <v>7516</v>
      </c>
      <c r="D6" s="253" t="s">
        <v>421</v>
      </c>
      <c r="E6" s="27">
        <v>44079</v>
      </c>
      <c r="F6" s="28">
        <v>178561</v>
      </c>
      <c r="H6" s="29">
        <v>44079</v>
      </c>
      <c r="I6" s="34">
        <v>495</v>
      </c>
      <c r="J6" s="55">
        <v>44079</v>
      </c>
      <c r="K6" s="48" t="s">
        <v>422</v>
      </c>
      <c r="L6" s="52">
        <f>16119.44+2205.97+400+4000</f>
        <v>22725.41</v>
      </c>
      <c r="M6" s="31">
        <f>29951+2554+121659.5</f>
        <v>154164.5</v>
      </c>
      <c r="N6" s="32">
        <v>8308</v>
      </c>
      <c r="O6" s="219"/>
    </row>
    <row r="7" spans="1:15" ht="15" thickBot="1" x14ac:dyDescent="0.35">
      <c r="A7" s="23"/>
      <c r="B7" s="248">
        <v>44080</v>
      </c>
      <c r="C7" s="249">
        <v>11400</v>
      </c>
      <c r="D7" s="255" t="s">
        <v>423</v>
      </c>
      <c r="E7" s="27">
        <v>44080</v>
      </c>
      <c r="F7" s="28">
        <v>78105</v>
      </c>
      <c r="H7" s="29">
        <v>44080</v>
      </c>
      <c r="I7" s="34">
        <v>495</v>
      </c>
      <c r="J7" s="341"/>
      <c r="K7" s="48"/>
      <c r="L7" s="41"/>
      <c r="M7" s="31">
        <v>62902</v>
      </c>
      <c r="N7" s="32">
        <v>3308</v>
      </c>
      <c r="O7" s="217"/>
    </row>
    <row r="8" spans="1:15" ht="15" thickBot="1" x14ac:dyDescent="0.35">
      <c r="A8" s="23"/>
      <c r="B8" s="248">
        <v>44081</v>
      </c>
      <c r="C8" s="249">
        <v>1770</v>
      </c>
      <c r="D8" s="257" t="s">
        <v>19</v>
      </c>
      <c r="E8" s="27">
        <v>44081</v>
      </c>
      <c r="F8" s="28">
        <v>151668</v>
      </c>
      <c r="H8" s="29">
        <v>44081</v>
      </c>
      <c r="I8" s="34">
        <v>360</v>
      </c>
      <c r="J8" s="342"/>
      <c r="K8" s="297"/>
      <c r="L8" s="41"/>
      <c r="M8" s="31">
        <v>146895</v>
      </c>
      <c r="N8" s="32">
        <v>2643</v>
      </c>
      <c r="O8" s="217"/>
    </row>
    <row r="9" spans="1:15" ht="15" thickBot="1" x14ac:dyDescent="0.35">
      <c r="A9" s="23"/>
      <c r="B9" s="248">
        <v>44082</v>
      </c>
      <c r="C9" s="249">
        <v>18284</v>
      </c>
      <c r="D9" s="253" t="s">
        <v>424</v>
      </c>
      <c r="E9" s="27">
        <v>44082</v>
      </c>
      <c r="F9" s="28">
        <v>72065</v>
      </c>
      <c r="H9" s="29">
        <v>44082</v>
      </c>
      <c r="I9" s="34">
        <v>405</v>
      </c>
      <c r="J9" s="342"/>
      <c r="K9" s="300"/>
      <c r="L9" s="58"/>
      <c r="M9" s="31">
        <v>50858</v>
      </c>
      <c r="N9" s="32">
        <v>2518</v>
      </c>
      <c r="O9" s="219"/>
    </row>
    <row r="10" spans="1:15" ht="15" thickBot="1" x14ac:dyDescent="0.35">
      <c r="A10" s="23"/>
      <c r="B10" s="248">
        <v>44083</v>
      </c>
      <c r="C10" s="249">
        <v>7621</v>
      </c>
      <c r="D10" s="252" t="s">
        <v>425</v>
      </c>
      <c r="E10" s="27">
        <v>44083</v>
      </c>
      <c r="F10" s="28">
        <v>119014</v>
      </c>
      <c r="H10" s="29">
        <v>44083</v>
      </c>
      <c r="I10" s="34">
        <v>5018.7299999999996</v>
      </c>
      <c r="J10" s="259"/>
      <c r="K10" s="54"/>
      <c r="L10" s="52"/>
      <c r="M10" s="31">
        <v>103140</v>
      </c>
      <c r="N10" s="32">
        <v>3234</v>
      </c>
      <c r="O10" s="217"/>
    </row>
    <row r="11" spans="1:15" ht="15" thickBot="1" x14ac:dyDescent="0.35">
      <c r="A11" s="23"/>
      <c r="B11" s="248">
        <v>44084</v>
      </c>
      <c r="C11" s="249">
        <v>11837.6</v>
      </c>
      <c r="D11" s="252" t="s">
        <v>426</v>
      </c>
      <c r="E11" s="27">
        <v>44084</v>
      </c>
      <c r="F11" s="28">
        <v>61252</v>
      </c>
      <c r="H11" s="29">
        <v>44084</v>
      </c>
      <c r="I11" s="34">
        <v>405</v>
      </c>
      <c r="J11" s="55"/>
      <c r="K11" s="48"/>
      <c r="L11" s="52"/>
      <c r="M11" s="31">
        <v>47760</v>
      </c>
      <c r="N11" s="32">
        <v>1249</v>
      </c>
      <c r="O11" s="220"/>
    </row>
    <row r="12" spans="1:15" ht="15" thickBot="1" x14ac:dyDescent="0.35">
      <c r="A12" s="23"/>
      <c r="B12" s="248">
        <v>44085</v>
      </c>
      <c r="C12" s="249">
        <v>8708</v>
      </c>
      <c r="D12" s="255" t="s">
        <v>18</v>
      </c>
      <c r="E12" s="27">
        <v>44085</v>
      </c>
      <c r="F12" s="28">
        <v>166694</v>
      </c>
      <c r="H12" s="29">
        <v>44085</v>
      </c>
      <c r="I12" s="34">
        <v>10554</v>
      </c>
      <c r="J12" s="55"/>
      <c r="K12" s="48"/>
      <c r="L12" s="52"/>
      <c r="M12" s="31">
        <f>31286+111125</f>
        <v>142411</v>
      </c>
      <c r="N12" s="32">
        <v>5021</v>
      </c>
      <c r="O12" s="217"/>
    </row>
    <row r="13" spans="1:15" ht="15" thickBot="1" x14ac:dyDescent="0.35">
      <c r="A13" s="23"/>
      <c r="B13" s="248">
        <v>44086</v>
      </c>
      <c r="C13" s="249">
        <v>3803</v>
      </c>
      <c r="D13" s="253" t="s">
        <v>427</v>
      </c>
      <c r="E13" s="27">
        <v>44086</v>
      </c>
      <c r="F13" s="28">
        <v>141645</v>
      </c>
      <c r="H13" s="29">
        <v>44086</v>
      </c>
      <c r="I13" s="34">
        <v>732</v>
      </c>
      <c r="J13" s="55">
        <v>44086</v>
      </c>
      <c r="K13" s="48" t="s">
        <v>428</v>
      </c>
      <c r="L13" s="52">
        <f>400+4000+15959.91</f>
        <v>20359.91</v>
      </c>
      <c r="M13" s="203">
        <v>118150</v>
      </c>
      <c r="N13" s="32">
        <v>9636</v>
      </c>
      <c r="O13" s="204" t="s">
        <v>166</v>
      </c>
    </row>
    <row r="14" spans="1:15" ht="15" thickBot="1" x14ac:dyDescent="0.35">
      <c r="A14" s="23"/>
      <c r="B14" s="248">
        <v>44087</v>
      </c>
      <c r="C14" s="249">
        <v>18335</v>
      </c>
      <c r="D14" s="252" t="s">
        <v>429</v>
      </c>
      <c r="E14" s="27">
        <v>44087</v>
      </c>
      <c r="F14" s="28">
        <v>110431</v>
      </c>
      <c r="H14" s="29">
        <v>44087</v>
      </c>
      <c r="I14" s="34">
        <v>450</v>
      </c>
      <c r="J14" s="55"/>
      <c r="K14" s="48"/>
      <c r="L14" s="52"/>
      <c r="M14" s="31">
        <v>85511</v>
      </c>
      <c r="N14" s="32">
        <v>6135</v>
      </c>
      <c r="O14" s="343"/>
    </row>
    <row r="15" spans="1:15" ht="15" thickBot="1" x14ac:dyDescent="0.35">
      <c r="A15" s="23"/>
      <c r="B15" s="248">
        <v>44088</v>
      </c>
      <c r="C15" s="249">
        <v>870</v>
      </c>
      <c r="D15" s="252" t="s">
        <v>430</v>
      </c>
      <c r="E15" s="27">
        <v>44088</v>
      </c>
      <c r="F15" s="28">
        <v>122801</v>
      </c>
      <c r="H15" s="29">
        <v>44088</v>
      </c>
      <c r="I15" s="34">
        <v>495</v>
      </c>
      <c r="J15" s="55">
        <v>44088</v>
      </c>
      <c r="K15" s="48" t="s">
        <v>428</v>
      </c>
      <c r="L15" s="56">
        <v>2191</v>
      </c>
      <c r="M15" s="31">
        <v>116457</v>
      </c>
      <c r="N15" s="32">
        <v>5170</v>
      </c>
      <c r="O15" s="343"/>
    </row>
    <row r="16" spans="1:15" ht="15" thickBot="1" x14ac:dyDescent="0.35">
      <c r="A16" s="23"/>
      <c r="B16" s="248">
        <v>44089</v>
      </c>
      <c r="C16" s="249">
        <v>3106</v>
      </c>
      <c r="D16" s="255" t="s">
        <v>431</v>
      </c>
      <c r="E16" s="27">
        <v>44089</v>
      </c>
      <c r="F16" s="28">
        <v>223834</v>
      </c>
      <c r="H16" s="29">
        <v>44089</v>
      </c>
      <c r="I16" s="34">
        <v>1713</v>
      </c>
      <c r="J16" s="57"/>
      <c r="K16" s="48"/>
      <c r="L16" s="58"/>
      <c r="M16" s="31">
        <v>204618</v>
      </c>
      <c r="N16" s="32">
        <v>14397</v>
      </c>
      <c r="O16" s="217"/>
    </row>
    <row r="17" spans="1:15" ht="15" thickBot="1" x14ac:dyDescent="0.35">
      <c r="A17" s="23"/>
      <c r="B17" s="248">
        <v>44090</v>
      </c>
      <c r="C17" s="249">
        <v>0</v>
      </c>
      <c r="D17" s="252"/>
      <c r="E17" s="27">
        <v>44090</v>
      </c>
      <c r="F17" s="28">
        <v>100108</v>
      </c>
      <c r="H17" s="29">
        <v>44090</v>
      </c>
      <c r="I17" s="34">
        <v>360</v>
      </c>
      <c r="J17" s="57"/>
      <c r="K17" s="59"/>
      <c r="L17" s="52"/>
      <c r="M17" s="31">
        <v>97829</v>
      </c>
      <c r="N17" s="32">
        <v>1919</v>
      </c>
      <c r="O17" s="217"/>
    </row>
    <row r="18" spans="1:15" ht="25.2" thickBot="1" x14ac:dyDescent="0.35">
      <c r="A18" s="23"/>
      <c r="B18" s="248">
        <v>44091</v>
      </c>
      <c r="C18" s="249">
        <v>5136</v>
      </c>
      <c r="D18" s="252" t="s">
        <v>432</v>
      </c>
      <c r="E18" s="27">
        <v>44091</v>
      </c>
      <c r="F18" s="28">
        <v>92312</v>
      </c>
      <c r="H18" s="29">
        <v>44091</v>
      </c>
      <c r="I18" s="34">
        <v>405</v>
      </c>
      <c r="J18" s="57">
        <v>44091</v>
      </c>
      <c r="K18" s="371" t="s">
        <v>433</v>
      </c>
      <c r="L18" s="61">
        <v>1300</v>
      </c>
      <c r="M18" s="31">
        <f>73440+6006</f>
        <v>79446</v>
      </c>
      <c r="N18" s="32">
        <v>6025</v>
      </c>
      <c r="O18" s="343"/>
    </row>
    <row r="19" spans="1:15" ht="15" thickBot="1" x14ac:dyDescent="0.35">
      <c r="A19" s="23"/>
      <c r="B19" s="248">
        <v>44092</v>
      </c>
      <c r="C19" s="249">
        <v>1306</v>
      </c>
      <c r="D19" s="252" t="s">
        <v>19</v>
      </c>
      <c r="E19" s="27">
        <v>44092</v>
      </c>
      <c r="F19" s="28">
        <v>139353</v>
      </c>
      <c r="H19" s="29">
        <v>44092</v>
      </c>
      <c r="I19" s="34">
        <v>17054</v>
      </c>
      <c r="J19" s="55"/>
      <c r="K19" s="62"/>
      <c r="L19" s="58"/>
      <c r="M19" s="31">
        <v>117260</v>
      </c>
      <c r="N19" s="32">
        <v>3733</v>
      </c>
      <c r="O19" s="343"/>
    </row>
    <row r="20" spans="1:15" ht="15" thickBot="1" x14ac:dyDescent="0.35">
      <c r="A20" s="23"/>
      <c r="B20" s="248">
        <v>44093</v>
      </c>
      <c r="C20" s="249">
        <v>17476.400000000001</v>
      </c>
      <c r="D20" s="252" t="s">
        <v>426</v>
      </c>
      <c r="E20" s="27">
        <v>44093</v>
      </c>
      <c r="F20" s="28">
        <v>162144</v>
      </c>
      <c r="H20" s="29">
        <v>44093</v>
      </c>
      <c r="I20" s="34">
        <v>518</v>
      </c>
      <c r="J20" s="57">
        <v>44093</v>
      </c>
      <c r="K20" s="59" t="s">
        <v>434</v>
      </c>
      <c r="L20" s="58">
        <f>18323.87+400+4571</f>
        <v>23294.87</v>
      </c>
      <c r="M20" s="31">
        <v>123343</v>
      </c>
      <c r="N20" s="32">
        <v>6933</v>
      </c>
      <c r="O20" s="343"/>
    </row>
    <row r="21" spans="1:15" ht="15" thickBot="1" x14ac:dyDescent="0.35">
      <c r="A21" s="23"/>
      <c r="B21" s="248">
        <v>44094</v>
      </c>
      <c r="C21" s="249">
        <v>1026</v>
      </c>
      <c r="D21" s="252" t="s">
        <v>19</v>
      </c>
      <c r="E21" s="27">
        <v>44094</v>
      </c>
      <c r="F21" s="28">
        <v>130822</v>
      </c>
      <c r="H21" s="29">
        <v>44094</v>
      </c>
      <c r="I21" s="34">
        <v>495</v>
      </c>
      <c r="J21" s="64"/>
      <c r="K21" s="65"/>
      <c r="L21" s="66"/>
      <c r="M21" s="31">
        <v>125427</v>
      </c>
      <c r="N21" s="32">
        <v>3874</v>
      </c>
      <c r="O21" s="343"/>
    </row>
    <row r="22" spans="1:15" ht="15" thickBot="1" x14ac:dyDescent="0.35">
      <c r="A22" s="23"/>
      <c r="B22" s="248">
        <v>44095</v>
      </c>
      <c r="C22" s="249">
        <v>1200</v>
      </c>
      <c r="D22" s="252" t="s">
        <v>19</v>
      </c>
      <c r="E22" s="27">
        <v>44095</v>
      </c>
      <c r="F22" s="28">
        <v>95129</v>
      </c>
      <c r="H22" s="29">
        <v>44095</v>
      </c>
      <c r="I22" s="34">
        <v>405</v>
      </c>
      <c r="J22" s="221"/>
      <c r="K22" s="222"/>
      <c r="L22" s="223"/>
      <c r="M22" s="31">
        <v>93051</v>
      </c>
      <c r="N22" s="32">
        <v>473</v>
      </c>
      <c r="O22" s="204"/>
    </row>
    <row r="23" spans="1:15" ht="15" thickBot="1" x14ac:dyDescent="0.35">
      <c r="A23" s="23"/>
      <c r="B23" s="248">
        <v>44096</v>
      </c>
      <c r="C23" s="249">
        <v>6054.5</v>
      </c>
      <c r="D23" s="252" t="s">
        <v>435</v>
      </c>
      <c r="E23" s="27">
        <v>44096</v>
      </c>
      <c r="F23" s="28">
        <v>99295</v>
      </c>
      <c r="H23" s="29">
        <v>44096</v>
      </c>
      <c r="I23" s="34">
        <v>405</v>
      </c>
      <c r="J23" s="224"/>
      <c r="K23" s="228"/>
      <c r="L23" s="345"/>
      <c r="M23" s="31">
        <v>91626</v>
      </c>
      <c r="N23" s="32">
        <v>1209</v>
      </c>
      <c r="O23" s="217"/>
    </row>
    <row r="24" spans="1:15" ht="15" thickBot="1" x14ac:dyDescent="0.35">
      <c r="A24" s="23"/>
      <c r="B24" s="248">
        <v>44097</v>
      </c>
      <c r="C24" s="249">
        <v>4558</v>
      </c>
      <c r="D24" s="252" t="s">
        <v>436</v>
      </c>
      <c r="E24" s="27">
        <v>44097</v>
      </c>
      <c r="F24" s="28">
        <v>80292</v>
      </c>
      <c r="H24" s="29">
        <v>44097</v>
      </c>
      <c r="I24" s="34">
        <v>405</v>
      </c>
      <c r="J24" s="346"/>
      <c r="K24" s="86"/>
      <c r="L24" s="178"/>
      <c r="M24" s="31">
        <f>63958+5338</f>
        <v>69296</v>
      </c>
      <c r="N24" s="32">
        <v>6108</v>
      </c>
      <c r="O24" s="217"/>
    </row>
    <row r="25" spans="1:15" ht="15" thickBot="1" x14ac:dyDescent="0.35">
      <c r="A25" s="23"/>
      <c r="B25" s="248">
        <v>44098</v>
      </c>
      <c r="C25" s="249">
        <v>888</v>
      </c>
      <c r="D25" s="252" t="s">
        <v>19</v>
      </c>
      <c r="E25" s="27">
        <v>44098</v>
      </c>
      <c r="F25" s="28">
        <v>61623</v>
      </c>
      <c r="H25" s="29">
        <v>44098</v>
      </c>
      <c r="I25" s="34">
        <v>405</v>
      </c>
      <c r="J25" s="55"/>
      <c r="K25" s="228"/>
      <c r="L25" s="223"/>
      <c r="M25" s="31">
        <v>59138</v>
      </c>
      <c r="N25" s="32">
        <v>1192</v>
      </c>
      <c r="O25" s="217"/>
    </row>
    <row r="26" spans="1:15" ht="15" thickBot="1" x14ac:dyDescent="0.35">
      <c r="A26" s="23"/>
      <c r="B26" s="248">
        <v>44099</v>
      </c>
      <c r="C26" s="249">
        <v>11726</v>
      </c>
      <c r="D26" s="252" t="s">
        <v>437</v>
      </c>
      <c r="E26" s="27">
        <v>44099</v>
      </c>
      <c r="F26" s="28">
        <v>151107</v>
      </c>
      <c r="H26" s="29">
        <v>44099</v>
      </c>
      <c r="I26" s="34">
        <v>12525</v>
      </c>
      <c r="J26" s="176"/>
      <c r="K26" s="96"/>
      <c r="L26" s="178"/>
      <c r="M26" s="31">
        <v>118819</v>
      </c>
      <c r="N26" s="32">
        <v>8037</v>
      </c>
      <c r="O26" s="217"/>
    </row>
    <row r="27" spans="1:15" ht="15" thickBot="1" x14ac:dyDescent="0.35">
      <c r="A27" s="23"/>
      <c r="B27" s="248">
        <v>44100</v>
      </c>
      <c r="C27" s="249">
        <v>3093.8</v>
      </c>
      <c r="D27" s="253" t="s">
        <v>438</v>
      </c>
      <c r="E27" s="27">
        <v>44100</v>
      </c>
      <c r="F27" s="28">
        <v>137126</v>
      </c>
      <c r="H27" s="29">
        <v>44100</v>
      </c>
      <c r="I27" s="34">
        <v>495</v>
      </c>
      <c r="J27" s="176">
        <v>44100</v>
      </c>
      <c r="K27" s="353" t="s">
        <v>439</v>
      </c>
      <c r="L27" s="178">
        <f>16495.3+400+4000</f>
        <v>20895.3</v>
      </c>
      <c r="M27" s="31">
        <v>116238</v>
      </c>
      <c r="N27" s="32">
        <v>5249</v>
      </c>
      <c r="O27" s="217"/>
    </row>
    <row r="28" spans="1:15" ht="15" thickBot="1" x14ac:dyDescent="0.35">
      <c r="A28" s="23"/>
      <c r="B28" s="248">
        <v>44101</v>
      </c>
      <c r="C28" s="249">
        <v>2290</v>
      </c>
      <c r="D28" s="304" t="s">
        <v>359</v>
      </c>
      <c r="E28" s="27">
        <v>44101</v>
      </c>
      <c r="F28" s="28">
        <v>100312</v>
      </c>
      <c r="H28" s="29">
        <v>44101</v>
      </c>
      <c r="I28" s="34">
        <v>495</v>
      </c>
      <c r="J28" s="176"/>
      <c r="K28" s="354"/>
      <c r="L28" s="178"/>
      <c r="M28" s="31">
        <v>89030</v>
      </c>
      <c r="N28" s="32">
        <v>8497</v>
      </c>
      <c r="O28" s="217"/>
    </row>
    <row r="29" spans="1:15" ht="15" thickBot="1" x14ac:dyDescent="0.35">
      <c r="A29" s="23"/>
      <c r="B29" s="248">
        <v>44102</v>
      </c>
      <c r="C29" s="249">
        <v>5506</v>
      </c>
      <c r="D29" s="263" t="s">
        <v>440</v>
      </c>
      <c r="E29" s="27">
        <v>44102</v>
      </c>
      <c r="F29" s="28">
        <v>87853</v>
      </c>
      <c r="H29" s="29">
        <v>44102</v>
      </c>
      <c r="I29" s="199">
        <v>405</v>
      </c>
      <c r="J29" s="176"/>
      <c r="K29" s="48"/>
      <c r="L29" s="41"/>
      <c r="M29" s="31">
        <v>71100</v>
      </c>
      <c r="N29" s="32">
        <v>10842</v>
      </c>
      <c r="O29" s="217"/>
    </row>
    <row r="30" spans="1:15" ht="15" thickBot="1" x14ac:dyDescent="0.35">
      <c r="A30" s="23"/>
      <c r="B30" s="248">
        <v>44103</v>
      </c>
      <c r="C30" s="262">
        <v>3646</v>
      </c>
      <c r="D30" s="304" t="s">
        <v>441</v>
      </c>
      <c r="E30" s="27">
        <v>44103</v>
      </c>
      <c r="F30" s="28">
        <v>100675</v>
      </c>
      <c r="H30" s="29">
        <v>44103</v>
      </c>
      <c r="I30" s="199">
        <v>405</v>
      </c>
      <c r="J30" s="176"/>
      <c r="K30" s="86"/>
      <c r="L30" s="178"/>
      <c r="M30" s="203">
        <f>21516+71980</f>
        <v>93496</v>
      </c>
      <c r="N30" s="32">
        <v>3134</v>
      </c>
      <c r="O30" s="217" t="s">
        <v>326</v>
      </c>
    </row>
    <row r="31" spans="1:15" ht="15" thickBot="1" x14ac:dyDescent="0.35">
      <c r="A31" s="23"/>
      <c r="B31" s="248">
        <v>44104</v>
      </c>
      <c r="C31" s="262">
        <v>9244</v>
      </c>
      <c r="D31" s="304" t="s">
        <v>442</v>
      </c>
      <c r="E31" s="27">
        <v>44104</v>
      </c>
      <c r="F31" s="202">
        <v>86485</v>
      </c>
      <c r="H31" s="29">
        <v>44104</v>
      </c>
      <c r="I31" s="199">
        <v>2360</v>
      </c>
      <c r="J31" s="176">
        <v>44104</v>
      </c>
      <c r="K31" s="48" t="s">
        <v>313</v>
      </c>
      <c r="L31" s="49">
        <v>20000</v>
      </c>
      <c r="M31" s="203">
        <v>53761</v>
      </c>
      <c r="N31" s="32">
        <v>1120</v>
      </c>
      <c r="O31" s="217" t="s">
        <v>326</v>
      </c>
    </row>
    <row r="32" spans="1:15" ht="16.2" thickBot="1" x14ac:dyDescent="0.35">
      <c r="A32" s="23"/>
      <c r="B32" s="359"/>
      <c r="C32" s="136"/>
      <c r="D32" s="349"/>
      <c r="E32" s="27"/>
      <c r="F32" s="97"/>
      <c r="H32" s="29"/>
      <c r="I32" s="199"/>
      <c r="J32" s="176"/>
      <c r="K32" s="48"/>
      <c r="L32" s="358"/>
      <c r="M32" s="31"/>
      <c r="N32" s="32">
        <v>0</v>
      </c>
      <c r="O32" s="217"/>
    </row>
    <row r="33" spans="1:15" ht="16.2" thickBot="1" x14ac:dyDescent="0.35">
      <c r="A33" s="23"/>
      <c r="B33" s="359">
        <v>44077</v>
      </c>
      <c r="C33" s="136">
        <v>12668.46</v>
      </c>
      <c r="D33" s="86" t="s">
        <v>443</v>
      </c>
      <c r="E33" s="27"/>
      <c r="F33" s="97"/>
      <c r="H33" s="29"/>
      <c r="I33" s="199"/>
      <c r="J33" s="176" t="s">
        <v>444</v>
      </c>
      <c r="K33" s="286" t="s">
        <v>15</v>
      </c>
      <c r="L33" s="45">
        <v>26618</v>
      </c>
      <c r="M33" s="31">
        <v>0</v>
      </c>
      <c r="N33" s="32">
        <v>0</v>
      </c>
      <c r="O33" s="217"/>
    </row>
    <row r="34" spans="1:15" ht="16.2" thickBot="1" x14ac:dyDescent="0.35">
      <c r="A34" s="23"/>
      <c r="B34" s="359">
        <v>44078</v>
      </c>
      <c r="C34" s="136">
        <v>8667.7900000000009</v>
      </c>
      <c r="D34" s="86" t="s">
        <v>445</v>
      </c>
      <c r="E34" s="27"/>
      <c r="F34" s="97"/>
      <c r="H34" s="29"/>
      <c r="I34" s="199"/>
      <c r="J34" s="176" t="s">
        <v>444</v>
      </c>
      <c r="K34" s="48" t="s">
        <v>165</v>
      </c>
      <c r="L34" s="358">
        <v>10000</v>
      </c>
      <c r="M34" s="31">
        <v>0</v>
      </c>
      <c r="N34" s="32">
        <v>0</v>
      </c>
      <c r="O34" s="217"/>
    </row>
    <row r="35" spans="1:15" ht="16.2" thickBot="1" x14ac:dyDescent="0.35">
      <c r="A35" s="23"/>
      <c r="B35" s="359">
        <v>44081</v>
      </c>
      <c r="C35" s="136">
        <v>12042.58</v>
      </c>
      <c r="D35" s="86" t="s">
        <v>446</v>
      </c>
      <c r="E35" s="27"/>
      <c r="F35" s="97"/>
      <c r="H35" s="29"/>
      <c r="I35" s="199"/>
      <c r="J35" s="176" t="s">
        <v>444</v>
      </c>
      <c r="K35" s="48" t="s">
        <v>17</v>
      </c>
      <c r="L35" s="358">
        <v>5800</v>
      </c>
      <c r="M35" s="31">
        <v>0</v>
      </c>
      <c r="N35" s="32">
        <v>0</v>
      </c>
      <c r="O35" s="217"/>
    </row>
    <row r="36" spans="1:15" ht="16.2" thickBot="1" x14ac:dyDescent="0.35">
      <c r="A36" s="23"/>
      <c r="B36" s="359">
        <v>44082</v>
      </c>
      <c r="C36" s="136">
        <v>16173.8</v>
      </c>
      <c r="D36" s="86" t="s">
        <v>447</v>
      </c>
      <c r="E36" s="27"/>
      <c r="F36" s="97"/>
      <c r="H36" s="29"/>
      <c r="I36" s="199"/>
      <c r="J36" s="176" t="s">
        <v>444</v>
      </c>
      <c r="K36" s="48" t="s">
        <v>218</v>
      </c>
      <c r="L36" s="358">
        <v>19605</v>
      </c>
      <c r="M36" s="31">
        <v>0</v>
      </c>
      <c r="N36" s="32">
        <v>0</v>
      </c>
      <c r="O36" s="217"/>
    </row>
    <row r="37" spans="1:15" ht="16.2" thickBot="1" x14ac:dyDescent="0.35">
      <c r="A37" s="23"/>
      <c r="B37" s="359">
        <v>44083</v>
      </c>
      <c r="C37" s="372">
        <v>22244.02</v>
      </c>
      <c r="D37" s="373" t="s">
        <v>448</v>
      </c>
      <c r="E37" s="27"/>
      <c r="F37" s="97"/>
      <c r="H37" s="29"/>
      <c r="I37" s="199"/>
      <c r="J37" s="176" t="s">
        <v>444</v>
      </c>
      <c r="K37" s="48" t="s">
        <v>449</v>
      </c>
      <c r="L37" s="358">
        <v>2568.5</v>
      </c>
      <c r="M37" s="31">
        <v>0</v>
      </c>
      <c r="N37" s="32">
        <v>0</v>
      </c>
      <c r="O37" s="217"/>
    </row>
    <row r="38" spans="1:15" ht="16.2" thickBot="1" x14ac:dyDescent="0.35">
      <c r="A38" s="23"/>
      <c r="B38" s="359">
        <v>44088</v>
      </c>
      <c r="C38" s="136">
        <v>14902.2</v>
      </c>
      <c r="D38" s="86" t="s">
        <v>450</v>
      </c>
      <c r="E38" s="27"/>
      <c r="F38" s="97"/>
      <c r="H38" s="29"/>
      <c r="I38" s="199"/>
      <c r="J38" s="176" t="s">
        <v>444</v>
      </c>
      <c r="K38" s="48" t="s">
        <v>451</v>
      </c>
      <c r="L38" s="358">
        <v>15660</v>
      </c>
      <c r="M38" s="31">
        <v>0</v>
      </c>
      <c r="N38" s="32">
        <v>0</v>
      </c>
      <c r="O38" s="217"/>
    </row>
    <row r="39" spans="1:15" ht="16.2" thickBot="1" x14ac:dyDescent="0.35">
      <c r="A39" s="23"/>
      <c r="B39" s="359">
        <v>44091</v>
      </c>
      <c r="C39" s="136">
        <v>19504</v>
      </c>
      <c r="D39" s="86" t="s">
        <v>452</v>
      </c>
      <c r="E39" s="27"/>
      <c r="F39" s="97"/>
      <c r="H39" s="29"/>
      <c r="I39" s="199"/>
      <c r="J39" s="176" t="s">
        <v>444</v>
      </c>
      <c r="K39" s="48" t="s">
        <v>368</v>
      </c>
      <c r="L39" s="358">
        <v>17756.400000000001</v>
      </c>
      <c r="M39" s="31">
        <v>0</v>
      </c>
      <c r="N39" s="32">
        <v>0</v>
      </c>
      <c r="O39" s="217"/>
    </row>
    <row r="40" spans="1:15" ht="15" thickBot="1" x14ac:dyDescent="0.35">
      <c r="A40" s="23"/>
      <c r="B40" s="374">
        <v>44093</v>
      </c>
      <c r="C40" s="262">
        <v>12673.16</v>
      </c>
      <c r="D40" s="375" t="s">
        <v>453</v>
      </c>
      <c r="E40" s="27"/>
      <c r="F40" s="97"/>
      <c r="H40" s="29"/>
      <c r="I40" s="199"/>
      <c r="J40" s="176" t="s">
        <v>444</v>
      </c>
      <c r="K40" s="627" t="s">
        <v>454</v>
      </c>
      <c r="L40" s="358">
        <f>6029+5040+3110+380.62</f>
        <v>14559.62</v>
      </c>
      <c r="M40" s="31">
        <v>0</v>
      </c>
      <c r="N40" s="32">
        <v>0</v>
      </c>
      <c r="O40" s="217"/>
    </row>
    <row r="41" spans="1:15" ht="16.2" thickBot="1" x14ac:dyDescent="0.35">
      <c r="A41" s="23"/>
      <c r="B41" s="359">
        <v>44097</v>
      </c>
      <c r="C41" s="136">
        <v>15875.6</v>
      </c>
      <c r="D41" s="86" t="s">
        <v>455</v>
      </c>
      <c r="E41" s="27"/>
      <c r="F41" s="97"/>
      <c r="H41" s="29"/>
      <c r="I41" s="199"/>
      <c r="J41" s="176"/>
      <c r="K41" s="628"/>
      <c r="L41" s="82">
        <v>0</v>
      </c>
      <c r="M41" s="31">
        <v>0</v>
      </c>
      <c r="N41" s="32">
        <v>0</v>
      </c>
      <c r="O41" s="217"/>
    </row>
    <row r="42" spans="1:15" ht="15" thickBot="1" x14ac:dyDescent="0.35">
      <c r="A42" s="23"/>
      <c r="B42" s="248">
        <v>44099</v>
      </c>
      <c r="C42" s="262">
        <v>16130.28</v>
      </c>
      <c r="D42" s="375" t="s">
        <v>456</v>
      </c>
      <c r="E42" s="27"/>
      <c r="F42" s="97"/>
      <c r="H42" s="29"/>
      <c r="I42" s="199"/>
      <c r="J42" s="176" t="s">
        <v>444</v>
      </c>
      <c r="K42" s="362" t="s">
        <v>457</v>
      </c>
      <c r="L42" s="66">
        <v>1000</v>
      </c>
      <c r="M42" s="31">
        <v>0</v>
      </c>
      <c r="N42" s="32">
        <v>0</v>
      </c>
      <c r="O42" s="217"/>
    </row>
    <row r="43" spans="1:15" ht="15" thickBot="1" x14ac:dyDescent="0.35">
      <c r="A43" s="23"/>
      <c r="B43" s="248">
        <v>44100</v>
      </c>
      <c r="C43" s="262">
        <v>10643.61</v>
      </c>
      <c r="D43" s="375" t="s">
        <v>458</v>
      </c>
      <c r="E43" s="27"/>
      <c r="F43" s="97"/>
      <c r="H43" s="29"/>
      <c r="I43" s="199"/>
      <c r="J43" s="176" t="s">
        <v>444</v>
      </c>
      <c r="K43" s="362" t="s">
        <v>46</v>
      </c>
      <c r="L43" s="66">
        <v>1394.81</v>
      </c>
      <c r="M43" s="31"/>
      <c r="N43" s="32"/>
      <c r="O43" s="217"/>
    </row>
    <row r="44" spans="1:15" ht="15" thickBot="1" x14ac:dyDescent="0.35">
      <c r="A44" s="23"/>
      <c r="B44" s="248">
        <v>44104</v>
      </c>
      <c r="C44" s="262">
        <v>24303.21</v>
      </c>
      <c r="D44" s="375" t="s">
        <v>459</v>
      </c>
      <c r="E44" s="27"/>
      <c r="F44" s="97"/>
      <c r="H44" s="29"/>
      <c r="I44" s="199"/>
      <c r="J44" s="176" t="s">
        <v>444</v>
      </c>
      <c r="K44" s="362" t="s">
        <v>207</v>
      </c>
      <c r="L44" s="66">
        <v>12831</v>
      </c>
      <c r="M44" s="31"/>
      <c r="N44" s="32"/>
      <c r="O44" s="217"/>
    </row>
    <row r="45" spans="1:15" ht="15" thickBot="1" x14ac:dyDescent="0.35">
      <c r="A45" s="23"/>
      <c r="B45" s="248"/>
      <c r="C45" s="262"/>
      <c r="D45" s="375"/>
      <c r="E45" s="27"/>
      <c r="F45" s="97"/>
      <c r="H45" s="29"/>
      <c r="I45" s="199"/>
      <c r="J45" s="379" t="s">
        <v>444</v>
      </c>
      <c r="K45" s="380" t="s">
        <v>460</v>
      </c>
      <c r="L45" s="66">
        <f>149640+264132</f>
        <v>413772</v>
      </c>
      <c r="M45" s="31"/>
      <c r="N45" s="32"/>
      <c r="O45" s="217"/>
    </row>
    <row r="46" spans="1:15" ht="15" thickBot="1" x14ac:dyDescent="0.35">
      <c r="A46" s="23"/>
      <c r="B46" s="248"/>
      <c r="C46" s="262"/>
      <c r="D46" s="375"/>
      <c r="E46" s="27"/>
      <c r="F46" s="97"/>
      <c r="H46" s="29"/>
      <c r="I46" s="199"/>
      <c r="J46" s="176" t="s">
        <v>444</v>
      </c>
      <c r="K46" s="362" t="s">
        <v>192</v>
      </c>
      <c r="L46" s="66">
        <v>986</v>
      </c>
      <c r="M46" s="31"/>
      <c r="N46" s="32"/>
      <c r="O46" s="217"/>
    </row>
    <row r="47" spans="1:15" ht="15" thickBot="1" x14ac:dyDescent="0.35">
      <c r="A47" s="23"/>
      <c r="B47" s="248"/>
      <c r="C47" s="262"/>
      <c r="D47" s="375"/>
      <c r="E47" s="27"/>
      <c r="F47" s="97"/>
      <c r="H47" s="29"/>
      <c r="I47" s="199"/>
      <c r="J47" s="176" t="s">
        <v>444</v>
      </c>
      <c r="K47" s="362" t="s">
        <v>243</v>
      </c>
      <c r="L47" s="66">
        <v>2304.1999999999998</v>
      </c>
      <c r="M47" s="31"/>
      <c r="N47" s="32"/>
      <c r="O47" s="217"/>
    </row>
    <row r="48" spans="1:15" ht="15" thickBot="1" x14ac:dyDescent="0.35">
      <c r="A48" s="23"/>
      <c r="B48" s="248"/>
      <c r="C48" s="262"/>
      <c r="D48" s="375"/>
      <c r="E48" s="27"/>
      <c r="F48" s="97"/>
      <c r="H48" s="29"/>
      <c r="I48" s="199"/>
      <c r="J48" s="176" t="s">
        <v>444</v>
      </c>
      <c r="K48" s="362" t="s">
        <v>203</v>
      </c>
      <c r="L48" s="66">
        <v>2818.5</v>
      </c>
      <c r="M48" s="31"/>
      <c r="N48" s="32"/>
      <c r="O48" s="217"/>
    </row>
    <row r="49" spans="1:15" ht="15" thickBot="1" x14ac:dyDescent="0.35">
      <c r="A49" s="23"/>
      <c r="B49" s="248"/>
      <c r="C49" s="262"/>
      <c r="D49" s="375"/>
      <c r="E49" s="27"/>
      <c r="F49" s="97"/>
      <c r="H49" s="29"/>
      <c r="I49" s="199"/>
      <c r="J49" s="176" t="s">
        <v>444</v>
      </c>
      <c r="K49" s="362" t="s">
        <v>461</v>
      </c>
      <c r="L49" s="66">
        <v>2552</v>
      </c>
      <c r="M49" s="31"/>
      <c r="N49" s="32"/>
      <c r="O49" s="217"/>
    </row>
    <row r="50" spans="1:15" ht="15" thickBot="1" x14ac:dyDescent="0.35">
      <c r="A50" s="23"/>
      <c r="B50" s="248"/>
      <c r="C50" s="262"/>
      <c r="D50" s="375"/>
      <c r="E50" s="27"/>
      <c r="F50" s="97"/>
      <c r="H50" s="29"/>
      <c r="I50" s="199"/>
      <c r="J50" s="176" t="s">
        <v>444</v>
      </c>
      <c r="K50" s="361" t="s">
        <v>462</v>
      </c>
      <c r="L50" s="82">
        <v>25181.09</v>
      </c>
      <c r="M50" s="31">
        <v>0</v>
      </c>
      <c r="N50" s="32">
        <v>0</v>
      </c>
      <c r="O50" s="217"/>
    </row>
    <row r="51" spans="1:15" ht="15" thickBot="1" x14ac:dyDescent="0.35">
      <c r="A51" s="23"/>
      <c r="B51" s="248"/>
      <c r="C51" s="363"/>
      <c r="D51" s="376"/>
      <c r="E51" s="365"/>
      <c r="F51" s="351"/>
      <c r="H51" s="29"/>
      <c r="I51" s="307"/>
      <c r="J51" s="176" t="s">
        <v>444</v>
      </c>
      <c r="K51" s="361" t="s">
        <v>463</v>
      </c>
      <c r="L51" s="82">
        <v>910</v>
      </c>
      <c r="M51" s="31">
        <v>0</v>
      </c>
      <c r="N51" s="32">
        <v>0</v>
      </c>
      <c r="O51" s="217"/>
    </row>
    <row r="52" spans="1:15" ht="16.2" thickBot="1" x14ac:dyDescent="0.35">
      <c r="B52" s="335" t="s">
        <v>51</v>
      </c>
      <c r="C52" s="336">
        <f>SUM(C4:C51)</f>
        <v>378636.61</v>
      </c>
      <c r="D52" s="114"/>
      <c r="E52" s="237" t="s">
        <v>51</v>
      </c>
      <c r="F52" s="238">
        <f>SUM(F4:F51)</f>
        <v>3221465</v>
      </c>
      <c r="G52" s="114"/>
      <c r="H52" s="117" t="s">
        <v>245</v>
      </c>
      <c r="I52" s="118">
        <f>SUM(I4:I51)</f>
        <v>69218.73</v>
      </c>
      <c r="J52" s="265"/>
      <c r="K52" s="120" t="s">
        <v>246</v>
      </c>
      <c r="L52" s="121">
        <f>SUM(L5:L51)</f>
        <v>687083.60999999987</v>
      </c>
      <c r="M52" s="126">
        <f>SUM(M4:M51)</f>
        <v>2758022.5</v>
      </c>
      <c r="N52" s="126">
        <f>SUM(N4:N51)</f>
        <v>137061</v>
      </c>
      <c r="O52" s="239"/>
    </row>
    <row r="53" spans="1:15" ht="19.2" thickTop="1" thickBot="1" x14ac:dyDescent="0.35">
      <c r="C53" s="5" t="s">
        <v>10</v>
      </c>
      <c r="O53" s="240"/>
    </row>
    <row r="54" spans="1:15" ht="18.600000000000001" thickBot="1" x14ac:dyDescent="0.35">
      <c r="A54" s="65"/>
      <c r="B54" s="122"/>
      <c r="C54" s="4"/>
      <c r="H54" s="601" t="s">
        <v>52</v>
      </c>
      <c r="I54" s="602"/>
      <c r="J54" s="266"/>
      <c r="K54" s="603">
        <f>I52+L52</f>
        <v>756302.33999999985</v>
      </c>
      <c r="L54" s="604"/>
      <c r="M54" s="599">
        <f>M52+N52</f>
        <v>2895083.5</v>
      </c>
      <c r="N54" s="600"/>
    </row>
    <row r="55" spans="1:15" ht="15.6" x14ac:dyDescent="0.3">
      <c r="D55" s="606" t="s">
        <v>53</v>
      </c>
      <c r="E55" s="606"/>
      <c r="F55" s="124">
        <f>F52-K54-C52</f>
        <v>2086526.0500000003</v>
      </c>
      <c r="I55" s="125"/>
      <c r="J55" s="267"/>
    </row>
    <row r="56" spans="1:15" ht="18" x14ac:dyDescent="0.35">
      <c r="D56" s="607" t="s">
        <v>54</v>
      </c>
      <c r="E56" s="607"/>
      <c r="F56" s="126">
        <v>-2443326.35</v>
      </c>
      <c r="I56" s="608" t="s">
        <v>55</v>
      </c>
      <c r="J56" s="609"/>
      <c r="K56" s="610">
        <f>F58+F59+F60</f>
        <v>11575.170000000217</v>
      </c>
      <c r="L56" s="611"/>
    </row>
    <row r="57" spans="1:15" ht="18.600000000000001" thickBot="1" x14ac:dyDescent="0.4">
      <c r="D57" s="127"/>
      <c r="E57" s="128"/>
      <c r="F57" s="129">
        <v>0</v>
      </c>
      <c r="I57" s="130"/>
      <c r="J57" s="268"/>
      <c r="K57" s="131"/>
      <c r="L57" s="131"/>
    </row>
    <row r="58" spans="1:15" ht="18.600000000000001" thickTop="1" x14ac:dyDescent="0.35">
      <c r="C58" s="13" t="s">
        <v>10</v>
      </c>
      <c r="E58" s="65" t="s">
        <v>56</v>
      </c>
      <c r="F58" s="126">
        <f>SUM(F55:F57)</f>
        <v>-356800.29999999981</v>
      </c>
      <c r="H58" s="23"/>
      <c r="I58" s="132" t="s">
        <v>57</v>
      </c>
      <c r="J58" s="269"/>
      <c r="K58" s="612">
        <f>-C3</f>
        <v>-301043.73</v>
      </c>
      <c r="L58" s="613"/>
      <c r="M58" s="134"/>
    </row>
    <row r="59" spans="1:15" ht="16.2" thickBot="1" x14ac:dyDescent="0.35">
      <c r="D59" s="135" t="s">
        <v>58</v>
      </c>
      <c r="E59" s="65" t="s">
        <v>59</v>
      </c>
      <c r="F59" s="136">
        <v>54555.199999999997</v>
      </c>
    </row>
    <row r="60" spans="1:15" ht="19.2" thickTop="1" thickBot="1" x14ac:dyDescent="0.4">
      <c r="C60" s="137">
        <v>44104</v>
      </c>
      <c r="D60" s="614" t="s">
        <v>60</v>
      </c>
      <c r="E60" s="615"/>
      <c r="F60" s="138">
        <v>313820.27</v>
      </c>
      <c r="I60" s="632" t="s">
        <v>464</v>
      </c>
      <c r="J60" s="633"/>
      <c r="K60" s="634">
        <f>K56+K58</f>
        <v>-289468.55999999976</v>
      </c>
      <c r="L60" s="635"/>
    </row>
    <row r="61" spans="1:15" ht="18" x14ac:dyDescent="0.35">
      <c r="C61" s="139"/>
      <c r="D61" s="140"/>
      <c r="E61" s="141"/>
      <c r="F61" s="142"/>
      <c r="J61" s="270"/>
      <c r="M61" s="143"/>
    </row>
    <row r="63" spans="1:15" x14ac:dyDescent="0.3">
      <c r="B63"/>
      <c r="C63"/>
      <c r="D63" s="605"/>
      <c r="E63" s="605"/>
      <c r="M63" s="144"/>
      <c r="N63" s="65"/>
      <c r="O63" s="65"/>
    </row>
    <row r="64" spans="1:15" x14ac:dyDescent="0.3">
      <c r="B64"/>
      <c r="C64"/>
      <c r="M64" s="144"/>
      <c r="N64" s="65"/>
      <c r="O64" s="65"/>
    </row>
    <row r="65" spans="6:13" x14ac:dyDescent="0.3">
      <c r="F65" s="145"/>
      <c r="M65" s="4"/>
    </row>
    <row r="66" spans="6:13" x14ac:dyDescent="0.3">
      <c r="M66" s="4"/>
    </row>
    <row r="67" spans="6:13" x14ac:dyDescent="0.3">
      <c r="M67" s="4"/>
    </row>
    <row r="68" spans="6:13" x14ac:dyDescent="0.3">
      <c r="M68" s="4"/>
    </row>
    <row r="69" spans="6:13" x14ac:dyDescent="0.3">
      <c r="M69" s="4"/>
    </row>
    <row r="70" spans="6:13" x14ac:dyDescent="0.3"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</sheetData>
  <mergeCells count="18">
    <mergeCell ref="K58:L58"/>
    <mergeCell ref="D60:E60"/>
    <mergeCell ref="I60:J60"/>
    <mergeCell ref="K60:L60"/>
    <mergeCell ref="D63:E63"/>
    <mergeCell ref="A1:F1"/>
    <mergeCell ref="H54:I54"/>
    <mergeCell ref="K54:L54"/>
    <mergeCell ref="M54:N54"/>
    <mergeCell ref="D55:E55"/>
    <mergeCell ref="D56:E56"/>
    <mergeCell ref="I56:J56"/>
    <mergeCell ref="K56:L56"/>
    <mergeCell ref="B2:C2"/>
    <mergeCell ref="H2:I2"/>
    <mergeCell ref="E3:F3"/>
    <mergeCell ref="H3:I3"/>
    <mergeCell ref="K40:K41"/>
  </mergeCells>
  <pageMargins left="0.86" right="0" top="0" bottom="0" header="0.31496062992125984" footer="0.31496062992125984"/>
  <pageSetup scale="60" orientation="landscape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A2D4-4B31-414A-B8D5-B81506B91721}">
  <sheetPr>
    <tabColor rgb="FF996633"/>
  </sheetPr>
  <dimension ref="A1:G80"/>
  <sheetViews>
    <sheetView topLeftCell="A25" workbookViewId="0">
      <selection activeCell="C43" sqref="C43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7" ht="21" x14ac:dyDescent="0.4">
      <c r="B1" s="146" t="s">
        <v>177</v>
      </c>
      <c r="C1" s="147"/>
      <c r="D1" s="148"/>
      <c r="E1" s="147"/>
      <c r="F1" s="149"/>
    </row>
    <row r="2" spans="1:7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7" ht="18" x14ac:dyDescent="0.35">
      <c r="A3" s="156">
        <v>44076</v>
      </c>
      <c r="B3" s="157"/>
      <c r="C3" s="97"/>
      <c r="D3" s="154" t="s">
        <v>465</v>
      </c>
      <c r="E3" s="56"/>
      <c r="F3" s="377">
        <v>-3814.17</v>
      </c>
    </row>
    <row r="4" spans="1:7" ht="18" x14ac:dyDescent="0.35">
      <c r="A4" s="156">
        <v>44077</v>
      </c>
      <c r="B4" s="157" t="s">
        <v>466</v>
      </c>
      <c r="C4" s="97">
        <v>122113.7</v>
      </c>
      <c r="D4" s="158">
        <v>44078</v>
      </c>
      <c r="E4" s="97">
        <v>122113.7</v>
      </c>
      <c r="F4" s="367">
        <f>F3+C4-E4</f>
        <v>-3814.1699999999983</v>
      </c>
      <c r="G4" s="368" t="s">
        <v>400</v>
      </c>
    </row>
    <row r="5" spans="1:7" x14ac:dyDescent="0.3">
      <c r="A5" s="158">
        <v>44078</v>
      </c>
      <c r="B5" s="157" t="s">
        <v>467</v>
      </c>
      <c r="C5" s="97">
        <v>107449.24</v>
      </c>
      <c r="D5" s="158"/>
      <c r="E5" s="97"/>
      <c r="F5" s="366">
        <f t="shared" ref="F5:F43" si="0">F4+C5-E5</f>
        <v>103635.07</v>
      </c>
    </row>
    <row r="6" spans="1:7" x14ac:dyDescent="0.3">
      <c r="A6" s="158">
        <v>44079</v>
      </c>
      <c r="B6" s="157" t="s">
        <v>468</v>
      </c>
      <c r="C6" s="97">
        <v>1535</v>
      </c>
      <c r="D6" s="158"/>
      <c r="E6" s="97"/>
      <c r="F6" s="366">
        <f t="shared" si="0"/>
        <v>105170.07</v>
      </c>
    </row>
    <row r="7" spans="1:7" x14ac:dyDescent="0.3">
      <c r="A7" s="158">
        <v>44079</v>
      </c>
      <c r="B7" s="157" t="s">
        <v>469</v>
      </c>
      <c r="C7" s="97">
        <v>69758.399999999994</v>
      </c>
      <c r="D7" s="158"/>
      <c r="E7" s="97"/>
      <c r="F7" s="366">
        <f t="shared" si="0"/>
        <v>174928.47</v>
      </c>
    </row>
    <row r="8" spans="1:7" x14ac:dyDescent="0.3">
      <c r="A8" s="158">
        <v>44081</v>
      </c>
      <c r="B8" s="157" t="s">
        <v>470</v>
      </c>
      <c r="C8" s="97">
        <v>121326.06</v>
      </c>
      <c r="D8" s="158"/>
      <c r="E8" s="97"/>
      <c r="F8" s="366">
        <f t="shared" si="0"/>
        <v>296254.53000000003</v>
      </c>
    </row>
    <row r="9" spans="1:7" x14ac:dyDescent="0.3">
      <c r="A9" s="158">
        <v>44081</v>
      </c>
      <c r="B9" s="157" t="s">
        <v>471</v>
      </c>
      <c r="C9" s="97">
        <v>5143.6000000000004</v>
      </c>
      <c r="D9" s="158"/>
      <c r="E9" s="97"/>
      <c r="F9" s="366">
        <f t="shared" si="0"/>
        <v>301398.13</v>
      </c>
    </row>
    <row r="10" spans="1:7" ht="18" x14ac:dyDescent="0.35">
      <c r="A10" s="158">
        <v>44082</v>
      </c>
      <c r="B10" s="157" t="s">
        <v>472</v>
      </c>
      <c r="C10" s="97">
        <v>99829.08</v>
      </c>
      <c r="D10" s="158">
        <v>44091</v>
      </c>
      <c r="E10" s="97">
        <v>405041.38</v>
      </c>
      <c r="F10" s="367">
        <f t="shared" si="0"/>
        <v>-3814.1699999999837</v>
      </c>
      <c r="G10" s="368" t="s">
        <v>400</v>
      </c>
    </row>
    <row r="11" spans="1:7" x14ac:dyDescent="0.3">
      <c r="A11" s="156">
        <v>44083</v>
      </c>
      <c r="B11" s="157" t="s">
        <v>473</v>
      </c>
      <c r="C11" s="97">
        <v>109665.60000000001</v>
      </c>
      <c r="D11" s="158"/>
      <c r="E11" s="97"/>
      <c r="F11" s="366">
        <f t="shared" si="0"/>
        <v>105851.43000000002</v>
      </c>
    </row>
    <row r="12" spans="1:7" x14ac:dyDescent="0.3">
      <c r="A12" s="158">
        <v>44084</v>
      </c>
      <c r="B12" s="157" t="s">
        <v>474</v>
      </c>
      <c r="C12" s="97">
        <v>71233.3</v>
      </c>
      <c r="D12" s="158"/>
      <c r="E12" s="97"/>
      <c r="F12" s="366">
        <f t="shared" si="0"/>
        <v>177084.73000000004</v>
      </c>
    </row>
    <row r="13" spans="1:7" x14ac:dyDescent="0.3">
      <c r="A13" s="158">
        <v>44084</v>
      </c>
      <c r="B13" s="157" t="s">
        <v>475</v>
      </c>
      <c r="C13" s="97">
        <v>1789.3</v>
      </c>
      <c r="D13" s="158"/>
      <c r="E13" s="97"/>
      <c r="F13" s="366">
        <f t="shared" si="0"/>
        <v>178874.03000000003</v>
      </c>
    </row>
    <row r="14" spans="1:7" x14ac:dyDescent="0.3">
      <c r="A14" s="158">
        <v>44085</v>
      </c>
      <c r="B14" s="157" t="s">
        <v>476</v>
      </c>
      <c r="C14" s="97">
        <v>196837.64</v>
      </c>
      <c r="D14" s="158"/>
      <c r="E14" s="97"/>
      <c r="F14" s="366">
        <f t="shared" si="0"/>
        <v>375711.67000000004</v>
      </c>
    </row>
    <row r="15" spans="1:7" x14ac:dyDescent="0.3">
      <c r="A15" s="158">
        <v>44086</v>
      </c>
      <c r="B15" s="157" t="s">
        <v>477</v>
      </c>
      <c r="C15" s="97">
        <v>13974</v>
      </c>
      <c r="D15" s="158"/>
      <c r="E15" s="97"/>
      <c r="F15" s="366">
        <f t="shared" si="0"/>
        <v>389685.67000000004</v>
      </c>
    </row>
    <row r="16" spans="1:7" x14ac:dyDescent="0.3">
      <c r="A16" s="158">
        <v>44086</v>
      </c>
      <c r="B16" s="157" t="s">
        <v>478</v>
      </c>
      <c r="C16" s="97">
        <v>92279.3</v>
      </c>
      <c r="D16" s="158"/>
      <c r="E16" s="97"/>
      <c r="F16" s="366">
        <f t="shared" si="0"/>
        <v>481964.97000000003</v>
      </c>
    </row>
    <row r="17" spans="1:7" x14ac:dyDescent="0.3">
      <c r="A17" s="158">
        <v>44088</v>
      </c>
      <c r="B17" s="157" t="s">
        <v>479</v>
      </c>
      <c r="C17" s="97">
        <v>40355.699999999997</v>
      </c>
      <c r="D17" s="158"/>
      <c r="E17" s="97"/>
      <c r="F17" s="366">
        <f t="shared" si="0"/>
        <v>522320.67000000004</v>
      </c>
    </row>
    <row r="18" spans="1:7" x14ac:dyDescent="0.3">
      <c r="A18" s="158">
        <v>44088</v>
      </c>
      <c r="B18" s="157" t="s">
        <v>480</v>
      </c>
      <c r="C18" s="97">
        <v>12562.2</v>
      </c>
      <c r="D18" s="158"/>
      <c r="E18" s="97"/>
      <c r="F18" s="366">
        <f t="shared" si="0"/>
        <v>534882.87</v>
      </c>
    </row>
    <row r="19" spans="1:7" x14ac:dyDescent="0.3">
      <c r="A19" s="158">
        <v>44089</v>
      </c>
      <c r="B19" s="157" t="s">
        <v>481</v>
      </c>
      <c r="C19" s="97">
        <v>51840.2</v>
      </c>
      <c r="D19" s="158"/>
      <c r="E19" s="97"/>
      <c r="F19" s="366">
        <f t="shared" si="0"/>
        <v>586723.06999999995</v>
      </c>
    </row>
    <row r="20" spans="1:7" x14ac:dyDescent="0.3">
      <c r="A20" s="158">
        <v>44089</v>
      </c>
      <c r="B20" s="157" t="s">
        <v>482</v>
      </c>
      <c r="C20" s="97">
        <v>64935.92</v>
      </c>
      <c r="D20" s="158"/>
      <c r="E20" s="97"/>
      <c r="F20" s="366">
        <f t="shared" si="0"/>
        <v>651658.99</v>
      </c>
    </row>
    <row r="21" spans="1:7" x14ac:dyDescent="0.3">
      <c r="A21" s="158">
        <v>44090</v>
      </c>
      <c r="B21" s="157" t="s">
        <v>483</v>
      </c>
      <c r="C21" s="97">
        <v>112809</v>
      </c>
      <c r="D21" s="158"/>
      <c r="E21" s="97"/>
      <c r="F21" s="366">
        <f t="shared" si="0"/>
        <v>764467.99</v>
      </c>
    </row>
    <row r="22" spans="1:7" ht="18" x14ac:dyDescent="0.35">
      <c r="A22" s="158">
        <v>44091</v>
      </c>
      <c r="B22" s="157" t="s">
        <v>484</v>
      </c>
      <c r="C22" s="97">
        <v>74971.899999999994</v>
      </c>
      <c r="D22" s="158">
        <v>44091</v>
      </c>
      <c r="E22" s="97">
        <v>800000</v>
      </c>
      <c r="F22" s="378">
        <f t="shared" si="0"/>
        <v>39439.890000000014</v>
      </c>
      <c r="G22" s="368"/>
    </row>
    <row r="23" spans="1:7" x14ac:dyDescent="0.3">
      <c r="A23" s="158">
        <v>44092</v>
      </c>
      <c r="B23" s="157" t="s">
        <v>485</v>
      </c>
      <c r="C23" s="97">
        <v>163004.66</v>
      </c>
      <c r="D23" s="158"/>
      <c r="E23" s="97"/>
      <c r="F23" s="366">
        <f t="shared" si="0"/>
        <v>202444.55000000002</v>
      </c>
    </row>
    <row r="24" spans="1:7" x14ac:dyDescent="0.3">
      <c r="A24" s="158">
        <v>44093</v>
      </c>
      <c r="B24" s="157" t="s">
        <v>486</v>
      </c>
      <c r="C24" s="97">
        <v>108245.9</v>
      </c>
      <c r="D24" s="158"/>
      <c r="E24" s="97"/>
      <c r="F24" s="366">
        <f t="shared" si="0"/>
        <v>310690.45</v>
      </c>
    </row>
    <row r="25" spans="1:7" x14ac:dyDescent="0.3">
      <c r="A25" s="158">
        <v>44094</v>
      </c>
      <c r="B25" s="157" t="s">
        <v>487</v>
      </c>
      <c r="C25" s="97">
        <v>37348.6</v>
      </c>
      <c r="D25" s="158"/>
      <c r="E25" s="97"/>
      <c r="F25" s="366">
        <f t="shared" si="0"/>
        <v>348039.05</v>
      </c>
    </row>
    <row r="26" spans="1:7" x14ac:dyDescent="0.3">
      <c r="A26" s="158">
        <v>44096</v>
      </c>
      <c r="B26" s="157" t="s">
        <v>488</v>
      </c>
      <c r="C26" s="97">
        <v>134706.20000000001</v>
      </c>
      <c r="D26" s="158"/>
      <c r="E26" s="97"/>
      <c r="F26" s="366">
        <f t="shared" si="0"/>
        <v>482745.25</v>
      </c>
    </row>
    <row r="27" spans="1:7" x14ac:dyDescent="0.3">
      <c r="A27" s="158">
        <v>44098</v>
      </c>
      <c r="B27" s="157" t="s">
        <v>489</v>
      </c>
      <c r="C27" s="97">
        <v>38365.75</v>
      </c>
      <c r="D27" s="158"/>
      <c r="E27" s="97"/>
      <c r="F27" s="366">
        <f t="shared" si="0"/>
        <v>521111</v>
      </c>
    </row>
    <row r="28" spans="1:7" x14ac:dyDescent="0.3">
      <c r="A28" s="158">
        <v>44098</v>
      </c>
      <c r="B28" s="157" t="s">
        <v>490</v>
      </c>
      <c r="C28" s="97">
        <v>190359.36</v>
      </c>
      <c r="D28" s="158">
        <v>44098</v>
      </c>
      <c r="E28" s="97">
        <v>358096</v>
      </c>
      <c r="F28" s="366">
        <f t="shared" si="0"/>
        <v>353374.36</v>
      </c>
    </row>
    <row r="29" spans="1:7" x14ac:dyDescent="0.3">
      <c r="A29" s="158">
        <v>44099</v>
      </c>
      <c r="B29" s="157" t="s">
        <v>491</v>
      </c>
      <c r="C29" s="97">
        <v>7329</v>
      </c>
      <c r="D29" s="158"/>
      <c r="E29" s="97"/>
      <c r="F29" s="366">
        <f t="shared" si="0"/>
        <v>360703.36</v>
      </c>
    </row>
    <row r="30" spans="1:7" ht="18" x14ac:dyDescent="0.35">
      <c r="A30" s="158">
        <v>44099</v>
      </c>
      <c r="B30" s="157" t="s">
        <v>492</v>
      </c>
      <c r="C30" s="97">
        <v>24229.8</v>
      </c>
      <c r="D30" s="158"/>
      <c r="E30" s="97"/>
      <c r="F30" s="378">
        <f t="shared" si="0"/>
        <v>384933.16</v>
      </c>
      <c r="G30" s="368"/>
    </row>
    <row r="31" spans="1:7" x14ac:dyDescent="0.3">
      <c r="A31" s="158">
        <v>44100</v>
      </c>
      <c r="B31" s="157" t="s">
        <v>493</v>
      </c>
      <c r="C31" s="97">
        <v>4552.5</v>
      </c>
      <c r="D31" s="158"/>
      <c r="E31" s="97"/>
      <c r="F31" s="366">
        <f t="shared" si="0"/>
        <v>389485.66</v>
      </c>
    </row>
    <row r="32" spans="1:7" x14ac:dyDescent="0.3">
      <c r="A32" s="156">
        <v>44100</v>
      </c>
      <c r="B32" s="157" t="s">
        <v>494</v>
      </c>
      <c r="C32" s="97">
        <v>152483.64000000001</v>
      </c>
      <c r="D32" s="154"/>
      <c r="E32" s="91"/>
      <c r="F32" s="366">
        <f t="shared" si="0"/>
        <v>541969.30000000005</v>
      </c>
    </row>
    <row r="33" spans="1:6" x14ac:dyDescent="0.3">
      <c r="A33" s="156">
        <v>44103</v>
      </c>
      <c r="B33" s="157" t="s">
        <v>495</v>
      </c>
      <c r="C33" s="97">
        <v>118285.72</v>
      </c>
      <c r="D33" s="154"/>
      <c r="E33" s="91"/>
      <c r="F33" s="366">
        <f t="shared" si="0"/>
        <v>660255.02</v>
      </c>
    </row>
    <row r="34" spans="1:6" x14ac:dyDescent="0.3">
      <c r="A34" s="156">
        <v>44103</v>
      </c>
      <c r="B34" s="157" t="s">
        <v>496</v>
      </c>
      <c r="C34" s="97">
        <v>94006.080000000002</v>
      </c>
      <c r="D34" s="154">
        <v>44105</v>
      </c>
      <c r="E34" s="91">
        <v>664075.19999999995</v>
      </c>
      <c r="F34" s="366">
        <f t="shared" si="0"/>
        <v>90185.900000000023</v>
      </c>
    </row>
    <row r="35" spans="1:6" x14ac:dyDescent="0.3">
      <c r="A35" s="156"/>
      <c r="B35" s="157"/>
      <c r="C35" s="97"/>
      <c r="D35" s="154">
        <v>44107</v>
      </c>
      <c r="E35" s="91">
        <v>90185.9</v>
      </c>
      <c r="F35" s="366">
        <f t="shared" si="0"/>
        <v>0</v>
      </c>
    </row>
    <row r="36" spans="1:6" x14ac:dyDescent="0.3">
      <c r="A36" s="156"/>
      <c r="B36" s="157"/>
      <c r="C36" s="97"/>
      <c r="D36" s="154"/>
      <c r="E36" s="91"/>
      <c r="F36" s="366">
        <f t="shared" si="0"/>
        <v>0</v>
      </c>
    </row>
    <row r="37" spans="1:6" x14ac:dyDescent="0.3">
      <c r="A37" s="158"/>
      <c r="B37" s="157"/>
      <c r="C37" s="97"/>
      <c r="D37" s="154"/>
      <c r="E37" s="91"/>
      <c r="F37" s="366">
        <f t="shared" si="0"/>
        <v>0</v>
      </c>
    </row>
    <row r="38" spans="1:6" x14ac:dyDescent="0.3">
      <c r="A38" s="158"/>
      <c r="B38" s="157"/>
      <c r="C38" s="97"/>
      <c r="D38" s="154"/>
      <c r="E38" s="91"/>
      <c r="F38" s="366">
        <f t="shared" si="0"/>
        <v>0</v>
      </c>
    </row>
    <row r="39" spans="1:6" x14ac:dyDescent="0.3">
      <c r="A39" s="158"/>
      <c r="B39" s="157"/>
      <c r="C39" s="97"/>
      <c r="D39" s="154"/>
      <c r="E39" s="91"/>
      <c r="F39" s="366">
        <f t="shared" si="0"/>
        <v>0</v>
      </c>
    </row>
    <row r="40" spans="1:6" x14ac:dyDescent="0.3">
      <c r="A40" s="156"/>
      <c r="B40" s="157"/>
      <c r="C40" s="97"/>
      <c r="D40" s="154"/>
      <c r="E40" s="91"/>
      <c r="F40" s="366">
        <f t="shared" si="0"/>
        <v>0</v>
      </c>
    </row>
    <row r="41" spans="1:6" x14ac:dyDescent="0.3">
      <c r="A41" s="156"/>
      <c r="B41" s="157"/>
      <c r="C41" s="97"/>
      <c r="D41" s="154"/>
      <c r="E41" s="91"/>
      <c r="F41" s="366">
        <f t="shared" si="0"/>
        <v>0</v>
      </c>
    </row>
    <row r="42" spans="1:6" x14ac:dyDescent="0.3">
      <c r="A42" s="156"/>
      <c r="B42" s="157"/>
      <c r="C42" s="97"/>
      <c r="D42" s="154"/>
      <c r="E42" s="91"/>
      <c r="F42" s="366">
        <f t="shared" si="0"/>
        <v>0</v>
      </c>
    </row>
    <row r="43" spans="1:6" ht="15" thickBot="1" x14ac:dyDescent="0.35">
      <c r="A43" s="159"/>
      <c r="B43" s="160"/>
      <c r="C43" s="161">
        <v>0</v>
      </c>
      <c r="D43" s="162"/>
      <c r="E43" s="161"/>
      <c r="F43" s="155">
        <f t="shared" si="0"/>
        <v>0</v>
      </c>
    </row>
    <row r="44" spans="1:6" ht="18.600000000000001" thickTop="1" x14ac:dyDescent="0.35">
      <c r="B44" s="65"/>
      <c r="C44" s="4">
        <f>SUM(C3:C43)</f>
        <v>2443326.35</v>
      </c>
      <c r="D44" s="1"/>
      <c r="E44" s="4">
        <f>SUM(E3:E43)</f>
        <v>2439512.1800000002</v>
      </c>
      <c r="F44" s="163">
        <f>F43</f>
        <v>0</v>
      </c>
    </row>
    <row r="45" spans="1:6" x14ac:dyDescent="0.3">
      <c r="B45" s="65"/>
      <c r="C45" s="4"/>
      <c r="D45" s="1"/>
      <c r="E45" s="5"/>
      <c r="F45" s="4"/>
    </row>
    <row r="46" spans="1:6" x14ac:dyDescent="0.3">
      <c r="B46" s="65"/>
      <c r="C46" s="4"/>
      <c r="D46" s="1"/>
      <c r="E46" s="5"/>
      <c r="F46" s="4"/>
    </row>
    <row r="47" spans="1:6" x14ac:dyDescent="0.3">
      <c r="A47"/>
      <c r="B47" s="23"/>
      <c r="D47" s="23"/>
    </row>
    <row r="48" spans="1:6" x14ac:dyDescent="0.3">
      <c r="A48"/>
      <c r="B48" s="23"/>
      <c r="D48" s="23"/>
    </row>
    <row r="49" spans="1:6" x14ac:dyDescent="0.3">
      <c r="A49"/>
      <c r="B49" s="23"/>
      <c r="D49" s="23"/>
    </row>
    <row r="50" spans="1:6" x14ac:dyDescent="0.3">
      <c r="A50"/>
      <c r="B50" s="23"/>
      <c r="D50" s="23"/>
      <c r="F50"/>
    </row>
    <row r="51" spans="1:6" x14ac:dyDescent="0.3">
      <c r="A51"/>
      <c r="B51" s="23"/>
      <c r="D51" s="23"/>
      <c r="F51"/>
    </row>
    <row r="52" spans="1:6" x14ac:dyDescent="0.3">
      <c r="A52"/>
      <c r="B52" s="23"/>
      <c r="D52" s="23"/>
      <c r="F52"/>
    </row>
    <row r="53" spans="1:6" x14ac:dyDescent="0.3">
      <c r="A53"/>
      <c r="B53" s="23"/>
      <c r="D53" s="23"/>
      <c r="F53"/>
    </row>
    <row r="54" spans="1:6" x14ac:dyDescent="0.3">
      <c r="A54"/>
      <c r="B54" s="23"/>
      <c r="D54" s="23"/>
      <c r="F54"/>
    </row>
    <row r="55" spans="1:6" x14ac:dyDescent="0.3">
      <c r="A55"/>
      <c r="B55" s="23"/>
      <c r="D55" s="23"/>
      <c r="F55"/>
    </row>
    <row r="56" spans="1:6" x14ac:dyDescent="0.3">
      <c r="A56"/>
      <c r="B56" s="23"/>
      <c r="D56" s="23"/>
      <c r="F56"/>
    </row>
    <row r="57" spans="1:6" x14ac:dyDescent="0.3">
      <c r="A57"/>
      <c r="B57" s="23"/>
      <c r="D57" s="23"/>
      <c r="F57"/>
    </row>
    <row r="58" spans="1:6" x14ac:dyDescent="0.3">
      <c r="A58"/>
      <c r="B58" s="23"/>
      <c r="D58" s="23"/>
      <c r="F58"/>
    </row>
    <row r="59" spans="1:6" x14ac:dyDescent="0.3">
      <c r="A59"/>
      <c r="B59" s="23"/>
      <c r="D59" s="23"/>
      <c r="E59"/>
      <c r="F59"/>
    </row>
    <row r="60" spans="1:6" x14ac:dyDescent="0.3">
      <c r="A60"/>
      <c r="B60" s="23"/>
      <c r="D60" s="23"/>
      <c r="E60"/>
      <c r="F60"/>
    </row>
    <row r="61" spans="1:6" x14ac:dyDescent="0.3">
      <c r="A61"/>
      <c r="B61" s="23"/>
      <c r="D61" s="23"/>
      <c r="E61"/>
      <c r="F61"/>
    </row>
    <row r="62" spans="1:6" x14ac:dyDescent="0.3">
      <c r="A62"/>
      <c r="B62" s="23"/>
      <c r="D62" s="23"/>
      <c r="E62"/>
      <c r="F62"/>
    </row>
    <row r="63" spans="1:6" x14ac:dyDescent="0.3">
      <c r="A63"/>
      <c r="B63" s="23"/>
      <c r="D63" s="23"/>
      <c r="E63"/>
      <c r="F63"/>
    </row>
    <row r="64" spans="1:6" x14ac:dyDescent="0.3">
      <c r="A64"/>
      <c r="B64" s="23"/>
      <c r="D64" s="23"/>
      <c r="E64"/>
      <c r="F64"/>
    </row>
    <row r="65" spans="2:5" x14ac:dyDescent="0.3">
      <c r="B65" s="23"/>
      <c r="D65" s="23"/>
      <c r="E65"/>
    </row>
    <row r="66" spans="2:5" x14ac:dyDescent="0.3">
      <c r="B66" s="23"/>
      <c r="D66" s="23"/>
      <c r="E66"/>
    </row>
    <row r="67" spans="2:5" x14ac:dyDescent="0.3">
      <c r="B67" s="23"/>
      <c r="D67" s="23"/>
      <c r="E67"/>
    </row>
    <row r="68" spans="2:5" x14ac:dyDescent="0.3">
      <c r="B68" s="23"/>
      <c r="D68" s="23"/>
      <c r="E68"/>
    </row>
    <row r="69" spans="2:5" x14ac:dyDescent="0.3">
      <c r="B69" s="23"/>
      <c r="D69" s="23"/>
      <c r="E69"/>
    </row>
    <row r="70" spans="2:5" x14ac:dyDescent="0.3">
      <c r="B70" s="23"/>
      <c r="D70" s="23"/>
      <c r="E70"/>
    </row>
    <row r="71" spans="2:5" x14ac:dyDescent="0.3">
      <c r="B71" s="23"/>
      <c r="D71" s="23"/>
      <c r="E71"/>
    </row>
    <row r="72" spans="2:5" x14ac:dyDescent="0.3">
      <c r="B72" s="23"/>
      <c r="D72" s="23"/>
      <c r="E72"/>
    </row>
    <row r="73" spans="2:5" x14ac:dyDescent="0.3">
      <c r="B73" s="23"/>
      <c r="D73" s="23"/>
      <c r="E73"/>
    </row>
    <row r="74" spans="2:5" x14ac:dyDescent="0.3">
      <c r="B74" s="23"/>
    </row>
    <row r="75" spans="2:5" x14ac:dyDescent="0.3">
      <c r="B75" s="23"/>
    </row>
    <row r="76" spans="2:5" x14ac:dyDescent="0.3">
      <c r="B76" s="23"/>
      <c r="D76" s="23"/>
    </row>
    <row r="77" spans="2:5" x14ac:dyDescent="0.3">
      <c r="B77" s="23"/>
    </row>
    <row r="78" spans="2:5" x14ac:dyDescent="0.3">
      <c r="B78" s="23"/>
    </row>
    <row r="79" spans="2:5" x14ac:dyDescent="0.3">
      <c r="B79" s="23"/>
    </row>
    <row r="80" spans="2:5" ht="18" x14ac:dyDescent="0.35">
      <c r="C80" s="14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7D1E-7A8F-4537-9A15-BCF10C87AE37}">
  <sheetPr>
    <tabColor rgb="FF0070C0"/>
  </sheetPr>
  <dimension ref="A1:O79"/>
  <sheetViews>
    <sheetView workbookViewId="0">
      <selection activeCell="D71" sqref="D71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109375" style="4" customWidth="1"/>
    <col min="15" max="15" width="6.5546875" style="381" customWidth="1"/>
  </cols>
  <sheetData>
    <row r="1" spans="1:15" ht="23.4" x14ac:dyDescent="0.45">
      <c r="C1" s="592" t="s">
        <v>497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5.6" x14ac:dyDescent="0.3">
      <c r="C2" s="5"/>
      <c r="H2" s="284" t="s">
        <v>1</v>
      </c>
      <c r="I2" s="3"/>
      <c r="J2" s="243"/>
      <c r="M2" s="3"/>
      <c r="N2" s="56"/>
      <c r="O2" s="382"/>
    </row>
    <row r="3" spans="1:15" ht="21.6" thickBot="1" x14ac:dyDescent="0.4">
      <c r="B3" s="593" t="s">
        <v>2</v>
      </c>
      <c r="C3" s="594"/>
      <c r="D3" s="12"/>
      <c r="E3" s="285"/>
      <c r="F3" s="285"/>
      <c r="H3" s="622" t="s">
        <v>135</v>
      </c>
      <c r="I3" s="622"/>
      <c r="K3" s="185" t="s">
        <v>3</v>
      </c>
      <c r="L3" s="187" t="s">
        <v>136</v>
      </c>
      <c r="M3" s="187"/>
    </row>
    <row r="4" spans="1:15" ht="19.2" thickTop="1" thickBot="1" x14ac:dyDescent="0.4">
      <c r="A4" s="16" t="s">
        <v>5</v>
      </c>
      <c r="B4" s="17"/>
      <c r="C4" s="245">
        <v>313820.27</v>
      </c>
      <c r="D4" s="246">
        <v>44104</v>
      </c>
      <c r="E4" s="595" t="s">
        <v>6</v>
      </c>
      <c r="F4" s="596"/>
      <c r="H4" s="597" t="s">
        <v>7</v>
      </c>
      <c r="I4" s="598"/>
      <c r="J4" s="247"/>
      <c r="K4" s="20"/>
      <c r="L4" s="20"/>
      <c r="M4" s="21" t="s">
        <v>8</v>
      </c>
      <c r="N4" s="22" t="s">
        <v>9</v>
      </c>
      <c r="O4" s="383"/>
    </row>
    <row r="5" spans="1:15" ht="15" thickBot="1" x14ac:dyDescent="0.35">
      <c r="A5" s="23" t="s">
        <v>10</v>
      </c>
      <c r="B5" s="248">
        <v>44105</v>
      </c>
      <c r="C5" s="287">
        <v>8507.2000000000007</v>
      </c>
      <c r="D5" s="384" t="s">
        <v>498</v>
      </c>
      <c r="E5" s="288">
        <v>44105</v>
      </c>
      <c r="F5" s="289">
        <v>90850</v>
      </c>
      <c r="G5" s="385"/>
      <c r="H5" s="386">
        <v>44105</v>
      </c>
      <c r="I5" s="387">
        <v>904</v>
      </c>
      <c r="M5" s="388">
        <v>0</v>
      </c>
      <c r="N5" s="389">
        <v>3611</v>
      </c>
      <c r="O5" s="390"/>
    </row>
    <row r="6" spans="1:15" ht="16.2" thickBot="1" x14ac:dyDescent="0.35">
      <c r="A6" s="23"/>
      <c r="B6" s="248">
        <v>44106</v>
      </c>
      <c r="C6" s="249">
        <v>1380</v>
      </c>
      <c r="D6" s="252" t="s">
        <v>19</v>
      </c>
      <c r="E6" s="27">
        <v>44106</v>
      </c>
      <c r="F6" s="28">
        <v>127821</v>
      </c>
      <c r="H6" s="29">
        <v>44106</v>
      </c>
      <c r="I6" s="34">
        <v>12565</v>
      </c>
      <c r="J6" s="55"/>
      <c r="K6" s="40"/>
      <c r="L6" s="41"/>
      <c r="M6" s="31">
        <v>108345</v>
      </c>
      <c r="N6" s="32">
        <v>5531</v>
      </c>
      <c r="O6" s="391"/>
    </row>
    <row r="7" spans="1:15" ht="15" thickBot="1" x14ac:dyDescent="0.35">
      <c r="A7" s="23"/>
      <c r="B7" s="248">
        <v>44107</v>
      </c>
      <c r="C7" s="249">
        <v>8581</v>
      </c>
      <c r="D7" s="253" t="s">
        <v>499</v>
      </c>
      <c r="E7" s="27">
        <v>44107</v>
      </c>
      <c r="F7" s="28">
        <v>150064</v>
      </c>
      <c r="H7" s="29">
        <v>44107</v>
      </c>
      <c r="I7" s="34">
        <v>2019</v>
      </c>
      <c r="J7" s="55">
        <v>44107</v>
      </c>
      <c r="K7" s="48" t="s">
        <v>500</v>
      </c>
      <c r="L7" s="52">
        <f>16738.16+400+4000</f>
        <v>21138.16</v>
      </c>
      <c r="M7" s="31">
        <v>114841</v>
      </c>
      <c r="N7" s="32">
        <v>12330</v>
      </c>
      <c r="O7" s="392"/>
    </row>
    <row r="8" spans="1:15" ht="15" thickBot="1" x14ac:dyDescent="0.35">
      <c r="A8" s="23"/>
      <c r="B8" s="248">
        <v>44108</v>
      </c>
      <c r="C8" s="249">
        <v>9289</v>
      </c>
      <c r="D8" s="255" t="s">
        <v>501</v>
      </c>
      <c r="E8" s="27">
        <v>44108</v>
      </c>
      <c r="F8" s="28">
        <v>83701</v>
      </c>
      <c r="H8" s="29">
        <v>44108</v>
      </c>
      <c r="I8" s="34">
        <v>499</v>
      </c>
      <c r="J8" s="341"/>
      <c r="K8" s="48"/>
      <c r="L8" s="41"/>
      <c r="M8" s="31">
        <v>71030</v>
      </c>
      <c r="N8" s="32">
        <v>2883</v>
      </c>
      <c r="O8" s="391"/>
    </row>
    <row r="9" spans="1:15" ht="15" thickBot="1" x14ac:dyDescent="0.35">
      <c r="A9" s="23"/>
      <c r="B9" s="248">
        <v>44109</v>
      </c>
      <c r="C9" s="249">
        <v>1231</v>
      </c>
      <c r="D9" s="257" t="s">
        <v>19</v>
      </c>
      <c r="E9" s="27">
        <v>44109</v>
      </c>
      <c r="F9" s="28">
        <v>75146</v>
      </c>
      <c r="H9" s="29">
        <v>44109</v>
      </c>
      <c r="I9" s="34">
        <v>360</v>
      </c>
      <c r="J9" s="342"/>
      <c r="K9" s="297"/>
      <c r="L9" s="41"/>
      <c r="M9" s="31">
        <v>71930</v>
      </c>
      <c r="N9" s="32">
        <v>1625</v>
      </c>
      <c r="O9" s="391"/>
    </row>
    <row r="10" spans="1:15" ht="15" thickBot="1" x14ac:dyDescent="0.35">
      <c r="A10" s="23"/>
      <c r="B10" s="248">
        <v>44110</v>
      </c>
      <c r="C10" s="249">
        <v>0</v>
      </c>
      <c r="D10" s="253"/>
      <c r="E10" s="27">
        <v>44110</v>
      </c>
      <c r="F10" s="28">
        <v>87928</v>
      </c>
      <c r="H10" s="29">
        <v>44110</v>
      </c>
      <c r="I10" s="34">
        <v>550</v>
      </c>
      <c r="J10" s="342"/>
      <c r="K10" s="300"/>
      <c r="L10" s="58"/>
      <c r="M10" s="31">
        <f>72327+9955</f>
        <v>82282</v>
      </c>
      <c r="N10" s="32">
        <v>5186</v>
      </c>
      <c r="O10" s="393" t="s">
        <v>166</v>
      </c>
    </row>
    <row r="11" spans="1:15" ht="15" thickBot="1" x14ac:dyDescent="0.35">
      <c r="A11" s="23"/>
      <c r="B11" s="248">
        <v>44111</v>
      </c>
      <c r="C11" s="249">
        <v>1467</v>
      </c>
      <c r="D11" s="252" t="s">
        <v>72</v>
      </c>
      <c r="E11" s="27">
        <v>44111</v>
      </c>
      <c r="F11" s="28">
        <v>72277</v>
      </c>
      <c r="H11" s="29">
        <v>44111</v>
      </c>
      <c r="I11" s="34">
        <v>2402</v>
      </c>
      <c r="J11" s="259"/>
      <c r="K11" s="54"/>
      <c r="L11" s="52"/>
      <c r="M11" s="31">
        <f>64690+1144</f>
        <v>65834</v>
      </c>
      <c r="N11" s="32">
        <v>2998</v>
      </c>
      <c r="O11" s="391"/>
    </row>
    <row r="12" spans="1:15" ht="15" thickBot="1" x14ac:dyDescent="0.35">
      <c r="A12" s="23"/>
      <c r="B12" s="248">
        <v>44112</v>
      </c>
      <c r="C12" s="249">
        <v>13919.4</v>
      </c>
      <c r="D12" s="252" t="s">
        <v>502</v>
      </c>
      <c r="E12" s="27">
        <v>44112</v>
      </c>
      <c r="F12" s="28">
        <v>94490</v>
      </c>
      <c r="H12" s="29">
        <v>44112</v>
      </c>
      <c r="I12" s="34">
        <v>360</v>
      </c>
      <c r="J12" s="55"/>
      <c r="K12" s="48"/>
      <c r="L12" s="52"/>
      <c r="M12" s="31">
        <v>79016</v>
      </c>
      <c r="N12" s="32">
        <v>1194</v>
      </c>
      <c r="O12" s="393"/>
    </row>
    <row r="13" spans="1:15" ht="15" thickBot="1" x14ac:dyDescent="0.35">
      <c r="A13" s="23"/>
      <c r="B13" s="248">
        <v>44113</v>
      </c>
      <c r="C13" s="249">
        <v>1538</v>
      </c>
      <c r="D13" s="255" t="s">
        <v>19</v>
      </c>
      <c r="E13" s="27">
        <v>44113</v>
      </c>
      <c r="F13" s="28">
        <v>105512</v>
      </c>
      <c r="H13" s="29">
        <v>44113</v>
      </c>
      <c r="I13" s="34">
        <v>10808</v>
      </c>
      <c r="J13" s="55"/>
      <c r="K13" s="48"/>
      <c r="L13" s="52"/>
      <c r="M13" s="31">
        <v>96648</v>
      </c>
      <c r="N13" s="32">
        <v>2540</v>
      </c>
      <c r="O13" s="391"/>
    </row>
    <row r="14" spans="1:15" ht="15" thickBot="1" x14ac:dyDescent="0.35">
      <c r="A14" s="23"/>
      <c r="B14" s="248">
        <v>44114</v>
      </c>
      <c r="C14" s="249">
        <v>4938</v>
      </c>
      <c r="D14" s="253" t="s">
        <v>503</v>
      </c>
      <c r="E14" s="27">
        <v>44114</v>
      </c>
      <c r="F14" s="28">
        <v>139810</v>
      </c>
      <c r="H14" s="29">
        <v>44114</v>
      </c>
      <c r="I14" s="34">
        <v>450</v>
      </c>
      <c r="J14" s="55">
        <v>44114</v>
      </c>
      <c r="K14" s="48" t="s">
        <v>504</v>
      </c>
      <c r="L14" s="52">
        <f>15786.1+400+4000</f>
        <v>20186.099999999999</v>
      </c>
      <c r="M14" s="31">
        <f>114229+130.76+218</f>
        <v>114577.76</v>
      </c>
      <c r="N14" s="32">
        <v>12053</v>
      </c>
      <c r="O14" s="393"/>
    </row>
    <row r="15" spans="1:15" ht="15" thickBot="1" x14ac:dyDescent="0.35">
      <c r="A15" s="23"/>
      <c r="B15" s="248">
        <v>44115</v>
      </c>
      <c r="C15" s="249">
        <v>15530</v>
      </c>
      <c r="D15" s="252" t="s">
        <v>505</v>
      </c>
      <c r="E15" s="27">
        <v>44115</v>
      </c>
      <c r="F15" s="28">
        <v>95362</v>
      </c>
      <c r="H15" s="29">
        <v>44115</v>
      </c>
      <c r="I15" s="34">
        <v>405</v>
      </c>
      <c r="J15" s="55"/>
      <c r="K15" s="48"/>
      <c r="L15" s="52"/>
      <c r="M15" s="31">
        <v>77165</v>
      </c>
      <c r="N15" s="32">
        <v>2262</v>
      </c>
      <c r="O15" s="394"/>
    </row>
    <row r="16" spans="1:15" ht="15" thickBot="1" x14ac:dyDescent="0.35">
      <c r="A16" s="23"/>
      <c r="B16" s="248">
        <v>44116</v>
      </c>
      <c r="C16" s="249">
        <v>8263</v>
      </c>
      <c r="D16" s="252" t="s">
        <v>506</v>
      </c>
      <c r="E16" s="27">
        <v>44116</v>
      </c>
      <c r="F16" s="28">
        <v>107536</v>
      </c>
      <c r="H16" s="29">
        <v>44116</v>
      </c>
      <c r="I16" s="34">
        <v>400</v>
      </c>
      <c r="J16" s="55"/>
      <c r="K16" s="48"/>
      <c r="L16" s="56"/>
      <c r="M16" s="31">
        <f>75123+21615+54</f>
        <v>96792</v>
      </c>
      <c r="N16" s="32">
        <v>2080</v>
      </c>
      <c r="O16" s="394"/>
    </row>
    <row r="17" spans="1:15" ht="15" thickBot="1" x14ac:dyDescent="0.35">
      <c r="A17" s="23"/>
      <c r="B17" s="248">
        <v>44117</v>
      </c>
      <c r="C17" s="249">
        <v>1622</v>
      </c>
      <c r="D17" s="255" t="s">
        <v>72</v>
      </c>
      <c r="E17" s="27">
        <v>44117</v>
      </c>
      <c r="F17" s="28">
        <v>81477</v>
      </c>
      <c r="H17" s="29">
        <v>44117</v>
      </c>
      <c r="I17" s="34">
        <v>420</v>
      </c>
      <c r="J17" s="57"/>
      <c r="K17" s="48"/>
      <c r="L17" s="58"/>
      <c r="M17" s="31">
        <f>75215+3000</f>
        <v>78215</v>
      </c>
      <c r="N17" s="32">
        <v>1220</v>
      </c>
      <c r="O17" s="391"/>
    </row>
    <row r="18" spans="1:15" ht="15" thickBot="1" x14ac:dyDescent="0.35">
      <c r="A18" s="23"/>
      <c r="B18" s="248">
        <v>44118</v>
      </c>
      <c r="C18" s="249">
        <v>11056</v>
      </c>
      <c r="D18" s="252" t="s">
        <v>507</v>
      </c>
      <c r="E18" s="27">
        <v>44118</v>
      </c>
      <c r="F18" s="28">
        <v>94108</v>
      </c>
      <c r="H18" s="29">
        <v>44118</v>
      </c>
      <c r="I18" s="34">
        <v>2360</v>
      </c>
      <c r="J18" s="57"/>
      <c r="K18" s="59"/>
      <c r="L18" s="52"/>
      <c r="M18" s="31">
        <f>73343+5372</f>
        <v>78715</v>
      </c>
      <c r="N18" s="32">
        <v>1977</v>
      </c>
      <c r="O18" s="391"/>
    </row>
    <row r="19" spans="1:15" ht="15" thickBot="1" x14ac:dyDescent="0.35">
      <c r="A19" s="23"/>
      <c r="B19" s="248">
        <v>44119</v>
      </c>
      <c r="C19" s="249">
        <v>4678</v>
      </c>
      <c r="D19" s="252" t="s">
        <v>508</v>
      </c>
      <c r="E19" s="27">
        <v>44119</v>
      </c>
      <c r="F19" s="28">
        <v>75123</v>
      </c>
      <c r="H19" s="29">
        <v>44119</v>
      </c>
      <c r="I19" s="34">
        <v>315</v>
      </c>
      <c r="J19" s="57"/>
      <c r="K19" s="371"/>
      <c r="L19" s="61"/>
      <c r="M19" s="31">
        <v>61451</v>
      </c>
      <c r="N19" s="32">
        <v>8679</v>
      </c>
      <c r="O19" s="394"/>
    </row>
    <row r="20" spans="1:15" ht="15" thickBot="1" x14ac:dyDescent="0.35">
      <c r="A20" s="23"/>
      <c r="B20" s="248">
        <v>44120</v>
      </c>
      <c r="C20" s="249">
        <v>4747</v>
      </c>
      <c r="D20" s="252" t="s">
        <v>509</v>
      </c>
      <c r="E20" s="27">
        <v>44120</v>
      </c>
      <c r="F20" s="28">
        <v>131352</v>
      </c>
      <c r="H20" s="29">
        <v>44120</v>
      </c>
      <c r="I20" s="34">
        <v>12511</v>
      </c>
      <c r="J20" s="55"/>
      <c r="K20" s="62"/>
      <c r="L20" s="58"/>
      <c r="M20" s="31">
        <f>107606+1008</f>
        <v>108614</v>
      </c>
      <c r="N20" s="32">
        <v>5480</v>
      </c>
      <c r="O20" s="394"/>
    </row>
    <row r="21" spans="1:15" ht="15" thickBot="1" x14ac:dyDescent="0.35">
      <c r="A21" s="23"/>
      <c r="B21" s="248">
        <v>44121</v>
      </c>
      <c r="C21" s="249">
        <v>2999</v>
      </c>
      <c r="D21" s="252" t="s">
        <v>510</v>
      </c>
      <c r="E21" s="27">
        <v>44121</v>
      </c>
      <c r="F21" s="28">
        <v>105154</v>
      </c>
      <c r="H21" s="29">
        <v>44121</v>
      </c>
      <c r="I21" s="34">
        <v>510</v>
      </c>
      <c r="J21" s="57"/>
      <c r="K21" s="59" t="s">
        <v>511</v>
      </c>
      <c r="L21" s="58">
        <f>15557.58+400+4000</f>
        <v>19957.580000000002</v>
      </c>
      <c r="M21" s="31">
        <f>74524+1722+10254</f>
        <v>86500</v>
      </c>
      <c r="N21" s="32">
        <v>3951</v>
      </c>
      <c r="O21" s="394"/>
    </row>
    <row r="22" spans="1:15" ht="15" thickBot="1" x14ac:dyDescent="0.35">
      <c r="A22" s="23"/>
      <c r="B22" s="248">
        <v>44122</v>
      </c>
      <c r="C22" s="249">
        <v>13517</v>
      </c>
      <c r="D22" s="252" t="s">
        <v>512</v>
      </c>
      <c r="E22" s="27">
        <v>44122</v>
      </c>
      <c r="F22" s="28">
        <v>114982</v>
      </c>
      <c r="H22" s="29">
        <v>44122</v>
      </c>
      <c r="I22" s="34">
        <v>450</v>
      </c>
      <c r="J22" s="64"/>
      <c r="K22" s="65"/>
      <c r="L22" s="66"/>
      <c r="M22" s="31">
        <v>95913</v>
      </c>
      <c r="N22" s="32">
        <v>5102</v>
      </c>
      <c r="O22" s="394"/>
    </row>
    <row r="23" spans="1:15" ht="15" thickBot="1" x14ac:dyDescent="0.35">
      <c r="A23" s="23"/>
      <c r="B23" s="248">
        <v>44123</v>
      </c>
      <c r="C23" s="249">
        <v>1943</v>
      </c>
      <c r="D23" s="252" t="s">
        <v>72</v>
      </c>
      <c r="E23" s="27">
        <v>44123</v>
      </c>
      <c r="F23" s="28">
        <v>82862</v>
      </c>
      <c r="H23" s="29">
        <v>44123</v>
      </c>
      <c r="I23" s="34">
        <v>360</v>
      </c>
      <c r="J23" s="221"/>
      <c r="K23" s="222"/>
      <c r="L23" s="223"/>
      <c r="M23" s="31">
        <v>77383</v>
      </c>
      <c r="N23" s="32">
        <v>3176</v>
      </c>
      <c r="O23" s="393"/>
    </row>
    <row r="24" spans="1:15" ht="15" thickBot="1" x14ac:dyDescent="0.35">
      <c r="A24" s="23"/>
      <c r="B24" s="248">
        <v>44124</v>
      </c>
      <c r="C24" s="249">
        <v>9398</v>
      </c>
      <c r="D24" s="252" t="s">
        <v>513</v>
      </c>
      <c r="E24" s="27">
        <v>44124</v>
      </c>
      <c r="F24" s="28">
        <v>83696</v>
      </c>
      <c r="H24" s="29">
        <v>44124</v>
      </c>
      <c r="I24" s="34">
        <v>405</v>
      </c>
      <c r="J24" s="224"/>
      <c r="K24" s="228" t="s">
        <v>514</v>
      </c>
      <c r="L24" s="345">
        <v>8357</v>
      </c>
      <c r="M24" s="31">
        <v>61907</v>
      </c>
      <c r="N24" s="32">
        <v>3629</v>
      </c>
      <c r="O24" s="391"/>
    </row>
    <row r="25" spans="1:15" ht="15" thickBot="1" x14ac:dyDescent="0.35">
      <c r="A25" s="23"/>
      <c r="B25" s="248">
        <v>44125</v>
      </c>
      <c r="C25" s="249">
        <v>5035</v>
      </c>
      <c r="D25" s="252" t="s">
        <v>515</v>
      </c>
      <c r="E25" s="27">
        <v>44125</v>
      </c>
      <c r="F25" s="28">
        <v>84900</v>
      </c>
      <c r="H25" s="29">
        <v>44125</v>
      </c>
      <c r="I25" s="34">
        <v>440</v>
      </c>
      <c r="J25" s="346"/>
      <c r="K25" s="86"/>
      <c r="L25" s="178"/>
      <c r="M25" s="31">
        <f>63419+12000</f>
        <v>75419</v>
      </c>
      <c r="N25" s="32">
        <v>4006</v>
      </c>
      <c r="O25" s="391"/>
    </row>
    <row r="26" spans="1:15" ht="15" thickBot="1" x14ac:dyDescent="0.35">
      <c r="A26" s="23"/>
      <c r="B26" s="248">
        <v>44126</v>
      </c>
      <c r="C26" s="249">
        <v>8623</v>
      </c>
      <c r="D26" s="252" t="s">
        <v>516</v>
      </c>
      <c r="E26" s="27">
        <v>44126</v>
      </c>
      <c r="F26" s="28">
        <v>82405</v>
      </c>
      <c r="H26" s="29">
        <v>44126</v>
      </c>
      <c r="I26" s="34">
        <v>440</v>
      </c>
      <c r="J26" s="55"/>
      <c r="K26" s="228"/>
      <c r="L26" s="223"/>
      <c r="M26" s="31">
        <f>59352+11000</f>
        <v>70352</v>
      </c>
      <c r="N26" s="32">
        <v>2990</v>
      </c>
      <c r="O26" s="391"/>
    </row>
    <row r="27" spans="1:15" ht="15" thickBot="1" x14ac:dyDescent="0.35">
      <c r="A27" s="23"/>
      <c r="B27" s="248">
        <v>44127</v>
      </c>
      <c r="C27" s="249">
        <v>1898</v>
      </c>
      <c r="D27" s="252" t="s">
        <v>19</v>
      </c>
      <c r="E27" s="27">
        <v>44127</v>
      </c>
      <c r="F27" s="28">
        <v>136927</v>
      </c>
      <c r="H27" s="29">
        <v>44127</v>
      </c>
      <c r="I27" s="34">
        <v>12609</v>
      </c>
      <c r="J27" s="176"/>
      <c r="K27" s="96"/>
      <c r="L27" s="178"/>
      <c r="M27" s="31">
        <f>106100+12841</f>
        <v>118941</v>
      </c>
      <c r="N27" s="32">
        <v>3480</v>
      </c>
      <c r="O27" s="391"/>
    </row>
    <row r="28" spans="1:15" ht="15" thickBot="1" x14ac:dyDescent="0.35">
      <c r="A28" s="23"/>
      <c r="B28" s="248">
        <v>44128</v>
      </c>
      <c r="C28" s="249">
        <v>6183</v>
      </c>
      <c r="D28" s="253" t="s">
        <v>517</v>
      </c>
      <c r="E28" s="27">
        <v>44128</v>
      </c>
      <c r="F28" s="28">
        <v>105861</v>
      </c>
      <c r="H28" s="29">
        <v>44128</v>
      </c>
      <c r="I28" s="34">
        <v>2018</v>
      </c>
      <c r="J28" s="176"/>
      <c r="K28" s="353" t="s">
        <v>518</v>
      </c>
      <c r="L28" s="178">
        <f>16495.3+4000</f>
        <v>20495.3</v>
      </c>
      <c r="M28" s="31">
        <v>77590</v>
      </c>
      <c r="N28" s="32">
        <v>8420</v>
      </c>
      <c r="O28" s="391"/>
    </row>
    <row r="29" spans="1:15" ht="15" thickBot="1" x14ac:dyDescent="0.35">
      <c r="A29" s="23"/>
      <c r="B29" s="248">
        <v>44129</v>
      </c>
      <c r="C29" s="249">
        <v>12395</v>
      </c>
      <c r="D29" s="304" t="s">
        <v>311</v>
      </c>
      <c r="E29" s="27">
        <v>44129</v>
      </c>
      <c r="F29" s="28">
        <v>88986</v>
      </c>
      <c r="H29" s="29">
        <v>44129</v>
      </c>
      <c r="I29" s="34">
        <v>495</v>
      </c>
      <c r="J29" s="176"/>
      <c r="K29" s="354"/>
      <c r="L29" s="178"/>
      <c r="M29" s="31">
        <v>74966</v>
      </c>
      <c r="N29" s="32">
        <v>1130</v>
      </c>
      <c r="O29" s="391"/>
    </row>
    <row r="30" spans="1:15" ht="15" thickBot="1" x14ac:dyDescent="0.35">
      <c r="A30" s="23"/>
      <c r="B30" s="248">
        <v>44130</v>
      </c>
      <c r="C30" s="249">
        <v>2400</v>
      </c>
      <c r="D30" s="263" t="s">
        <v>519</v>
      </c>
      <c r="E30" s="27">
        <v>44130</v>
      </c>
      <c r="F30" s="28">
        <v>89748</v>
      </c>
      <c r="H30" s="29">
        <v>44130</v>
      </c>
      <c r="I30" s="199">
        <v>468</v>
      </c>
      <c r="J30" s="176"/>
      <c r="K30" s="48"/>
      <c r="L30" s="41"/>
      <c r="M30" s="31">
        <v>84244</v>
      </c>
      <c r="N30" s="32">
        <v>4276</v>
      </c>
      <c r="O30" s="391"/>
    </row>
    <row r="31" spans="1:15" ht="15" thickBot="1" x14ac:dyDescent="0.35">
      <c r="A31" s="23"/>
      <c r="B31" s="248">
        <v>44131</v>
      </c>
      <c r="C31" s="262">
        <v>1978</v>
      </c>
      <c r="D31" s="304" t="s">
        <v>154</v>
      </c>
      <c r="E31" s="27">
        <v>44131</v>
      </c>
      <c r="F31" s="28">
        <v>80319</v>
      </c>
      <c r="H31" s="29">
        <v>44131</v>
      </c>
      <c r="I31" s="199">
        <v>440</v>
      </c>
      <c r="J31" s="176"/>
      <c r="K31" s="86"/>
      <c r="L31" s="178"/>
      <c r="M31" s="31">
        <v>75221</v>
      </c>
      <c r="N31" s="32">
        <v>2680</v>
      </c>
      <c r="O31" s="391"/>
    </row>
    <row r="32" spans="1:15" ht="15" thickBot="1" x14ac:dyDescent="0.35">
      <c r="A32" s="23"/>
      <c r="B32" s="248">
        <v>44132</v>
      </c>
      <c r="C32" s="262">
        <v>1984</v>
      </c>
      <c r="D32" s="304" t="s">
        <v>520</v>
      </c>
      <c r="E32" s="27">
        <v>44132</v>
      </c>
      <c r="F32" s="202">
        <v>84267</v>
      </c>
      <c r="H32" s="29">
        <v>44132</v>
      </c>
      <c r="I32" s="199">
        <v>385</v>
      </c>
      <c r="J32" s="176"/>
      <c r="K32" s="48"/>
      <c r="L32" s="41"/>
      <c r="M32" s="31">
        <f>66201+6000</f>
        <v>72201</v>
      </c>
      <c r="N32" s="32">
        <v>9697</v>
      </c>
      <c r="O32" s="391"/>
    </row>
    <row r="33" spans="1:15" ht="16.2" thickBot="1" x14ac:dyDescent="0.35">
      <c r="A33" s="23"/>
      <c r="B33" s="248">
        <v>44133</v>
      </c>
      <c r="C33" s="136">
        <v>0</v>
      </c>
      <c r="D33" s="349"/>
      <c r="E33" s="27">
        <v>44133</v>
      </c>
      <c r="F33" s="97">
        <v>76147</v>
      </c>
      <c r="H33" s="29">
        <v>44133</v>
      </c>
      <c r="I33" s="199">
        <v>385</v>
      </c>
      <c r="J33" s="176"/>
      <c r="K33" s="48"/>
      <c r="L33" s="358"/>
      <c r="M33" s="31">
        <v>72942</v>
      </c>
      <c r="N33" s="32">
        <v>2820</v>
      </c>
      <c r="O33" s="391"/>
    </row>
    <row r="34" spans="1:15" ht="16.2" thickBot="1" x14ac:dyDescent="0.35">
      <c r="A34" s="23"/>
      <c r="B34" s="248">
        <v>44134</v>
      </c>
      <c r="C34" s="136">
        <v>10873</v>
      </c>
      <c r="D34" s="86" t="s">
        <v>521</v>
      </c>
      <c r="E34" s="27">
        <v>44134</v>
      </c>
      <c r="F34" s="97">
        <v>118128</v>
      </c>
      <c r="H34" s="29">
        <v>44134</v>
      </c>
      <c r="I34" s="199">
        <v>13454</v>
      </c>
      <c r="J34" s="176"/>
      <c r="K34" s="6"/>
      <c r="L34" s="45"/>
      <c r="M34" s="31">
        <v>82564</v>
      </c>
      <c r="N34" s="32">
        <v>11237</v>
      </c>
      <c r="O34" s="391"/>
    </row>
    <row r="35" spans="1:15" ht="16.2" thickBot="1" x14ac:dyDescent="0.35">
      <c r="A35" s="23"/>
      <c r="B35" s="248">
        <v>44135</v>
      </c>
      <c r="C35" s="136">
        <v>1200</v>
      </c>
      <c r="D35" s="86" t="s">
        <v>82</v>
      </c>
      <c r="E35" s="27">
        <v>44135</v>
      </c>
      <c r="F35" s="97">
        <v>131243</v>
      </c>
      <c r="H35" s="29">
        <v>44135</v>
      </c>
      <c r="I35" s="199">
        <v>1390</v>
      </c>
      <c r="J35" s="176"/>
      <c r="K35" s="395" t="s">
        <v>522</v>
      </c>
      <c r="L35" s="358">
        <f>20000+13013.12</f>
        <v>33013.120000000003</v>
      </c>
      <c r="M35" s="31">
        <v>91529</v>
      </c>
      <c r="N35" s="32">
        <v>7797</v>
      </c>
      <c r="O35" s="391"/>
    </row>
    <row r="36" spans="1:15" ht="16.2" thickBot="1" x14ac:dyDescent="0.35">
      <c r="A36" s="23"/>
      <c r="B36" s="359"/>
      <c r="C36" s="136"/>
      <c r="D36" s="86"/>
      <c r="E36" s="27"/>
      <c r="F36" s="97"/>
      <c r="H36" s="29"/>
      <c r="I36" s="199"/>
      <c r="J36" s="176"/>
      <c r="K36" s="286" t="s">
        <v>15</v>
      </c>
      <c r="L36" s="45">
        <v>0</v>
      </c>
      <c r="M36" s="31">
        <v>0</v>
      </c>
      <c r="N36" s="32">
        <v>0</v>
      </c>
      <c r="O36" s="391"/>
    </row>
    <row r="37" spans="1:15" ht="16.2" thickBot="1" x14ac:dyDescent="0.35">
      <c r="A37" s="23"/>
      <c r="B37" s="359">
        <v>44107</v>
      </c>
      <c r="C37" s="136">
        <v>7065.88</v>
      </c>
      <c r="D37" s="86" t="s">
        <v>523</v>
      </c>
      <c r="E37" s="27" t="s">
        <v>524</v>
      </c>
      <c r="F37" s="97"/>
      <c r="H37" s="29"/>
      <c r="I37" s="199"/>
      <c r="J37" s="176">
        <v>44111</v>
      </c>
      <c r="K37" s="48" t="s">
        <v>370</v>
      </c>
      <c r="L37" s="358">
        <v>5916</v>
      </c>
      <c r="M37" s="31">
        <v>0</v>
      </c>
      <c r="N37" s="32">
        <v>0</v>
      </c>
      <c r="O37" s="391"/>
    </row>
    <row r="38" spans="1:15" ht="16.2" thickBot="1" x14ac:dyDescent="0.35">
      <c r="A38" s="23"/>
      <c r="B38" s="359">
        <v>44109</v>
      </c>
      <c r="C38" s="136">
        <v>17235.97</v>
      </c>
      <c r="D38" s="86" t="s">
        <v>525</v>
      </c>
      <c r="E38" s="27" t="s">
        <v>524</v>
      </c>
      <c r="F38" s="97"/>
      <c r="H38" s="29"/>
      <c r="I38" s="199"/>
      <c r="J38" s="176">
        <v>44111</v>
      </c>
      <c r="K38" s="48" t="s">
        <v>17</v>
      </c>
      <c r="L38" s="358">
        <v>5800</v>
      </c>
      <c r="M38" s="31">
        <v>0</v>
      </c>
      <c r="N38" s="32">
        <v>0</v>
      </c>
      <c r="O38" s="391"/>
    </row>
    <row r="39" spans="1:15" ht="16.2" thickBot="1" x14ac:dyDescent="0.35">
      <c r="A39" s="23"/>
      <c r="B39" s="359">
        <v>44111</v>
      </c>
      <c r="C39" s="136">
        <v>19285.3</v>
      </c>
      <c r="D39" s="86" t="s">
        <v>526</v>
      </c>
      <c r="E39" s="27" t="s">
        <v>524</v>
      </c>
      <c r="F39" s="97"/>
      <c r="H39" s="29"/>
      <c r="I39" s="199"/>
      <c r="J39" s="176">
        <v>44111</v>
      </c>
      <c r="K39" s="48" t="s">
        <v>235</v>
      </c>
      <c r="L39" s="358">
        <f>9720+9345</f>
        <v>19065</v>
      </c>
      <c r="M39" s="31">
        <v>0</v>
      </c>
      <c r="N39" s="32">
        <v>0</v>
      </c>
      <c r="O39" s="391"/>
    </row>
    <row r="40" spans="1:15" ht="16.2" thickBot="1" x14ac:dyDescent="0.35">
      <c r="A40" s="23"/>
      <c r="B40" s="359">
        <v>44112</v>
      </c>
      <c r="C40" s="136">
        <v>4173.84</v>
      </c>
      <c r="D40" s="86" t="s">
        <v>527</v>
      </c>
      <c r="E40" s="27" t="s">
        <v>524</v>
      </c>
      <c r="F40" s="97"/>
      <c r="H40" s="29"/>
      <c r="I40" s="199"/>
      <c r="J40" s="176">
        <v>44116</v>
      </c>
      <c r="K40" s="48" t="s">
        <v>165</v>
      </c>
      <c r="L40" s="358">
        <v>10000</v>
      </c>
      <c r="M40" s="31">
        <v>0</v>
      </c>
      <c r="N40" s="32">
        <v>0</v>
      </c>
      <c r="O40" s="391"/>
    </row>
    <row r="41" spans="1:15" ht="16.2" thickBot="1" x14ac:dyDescent="0.35">
      <c r="A41" s="23"/>
      <c r="B41" s="374">
        <v>44114</v>
      </c>
      <c r="C41" s="396">
        <v>22161.23</v>
      </c>
      <c r="D41" s="375" t="s">
        <v>528</v>
      </c>
      <c r="E41" s="27" t="s">
        <v>524</v>
      </c>
      <c r="F41" s="97"/>
      <c r="H41" s="29"/>
      <c r="I41" s="199"/>
      <c r="J41" s="176">
        <v>44117</v>
      </c>
      <c r="K41" s="397" t="s">
        <v>529</v>
      </c>
      <c r="L41" s="358">
        <v>2784</v>
      </c>
      <c r="M41" s="31">
        <v>0</v>
      </c>
      <c r="N41" s="32">
        <v>0</v>
      </c>
      <c r="O41" s="391"/>
    </row>
    <row r="42" spans="1:15" ht="16.2" thickBot="1" x14ac:dyDescent="0.35">
      <c r="A42" s="23"/>
      <c r="B42" s="398">
        <v>44117</v>
      </c>
      <c r="C42" s="97">
        <v>18062.57</v>
      </c>
      <c r="D42" s="399" t="s">
        <v>530</v>
      </c>
      <c r="E42" s="400" t="s">
        <v>524</v>
      </c>
      <c r="F42" s="97"/>
      <c r="H42" s="29"/>
      <c r="I42" s="199"/>
      <c r="J42" s="176">
        <v>44117</v>
      </c>
      <c r="K42" s="401" t="s">
        <v>531</v>
      </c>
      <c r="L42" s="82">
        <v>15544</v>
      </c>
      <c r="M42" s="31">
        <v>0</v>
      </c>
      <c r="N42" s="32">
        <v>0</v>
      </c>
      <c r="O42" s="391"/>
    </row>
    <row r="43" spans="1:15" ht="16.2" thickBot="1" x14ac:dyDescent="0.35">
      <c r="A43" s="23"/>
      <c r="B43" s="398">
        <v>44120</v>
      </c>
      <c r="C43" s="97">
        <v>19514.38</v>
      </c>
      <c r="D43" s="399" t="s">
        <v>532</v>
      </c>
      <c r="E43" s="400" t="s">
        <v>524</v>
      </c>
      <c r="F43" s="97"/>
      <c r="H43" s="29"/>
      <c r="I43" s="199"/>
      <c r="J43" s="176">
        <v>44120</v>
      </c>
      <c r="K43" s="361" t="s">
        <v>533</v>
      </c>
      <c r="L43" s="82">
        <v>9931</v>
      </c>
      <c r="M43" s="277">
        <v>0</v>
      </c>
      <c r="N43" s="32">
        <v>0</v>
      </c>
      <c r="O43" s="391"/>
    </row>
    <row r="44" spans="1:15" ht="16.2" thickBot="1" x14ac:dyDescent="0.35">
      <c r="A44" s="23"/>
      <c r="B44" s="398">
        <v>44121</v>
      </c>
      <c r="C44" s="97">
        <v>4046</v>
      </c>
      <c r="D44" s="399" t="s">
        <v>534</v>
      </c>
      <c r="E44" s="400" t="s">
        <v>524</v>
      </c>
      <c r="F44" s="97"/>
      <c r="H44" s="29"/>
      <c r="I44" s="199"/>
      <c r="J44" s="176">
        <v>44120</v>
      </c>
      <c r="K44" s="168" t="s">
        <v>192</v>
      </c>
      <c r="L44" s="358">
        <v>986</v>
      </c>
      <c r="M44" s="277"/>
      <c r="N44" s="32"/>
      <c r="O44" s="391"/>
    </row>
    <row r="45" spans="1:15" ht="16.2" thickBot="1" x14ac:dyDescent="0.35">
      <c r="A45" s="23"/>
      <c r="B45" s="398">
        <v>44123</v>
      </c>
      <c r="C45" s="97">
        <v>10241.040000000001</v>
      </c>
      <c r="D45" s="399" t="s">
        <v>535</v>
      </c>
      <c r="E45" s="400" t="s">
        <v>524</v>
      </c>
      <c r="F45" s="97"/>
      <c r="H45" s="29"/>
      <c r="I45" s="199"/>
      <c r="J45" s="176">
        <v>44123</v>
      </c>
      <c r="K45" s="361" t="s">
        <v>379</v>
      </c>
      <c r="L45" s="82">
        <v>9321.14</v>
      </c>
      <c r="M45" s="277"/>
      <c r="N45" s="32"/>
      <c r="O45" s="391"/>
    </row>
    <row r="46" spans="1:15" ht="16.2" thickBot="1" x14ac:dyDescent="0.35">
      <c r="A46" s="23"/>
      <c r="B46" s="248">
        <v>44127</v>
      </c>
      <c r="C46" s="262">
        <v>19725</v>
      </c>
      <c r="D46" s="402" t="s">
        <v>536</v>
      </c>
      <c r="E46" s="27" t="s">
        <v>524</v>
      </c>
      <c r="F46" s="97"/>
      <c r="H46" s="29"/>
      <c r="I46" s="199"/>
      <c r="J46" s="176">
        <v>44123</v>
      </c>
      <c r="K46" s="361" t="s">
        <v>537</v>
      </c>
      <c r="L46" s="82">
        <v>1247</v>
      </c>
      <c r="M46" s="277"/>
      <c r="N46" s="32"/>
      <c r="O46" s="391"/>
    </row>
    <row r="47" spans="1:15" ht="16.2" thickBot="1" x14ac:dyDescent="0.35">
      <c r="A47" s="23"/>
      <c r="B47" s="248">
        <v>44131</v>
      </c>
      <c r="C47" s="262">
        <v>13069.6</v>
      </c>
      <c r="D47" s="402" t="s">
        <v>538</v>
      </c>
      <c r="E47" s="27" t="s">
        <v>524</v>
      </c>
      <c r="F47" s="97"/>
      <c r="H47" s="29"/>
      <c r="I47" s="199"/>
      <c r="J47" s="176">
        <v>44124</v>
      </c>
      <c r="K47" s="361" t="s">
        <v>461</v>
      </c>
      <c r="L47" s="82">
        <v>928</v>
      </c>
      <c r="M47" s="277"/>
      <c r="N47" s="32"/>
      <c r="O47" s="391"/>
    </row>
    <row r="48" spans="1:15" ht="16.2" thickBot="1" x14ac:dyDescent="0.35">
      <c r="A48" s="23"/>
      <c r="B48" s="248">
        <v>44134</v>
      </c>
      <c r="C48" s="262">
        <v>13301</v>
      </c>
      <c r="D48" s="402" t="s">
        <v>539</v>
      </c>
      <c r="E48" s="27" t="s">
        <v>524</v>
      </c>
      <c r="F48" s="97"/>
      <c r="H48" s="29"/>
      <c r="I48" s="199"/>
      <c r="J48" s="176">
        <v>44130</v>
      </c>
      <c r="K48" s="361" t="s">
        <v>540</v>
      </c>
      <c r="L48" s="82">
        <v>10000</v>
      </c>
      <c r="M48" s="277"/>
      <c r="N48" s="32"/>
      <c r="O48" s="391"/>
    </row>
    <row r="49" spans="1:15" ht="15" thickBot="1" x14ac:dyDescent="0.35">
      <c r="A49" s="23"/>
      <c r="B49" s="248"/>
      <c r="C49" s="262"/>
      <c r="D49" s="375"/>
      <c r="E49" s="27"/>
      <c r="F49" s="97"/>
      <c r="H49" s="29"/>
      <c r="I49" s="199"/>
      <c r="J49" s="176">
        <v>44133</v>
      </c>
      <c r="K49" s="361" t="s">
        <v>243</v>
      </c>
      <c r="L49" s="82">
        <v>2469.69</v>
      </c>
      <c r="M49" s="277"/>
      <c r="N49" s="32"/>
      <c r="O49" s="391"/>
    </row>
    <row r="50" spans="1:15" ht="15" thickBot="1" x14ac:dyDescent="0.35">
      <c r="A50" s="23"/>
      <c r="B50" s="248"/>
      <c r="C50" s="262"/>
      <c r="D50" s="375">
        <v>0</v>
      </c>
      <c r="E50" s="27"/>
      <c r="F50" s="97"/>
      <c r="H50" s="29"/>
      <c r="I50" s="199"/>
      <c r="J50" s="176">
        <v>44134</v>
      </c>
      <c r="K50" s="361" t="s">
        <v>46</v>
      </c>
      <c r="L50" s="82">
        <v>1394.81</v>
      </c>
      <c r="M50" s="31"/>
      <c r="N50" s="32"/>
      <c r="O50" s="391"/>
    </row>
    <row r="51" spans="1:15" ht="15" thickBot="1" x14ac:dyDescent="0.35">
      <c r="A51" s="23"/>
      <c r="B51" s="248"/>
      <c r="C51" s="262"/>
      <c r="D51" s="375"/>
      <c r="E51" s="27"/>
      <c r="F51" s="97"/>
      <c r="H51" s="29"/>
      <c r="I51" s="199"/>
      <c r="J51" s="176">
        <v>44134</v>
      </c>
      <c r="K51" s="403" t="s">
        <v>541</v>
      </c>
      <c r="L51" s="404">
        <v>6267.97</v>
      </c>
      <c r="M51" s="31">
        <v>0</v>
      </c>
      <c r="N51" s="32">
        <v>0</v>
      </c>
      <c r="O51" s="391"/>
    </row>
    <row r="52" spans="1:15" ht="15" thickBot="1" x14ac:dyDescent="0.35">
      <c r="A52" s="23"/>
      <c r="B52" s="248"/>
      <c r="C52" s="363"/>
      <c r="D52" s="376"/>
      <c r="E52" s="365"/>
      <c r="F52" s="351"/>
      <c r="H52" s="29"/>
      <c r="I52" s="307"/>
      <c r="J52" s="176">
        <v>44134</v>
      </c>
      <c r="K52" s="405" t="s">
        <v>542</v>
      </c>
      <c r="L52" s="406">
        <v>4585.25</v>
      </c>
      <c r="M52" s="31">
        <v>0</v>
      </c>
      <c r="N52" s="32">
        <v>0</v>
      </c>
      <c r="O52" s="391"/>
    </row>
    <row r="53" spans="1:15" ht="16.2" thickBot="1" x14ac:dyDescent="0.35">
      <c r="B53" s="335" t="s">
        <v>51</v>
      </c>
      <c r="C53" s="336">
        <f>SUM(C5:C52)</f>
        <v>345054.41</v>
      </c>
      <c r="D53" s="114"/>
      <c r="E53" s="237" t="s">
        <v>51</v>
      </c>
      <c r="F53" s="238">
        <f>SUM(F5:F52)</f>
        <v>3078182</v>
      </c>
      <c r="G53" s="114"/>
      <c r="H53" s="117" t="s">
        <v>245</v>
      </c>
      <c r="I53" s="118">
        <f>SUM(I5:I52)</f>
        <v>81577</v>
      </c>
      <c r="J53" s="265"/>
      <c r="K53" s="120" t="s">
        <v>246</v>
      </c>
      <c r="L53" s="121">
        <f>SUM(L6:L52)</f>
        <v>229387.12000000002</v>
      </c>
      <c r="M53" s="126">
        <f>SUM(M5:M52)</f>
        <v>2523127.7599999998</v>
      </c>
      <c r="N53" s="126">
        <f>SUM(N5:N52)</f>
        <v>146040</v>
      </c>
      <c r="O53" s="407"/>
    </row>
    <row r="54" spans="1:15" ht="15.6" thickTop="1" thickBot="1" x14ac:dyDescent="0.35">
      <c r="C54" s="5" t="s">
        <v>10</v>
      </c>
      <c r="O54" s="408"/>
    </row>
    <row r="55" spans="1:15" ht="18.600000000000001" thickBot="1" x14ac:dyDescent="0.35">
      <c r="A55" s="65"/>
      <c r="B55" s="122"/>
      <c r="C55" s="4"/>
      <c r="H55" s="601" t="s">
        <v>52</v>
      </c>
      <c r="I55" s="602"/>
      <c r="J55" s="266"/>
      <c r="K55" s="603">
        <f>I53+L53</f>
        <v>310964.12</v>
      </c>
      <c r="L55" s="604"/>
      <c r="M55" s="599">
        <f>M53+N53</f>
        <v>2669167.7599999998</v>
      </c>
      <c r="N55" s="600"/>
    </row>
    <row r="56" spans="1:15" ht="15.6" x14ac:dyDescent="0.3">
      <c r="D56" s="606" t="s">
        <v>53</v>
      </c>
      <c r="E56" s="606"/>
      <c r="F56" s="124">
        <f>F53-K55-C53</f>
        <v>2422163.4699999997</v>
      </c>
      <c r="I56" s="125"/>
      <c r="J56" s="267"/>
    </row>
    <row r="57" spans="1:15" ht="18" x14ac:dyDescent="0.35">
      <c r="D57" s="607" t="s">
        <v>54</v>
      </c>
      <c r="E57" s="607"/>
      <c r="F57" s="126">
        <v>-2442248.4</v>
      </c>
      <c r="I57" s="608" t="s">
        <v>55</v>
      </c>
      <c r="J57" s="609"/>
      <c r="K57" s="610">
        <f>F59+F60+F61</f>
        <v>-1872.9300000001676</v>
      </c>
      <c r="L57" s="611"/>
    </row>
    <row r="58" spans="1:15" ht="18.600000000000001" thickBot="1" x14ac:dyDescent="0.4">
      <c r="D58" s="127"/>
      <c r="E58" s="128"/>
      <c r="F58" s="129">
        <v>0</v>
      </c>
      <c r="I58" s="130"/>
      <c r="J58" s="268"/>
      <c r="K58" s="131"/>
      <c r="L58" s="131"/>
    </row>
    <row r="59" spans="1:15" ht="18.600000000000001" thickTop="1" x14ac:dyDescent="0.35">
      <c r="C59" s="13" t="s">
        <v>10</v>
      </c>
      <c r="E59" s="65" t="s">
        <v>56</v>
      </c>
      <c r="F59" s="126">
        <f>SUM(F56:F58)</f>
        <v>-20084.930000000168</v>
      </c>
      <c r="H59" s="23"/>
      <c r="I59" s="132" t="s">
        <v>57</v>
      </c>
      <c r="J59" s="269"/>
      <c r="K59" s="612">
        <f>-C4</f>
        <v>-313820.27</v>
      </c>
      <c r="L59" s="613"/>
      <c r="M59" s="134"/>
    </row>
    <row r="60" spans="1:15" ht="16.2" thickBot="1" x14ac:dyDescent="0.35">
      <c r="D60" s="135" t="s">
        <v>58</v>
      </c>
      <c r="E60" s="65" t="s">
        <v>59</v>
      </c>
      <c r="F60" s="136">
        <v>18212</v>
      </c>
    </row>
    <row r="61" spans="1:15" ht="19.2" thickTop="1" thickBot="1" x14ac:dyDescent="0.4">
      <c r="C61" s="496" t="s">
        <v>580</v>
      </c>
      <c r="D61" s="636" t="s">
        <v>60</v>
      </c>
      <c r="E61" s="637"/>
      <c r="F61" s="497">
        <v>0</v>
      </c>
      <c r="I61" s="638" t="s">
        <v>464</v>
      </c>
      <c r="J61" s="639"/>
      <c r="K61" s="640">
        <f>K57+K59</f>
        <v>-315693.20000000019</v>
      </c>
      <c r="L61" s="641"/>
    </row>
    <row r="62" spans="1:15" ht="18" x14ac:dyDescent="0.35">
      <c r="C62" s="139"/>
      <c r="D62" s="140"/>
      <c r="E62" s="141"/>
      <c r="F62" s="142"/>
      <c r="J62" s="270"/>
      <c r="M62" s="143"/>
    </row>
    <row r="64" spans="1:15" ht="15.6" x14ac:dyDescent="0.3">
      <c r="B64" s="409"/>
      <c r="C64" s="410"/>
      <c r="D64" s="102"/>
      <c r="E64" s="91"/>
      <c r="M64" s="144"/>
      <c r="N64" s="65"/>
      <c r="O64" s="411"/>
    </row>
    <row r="65" spans="2:15" ht="15.6" x14ac:dyDescent="0.3">
      <c r="B65" s="409"/>
      <c r="C65" s="364"/>
      <c r="E65" s="91"/>
      <c r="M65" s="144"/>
      <c r="N65" s="65"/>
      <c r="O65" s="411"/>
    </row>
    <row r="66" spans="2:15" ht="15.6" x14ac:dyDescent="0.3">
      <c r="B66" s="409"/>
      <c r="C66" s="364"/>
      <c r="E66" s="91"/>
      <c r="F66" s="145"/>
      <c r="M66" s="4"/>
    </row>
    <row r="67" spans="2:15" ht="15.6" x14ac:dyDescent="0.3">
      <c r="B67" s="409"/>
      <c r="C67" s="364"/>
      <c r="E67" s="91"/>
      <c r="M67" s="4"/>
    </row>
    <row r="68" spans="2:15" ht="15.6" x14ac:dyDescent="0.3">
      <c r="B68" s="409"/>
      <c r="C68" s="364"/>
      <c r="E68" s="91"/>
      <c r="M68" s="4"/>
    </row>
    <row r="69" spans="2:15" x14ac:dyDescent="0.3">
      <c r="M69" s="4"/>
    </row>
    <row r="70" spans="2:15" x14ac:dyDescent="0.3">
      <c r="M70" s="4"/>
    </row>
    <row r="71" spans="2:15" x14ac:dyDescent="0.3">
      <c r="M71" s="4"/>
    </row>
    <row r="72" spans="2:15" x14ac:dyDescent="0.3">
      <c r="M72" s="4"/>
    </row>
    <row r="73" spans="2:15" x14ac:dyDescent="0.3">
      <c r="M73" s="4"/>
    </row>
    <row r="74" spans="2:15" x14ac:dyDescent="0.3">
      <c r="M74" s="4"/>
    </row>
    <row r="75" spans="2:15" x14ac:dyDescent="0.3">
      <c r="M75" s="4"/>
    </row>
    <row r="76" spans="2:15" x14ac:dyDescent="0.3">
      <c r="M76" s="4"/>
    </row>
    <row r="77" spans="2:15" x14ac:dyDescent="0.3">
      <c r="M77" s="4"/>
    </row>
    <row r="78" spans="2:15" x14ac:dyDescent="0.3">
      <c r="M78" s="4"/>
    </row>
    <row r="79" spans="2:15" x14ac:dyDescent="0.3">
      <c r="M79" s="4"/>
    </row>
  </sheetData>
  <mergeCells count="16">
    <mergeCell ref="C1:K1"/>
    <mergeCell ref="B3:C3"/>
    <mergeCell ref="H3:I3"/>
    <mergeCell ref="E4:F4"/>
    <mergeCell ref="H4:I4"/>
    <mergeCell ref="D61:E61"/>
    <mergeCell ref="I61:J61"/>
    <mergeCell ref="K61:L61"/>
    <mergeCell ref="M55:N55"/>
    <mergeCell ref="D56:E56"/>
    <mergeCell ref="D57:E57"/>
    <mergeCell ref="I57:J57"/>
    <mergeCell ref="K57:L57"/>
    <mergeCell ref="K59:L59"/>
    <mergeCell ref="H55:I55"/>
    <mergeCell ref="K55:L55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7F45-9D8D-455B-A655-5CD0EBD31CAC}">
  <sheetPr>
    <tabColor rgb="FF00B050"/>
  </sheetPr>
  <dimension ref="A1:F87"/>
  <sheetViews>
    <sheetView workbookViewId="0">
      <selection activeCell="D13" sqref="D13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63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2">
        <v>43837</v>
      </c>
      <c r="B3" s="153" t="s">
        <v>94</v>
      </c>
      <c r="C3" s="56">
        <v>72594</v>
      </c>
      <c r="D3" s="154"/>
      <c r="E3" s="56"/>
      <c r="F3" s="155">
        <f>C3-E3</f>
        <v>72594</v>
      </c>
    </row>
    <row r="4" spans="1:6" x14ac:dyDescent="0.3">
      <c r="A4" s="156">
        <v>43838</v>
      </c>
      <c r="B4" s="157" t="s">
        <v>95</v>
      </c>
      <c r="C4" s="97">
        <v>132399.22</v>
      </c>
      <c r="D4" s="158"/>
      <c r="E4" s="97"/>
      <c r="F4" s="155">
        <f>F3+C4-E4</f>
        <v>204993.22</v>
      </c>
    </row>
    <row r="5" spans="1:6" x14ac:dyDescent="0.3">
      <c r="A5" s="158">
        <v>43839</v>
      </c>
      <c r="B5" s="157" t="s">
        <v>96</v>
      </c>
      <c r="C5" s="97">
        <v>2328</v>
      </c>
      <c r="D5" s="158"/>
      <c r="E5" s="97"/>
      <c r="F5" s="155">
        <f t="shared" ref="F5:F50" si="0">F4+C5-E5</f>
        <v>207321.22</v>
      </c>
    </row>
    <row r="6" spans="1:6" x14ac:dyDescent="0.3">
      <c r="A6" s="158">
        <v>43839</v>
      </c>
      <c r="B6" s="157" t="s">
        <v>97</v>
      </c>
      <c r="C6" s="97">
        <v>128075.49</v>
      </c>
      <c r="D6" s="158"/>
      <c r="E6" s="97"/>
      <c r="F6" s="155">
        <f t="shared" si="0"/>
        <v>335396.71000000002</v>
      </c>
    </row>
    <row r="7" spans="1:6" x14ac:dyDescent="0.3">
      <c r="A7" s="158">
        <v>43840</v>
      </c>
      <c r="B7" s="157" t="s">
        <v>98</v>
      </c>
      <c r="C7" s="97">
        <v>120189.55</v>
      </c>
      <c r="D7" s="158"/>
      <c r="E7" s="97"/>
      <c r="F7" s="155">
        <f t="shared" si="0"/>
        <v>455586.26</v>
      </c>
    </row>
    <row r="8" spans="1:6" x14ac:dyDescent="0.3">
      <c r="A8" s="158">
        <v>43840</v>
      </c>
      <c r="B8" s="157" t="s">
        <v>99</v>
      </c>
      <c r="C8" s="97">
        <v>3031</v>
      </c>
      <c r="D8" s="158"/>
      <c r="E8" s="97"/>
      <c r="F8" s="155">
        <f t="shared" si="0"/>
        <v>458617.26</v>
      </c>
    </row>
    <row r="9" spans="1:6" x14ac:dyDescent="0.3">
      <c r="A9" s="158">
        <v>43841</v>
      </c>
      <c r="B9" s="157" t="s">
        <v>100</v>
      </c>
      <c r="C9" s="97">
        <v>136774.39999999999</v>
      </c>
      <c r="D9" s="158"/>
      <c r="E9" s="97"/>
      <c r="F9" s="155">
        <f t="shared" si="0"/>
        <v>595391.66</v>
      </c>
    </row>
    <row r="10" spans="1:6" x14ac:dyDescent="0.3">
      <c r="A10" s="158">
        <v>43841</v>
      </c>
      <c r="B10" s="157" t="s">
        <v>101</v>
      </c>
      <c r="C10" s="97">
        <v>1766.6</v>
      </c>
      <c r="D10" s="158"/>
      <c r="E10" s="97"/>
      <c r="F10" s="155">
        <f t="shared" si="0"/>
        <v>597158.26</v>
      </c>
    </row>
    <row r="11" spans="1:6" x14ac:dyDescent="0.3">
      <c r="A11" s="156">
        <v>43842</v>
      </c>
      <c r="B11" s="157" t="s">
        <v>102</v>
      </c>
      <c r="C11" s="97">
        <v>9876</v>
      </c>
      <c r="D11" s="158">
        <v>43843</v>
      </c>
      <c r="E11" s="97">
        <v>607034.26</v>
      </c>
      <c r="F11" s="155">
        <f t="shared" si="0"/>
        <v>0</v>
      </c>
    </row>
    <row r="12" spans="1:6" x14ac:dyDescent="0.3">
      <c r="A12" s="158">
        <v>43843</v>
      </c>
      <c r="B12" s="157" t="s">
        <v>103</v>
      </c>
      <c r="C12" s="97">
        <v>51267.96</v>
      </c>
      <c r="D12" s="158"/>
      <c r="E12" s="97"/>
      <c r="F12" s="155">
        <f t="shared" si="0"/>
        <v>51267.96</v>
      </c>
    </row>
    <row r="13" spans="1:6" x14ac:dyDescent="0.3">
      <c r="A13" s="158">
        <v>43844</v>
      </c>
      <c r="B13" s="157" t="s">
        <v>104</v>
      </c>
      <c r="C13" s="97">
        <v>100845.65</v>
      </c>
      <c r="D13" s="158"/>
      <c r="E13" s="97"/>
      <c r="F13" s="155">
        <f t="shared" si="0"/>
        <v>152113.60999999999</v>
      </c>
    </row>
    <row r="14" spans="1:6" x14ac:dyDescent="0.3">
      <c r="A14" s="158">
        <v>43845</v>
      </c>
      <c r="B14" s="157" t="s">
        <v>105</v>
      </c>
      <c r="C14" s="97">
        <v>138607.79999999999</v>
      </c>
      <c r="D14" s="158"/>
      <c r="E14" s="97"/>
      <c r="F14" s="155">
        <f t="shared" si="0"/>
        <v>290721.40999999997</v>
      </c>
    </row>
    <row r="15" spans="1:6" x14ac:dyDescent="0.3">
      <c r="A15" s="158">
        <v>43845</v>
      </c>
      <c r="B15" s="157" t="s">
        <v>106</v>
      </c>
      <c r="C15" s="97">
        <v>7932.6</v>
      </c>
      <c r="D15" s="158"/>
      <c r="E15" s="97"/>
      <c r="F15" s="155">
        <f t="shared" si="0"/>
        <v>298654.00999999995</v>
      </c>
    </row>
    <row r="16" spans="1:6" x14ac:dyDescent="0.3">
      <c r="A16" s="158">
        <v>43846</v>
      </c>
      <c r="B16" s="157" t="s">
        <v>107</v>
      </c>
      <c r="C16" s="97">
        <v>2014.8</v>
      </c>
      <c r="D16" s="158"/>
      <c r="E16" s="97"/>
      <c r="F16" s="155">
        <f t="shared" si="0"/>
        <v>300668.80999999994</v>
      </c>
    </row>
    <row r="17" spans="1:6" x14ac:dyDescent="0.3">
      <c r="A17" s="158">
        <v>43846</v>
      </c>
      <c r="B17" s="157" t="s">
        <v>108</v>
      </c>
      <c r="C17" s="97">
        <v>114829.3</v>
      </c>
      <c r="D17" s="158"/>
      <c r="E17" s="97"/>
      <c r="F17" s="155">
        <f t="shared" si="0"/>
        <v>415498.10999999993</v>
      </c>
    </row>
    <row r="18" spans="1:6" x14ac:dyDescent="0.3">
      <c r="A18" s="158">
        <v>43847</v>
      </c>
      <c r="B18" s="157" t="s">
        <v>109</v>
      </c>
      <c r="C18" s="97">
        <v>2560</v>
      </c>
      <c r="D18" s="158"/>
      <c r="E18" s="97"/>
      <c r="F18" s="155">
        <f t="shared" si="0"/>
        <v>418058.10999999993</v>
      </c>
    </row>
    <row r="19" spans="1:6" x14ac:dyDescent="0.3">
      <c r="A19" s="158">
        <v>43847</v>
      </c>
      <c r="B19" s="157" t="s">
        <v>110</v>
      </c>
      <c r="C19" s="97">
        <v>14896</v>
      </c>
      <c r="D19" s="158">
        <v>43848</v>
      </c>
      <c r="E19" s="97">
        <v>432954.11</v>
      </c>
      <c r="F19" s="155">
        <f t="shared" si="0"/>
        <v>0</v>
      </c>
    </row>
    <row r="20" spans="1:6" x14ac:dyDescent="0.3">
      <c r="A20" s="158">
        <v>43848</v>
      </c>
      <c r="B20" s="157" t="s">
        <v>111</v>
      </c>
      <c r="C20" s="97">
        <v>133304</v>
      </c>
      <c r="D20" s="158"/>
      <c r="E20" s="97"/>
      <c r="F20" s="155">
        <f t="shared" si="0"/>
        <v>133304</v>
      </c>
    </row>
    <row r="21" spans="1:6" x14ac:dyDescent="0.3">
      <c r="A21" s="158">
        <v>43848</v>
      </c>
      <c r="B21" s="157" t="s">
        <v>112</v>
      </c>
      <c r="C21" s="97">
        <v>71669.45</v>
      </c>
      <c r="D21" s="158"/>
      <c r="E21" s="97"/>
      <c r="F21" s="155">
        <f t="shared" si="0"/>
        <v>204973.45</v>
      </c>
    </row>
    <row r="22" spans="1:6" x14ac:dyDescent="0.3">
      <c r="A22" s="158">
        <v>43849</v>
      </c>
      <c r="B22" s="157" t="s">
        <v>113</v>
      </c>
      <c r="C22" s="97">
        <v>3967.2</v>
      </c>
      <c r="D22" s="158"/>
      <c r="E22" s="97"/>
      <c r="F22" s="155">
        <f t="shared" si="0"/>
        <v>208940.65000000002</v>
      </c>
    </row>
    <row r="23" spans="1:6" x14ac:dyDescent="0.3">
      <c r="A23" s="158">
        <v>43849</v>
      </c>
      <c r="B23" s="157" t="s">
        <v>114</v>
      </c>
      <c r="C23" s="97">
        <v>2893.2</v>
      </c>
      <c r="D23" s="158"/>
      <c r="E23" s="97"/>
      <c r="F23" s="155">
        <f t="shared" si="0"/>
        <v>211833.85000000003</v>
      </c>
    </row>
    <row r="24" spans="1:6" x14ac:dyDescent="0.3">
      <c r="A24" s="158">
        <v>43851</v>
      </c>
      <c r="B24" s="157" t="s">
        <v>115</v>
      </c>
      <c r="C24" s="97">
        <v>137808.56</v>
      </c>
      <c r="D24" s="158"/>
      <c r="E24" s="97"/>
      <c r="F24" s="155">
        <f t="shared" si="0"/>
        <v>349642.41000000003</v>
      </c>
    </row>
    <row r="25" spans="1:6" x14ac:dyDescent="0.3">
      <c r="A25" s="158">
        <v>43851</v>
      </c>
      <c r="B25" s="157" t="s">
        <v>116</v>
      </c>
      <c r="C25" s="97">
        <v>1036</v>
      </c>
      <c r="D25" s="158">
        <v>43852</v>
      </c>
      <c r="E25" s="97">
        <v>350678.41</v>
      </c>
      <c r="F25" s="155">
        <f t="shared" si="0"/>
        <v>0</v>
      </c>
    </row>
    <row r="26" spans="1:6" x14ac:dyDescent="0.3">
      <c r="A26" s="158">
        <v>43850</v>
      </c>
      <c r="B26" s="157" t="s">
        <v>117</v>
      </c>
      <c r="C26" s="97">
        <v>95296.9</v>
      </c>
      <c r="D26" s="158"/>
      <c r="E26" s="97"/>
      <c r="F26" s="155">
        <f t="shared" si="0"/>
        <v>95296.9</v>
      </c>
    </row>
    <row r="27" spans="1:6" x14ac:dyDescent="0.3">
      <c r="A27" s="158">
        <v>43853</v>
      </c>
      <c r="B27" s="157" t="s">
        <v>118</v>
      </c>
      <c r="C27" s="97">
        <v>114983.8</v>
      </c>
      <c r="D27" s="158"/>
      <c r="E27" s="97"/>
      <c r="F27" s="155">
        <f t="shared" si="0"/>
        <v>210280.7</v>
      </c>
    </row>
    <row r="28" spans="1:6" x14ac:dyDescent="0.3">
      <c r="A28" s="156">
        <v>43854</v>
      </c>
      <c r="B28" s="157" t="s">
        <v>119</v>
      </c>
      <c r="C28" s="97">
        <v>97328.45</v>
      </c>
      <c r="D28" s="158"/>
      <c r="E28" s="97"/>
      <c r="F28" s="155">
        <f t="shared" si="0"/>
        <v>307609.15000000002</v>
      </c>
    </row>
    <row r="29" spans="1:6" x14ac:dyDescent="0.3">
      <c r="A29" s="156">
        <v>43855</v>
      </c>
      <c r="B29" s="157" t="s">
        <v>120</v>
      </c>
      <c r="C29" s="97">
        <v>158655.5</v>
      </c>
      <c r="D29" s="158"/>
      <c r="E29" s="97"/>
      <c r="F29" s="155">
        <f t="shared" si="0"/>
        <v>466264.65</v>
      </c>
    </row>
    <row r="30" spans="1:6" x14ac:dyDescent="0.3">
      <c r="A30" s="156">
        <v>43856</v>
      </c>
      <c r="B30" s="157" t="s">
        <v>121</v>
      </c>
      <c r="C30" s="97">
        <v>1244.4000000000001</v>
      </c>
      <c r="D30" s="158"/>
      <c r="E30" s="97"/>
      <c r="F30" s="155">
        <f t="shared" si="0"/>
        <v>467509.05000000005</v>
      </c>
    </row>
    <row r="31" spans="1:6" x14ac:dyDescent="0.3">
      <c r="A31" s="156">
        <v>43856</v>
      </c>
      <c r="B31" s="157" t="s">
        <v>122</v>
      </c>
      <c r="C31" s="97">
        <v>3303</v>
      </c>
      <c r="D31" s="158"/>
      <c r="E31" s="97"/>
      <c r="F31" s="155">
        <f t="shared" si="0"/>
        <v>470812.05000000005</v>
      </c>
    </row>
    <row r="32" spans="1:6" x14ac:dyDescent="0.3">
      <c r="A32" s="156">
        <v>43857</v>
      </c>
      <c r="B32" s="157" t="s">
        <v>123</v>
      </c>
      <c r="C32" s="97">
        <v>8468.2000000000007</v>
      </c>
      <c r="D32" s="158">
        <v>43857</v>
      </c>
      <c r="E32" s="97">
        <v>479280.25</v>
      </c>
      <c r="F32" s="155">
        <f t="shared" si="0"/>
        <v>0</v>
      </c>
    </row>
    <row r="33" spans="1:6" x14ac:dyDescent="0.3">
      <c r="A33" s="156">
        <v>43858</v>
      </c>
      <c r="B33" s="157" t="s">
        <v>124</v>
      </c>
      <c r="C33" s="97">
        <v>43621.7</v>
      </c>
      <c r="D33" s="158"/>
      <c r="E33" s="97"/>
      <c r="F33" s="155">
        <f t="shared" si="0"/>
        <v>43621.7</v>
      </c>
    </row>
    <row r="34" spans="1:6" x14ac:dyDescent="0.3">
      <c r="A34" s="156">
        <v>43859</v>
      </c>
      <c r="B34" s="157" t="s">
        <v>125</v>
      </c>
      <c r="C34" s="97">
        <v>65222.16</v>
      </c>
      <c r="D34" s="158"/>
      <c r="E34" s="97"/>
      <c r="F34" s="155">
        <f t="shared" si="0"/>
        <v>108843.86</v>
      </c>
    </row>
    <row r="35" spans="1:6" x14ac:dyDescent="0.3">
      <c r="A35" s="156">
        <v>43861</v>
      </c>
      <c r="B35" s="157" t="s">
        <v>126</v>
      </c>
      <c r="C35" s="97">
        <v>7226.75</v>
      </c>
      <c r="D35" s="158"/>
      <c r="E35" s="97"/>
      <c r="F35" s="155">
        <f t="shared" si="0"/>
        <v>116070.61</v>
      </c>
    </row>
    <row r="36" spans="1:6" x14ac:dyDescent="0.3">
      <c r="A36" s="156">
        <v>43861</v>
      </c>
      <c r="B36" s="157" t="s">
        <v>127</v>
      </c>
      <c r="C36" s="97">
        <v>107062.39999999999</v>
      </c>
      <c r="D36" s="158">
        <v>43861</v>
      </c>
      <c r="E36" s="97">
        <v>223133.01</v>
      </c>
      <c r="F36" s="155">
        <f t="shared" si="0"/>
        <v>0</v>
      </c>
    </row>
    <row r="37" spans="1:6" x14ac:dyDescent="0.3">
      <c r="A37" s="156">
        <v>43861</v>
      </c>
      <c r="B37" s="157" t="s">
        <v>128</v>
      </c>
      <c r="C37" s="97">
        <v>11099.6</v>
      </c>
      <c r="D37" s="158"/>
      <c r="E37" s="97"/>
      <c r="F37" s="155">
        <f t="shared" si="0"/>
        <v>11099.6</v>
      </c>
    </row>
    <row r="38" spans="1:6" x14ac:dyDescent="0.3">
      <c r="A38" s="156">
        <v>43862</v>
      </c>
      <c r="B38" s="157" t="s">
        <v>129</v>
      </c>
      <c r="C38" s="97">
        <v>122864.8</v>
      </c>
      <c r="D38" s="158"/>
      <c r="E38" s="97"/>
      <c r="F38" s="155">
        <f t="shared" si="0"/>
        <v>133964.4</v>
      </c>
    </row>
    <row r="39" spans="1:6" x14ac:dyDescent="0.3">
      <c r="A39" s="156">
        <v>43863</v>
      </c>
      <c r="B39" s="157" t="s">
        <v>130</v>
      </c>
      <c r="C39" s="97">
        <v>8621.7999999999993</v>
      </c>
      <c r="D39" s="158"/>
      <c r="E39" s="97"/>
      <c r="F39" s="155">
        <f t="shared" si="0"/>
        <v>142586.19999999998</v>
      </c>
    </row>
    <row r="40" spans="1:6" x14ac:dyDescent="0.3">
      <c r="A40" s="156">
        <v>43864</v>
      </c>
      <c r="B40" s="157" t="s">
        <v>131</v>
      </c>
      <c r="C40" s="97">
        <v>109336</v>
      </c>
      <c r="D40" s="158"/>
      <c r="E40" s="97"/>
      <c r="F40" s="155">
        <f t="shared" si="0"/>
        <v>251922.19999999998</v>
      </c>
    </row>
    <row r="41" spans="1:6" x14ac:dyDescent="0.3">
      <c r="A41" s="156">
        <v>43866</v>
      </c>
      <c r="B41" s="157" t="s">
        <v>132</v>
      </c>
      <c r="C41" s="97">
        <v>85830.3</v>
      </c>
      <c r="D41" s="158"/>
      <c r="E41" s="97"/>
      <c r="F41" s="155">
        <f t="shared" si="0"/>
        <v>337752.5</v>
      </c>
    </row>
    <row r="42" spans="1:6" x14ac:dyDescent="0.3">
      <c r="A42" s="156">
        <v>43867</v>
      </c>
      <c r="B42" s="157" t="s">
        <v>133</v>
      </c>
      <c r="C42" s="97">
        <v>87095.91</v>
      </c>
      <c r="D42" s="158"/>
      <c r="E42" s="97"/>
      <c r="F42" s="155">
        <f t="shared" si="0"/>
        <v>424848.41000000003</v>
      </c>
    </row>
    <row r="43" spans="1:6" x14ac:dyDescent="0.3">
      <c r="A43" s="156">
        <v>43867</v>
      </c>
      <c r="B43" s="157" t="s">
        <v>134</v>
      </c>
      <c r="C43" s="97">
        <v>540</v>
      </c>
      <c r="D43" s="158">
        <v>43869</v>
      </c>
      <c r="E43" s="97">
        <v>425388.41</v>
      </c>
      <c r="F43" s="155">
        <f t="shared" si="0"/>
        <v>0</v>
      </c>
    </row>
    <row r="44" spans="1:6" x14ac:dyDescent="0.3">
      <c r="A44" s="156"/>
      <c r="B44" s="157"/>
      <c r="C44" s="97"/>
      <c r="D44" s="158"/>
      <c r="E44" s="97"/>
      <c r="F44" s="155">
        <f t="shared" si="0"/>
        <v>0</v>
      </c>
    </row>
    <row r="45" spans="1:6" x14ac:dyDescent="0.3">
      <c r="A45" s="156"/>
      <c r="B45" s="157"/>
      <c r="C45" s="97"/>
      <c r="D45" s="158"/>
      <c r="E45" s="97"/>
      <c r="F45" s="155">
        <f t="shared" si="0"/>
        <v>0</v>
      </c>
    </row>
    <row r="46" spans="1:6" x14ac:dyDescent="0.3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3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3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3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" thickBot="1" x14ac:dyDescent="0.35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8.600000000000001" thickTop="1" x14ac:dyDescent="0.35">
      <c r="B51" s="65"/>
      <c r="C51" s="4">
        <f>SUM(C3:C50)</f>
        <v>2518468.4499999993</v>
      </c>
      <c r="D51" s="1"/>
      <c r="E51" s="4">
        <f>SUM(E3:E50)</f>
        <v>2518468.4500000002</v>
      </c>
      <c r="F51" s="163">
        <f>F50</f>
        <v>0</v>
      </c>
    </row>
    <row r="52" spans="1:6" x14ac:dyDescent="0.3">
      <c r="B52" s="65"/>
      <c r="C52" s="4"/>
      <c r="D52" s="1"/>
      <c r="E52" s="5"/>
      <c r="F52" s="4"/>
    </row>
    <row r="53" spans="1:6" x14ac:dyDescent="0.3">
      <c r="B53" s="65"/>
      <c r="C53" s="4"/>
      <c r="D53" s="1"/>
      <c r="E53" s="5"/>
      <c r="F53" s="4"/>
    </row>
    <row r="54" spans="1:6" x14ac:dyDescent="0.3">
      <c r="A54"/>
      <c r="B54" s="23"/>
      <c r="D54" s="23"/>
    </row>
    <row r="55" spans="1:6" x14ac:dyDescent="0.3">
      <c r="A55"/>
      <c r="B55" s="23"/>
      <c r="D55" s="23"/>
    </row>
    <row r="56" spans="1:6" x14ac:dyDescent="0.3">
      <c r="A56"/>
      <c r="B56" s="23"/>
      <c r="D56" s="23"/>
    </row>
    <row r="57" spans="1:6" x14ac:dyDescent="0.3">
      <c r="A57"/>
      <c r="B57" s="23"/>
      <c r="D57" s="23"/>
      <c r="F57"/>
    </row>
    <row r="58" spans="1:6" x14ac:dyDescent="0.3">
      <c r="A58"/>
      <c r="B58" s="23"/>
      <c r="D58" s="23"/>
      <c r="F58"/>
    </row>
    <row r="59" spans="1:6" x14ac:dyDescent="0.3">
      <c r="A59"/>
      <c r="B59" s="23"/>
      <c r="D59" s="23"/>
      <c r="F59"/>
    </row>
    <row r="60" spans="1:6" x14ac:dyDescent="0.3">
      <c r="A60"/>
      <c r="B60" s="23"/>
      <c r="D60" s="23"/>
      <c r="F60"/>
    </row>
    <row r="61" spans="1:6" x14ac:dyDescent="0.3">
      <c r="A61"/>
      <c r="B61" s="23"/>
      <c r="D61" s="23"/>
      <c r="F61"/>
    </row>
    <row r="62" spans="1:6" x14ac:dyDescent="0.3">
      <c r="A62"/>
      <c r="B62" s="23"/>
      <c r="D62" s="23"/>
      <c r="F62"/>
    </row>
    <row r="63" spans="1:6" x14ac:dyDescent="0.3">
      <c r="A63"/>
      <c r="B63" s="23"/>
      <c r="D63" s="23"/>
      <c r="F63"/>
    </row>
    <row r="64" spans="1:6" x14ac:dyDescent="0.3">
      <c r="A64"/>
      <c r="B64" s="23"/>
      <c r="D64" s="23"/>
      <c r="F64"/>
    </row>
    <row r="65" spans="1:6" x14ac:dyDescent="0.3">
      <c r="A65"/>
      <c r="B65" s="23"/>
      <c r="D65" s="23"/>
      <c r="F65"/>
    </row>
    <row r="66" spans="1:6" x14ac:dyDescent="0.3">
      <c r="A66"/>
      <c r="B66" s="23"/>
      <c r="D66" s="23"/>
      <c r="E66"/>
      <c r="F66"/>
    </row>
    <row r="67" spans="1:6" x14ac:dyDescent="0.3">
      <c r="A67"/>
      <c r="B67" s="23"/>
      <c r="D67" s="23"/>
      <c r="E67"/>
      <c r="F67"/>
    </row>
    <row r="68" spans="1:6" x14ac:dyDescent="0.3">
      <c r="A68"/>
      <c r="B68" s="23"/>
      <c r="D68" s="23"/>
      <c r="E68"/>
      <c r="F68"/>
    </row>
    <row r="69" spans="1:6" x14ac:dyDescent="0.3">
      <c r="A69"/>
      <c r="B69" s="23"/>
      <c r="D69" s="23"/>
      <c r="E69"/>
      <c r="F69"/>
    </row>
    <row r="70" spans="1:6" x14ac:dyDescent="0.3">
      <c r="A70"/>
      <c r="B70" s="23"/>
      <c r="D70" s="23"/>
      <c r="E70"/>
      <c r="F70"/>
    </row>
    <row r="71" spans="1:6" x14ac:dyDescent="0.3">
      <c r="A71"/>
      <c r="B71" s="23"/>
      <c r="D71" s="23"/>
      <c r="E71"/>
      <c r="F71"/>
    </row>
    <row r="72" spans="1:6" x14ac:dyDescent="0.3">
      <c r="B72" s="23"/>
      <c r="D72" s="23"/>
      <c r="E72"/>
    </row>
    <row r="73" spans="1:6" x14ac:dyDescent="0.3">
      <c r="B73" s="23"/>
      <c r="D73" s="23"/>
      <c r="E73"/>
    </row>
    <row r="74" spans="1:6" x14ac:dyDescent="0.3">
      <c r="B74" s="23"/>
      <c r="D74" s="23"/>
      <c r="E74"/>
    </row>
    <row r="75" spans="1:6" x14ac:dyDescent="0.3">
      <c r="B75" s="23"/>
      <c r="D75" s="23"/>
      <c r="E75"/>
    </row>
    <row r="76" spans="1:6" x14ac:dyDescent="0.3">
      <c r="B76" s="23"/>
      <c r="D76" s="23"/>
      <c r="E76"/>
    </row>
    <row r="77" spans="1:6" x14ac:dyDescent="0.3">
      <c r="B77" s="23"/>
      <c r="D77" s="23"/>
      <c r="E77"/>
    </row>
    <row r="78" spans="1:6" x14ac:dyDescent="0.3">
      <c r="B78" s="23"/>
      <c r="D78" s="23"/>
      <c r="E78"/>
    </row>
    <row r="79" spans="1:6" x14ac:dyDescent="0.3">
      <c r="B79" s="23"/>
      <c r="D79" s="23"/>
      <c r="E79"/>
    </row>
    <row r="80" spans="1:6" x14ac:dyDescent="0.3">
      <c r="B80" s="23"/>
      <c r="D80" s="23"/>
      <c r="E80"/>
    </row>
    <row r="81" spans="2:4" x14ac:dyDescent="0.3">
      <c r="B81" s="23"/>
    </row>
    <row r="82" spans="2:4" x14ac:dyDescent="0.3">
      <c r="B82" s="23"/>
    </row>
    <row r="83" spans="2:4" x14ac:dyDescent="0.3">
      <c r="B83" s="23"/>
      <c r="D83" s="23"/>
    </row>
    <row r="84" spans="2:4" x14ac:dyDescent="0.3">
      <c r="B84" s="23"/>
    </row>
    <row r="85" spans="2:4" x14ac:dyDescent="0.3">
      <c r="B85" s="23"/>
    </row>
    <row r="86" spans="2:4" x14ac:dyDescent="0.3">
      <c r="B86" s="23"/>
    </row>
    <row r="87" spans="2:4" ht="18" x14ac:dyDescent="0.35">
      <c r="C87" s="14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9FDE-B951-40F8-B1E1-3B1C021C14E9}">
  <sheetPr>
    <tabColor rgb="FF0070C0"/>
  </sheetPr>
  <dimension ref="A1:X138"/>
  <sheetViews>
    <sheetView topLeftCell="A106" workbookViewId="0">
      <selection activeCell="D123" sqref="D123"/>
    </sheetView>
  </sheetViews>
  <sheetFormatPr baseColWidth="10" defaultRowHeight="14.4" x14ac:dyDescent="0.3"/>
  <cols>
    <col min="1" max="1" width="11.44140625" style="1"/>
    <col min="2" max="2" width="13.109375" style="476" customWidth="1"/>
    <col min="3" max="3" width="9.88671875" style="476" hidden="1" customWidth="1"/>
    <col min="4" max="4" width="29.5546875" customWidth="1"/>
    <col min="5" max="5" width="14.109375" style="5" bestFit="1" customWidth="1"/>
    <col min="6" max="6" width="13.33203125" style="477" customWidth="1"/>
    <col min="7" max="7" width="18" style="5" customWidth="1"/>
    <col min="8" max="8" width="14.109375" customWidth="1"/>
    <col min="9" max="9" width="3.44140625" customWidth="1"/>
    <col min="14" max="14" width="15.109375" customWidth="1"/>
    <col min="16" max="16" width="12.6640625" bestFit="1" customWidth="1"/>
    <col min="21" max="21" width="18.44140625" customWidth="1"/>
    <col min="22" max="22" width="12.33203125" bestFit="1" customWidth="1"/>
    <col min="23" max="23" width="17.6640625" customWidth="1"/>
    <col min="24" max="24" width="14.5546875" customWidth="1"/>
  </cols>
  <sheetData>
    <row r="1" spans="1:9" ht="18.600000000000001" thickBot="1" x14ac:dyDescent="0.4">
      <c r="B1" s="643" t="s">
        <v>577</v>
      </c>
      <c r="C1" s="644"/>
      <c r="D1" s="644"/>
      <c r="E1" s="644"/>
      <c r="F1" s="644"/>
      <c r="G1" s="645"/>
      <c r="I1" s="412"/>
    </row>
    <row r="2" spans="1:9" ht="21" x14ac:dyDescent="0.4">
      <c r="A2" s="478"/>
      <c r="B2" s="646" t="s">
        <v>544</v>
      </c>
      <c r="C2" s="646"/>
      <c r="D2" s="646"/>
      <c r="E2" s="646"/>
      <c r="F2" s="646"/>
      <c r="G2" s="414"/>
      <c r="H2" s="173"/>
      <c r="I2" s="412"/>
    </row>
    <row r="3" spans="1:9" ht="44.4" thickBot="1" x14ac:dyDescent="0.4">
      <c r="A3" s="415"/>
      <c r="B3" s="416" t="s">
        <v>545</v>
      </c>
      <c r="C3" s="417" t="s">
        <v>546</v>
      </c>
      <c r="D3" s="418" t="s">
        <v>547</v>
      </c>
      <c r="E3" s="419" t="s">
        <v>66</v>
      </c>
      <c r="F3" s="420" t="s">
        <v>548</v>
      </c>
      <c r="G3" s="421" t="s">
        <v>549</v>
      </c>
      <c r="H3" s="422" t="s">
        <v>550</v>
      </c>
      <c r="I3" s="412"/>
    </row>
    <row r="4" spans="1:9" ht="18.75" customHeight="1" thickTop="1" x14ac:dyDescent="0.3">
      <c r="A4" s="158">
        <v>44105</v>
      </c>
      <c r="B4" s="423">
        <v>1374</v>
      </c>
      <c r="C4" s="424"/>
      <c r="D4" s="48" t="s">
        <v>562</v>
      </c>
      <c r="E4" s="52">
        <v>1665</v>
      </c>
      <c r="F4" s="270">
        <v>44106</v>
      </c>
      <c r="G4" s="56">
        <v>1665</v>
      </c>
      <c r="H4" s="425">
        <f t="shared" ref="H4:H120" si="0">E4-G4</f>
        <v>0</v>
      </c>
      <c r="I4" s="412"/>
    </row>
    <row r="5" spans="1:9" ht="15.6" x14ac:dyDescent="0.3">
      <c r="A5" s="158">
        <v>44105</v>
      </c>
      <c r="B5" s="426">
        <f>B4+1</f>
        <v>1375</v>
      </c>
      <c r="C5" s="424"/>
      <c r="D5" s="479" t="s">
        <v>551</v>
      </c>
      <c r="E5" s="480">
        <v>11812</v>
      </c>
      <c r="F5" s="270">
        <v>44110</v>
      </c>
      <c r="G5" s="56">
        <v>11812</v>
      </c>
      <c r="H5" s="425">
        <f t="shared" si="0"/>
        <v>0</v>
      </c>
    </row>
    <row r="6" spans="1:9" ht="15.6" x14ac:dyDescent="0.3">
      <c r="A6" s="158">
        <v>44105</v>
      </c>
      <c r="B6" s="426">
        <f t="shared" ref="B6:B69" si="1">B5+1</f>
        <v>1376</v>
      </c>
      <c r="C6" s="424"/>
      <c r="D6" s="48" t="s">
        <v>553</v>
      </c>
      <c r="E6" s="52">
        <v>1965</v>
      </c>
      <c r="F6" s="270">
        <v>44106</v>
      </c>
      <c r="G6" s="56">
        <v>1965</v>
      </c>
      <c r="H6" s="425">
        <f t="shared" si="0"/>
        <v>0</v>
      </c>
    </row>
    <row r="7" spans="1:9" ht="16.5" customHeight="1" x14ac:dyDescent="0.3">
      <c r="A7" s="427">
        <v>44105</v>
      </c>
      <c r="B7" s="426">
        <f t="shared" si="1"/>
        <v>1377</v>
      </c>
      <c r="C7" s="424"/>
      <c r="D7" s="481" t="s">
        <v>553</v>
      </c>
      <c r="E7" s="482">
        <v>218</v>
      </c>
      <c r="F7" s="270">
        <v>44111</v>
      </c>
      <c r="G7" s="56">
        <v>218</v>
      </c>
      <c r="H7" s="425">
        <f t="shared" si="0"/>
        <v>0</v>
      </c>
    </row>
    <row r="8" spans="1:9" ht="15.6" x14ac:dyDescent="0.3">
      <c r="A8" s="158">
        <v>44106</v>
      </c>
      <c r="B8" s="426">
        <f t="shared" si="1"/>
        <v>1378</v>
      </c>
      <c r="C8" s="424"/>
      <c r="D8" s="430" t="s">
        <v>563</v>
      </c>
      <c r="E8" s="97">
        <v>1523</v>
      </c>
      <c r="F8" s="270">
        <v>44107</v>
      </c>
      <c r="G8" s="56">
        <v>1523</v>
      </c>
      <c r="H8" s="425">
        <f t="shared" si="0"/>
        <v>0</v>
      </c>
    </row>
    <row r="9" spans="1:9" ht="15.6" x14ac:dyDescent="0.3">
      <c r="A9" s="158">
        <v>44106</v>
      </c>
      <c r="B9" s="426">
        <f t="shared" si="1"/>
        <v>1379</v>
      </c>
      <c r="C9" s="424"/>
      <c r="D9" s="48" t="s">
        <v>553</v>
      </c>
      <c r="E9" s="97">
        <v>140</v>
      </c>
      <c r="F9" s="270">
        <v>44111</v>
      </c>
      <c r="G9" s="56">
        <v>140</v>
      </c>
      <c r="H9" s="425">
        <f t="shared" si="0"/>
        <v>0</v>
      </c>
    </row>
    <row r="10" spans="1:9" ht="15.6" x14ac:dyDescent="0.3">
      <c r="A10" s="158">
        <v>44106</v>
      </c>
      <c r="B10" s="426">
        <f t="shared" si="1"/>
        <v>1380</v>
      </c>
      <c r="C10" s="424"/>
      <c r="D10" s="48" t="s">
        <v>559</v>
      </c>
      <c r="E10" s="97">
        <v>3449</v>
      </c>
      <c r="F10" s="270">
        <v>44113</v>
      </c>
      <c r="G10" s="56">
        <v>3449</v>
      </c>
      <c r="H10" s="425">
        <f t="shared" si="0"/>
        <v>0</v>
      </c>
    </row>
    <row r="11" spans="1:9" ht="15.6" x14ac:dyDescent="0.3">
      <c r="A11" s="158">
        <v>44106</v>
      </c>
      <c r="B11" s="426">
        <f t="shared" si="1"/>
        <v>1381</v>
      </c>
      <c r="C11" s="424"/>
      <c r="D11" s="48" t="s">
        <v>558</v>
      </c>
      <c r="E11" s="52">
        <v>5561</v>
      </c>
      <c r="F11" s="270">
        <v>44107</v>
      </c>
      <c r="G11" s="56">
        <v>5561</v>
      </c>
      <c r="H11" s="425">
        <f t="shared" si="0"/>
        <v>0</v>
      </c>
    </row>
    <row r="12" spans="1:9" ht="15.6" x14ac:dyDescent="0.3">
      <c r="A12" s="158">
        <v>44107</v>
      </c>
      <c r="B12" s="426">
        <f t="shared" si="1"/>
        <v>1382</v>
      </c>
      <c r="C12" s="431"/>
      <c r="D12" s="51" t="s">
        <v>552</v>
      </c>
      <c r="E12" s="52">
        <v>9865</v>
      </c>
      <c r="F12" s="270">
        <v>44110</v>
      </c>
      <c r="G12" s="56">
        <v>9865</v>
      </c>
      <c r="H12" s="425">
        <f t="shared" si="0"/>
        <v>0</v>
      </c>
    </row>
    <row r="13" spans="1:9" ht="15.6" x14ac:dyDescent="0.3">
      <c r="A13" s="158">
        <v>44107</v>
      </c>
      <c r="B13" s="426">
        <f t="shared" si="1"/>
        <v>1383</v>
      </c>
      <c r="C13" s="432"/>
      <c r="D13" s="48" t="s">
        <v>553</v>
      </c>
      <c r="E13" s="52">
        <v>171</v>
      </c>
      <c r="F13" s="270">
        <v>44111</v>
      </c>
      <c r="G13" s="56">
        <v>171</v>
      </c>
      <c r="H13" s="425">
        <f t="shared" si="0"/>
        <v>0</v>
      </c>
    </row>
    <row r="14" spans="1:9" ht="15.6" x14ac:dyDescent="0.3">
      <c r="A14" s="158">
        <v>44108</v>
      </c>
      <c r="B14" s="426">
        <f t="shared" si="1"/>
        <v>1384</v>
      </c>
      <c r="C14" s="431"/>
      <c r="D14" s="51" t="s">
        <v>570</v>
      </c>
      <c r="E14" s="52">
        <v>1365</v>
      </c>
      <c r="F14" s="270">
        <v>44114</v>
      </c>
      <c r="G14" s="56">
        <v>1365</v>
      </c>
      <c r="H14" s="425">
        <f t="shared" si="0"/>
        <v>0</v>
      </c>
    </row>
    <row r="15" spans="1:9" ht="15.6" x14ac:dyDescent="0.3">
      <c r="A15" s="158">
        <v>44108</v>
      </c>
      <c r="B15" s="426">
        <f t="shared" si="1"/>
        <v>1385</v>
      </c>
      <c r="C15" s="432"/>
      <c r="D15" s="48" t="s">
        <v>560</v>
      </c>
      <c r="E15" s="52">
        <v>4295</v>
      </c>
      <c r="F15" s="270">
        <v>44114</v>
      </c>
      <c r="G15" s="56">
        <v>4295</v>
      </c>
      <c r="H15" s="425">
        <f t="shared" si="0"/>
        <v>0</v>
      </c>
    </row>
    <row r="16" spans="1:9" ht="15.6" x14ac:dyDescent="0.3">
      <c r="A16" s="158">
        <v>44109</v>
      </c>
      <c r="B16" s="426">
        <f t="shared" si="1"/>
        <v>1386</v>
      </c>
      <c r="C16" s="431"/>
      <c r="D16" s="48" t="s">
        <v>563</v>
      </c>
      <c r="E16" s="52">
        <v>1524</v>
      </c>
      <c r="F16" s="270">
        <v>44112</v>
      </c>
      <c r="G16" s="56">
        <v>1524</v>
      </c>
      <c r="H16" s="425">
        <f t="shared" si="0"/>
        <v>0</v>
      </c>
    </row>
    <row r="17" spans="1:8" ht="15.6" x14ac:dyDescent="0.3">
      <c r="A17" s="158">
        <v>44110</v>
      </c>
      <c r="B17" s="426">
        <f t="shared" si="1"/>
        <v>1387</v>
      </c>
      <c r="C17" s="432"/>
      <c r="D17" s="48" t="s">
        <v>551</v>
      </c>
      <c r="E17" s="52">
        <v>12185</v>
      </c>
      <c r="F17" s="270">
        <v>44116</v>
      </c>
      <c r="G17" s="56">
        <v>12185</v>
      </c>
      <c r="H17" s="425">
        <f t="shared" si="0"/>
        <v>0</v>
      </c>
    </row>
    <row r="18" spans="1:8" ht="15.6" x14ac:dyDescent="0.3">
      <c r="A18" s="158">
        <v>44111</v>
      </c>
      <c r="B18" s="426">
        <f t="shared" si="1"/>
        <v>1388</v>
      </c>
      <c r="C18" s="431"/>
      <c r="D18" s="48" t="s">
        <v>552</v>
      </c>
      <c r="E18" s="52">
        <v>13501</v>
      </c>
      <c r="F18" s="270">
        <v>44116</v>
      </c>
      <c r="G18" s="56">
        <v>13501</v>
      </c>
      <c r="H18" s="425">
        <f t="shared" si="0"/>
        <v>0</v>
      </c>
    </row>
    <row r="19" spans="1:8" ht="15.6" x14ac:dyDescent="0.3">
      <c r="A19" s="158">
        <v>44111</v>
      </c>
      <c r="B19" s="426">
        <f t="shared" si="1"/>
        <v>1389</v>
      </c>
      <c r="C19" s="432"/>
      <c r="D19" s="51" t="s">
        <v>578</v>
      </c>
      <c r="E19" s="52">
        <v>9146</v>
      </c>
      <c r="F19" s="270">
        <v>44112</v>
      </c>
      <c r="G19" s="56">
        <v>9146</v>
      </c>
      <c r="H19" s="425">
        <f t="shared" si="0"/>
        <v>0</v>
      </c>
    </row>
    <row r="20" spans="1:8" ht="15.6" x14ac:dyDescent="0.3">
      <c r="A20" s="158">
        <v>44111</v>
      </c>
      <c r="B20" s="426">
        <f t="shared" si="1"/>
        <v>1390</v>
      </c>
      <c r="C20" s="431"/>
      <c r="D20" s="48" t="s">
        <v>553</v>
      </c>
      <c r="E20" s="52">
        <v>422</v>
      </c>
      <c r="F20" s="433">
        <v>44146</v>
      </c>
      <c r="G20" s="434">
        <v>422</v>
      </c>
      <c r="H20" s="425">
        <f t="shared" si="0"/>
        <v>0</v>
      </c>
    </row>
    <row r="21" spans="1:8" ht="15.6" x14ac:dyDescent="0.3">
      <c r="A21" s="158">
        <v>44111</v>
      </c>
      <c r="B21" s="426">
        <f t="shared" si="1"/>
        <v>1391</v>
      </c>
      <c r="C21" s="431"/>
      <c r="D21" s="48" t="s">
        <v>563</v>
      </c>
      <c r="E21" s="52">
        <v>1524</v>
      </c>
      <c r="F21" s="270">
        <v>44112</v>
      </c>
      <c r="G21" s="56">
        <v>1524</v>
      </c>
      <c r="H21" s="425">
        <f t="shared" si="0"/>
        <v>0</v>
      </c>
    </row>
    <row r="22" spans="1:8" ht="15.6" x14ac:dyDescent="0.3">
      <c r="A22" s="158">
        <v>44111</v>
      </c>
      <c r="B22" s="426">
        <f t="shared" si="1"/>
        <v>1392</v>
      </c>
      <c r="C22" s="431"/>
      <c r="D22" s="48" t="s">
        <v>552</v>
      </c>
      <c r="E22" s="52">
        <v>8114</v>
      </c>
      <c r="F22" s="270">
        <v>44116</v>
      </c>
      <c r="G22" s="56">
        <v>8114</v>
      </c>
      <c r="H22" s="425">
        <f t="shared" si="0"/>
        <v>0</v>
      </c>
    </row>
    <row r="23" spans="1:8" ht="15.6" x14ac:dyDescent="0.3">
      <c r="A23" s="158">
        <v>44113</v>
      </c>
      <c r="B23" s="426">
        <f t="shared" si="1"/>
        <v>1393</v>
      </c>
      <c r="C23" s="431"/>
      <c r="D23" s="48" t="s">
        <v>560</v>
      </c>
      <c r="E23" s="52">
        <v>6165</v>
      </c>
      <c r="F23" s="270">
        <v>44117</v>
      </c>
      <c r="G23" s="56">
        <v>6165</v>
      </c>
      <c r="H23" s="425">
        <f t="shared" si="0"/>
        <v>0</v>
      </c>
    </row>
    <row r="24" spans="1:8" ht="15.6" x14ac:dyDescent="0.3">
      <c r="A24" s="158">
        <v>44113</v>
      </c>
      <c r="B24" s="426">
        <f t="shared" si="1"/>
        <v>1394</v>
      </c>
      <c r="C24" s="431"/>
      <c r="D24" s="48" t="s">
        <v>553</v>
      </c>
      <c r="E24" s="52">
        <v>209</v>
      </c>
      <c r="F24" s="433">
        <v>44146</v>
      </c>
      <c r="G24" s="434">
        <v>209</v>
      </c>
      <c r="H24" s="425">
        <f t="shared" si="0"/>
        <v>0</v>
      </c>
    </row>
    <row r="25" spans="1:8" ht="15.6" x14ac:dyDescent="0.3">
      <c r="A25" s="158">
        <v>44114</v>
      </c>
      <c r="B25" s="426">
        <f t="shared" si="1"/>
        <v>1395</v>
      </c>
      <c r="C25" s="431"/>
      <c r="D25" s="48" t="s">
        <v>552</v>
      </c>
      <c r="E25" s="52">
        <v>5372</v>
      </c>
      <c r="F25" s="270">
        <v>44118</v>
      </c>
      <c r="G25" s="56">
        <v>5372</v>
      </c>
      <c r="H25" s="425">
        <f t="shared" si="0"/>
        <v>0</v>
      </c>
    </row>
    <row r="26" spans="1:8" ht="15.6" x14ac:dyDescent="0.3">
      <c r="A26" s="158">
        <v>44114</v>
      </c>
      <c r="B26" s="426">
        <f t="shared" si="1"/>
        <v>1396</v>
      </c>
      <c r="C26" s="431"/>
      <c r="D26" s="48" t="s">
        <v>556</v>
      </c>
      <c r="E26" s="52">
        <v>2090</v>
      </c>
      <c r="F26" s="270">
        <v>44119</v>
      </c>
      <c r="G26" s="56">
        <v>2090</v>
      </c>
      <c r="H26" s="425">
        <f t="shared" si="0"/>
        <v>0</v>
      </c>
    </row>
    <row r="27" spans="1:8" ht="15.6" x14ac:dyDescent="0.3">
      <c r="A27" s="158">
        <v>44116</v>
      </c>
      <c r="B27" s="426">
        <f t="shared" si="1"/>
        <v>1397</v>
      </c>
      <c r="C27" s="431"/>
      <c r="D27" s="48" t="s">
        <v>551</v>
      </c>
      <c r="E27" s="52">
        <v>11581</v>
      </c>
      <c r="F27" s="270">
        <v>44124</v>
      </c>
      <c r="G27" s="56">
        <v>11581</v>
      </c>
      <c r="H27" s="425">
        <f t="shared" si="0"/>
        <v>0</v>
      </c>
    </row>
    <row r="28" spans="1:8" ht="15.6" x14ac:dyDescent="0.3">
      <c r="A28" s="158">
        <v>44116</v>
      </c>
      <c r="B28" s="426">
        <f t="shared" si="1"/>
        <v>1398</v>
      </c>
      <c r="C28" s="431"/>
      <c r="D28" s="48" t="s">
        <v>562</v>
      </c>
      <c r="E28" s="52">
        <v>669</v>
      </c>
      <c r="F28" s="270">
        <v>44118</v>
      </c>
      <c r="G28" s="56">
        <v>669</v>
      </c>
      <c r="H28" s="425">
        <f t="shared" si="0"/>
        <v>0</v>
      </c>
    </row>
    <row r="29" spans="1:8" ht="15.6" x14ac:dyDescent="0.3">
      <c r="A29" s="158">
        <v>44117</v>
      </c>
      <c r="B29" s="426">
        <f t="shared" si="1"/>
        <v>1399</v>
      </c>
      <c r="C29" s="431"/>
      <c r="D29" s="48" t="s">
        <v>552</v>
      </c>
      <c r="E29" s="52">
        <v>1008</v>
      </c>
      <c r="F29" s="270">
        <v>44120</v>
      </c>
      <c r="G29" s="56">
        <v>1008</v>
      </c>
      <c r="H29" s="425">
        <f t="shared" si="0"/>
        <v>0</v>
      </c>
    </row>
    <row r="30" spans="1:8" ht="15.6" x14ac:dyDescent="0.3">
      <c r="A30" s="158">
        <v>44117</v>
      </c>
      <c r="B30" s="426">
        <f t="shared" si="1"/>
        <v>1400</v>
      </c>
      <c r="C30" s="431"/>
      <c r="D30" s="48" t="s">
        <v>552</v>
      </c>
      <c r="E30" s="52">
        <v>10254</v>
      </c>
      <c r="F30" s="270">
        <v>44121</v>
      </c>
      <c r="G30" s="56">
        <v>10254</v>
      </c>
      <c r="H30" s="425">
        <f t="shared" si="0"/>
        <v>0</v>
      </c>
    </row>
    <row r="31" spans="1:8" ht="15.6" x14ac:dyDescent="0.3">
      <c r="A31" s="158">
        <v>44117</v>
      </c>
      <c r="B31" s="426">
        <f t="shared" si="1"/>
        <v>1401</v>
      </c>
      <c r="C31" s="431"/>
      <c r="D31" s="48" t="s">
        <v>562</v>
      </c>
      <c r="E31" s="52">
        <v>1701</v>
      </c>
      <c r="F31" s="270">
        <v>44118</v>
      </c>
      <c r="G31" s="56">
        <v>1701</v>
      </c>
      <c r="H31" s="425">
        <f t="shared" si="0"/>
        <v>0</v>
      </c>
    </row>
    <row r="32" spans="1:8" ht="15.6" x14ac:dyDescent="0.3">
      <c r="A32" s="158">
        <v>44117</v>
      </c>
      <c r="B32" s="426">
        <f t="shared" si="1"/>
        <v>1402</v>
      </c>
      <c r="C32" s="431"/>
      <c r="D32" s="48" t="s">
        <v>560</v>
      </c>
      <c r="E32" s="52">
        <v>5835</v>
      </c>
      <c r="F32" s="270">
        <v>44121</v>
      </c>
      <c r="G32" s="56">
        <v>5835</v>
      </c>
      <c r="H32" s="425">
        <f t="shared" si="0"/>
        <v>0</v>
      </c>
    </row>
    <row r="33" spans="1:24" ht="15.6" x14ac:dyDescent="0.3">
      <c r="A33" s="158">
        <v>44119</v>
      </c>
      <c r="B33" s="426">
        <f t="shared" si="1"/>
        <v>1403</v>
      </c>
      <c r="C33" s="431"/>
      <c r="D33" s="48" t="s">
        <v>562</v>
      </c>
      <c r="E33" s="52">
        <v>1595</v>
      </c>
      <c r="F33" s="270">
        <v>44121</v>
      </c>
      <c r="G33" s="56">
        <v>1595</v>
      </c>
      <c r="H33" s="425">
        <f t="shared" si="0"/>
        <v>0</v>
      </c>
    </row>
    <row r="34" spans="1:24" ht="15.6" x14ac:dyDescent="0.3">
      <c r="A34" s="158">
        <v>44119</v>
      </c>
      <c r="B34" s="426">
        <f t="shared" si="1"/>
        <v>1404</v>
      </c>
      <c r="C34" s="435"/>
      <c r="D34" s="48" t="s">
        <v>553</v>
      </c>
      <c r="E34" s="52">
        <v>339</v>
      </c>
      <c r="F34" s="483">
        <v>44153</v>
      </c>
      <c r="G34" s="484">
        <v>339</v>
      </c>
      <c r="H34" s="425">
        <f t="shared" si="0"/>
        <v>0</v>
      </c>
    </row>
    <row r="35" spans="1:24" ht="18.75" customHeight="1" x14ac:dyDescent="0.3">
      <c r="A35" s="158">
        <v>44119</v>
      </c>
      <c r="B35" s="426">
        <f t="shared" si="1"/>
        <v>1405</v>
      </c>
      <c r="C35" s="436"/>
      <c r="D35" s="48" t="s">
        <v>556</v>
      </c>
      <c r="E35" s="52">
        <v>1762</v>
      </c>
      <c r="F35" s="270">
        <v>44125</v>
      </c>
      <c r="G35" s="56">
        <v>1762</v>
      </c>
      <c r="H35" s="425">
        <f t="shared" si="0"/>
        <v>0</v>
      </c>
    </row>
    <row r="36" spans="1:24" ht="18.75" customHeight="1" x14ac:dyDescent="0.3">
      <c r="A36" s="158">
        <v>44120</v>
      </c>
      <c r="B36" s="426">
        <f t="shared" si="1"/>
        <v>1406</v>
      </c>
      <c r="C36" s="431"/>
      <c r="D36" s="48" t="s">
        <v>552</v>
      </c>
      <c r="E36" s="97">
        <v>1722</v>
      </c>
      <c r="F36" s="437">
        <v>44121</v>
      </c>
      <c r="G36" s="438">
        <v>1722</v>
      </c>
      <c r="H36" s="425">
        <f t="shared" si="0"/>
        <v>0</v>
      </c>
    </row>
    <row r="37" spans="1:24" ht="18.75" customHeight="1" x14ac:dyDescent="0.3">
      <c r="A37" s="158">
        <v>44120</v>
      </c>
      <c r="B37" s="426">
        <f t="shared" si="1"/>
        <v>1407</v>
      </c>
      <c r="C37" s="431"/>
      <c r="D37" s="48" t="s">
        <v>560</v>
      </c>
      <c r="E37" s="97">
        <v>5503</v>
      </c>
      <c r="F37" s="437">
        <v>44123</v>
      </c>
      <c r="G37" s="438">
        <v>5503</v>
      </c>
      <c r="H37" s="425">
        <f t="shared" si="0"/>
        <v>0</v>
      </c>
    </row>
    <row r="38" spans="1:24" ht="18.75" customHeight="1" thickBot="1" x14ac:dyDescent="0.35">
      <c r="A38" s="158">
        <v>44120</v>
      </c>
      <c r="B38" s="426">
        <f t="shared" si="1"/>
        <v>1408</v>
      </c>
      <c r="C38" s="431"/>
      <c r="D38" s="48" t="s">
        <v>558</v>
      </c>
      <c r="E38" s="97">
        <v>7338</v>
      </c>
      <c r="F38" s="437">
        <v>44126</v>
      </c>
      <c r="G38" s="438">
        <v>7338</v>
      </c>
      <c r="H38" s="425">
        <f t="shared" si="0"/>
        <v>0</v>
      </c>
    </row>
    <row r="39" spans="1:24" ht="18.75" customHeight="1" x14ac:dyDescent="0.3">
      <c r="A39" s="158">
        <v>44120</v>
      </c>
      <c r="B39" s="426">
        <f t="shared" si="1"/>
        <v>1409</v>
      </c>
      <c r="C39" s="431"/>
      <c r="D39" s="48" t="s">
        <v>579</v>
      </c>
      <c r="E39" s="97">
        <v>2857</v>
      </c>
      <c r="F39" s="437">
        <v>44121</v>
      </c>
      <c r="G39" s="438">
        <v>2857</v>
      </c>
      <c r="H39" s="425">
        <f t="shared" si="0"/>
        <v>0</v>
      </c>
      <c r="U39" s="647" t="s">
        <v>564</v>
      </c>
      <c r="W39" s="649" t="s">
        <v>565</v>
      </c>
    </row>
    <row r="40" spans="1:24" ht="18.75" customHeight="1" thickBot="1" x14ac:dyDescent="0.35">
      <c r="A40" s="158">
        <v>44120</v>
      </c>
      <c r="B40" s="426">
        <f t="shared" si="1"/>
        <v>1410</v>
      </c>
      <c r="C40" s="431"/>
      <c r="D40" s="48" t="s">
        <v>563</v>
      </c>
      <c r="E40" s="97">
        <v>1660</v>
      </c>
      <c r="F40" s="270">
        <v>44128</v>
      </c>
      <c r="G40" s="56">
        <v>1660</v>
      </c>
      <c r="H40" s="425">
        <f t="shared" si="0"/>
        <v>0</v>
      </c>
      <c r="T40" s="439" t="s">
        <v>545</v>
      </c>
      <c r="U40" s="648"/>
      <c r="V40" s="108"/>
      <c r="W40" s="650"/>
      <c r="X40" s="440" t="s">
        <v>566</v>
      </c>
    </row>
    <row r="41" spans="1:24" ht="18.75" customHeight="1" x14ac:dyDescent="0.3">
      <c r="A41" s="158">
        <v>44121</v>
      </c>
      <c r="B41" s="485">
        <f t="shared" si="1"/>
        <v>1411</v>
      </c>
      <c r="C41" s="431"/>
      <c r="D41" s="48" t="s">
        <v>553</v>
      </c>
      <c r="E41" s="97">
        <v>202</v>
      </c>
      <c r="F41" s="270">
        <v>44121</v>
      </c>
      <c r="G41" s="56">
        <v>202</v>
      </c>
      <c r="H41" s="425">
        <f t="shared" si="0"/>
        <v>0</v>
      </c>
      <c r="T41" s="441">
        <v>1412</v>
      </c>
      <c r="U41" s="234">
        <v>430</v>
      </c>
      <c r="V41" s="442">
        <v>44121</v>
      </c>
      <c r="W41" s="443">
        <v>427</v>
      </c>
      <c r="X41" s="444">
        <f>U41-W41</f>
        <v>3</v>
      </c>
    </row>
    <row r="42" spans="1:24" ht="18.75" customHeight="1" x14ac:dyDescent="0.3">
      <c r="A42" s="158">
        <v>44121</v>
      </c>
      <c r="B42" s="485">
        <f t="shared" si="1"/>
        <v>1412</v>
      </c>
      <c r="C42" s="431"/>
      <c r="D42" s="48" t="s">
        <v>553</v>
      </c>
      <c r="E42" s="97">
        <v>430</v>
      </c>
      <c r="F42" s="437">
        <v>44121</v>
      </c>
      <c r="G42" s="438">
        <v>427</v>
      </c>
      <c r="H42" s="486">
        <f t="shared" si="0"/>
        <v>3</v>
      </c>
      <c r="T42" s="40">
        <v>1413</v>
      </c>
      <c r="U42" s="52">
        <v>126</v>
      </c>
      <c r="V42" s="445">
        <v>44121</v>
      </c>
      <c r="W42" s="136">
        <v>126</v>
      </c>
      <c r="X42" s="444">
        <f t="shared" ref="X42:X62" si="2">U42-W42</f>
        <v>0</v>
      </c>
    </row>
    <row r="43" spans="1:24" ht="18.75" customHeight="1" x14ac:dyDescent="0.3">
      <c r="A43" s="158">
        <v>44121</v>
      </c>
      <c r="B43" s="485">
        <f t="shared" si="1"/>
        <v>1413</v>
      </c>
      <c r="C43" s="431"/>
      <c r="D43" s="48" t="s">
        <v>553</v>
      </c>
      <c r="E43" s="97">
        <v>126</v>
      </c>
      <c r="F43" s="437">
        <v>44121</v>
      </c>
      <c r="G43" s="438">
        <v>126</v>
      </c>
      <c r="H43" s="425">
        <f t="shared" si="0"/>
        <v>0</v>
      </c>
      <c r="T43" s="40">
        <v>1414</v>
      </c>
      <c r="U43" s="52">
        <v>119</v>
      </c>
      <c r="V43" s="445">
        <v>44121</v>
      </c>
      <c r="W43" s="136">
        <v>87</v>
      </c>
      <c r="X43" s="444">
        <f t="shared" si="2"/>
        <v>32</v>
      </c>
    </row>
    <row r="44" spans="1:24" ht="18.75" customHeight="1" x14ac:dyDescent="0.3">
      <c r="A44" s="158">
        <v>44121</v>
      </c>
      <c r="B44" s="485">
        <f t="shared" si="1"/>
        <v>1414</v>
      </c>
      <c r="C44" s="431"/>
      <c r="D44" s="48" t="s">
        <v>553</v>
      </c>
      <c r="E44" s="97">
        <v>119</v>
      </c>
      <c r="F44" s="437">
        <v>44121</v>
      </c>
      <c r="G44" s="438">
        <v>87</v>
      </c>
      <c r="H44" s="486">
        <f t="shared" si="0"/>
        <v>32</v>
      </c>
      <c r="T44" s="40">
        <v>1415</v>
      </c>
      <c r="U44" s="52">
        <v>92</v>
      </c>
      <c r="V44" s="445">
        <v>44121</v>
      </c>
      <c r="W44" s="136">
        <v>56</v>
      </c>
      <c r="X44" s="444">
        <f t="shared" si="2"/>
        <v>36</v>
      </c>
    </row>
    <row r="45" spans="1:24" ht="15.6" x14ac:dyDescent="0.3">
      <c r="A45" s="158">
        <v>44121</v>
      </c>
      <c r="B45" s="485">
        <f t="shared" si="1"/>
        <v>1415</v>
      </c>
      <c r="C45" s="431"/>
      <c r="D45" s="48" t="s">
        <v>553</v>
      </c>
      <c r="E45" s="97">
        <v>92</v>
      </c>
      <c r="F45" s="437">
        <v>44121</v>
      </c>
      <c r="G45" s="438">
        <v>56</v>
      </c>
      <c r="H45" s="486">
        <f t="shared" si="0"/>
        <v>36</v>
      </c>
      <c r="T45" s="40">
        <v>1416</v>
      </c>
      <c r="U45" s="52">
        <v>161</v>
      </c>
      <c r="V45" s="445">
        <v>44121</v>
      </c>
      <c r="W45" s="136">
        <v>403</v>
      </c>
      <c r="X45" s="444">
        <f t="shared" si="2"/>
        <v>-242</v>
      </c>
    </row>
    <row r="46" spans="1:24" ht="15.6" x14ac:dyDescent="0.3">
      <c r="A46" s="158">
        <v>44121</v>
      </c>
      <c r="B46" s="485">
        <f t="shared" si="1"/>
        <v>1416</v>
      </c>
      <c r="C46" s="431"/>
      <c r="D46" s="48" t="s">
        <v>553</v>
      </c>
      <c r="E46" s="97">
        <v>161</v>
      </c>
      <c r="F46" s="437">
        <v>44121</v>
      </c>
      <c r="G46" s="438">
        <v>403</v>
      </c>
      <c r="H46" s="487">
        <f t="shared" si="0"/>
        <v>-242</v>
      </c>
      <c r="T46" s="40">
        <v>1417</v>
      </c>
      <c r="U46" s="52">
        <v>141</v>
      </c>
      <c r="V46" s="446">
        <v>44121</v>
      </c>
      <c r="W46" s="97">
        <v>492</v>
      </c>
      <c r="X46" s="444">
        <f t="shared" si="2"/>
        <v>-351</v>
      </c>
    </row>
    <row r="47" spans="1:24" ht="15.6" x14ac:dyDescent="0.3">
      <c r="A47" s="158">
        <v>44121</v>
      </c>
      <c r="B47" s="426">
        <f t="shared" si="1"/>
        <v>1417</v>
      </c>
      <c r="C47" s="431"/>
      <c r="D47" s="48" t="s">
        <v>553</v>
      </c>
      <c r="E47" s="97">
        <v>141</v>
      </c>
      <c r="F47" s="270">
        <v>44121</v>
      </c>
      <c r="G47" s="56">
        <v>492</v>
      </c>
      <c r="H47" s="487">
        <f t="shared" si="0"/>
        <v>-351</v>
      </c>
      <c r="T47" s="40">
        <v>1418</v>
      </c>
      <c r="U47" s="52">
        <v>403</v>
      </c>
      <c r="V47" s="446">
        <v>44121</v>
      </c>
      <c r="W47" s="97">
        <v>132</v>
      </c>
      <c r="X47" s="444">
        <f t="shared" si="2"/>
        <v>271</v>
      </c>
    </row>
    <row r="48" spans="1:24" ht="15.6" x14ac:dyDescent="0.3">
      <c r="A48" s="427">
        <v>44121</v>
      </c>
      <c r="B48" s="426">
        <f t="shared" si="1"/>
        <v>1418</v>
      </c>
      <c r="C48" s="431"/>
      <c r="D48" s="48" t="s">
        <v>553</v>
      </c>
      <c r="E48" s="97">
        <v>403</v>
      </c>
      <c r="F48" s="270">
        <v>44121</v>
      </c>
      <c r="G48" s="56">
        <v>132</v>
      </c>
      <c r="H48" s="486">
        <f t="shared" si="0"/>
        <v>271</v>
      </c>
      <c r="T48" s="40">
        <v>1419</v>
      </c>
      <c r="U48" s="52">
        <v>492</v>
      </c>
      <c r="V48" s="446">
        <v>44121</v>
      </c>
      <c r="W48" s="97">
        <v>139</v>
      </c>
      <c r="X48" s="444">
        <f t="shared" si="2"/>
        <v>353</v>
      </c>
    </row>
    <row r="49" spans="1:24" ht="15.6" x14ac:dyDescent="0.3">
      <c r="A49" s="427">
        <v>44121</v>
      </c>
      <c r="B49" s="426">
        <f t="shared" si="1"/>
        <v>1419</v>
      </c>
      <c r="C49" s="431"/>
      <c r="D49" s="48" t="s">
        <v>553</v>
      </c>
      <c r="E49" s="97">
        <v>492</v>
      </c>
      <c r="F49" s="270">
        <v>44121</v>
      </c>
      <c r="G49" s="56">
        <v>139</v>
      </c>
      <c r="H49" s="486">
        <f t="shared" si="0"/>
        <v>353</v>
      </c>
      <c r="T49" s="40">
        <v>1420</v>
      </c>
      <c r="U49" s="52">
        <v>132</v>
      </c>
      <c r="V49" s="446">
        <v>44121</v>
      </c>
      <c r="W49" s="97">
        <v>116</v>
      </c>
      <c r="X49" s="444">
        <f t="shared" si="2"/>
        <v>16</v>
      </c>
    </row>
    <row r="50" spans="1:24" ht="15.6" x14ac:dyDescent="0.3">
      <c r="A50" s="427">
        <v>44121</v>
      </c>
      <c r="B50" s="426">
        <f t="shared" si="1"/>
        <v>1420</v>
      </c>
      <c r="C50" s="431"/>
      <c r="D50" s="48" t="s">
        <v>553</v>
      </c>
      <c r="E50" s="97">
        <v>132</v>
      </c>
      <c r="F50" s="270">
        <v>44121</v>
      </c>
      <c r="G50" s="56">
        <v>116</v>
      </c>
      <c r="H50" s="486">
        <f t="shared" si="0"/>
        <v>16</v>
      </c>
      <c r="T50" s="40">
        <v>1421</v>
      </c>
      <c r="U50" s="52">
        <v>139</v>
      </c>
      <c r="V50" s="446">
        <v>44121</v>
      </c>
      <c r="W50" s="97">
        <v>151</v>
      </c>
      <c r="X50" s="444">
        <f t="shared" si="2"/>
        <v>-12</v>
      </c>
    </row>
    <row r="51" spans="1:24" ht="15.6" x14ac:dyDescent="0.3">
      <c r="A51" s="427">
        <v>44121</v>
      </c>
      <c r="B51" s="426">
        <f t="shared" si="1"/>
        <v>1421</v>
      </c>
      <c r="C51" s="431"/>
      <c r="D51" s="48" t="s">
        <v>553</v>
      </c>
      <c r="E51" s="97">
        <v>139</v>
      </c>
      <c r="F51" s="270">
        <v>44121</v>
      </c>
      <c r="G51" s="56">
        <v>151</v>
      </c>
      <c r="H51" s="487">
        <f t="shared" si="0"/>
        <v>-12</v>
      </c>
      <c r="T51" s="40">
        <v>1422</v>
      </c>
      <c r="U51" s="52">
        <v>116</v>
      </c>
      <c r="V51" s="446">
        <v>44121</v>
      </c>
      <c r="W51" s="97">
        <v>214</v>
      </c>
      <c r="X51" s="444">
        <f t="shared" si="2"/>
        <v>-98</v>
      </c>
    </row>
    <row r="52" spans="1:24" ht="15.6" x14ac:dyDescent="0.3">
      <c r="A52" s="427">
        <v>44121</v>
      </c>
      <c r="B52" s="426">
        <f t="shared" si="1"/>
        <v>1422</v>
      </c>
      <c r="C52" s="431"/>
      <c r="D52" s="48" t="s">
        <v>553</v>
      </c>
      <c r="E52" s="97">
        <v>116</v>
      </c>
      <c r="F52" s="270">
        <v>44121</v>
      </c>
      <c r="G52" s="56">
        <v>214</v>
      </c>
      <c r="H52" s="487">
        <f t="shared" si="0"/>
        <v>-98</v>
      </c>
      <c r="T52" s="40">
        <v>1423</v>
      </c>
      <c r="U52" s="52">
        <v>151</v>
      </c>
      <c r="V52" s="446">
        <v>44121</v>
      </c>
      <c r="W52" s="97">
        <v>70</v>
      </c>
      <c r="X52" s="444">
        <f t="shared" si="2"/>
        <v>81</v>
      </c>
    </row>
    <row r="53" spans="1:24" ht="15.6" x14ac:dyDescent="0.3">
      <c r="A53" s="427">
        <v>44121</v>
      </c>
      <c r="B53" s="426">
        <f t="shared" si="1"/>
        <v>1423</v>
      </c>
      <c r="C53" s="431"/>
      <c r="D53" s="48" t="s">
        <v>553</v>
      </c>
      <c r="E53" s="97">
        <v>151</v>
      </c>
      <c r="F53" s="270">
        <v>44121</v>
      </c>
      <c r="G53" s="56">
        <v>70</v>
      </c>
      <c r="H53" s="486">
        <f t="shared" si="0"/>
        <v>81</v>
      </c>
      <c r="T53" s="40">
        <v>1424</v>
      </c>
      <c r="U53" s="52">
        <v>214</v>
      </c>
      <c r="V53" s="446">
        <v>44121</v>
      </c>
      <c r="W53" s="97">
        <v>103</v>
      </c>
      <c r="X53" s="444">
        <f t="shared" si="2"/>
        <v>111</v>
      </c>
    </row>
    <row r="54" spans="1:24" ht="15.6" x14ac:dyDescent="0.3">
      <c r="A54" s="427">
        <v>44121</v>
      </c>
      <c r="B54" s="426">
        <f t="shared" si="1"/>
        <v>1424</v>
      </c>
      <c r="C54" s="431"/>
      <c r="D54" s="48" t="s">
        <v>553</v>
      </c>
      <c r="E54" s="97">
        <v>214</v>
      </c>
      <c r="F54" s="270">
        <v>44121</v>
      </c>
      <c r="G54" s="56">
        <v>103</v>
      </c>
      <c r="H54" s="486">
        <f t="shared" si="0"/>
        <v>111</v>
      </c>
      <c r="T54" s="40">
        <v>1425</v>
      </c>
      <c r="U54" s="52">
        <v>70</v>
      </c>
      <c r="V54" s="446">
        <v>44121</v>
      </c>
      <c r="W54" s="97">
        <v>721</v>
      </c>
      <c r="X54" s="444">
        <f t="shared" si="2"/>
        <v>-651</v>
      </c>
    </row>
    <row r="55" spans="1:24" ht="15.6" x14ac:dyDescent="0.3">
      <c r="A55" s="427">
        <v>44121</v>
      </c>
      <c r="B55" s="426">
        <f t="shared" si="1"/>
        <v>1425</v>
      </c>
      <c r="C55" s="431"/>
      <c r="D55" s="48" t="s">
        <v>553</v>
      </c>
      <c r="E55" s="97">
        <v>70</v>
      </c>
      <c r="F55" s="270">
        <v>44121</v>
      </c>
      <c r="G55" s="56">
        <v>721</v>
      </c>
      <c r="H55" s="487">
        <f t="shared" si="0"/>
        <v>-651</v>
      </c>
      <c r="T55" s="40">
        <v>1426</v>
      </c>
      <c r="U55" s="52">
        <v>104</v>
      </c>
      <c r="V55" s="446">
        <v>44121</v>
      </c>
      <c r="W55" s="97">
        <v>133</v>
      </c>
      <c r="X55" s="444">
        <f t="shared" si="2"/>
        <v>-29</v>
      </c>
    </row>
    <row r="56" spans="1:24" ht="15.6" x14ac:dyDescent="0.3">
      <c r="A56" s="427">
        <v>44121</v>
      </c>
      <c r="B56" s="426">
        <f t="shared" si="1"/>
        <v>1426</v>
      </c>
      <c r="C56" s="431"/>
      <c r="D56" s="48" t="s">
        <v>553</v>
      </c>
      <c r="E56" s="97">
        <v>104</v>
      </c>
      <c r="F56" s="270">
        <v>44121</v>
      </c>
      <c r="G56" s="56">
        <v>133</v>
      </c>
      <c r="H56" s="487">
        <f t="shared" si="0"/>
        <v>-29</v>
      </c>
      <c r="T56" s="40">
        <v>1427</v>
      </c>
      <c r="U56" s="52">
        <v>721</v>
      </c>
      <c r="V56" s="446">
        <v>44121</v>
      </c>
      <c r="W56" s="97">
        <v>94</v>
      </c>
      <c r="X56" s="444">
        <f t="shared" si="2"/>
        <v>627</v>
      </c>
    </row>
    <row r="57" spans="1:24" ht="15.6" x14ac:dyDescent="0.3">
      <c r="A57" s="427">
        <v>44121</v>
      </c>
      <c r="B57" s="426">
        <f t="shared" si="1"/>
        <v>1427</v>
      </c>
      <c r="C57" s="431"/>
      <c r="D57" s="48" t="s">
        <v>553</v>
      </c>
      <c r="E57" s="97">
        <v>721</v>
      </c>
      <c r="F57" s="270">
        <v>44121</v>
      </c>
      <c r="G57" s="56">
        <v>94</v>
      </c>
      <c r="H57" s="486">
        <f t="shared" si="0"/>
        <v>627</v>
      </c>
      <c r="T57" s="40">
        <v>1428</v>
      </c>
      <c r="U57" s="52">
        <v>133</v>
      </c>
      <c r="V57" s="446">
        <v>44121</v>
      </c>
      <c r="W57" s="97">
        <v>130</v>
      </c>
      <c r="X57" s="444">
        <f t="shared" si="2"/>
        <v>3</v>
      </c>
    </row>
    <row r="58" spans="1:24" ht="15.6" x14ac:dyDescent="0.3">
      <c r="A58" s="427">
        <v>44121</v>
      </c>
      <c r="B58" s="426">
        <f t="shared" si="1"/>
        <v>1428</v>
      </c>
      <c r="C58" s="431"/>
      <c r="D58" s="48" t="s">
        <v>553</v>
      </c>
      <c r="E58" s="97">
        <v>133</v>
      </c>
      <c r="F58" s="270">
        <v>44121</v>
      </c>
      <c r="G58" s="56">
        <v>130</v>
      </c>
      <c r="H58" s="486">
        <f t="shared" si="0"/>
        <v>3</v>
      </c>
      <c r="T58" s="40">
        <v>1429</v>
      </c>
      <c r="U58" s="52">
        <v>94</v>
      </c>
      <c r="V58" s="446">
        <v>44121</v>
      </c>
      <c r="W58" s="97">
        <v>37</v>
      </c>
      <c r="X58" s="444">
        <f t="shared" si="2"/>
        <v>57</v>
      </c>
    </row>
    <row r="59" spans="1:24" ht="15.6" x14ac:dyDescent="0.3">
      <c r="A59" s="427">
        <v>44121</v>
      </c>
      <c r="B59" s="426">
        <f t="shared" si="1"/>
        <v>1429</v>
      </c>
      <c r="C59" s="431"/>
      <c r="D59" s="48" t="s">
        <v>553</v>
      </c>
      <c r="E59" s="97">
        <v>94</v>
      </c>
      <c r="F59" s="270">
        <v>44121</v>
      </c>
      <c r="G59" s="56">
        <v>37</v>
      </c>
      <c r="H59" s="486">
        <f t="shared" si="0"/>
        <v>57</v>
      </c>
      <c r="T59" s="40">
        <v>1430</v>
      </c>
      <c r="U59" s="52">
        <v>128</v>
      </c>
      <c r="V59" s="446">
        <v>44121</v>
      </c>
      <c r="W59" s="97">
        <v>153</v>
      </c>
      <c r="X59" s="444">
        <f t="shared" si="2"/>
        <v>-25</v>
      </c>
    </row>
    <row r="60" spans="1:24" ht="15.6" x14ac:dyDescent="0.3">
      <c r="A60" s="427">
        <v>44121</v>
      </c>
      <c r="B60" s="426">
        <f t="shared" si="1"/>
        <v>1430</v>
      </c>
      <c r="C60" s="431"/>
      <c r="D60" s="48" t="s">
        <v>553</v>
      </c>
      <c r="E60" s="97">
        <v>128</v>
      </c>
      <c r="F60" s="270">
        <v>44121</v>
      </c>
      <c r="G60" s="56">
        <v>153</v>
      </c>
      <c r="H60" s="487">
        <f t="shared" si="0"/>
        <v>-25</v>
      </c>
      <c r="T60" s="40">
        <v>1431</v>
      </c>
      <c r="U60" s="52">
        <v>37</v>
      </c>
      <c r="V60" s="446">
        <v>44121</v>
      </c>
      <c r="W60" s="97">
        <v>431</v>
      </c>
      <c r="X60" s="444">
        <f t="shared" si="2"/>
        <v>-394</v>
      </c>
    </row>
    <row r="61" spans="1:24" ht="15.6" x14ac:dyDescent="0.3">
      <c r="A61" s="427">
        <v>44121</v>
      </c>
      <c r="B61" s="426">
        <f t="shared" si="1"/>
        <v>1431</v>
      </c>
      <c r="C61" s="431"/>
      <c r="D61" s="48" t="s">
        <v>553</v>
      </c>
      <c r="E61" s="97">
        <v>37</v>
      </c>
      <c r="F61" s="270">
        <v>44121</v>
      </c>
      <c r="G61" s="56">
        <v>431</v>
      </c>
      <c r="H61" s="487">
        <f t="shared" si="0"/>
        <v>-394</v>
      </c>
      <c r="T61" s="40">
        <v>1432</v>
      </c>
      <c r="U61" s="52">
        <v>154</v>
      </c>
      <c r="V61" s="446">
        <v>44121</v>
      </c>
      <c r="W61" s="97">
        <v>160</v>
      </c>
      <c r="X61" s="444">
        <f t="shared" si="2"/>
        <v>-6</v>
      </c>
    </row>
    <row r="62" spans="1:24" ht="15.6" x14ac:dyDescent="0.3">
      <c r="A62" s="427">
        <v>44121</v>
      </c>
      <c r="B62" s="426">
        <f t="shared" si="1"/>
        <v>1432</v>
      </c>
      <c r="C62" s="431"/>
      <c r="D62" s="48" t="s">
        <v>553</v>
      </c>
      <c r="E62" s="97">
        <v>154</v>
      </c>
      <c r="F62" s="270">
        <v>44121</v>
      </c>
      <c r="G62" s="56">
        <v>160</v>
      </c>
      <c r="H62" s="488">
        <f t="shared" si="0"/>
        <v>-6</v>
      </c>
      <c r="T62" s="40">
        <v>1433</v>
      </c>
      <c r="U62" s="52">
        <v>436</v>
      </c>
      <c r="V62" s="446">
        <v>44121</v>
      </c>
      <c r="W62" s="97">
        <v>87</v>
      </c>
      <c r="X62" s="444">
        <f t="shared" si="2"/>
        <v>349</v>
      </c>
    </row>
    <row r="63" spans="1:24" ht="16.2" thickBot="1" x14ac:dyDescent="0.35">
      <c r="A63" s="489">
        <v>44121</v>
      </c>
      <c r="B63" s="426">
        <f t="shared" si="1"/>
        <v>1433</v>
      </c>
      <c r="C63" s="431"/>
      <c r="D63" s="48" t="s">
        <v>553</v>
      </c>
      <c r="E63" s="97">
        <v>436</v>
      </c>
      <c r="F63" s="270">
        <v>44121</v>
      </c>
      <c r="G63" s="56">
        <v>87</v>
      </c>
      <c r="H63" s="490">
        <f t="shared" si="0"/>
        <v>349</v>
      </c>
      <c r="U63" s="450">
        <v>0</v>
      </c>
      <c r="V63" s="451"/>
      <c r="W63" s="161">
        <v>0</v>
      </c>
      <c r="X63" s="5">
        <v>0</v>
      </c>
    </row>
    <row r="64" spans="1:24" ht="19.2" thickTop="1" thickBot="1" x14ac:dyDescent="0.4">
      <c r="A64" s="427">
        <v>44122</v>
      </c>
      <c r="B64" s="426">
        <f t="shared" si="1"/>
        <v>1434</v>
      </c>
      <c r="C64" s="431"/>
      <c r="D64" s="48" t="s">
        <v>553</v>
      </c>
      <c r="E64" s="97">
        <v>48</v>
      </c>
      <c r="F64" s="270">
        <v>44122</v>
      </c>
      <c r="G64" s="56">
        <v>48</v>
      </c>
      <c r="H64" s="449">
        <f t="shared" si="0"/>
        <v>0</v>
      </c>
      <c r="L64" s="427">
        <v>44122</v>
      </c>
      <c r="M64" s="426">
        <v>1434</v>
      </c>
      <c r="N64" s="97">
        <v>48</v>
      </c>
      <c r="O64" s="270">
        <v>44122</v>
      </c>
      <c r="P64" s="56">
        <v>48</v>
      </c>
      <c r="Q64" s="444">
        <f>N64-P64</f>
        <v>0</v>
      </c>
      <c r="T64" s="452" t="s">
        <v>571</v>
      </c>
      <c r="U64" s="453">
        <f>SUM(U41:U63)</f>
        <v>4593</v>
      </c>
      <c r="V64" s="184"/>
      <c r="W64" s="453">
        <f>SUM(W41:W63)</f>
        <v>4462</v>
      </c>
      <c r="X64" s="454">
        <f>SUM(X41:X63)</f>
        <v>131</v>
      </c>
    </row>
    <row r="65" spans="1:24" ht="15.6" x14ac:dyDescent="0.3">
      <c r="A65" s="427">
        <v>44122</v>
      </c>
      <c r="B65" s="426">
        <f t="shared" si="1"/>
        <v>1435</v>
      </c>
      <c r="C65" s="431"/>
      <c r="D65" s="48" t="s">
        <v>553</v>
      </c>
      <c r="E65" s="97">
        <v>96</v>
      </c>
      <c r="F65" s="270">
        <v>44122</v>
      </c>
      <c r="G65" s="56">
        <v>95</v>
      </c>
      <c r="H65" s="449">
        <f t="shared" si="0"/>
        <v>1</v>
      </c>
      <c r="L65" s="427">
        <v>44122</v>
      </c>
      <c r="M65" s="426">
        <f t="shared" ref="M65:M100" si="3">M64+1</f>
        <v>1435</v>
      </c>
      <c r="N65" s="97">
        <v>96</v>
      </c>
      <c r="O65" s="270">
        <v>44122</v>
      </c>
      <c r="P65" s="56">
        <v>95</v>
      </c>
      <c r="Q65" s="444">
        <f t="shared" ref="Q65:Q102" si="4">N65-P65</f>
        <v>1</v>
      </c>
      <c r="X65" s="5"/>
    </row>
    <row r="66" spans="1:24" ht="15.6" x14ac:dyDescent="0.3">
      <c r="A66" s="427">
        <v>44122</v>
      </c>
      <c r="B66" s="426">
        <f t="shared" si="1"/>
        <v>1436</v>
      </c>
      <c r="C66" s="431"/>
      <c r="D66" s="48" t="s">
        <v>553</v>
      </c>
      <c r="E66" s="97">
        <v>265</v>
      </c>
      <c r="F66" s="270">
        <v>44122</v>
      </c>
      <c r="G66" s="56">
        <v>264</v>
      </c>
      <c r="H66" s="449">
        <f t="shared" si="0"/>
        <v>1</v>
      </c>
      <c r="L66" s="427">
        <v>44122</v>
      </c>
      <c r="M66" s="426">
        <f t="shared" si="3"/>
        <v>1436</v>
      </c>
      <c r="N66" s="97">
        <v>265</v>
      </c>
      <c r="O66" s="270">
        <v>44122</v>
      </c>
      <c r="P66" s="56">
        <v>264</v>
      </c>
      <c r="Q66" s="444">
        <f t="shared" si="4"/>
        <v>1</v>
      </c>
      <c r="X66" s="5"/>
    </row>
    <row r="67" spans="1:24" ht="16.2" thickBot="1" x14ac:dyDescent="0.35">
      <c r="A67" s="427">
        <v>44122</v>
      </c>
      <c r="B67" s="426">
        <f t="shared" si="1"/>
        <v>1437</v>
      </c>
      <c r="C67" s="431"/>
      <c r="D67" s="48" t="s">
        <v>553</v>
      </c>
      <c r="E67" s="97">
        <v>154</v>
      </c>
      <c r="F67" s="437">
        <v>44122</v>
      </c>
      <c r="G67" s="438">
        <v>154</v>
      </c>
      <c r="H67" s="449">
        <f t="shared" si="0"/>
        <v>0</v>
      </c>
      <c r="L67" s="427">
        <v>44122</v>
      </c>
      <c r="M67" s="426">
        <f t="shared" si="3"/>
        <v>1437</v>
      </c>
      <c r="N67" s="97">
        <v>154</v>
      </c>
      <c r="O67" s="437">
        <v>44122</v>
      </c>
      <c r="P67" s="438">
        <v>154</v>
      </c>
      <c r="Q67" s="444">
        <f t="shared" si="4"/>
        <v>0</v>
      </c>
    </row>
    <row r="68" spans="1:24" ht="18" x14ac:dyDescent="0.35">
      <c r="A68" s="427">
        <v>44122</v>
      </c>
      <c r="B68" s="426">
        <f t="shared" si="1"/>
        <v>1438</v>
      </c>
      <c r="C68" s="431"/>
      <c r="D68" s="48" t="s">
        <v>553</v>
      </c>
      <c r="E68" s="97">
        <v>75</v>
      </c>
      <c r="F68" s="437">
        <v>44122</v>
      </c>
      <c r="G68" s="438">
        <v>74</v>
      </c>
      <c r="H68" s="449">
        <f t="shared" si="0"/>
        <v>1</v>
      </c>
      <c r="L68" s="427">
        <v>44122</v>
      </c>
      <c r="M68" s="426">
        <f t="shared" si="3"/>
        <v>1438</v>
      </c>
      <c r="N68" s="97">
        <v>75</v>
      </c>
      <c r="O68" s="437">
        <v>44122</v>
      </c>
      <c r="P68" s="438">
        <v>74</v>
      </c>
      <c r="Q68" s="444">
        <f t="shared" si="4"/>
        <v>1</v>
      </c>
      <c r="U68" s="457" t="s">
        <v>573</v>
      </c>
      <c r="V68" s="458">
        <f>U64-W64</f>
        <v>131</v>
      </c>
      <c r="W68" s="337"/>
    </row>
    <row r="69" spans="1:24" ht="16.2" thickBot="1" x14ac:dyDescent="0.35">
      <c r="A69" s="427">
        <v>44122</v>
      </c>
      <c r="B69" s="426">
        <f t="shared" si="1"/>
        <v>1439</v>
      </c>
      <c r="C69" s="431"/>
      <c r="D69" s="48" t="s">
        <v>553</v>
      </c>
      <c r="E69" s="97">
        <v>43</v>
      </c>
      <c r="F69" s="437">
        <v>44122</v>
      </c>
      <c r="G69" s="438">
        <v>43</v>
      </c>
      <c r="H69" s="449">
        <f t="shared" si="0"/>
        <v>0</v>
      </c>
      <c r="L69" s="427">
        <v>44122</v>
      </c>
      <c r="M69" s="426">
        <f t="shared" si="3"/>
        <v>1439</v>
      </c>
      <c r="N69" s="97">
        <v>43</v>
      </c>
      <c r="O69" s="437">
        <v>44122</v>
      </c>
      <c r="P69" s="438">
        <v>43</v>
      </c>
      <c r="Q69" s="444">
        <f t="shared" si="4"/>
        <v>0</v>
      </c>
      <c r="U69" s="459"/>
      <c r="V69" s="460"/>
    </row>
    <row r="70" spans="1:24" ht="15.6" x14ac:dyDescent="0.3">
      <c r="A70" s="427">
        <v>44122</v>
      </c>
      <c r="B70" s="426">
        <f t="shared" ref="B70:B116" si="5">B69+1</f>
        <v>1440</v>
      </c>
      <c r="C70" s="431"/>
      <c r="D70" s="48" t="s">
        <v>553</v>
      </c>
      <c r="E70" s="97">
        <v>40</v>
      </c>
      <c r="F70" s="437">
        <v>44122</v>
      </c>
      <c r="G70" s="438">
        <v>40</v>
      </c>
      <c r="H70" s="449">
        <f t="shared" si="0"/>
        <v>0</v>
      </c>
      <c r="L70" s="427">
        <v>44122</v>
      </c>
      <c r="M70" s="426">
        <f t="shared" si="3"/>
        <v>1440</v>
      </c>
      <c r="N70" s="97">
        <v>40</v>
      </c>
      <c r="O70" s="437">
        <v>44122</v>
      </c>
      <c r="P70" s="438">
        <v>40</v>
      </c>
      <c r="Q70" s="444">
        <f t="shared" si="4"/>
        <v>0</v>
      </c>
    </row>
    <row r="71" spans="1:24" ht="15.6" x14ac:dyDescent="0.3">
      <c r="A71" s="427">
        <v>44122</v>
      </c>
      <c r="B71" s="426">
        <f t="shared" si="5"/>
        <v>1441</v>
      </c>
      <c r="C71" s="431"/>
      <c r="D71" s="48" t="s">
        <v>553</v>
      </c>
      <c r="E71" s="97">
        <v>36</v>
      </c>
      <c r="F71" s="437">
        <v>44122</v>
      </c>
      <c r="G71" s="438">
        <v>35</v>
      </c>
      <c r="H71" s="449">
        <f t="shared" si="0"/>
        <v>1</v>
      </c>
      <c r="L71" s="427">
        <v>44122</v>
      </c>
      <c r="M71" s="426">
        <f t="shared" si="3"/>
        <v>1441</v>
      </c>
      <c r="N71" s="97">
        <v>36</v>
      </c>
      <c r="O71" s="437">
        <v>44122</v>
      </c>
      <c r="P71" s="438">
        <v>35</v>
      </c>
      <c r="Q71" s="444">
        <f t="shared" si="4"/>
        <v>1</v>
      </c>
    </row>
    <row r="72" spans="1:24" ht="15.6" x14ac:dyDescent="0.3">
      <c r="A72" s="427">
        <v>44122</v>
      </c>
      <c r="B72" s="426">
        <f t="shared" si="5"/>
        <v>1442</v>
      </c>
      <c r="C72" s="431"/>
      <c r="D72" s="48" t="s">
        <v>553</v>
      </c>
      <c r="E72" s="97">
        <v>43</v>
      </c>
      <c r="F72" s="437">
        <v>44122</v>
      </c>
      <c r="G72" s="438">
        <v>43</v>
      </c>
      <c r="H72" s="449">
        <f t="shared" si="0"/>
        <v>0</v>
      </c>
      <c r="L72" s="427">
        <v>44122</v>
      </c>
      <c r="M72" s="426">
        <f t="shared" si="3"/>
        <v>1442</v>
      </c>
      <c r="N72" s="97">
        <v>43</v>
      </c>
      <c r="O72" s="437">
        <v>44122</v>
      </c>
      <c r="P72" s="438">
        <v>43</v>
      </c>
      <c r="Q72" s="444">
        <f t="shared" si="4"/>
        <v>0</v>
      </c>
    </row>
    <row r="73" spans="1:24" ht="15.6" x14ac:dyDescent="0.3">
      <c r="A73" s="427">
        <v>44122</v>
      </c>
      <c r="B73" s="426">
        <f t="shared" si="5"/>
        <v>1443</v>
      </c>
      <c r="C73" s="431"/>
      <c r="D73" s="48" t="s">
        <v>553</v>
      </c>
      <c r="E73" s="97">
        <v>174</v>
      </c>
      <c r="F73" s="437">
        <v>44122</v>
      </c>
      <c r="G73" s="438">
        <v>174</v>
      </c>
      <c r="H73" s="449">
        <f t="shared" si="0"/>
        <v>0</v>
      </c>
      <c r="L73" s="427">
        <v>44122</v>
      </c>
      <c r="M73" s="426">
        <f t="shared" si="3"/>
        <v>1443</v>
      </c>
      <c r="N73" s="97">
        <v>174</v>
      </c>
      <c r="O73" s="437">
        <v>44122</v>
      </c>
      <c r="P73" s="438">
        <v>174</v>
      </c>
      <c r="Q73" s="444">
        <f t="shared" si="4"/>
        <v>0</v>
      </c>
    </row>
    <row r="74" spans="1:24" ht="15.6" x14ac:dyDescent="0.3">
      <c r="A74" s="427">
        <v>44122</v>
      </c>
      <c r="B74" s="426">
        <f t="shared" si="5"/>
        <v>1444</v>
      </c>
      <c r="C74" s="431"/>
      <c r="D74" s="48" t="s">
        <v>553</v>
      </c>
      <c r="E74" s="97">
        <v>236</v>
      </c>
      <c r="F74" s="437">
        <v>44122</v>
      </c>
      <c r="G74" s="438">
        <v>236</v>
      </c>
      <c r="H74" s="449">
        <f t="shared" si="0"/>
        <v>0</v>
      </c>
      <c r="L74" s="427">
        <v>44122</v>
      </c>
      <c r="M74" s="426">
        <f t="shared" si="3"/>
        <v>1444</v>
      </c>
      <c r="N74" s="97">
        <v>236</v>
      </c>
      <c r="O74" s="437">
        <v>44122</v>
      </c>
      <c r="P74" s="438">
        <v>236</v>
      </c>
      <c r="Q74" s="444">
        <f t="shared" si="4"/>
        <v>0</v>
      </c>
    </row>
    <row r="75" spans="1:24" ht="15.6" x14ac:dyDescent="0.3">
      <c r="A75" s="427">
        <v>44122</v>
      </c>
      <c r="B75" s="426">
        <f t="shared" si="5"/>
        <v>1445</v>
      </c>
      <c r="C75" s="431"/>
      <c r="D75" s="48" t="s">
        <v>553</v>
      </c>
      <c r="E75" s="97">
        <v>46</v>
      </c>
      <c r="F75" s="437">
        <v>44122</v>
      </c>
      <c r="G75" s="438">
        <v>46</v>
      </c>
      <c r="H75" s="449">
        <f t="shared" si="0"/>
        <v>0</v>
      </c>
      <c r="L75" s="427">
        <v>44122</v>
      </c>
      <c r="M75" s="426">
        <f t="shared" si="3"/>
        <v>1445</v>
      </c>
      <c r="N75" s="97">
        <v>46</v>
      </c>
      <c r="O75" s="437">
        <v>44122</v>
      </c>
      <c r="P75" s="438">
        <v>46</v>
      </c>
      <c r="Q75" s="444">
        <f t="shared" si="4"/>
        <v>0</v>
      </c>
    </row>
    <row r="76" spans="1:24" ht="15.6" x14ac:dyDescent="0.3">
      <c r="A76" s="427">
        <v>44122</v>
      </c>
      <c r="B76" s="426">
        <f t="shared" si="5"/>
        <v>1446</v>
      </c>
      <c r="C76" s="431"/>
      <c r="D76" s="48" t="s">
        <v>553</v>
      </c>
      <c r="E76" s="97">
        <v>243</v>
      </c>
      <c r="F76" s="437">
        <v>44122</v>
      </c>
      <c r="G76" s="438">
        <v>234</v>
      </c>
      <c r="H76" s="449">
        <f t="shared" si="0"/>
        <v>9</v>
      </c>
      <c r="L76" s="427">
        <v>44122</v>
      </c>
      <c r="M76" s="426">
        <f t="shared" si="3"/>
        <v>1446</v>
      </c>
      <c r="N76" s="97">
        <v>243</v>
      </c>
      <c r="O76" s="437">
        <v>44122</v>
      </c>
      <c r="P76" s="438">
        <v>234</v>
      </c>
      <c r="Q76" s="444">
        <f t="shared" si="4"/>
        <v>9</v>
      </c>
    </row>
    <row r="77" spans="1:24" ht="15.6" x14ac:dyDescent="0.3">
      <c r="A77" s="427">
        <v>44122</v>
      </c>
      <c r="B77" s="426">
        <f t="shared" si="5"/>
        <v>1447</v>
      </c>
      <c r="C77" s="431"/>
      <c r="D77" s="48" t="s">
        <v>553</v>
      </c>
      <c r="E77" s="97">
        <v>932</v>
      </c>
      <c r="F77" s="437">
        <v>44122</v>
      </c>
      <c r="G77" s="438">
        <v>930</v>
      </c>
      <c r="H77" s="449">
        <f t="shared" si="0"/>
        <v>2</v>
      </c>
      <c r="L77" s="427">
        <v>44122</v>
      </c>
      <c r="M77" s="426">
        <f t="shared" si="3"/>
        <v>1447</v>
      </c>
      <c r="N77" s="97">
        <v>932</v>
      </c>
      <c r="O77" s="437">
        <v>44122</v>
      </c>
      <c r="P77" s="438">
        <v>930</v>
      </c>
      <c r="Q77" s="444">
        <f t="shared" si="4"/>
        <v>2</v>
      </c>
    </row>
    <row r="78" spans="1:24" ht="15.6" x14ac:dyDescent="0.3">
      <c r="A78" s="427">
        <v>44122</v>
      </c>
      <c r="B78" s="426">
        <f t="shared" si="5"/>
        <v>1448</v>
      </c>
      <c r="C78" s="431"/>
      <c r="D78" s="48" t="s">
        <v>553</v>
      </c>
      <c r="E78" s="97">
        <v>94</v>
      </c>
      <c r="F78" s="437">
        <v>44122</v>
      </c>
      <c r="G78" s="438">
        <v>93</v>
      </c>
      <c r="H78" s="449">
        <f t="shared" si="0"/>
        <v>1</v>
      </c>
      <c r="L78" s="427">
        <v>44122</v>
      </c>
      <c r="M78" s="426">
        <f t="shared" si="3"/>
        <v>1448</v>
      </c>
      <c r="N78" s="97">
        <v>94</v>
      </c>
      <c r="O78" s="437">
        <v>44122</v>
      </c>
      <c r="P78" s="438">
        <v>93</v>
      </c>
      <c r="Q78" s="444">
        <f t="shared" si="4"/>
        <v>1</v>
      </c>
    </row>
    <row r="79" spans="1:24" ht="15.6" x14ac:dyDescent="0.3">
      <c r="A79" s="427">
        <v>44122</v>
      </c>
      <c r="B79" s="426">
        <f t="shared" si="5"/>
        <v>1449</v>
      </c>
      <c r="C79" s="431"/>
      <c r="D79" s="48" t="s">
        <v>553</v>
      </c>
      <c r="E79" s="97">
        <v>81</v>
      </c>
      <c r="F79" s="437">
        <v>44122</v>
      </c>
      <c r="G79" s="438">
        <v>81</v>
      </c>
      <c r="H79" s="449">
        <f t="shared" si="0"/>
        <v>0</v>
      </c>
      <c r="L79" s="427">
        <v>44122</v>
      </c>
      <c r="M79" s="426">
        <f t="shared" si="3"/>
        <v>1449</v>
      </c>
      <c r="N79" s="97">
        <v>81</v>
      </c>
      <c r="O79" s="437">
        <v>44122</v>
      </c>
      <c r="P79" s="438">
        <v>81</v>
      </c>
      <c r="Q79" s="444">
        <f t="shared" si="4"/>
        <v>0</v>
      </c>
    </row>
    <row r="80" spans="1:24" ht="15.6" x14ac:dyDescent="0.3">
      <c r="A80" s="427">
        <v>44122</v>
      </c>
      <c r="B80" s="426">
        <f t="shared" si="5"/>
        <v>1450</v>
      </c>
      <c r="C80" s="431"/>
      <c r="D80" s="48" t="s">
        <v>553</v>
      </c>
      <c r="E80" s="97">
        <v>87</v>
      </c>
      <c r="F80" s="437">
        <v>44122</v>
      </c>
      <c r="G80" s="438">
        <v>87</v>
      </c>
      <c r="H80" s="449">
        <f t="shared" si="0"/>
        <v>0</v>
      </c>
      <c r="L80" s="427">
        <v>44122</v>
      </c>
      <c r="M80" s="426">
        <f t="shared" si="3"/>
        <v>1450</v>
      </c>
      <c r="N80" s="97">
        <v>87</v>
      </c>
      <c r="O80" s="437">
        <v>44122</v>
      </c>
      <c r="P80" s="438">
        <v>87</v>
      </c>
      <c r="Q80" s="444">
        <f t="shared" si="4"/>
        <v>0</v>
      </c>
    </row>
    <row r="81" spans="1:17" ht="15.6" x14ac:dyDescent="0.3">
      <c r="A81" s="427">
        <v>44122</v>
      </c>
      <c r="B81" s="426">
        <f t="shared" si="5"/>
        <v>1451</v>
      </c>
      <c r="C81" s="431"/>
      <c r="D81" s="48" t="s">
        <v>553</v>
      </c>
      <c r="E81" s="97">
        <v>97</v>
      </c>
      <c r="F81" s="437">
        <v>44122</v>
      </c>
      <c r="G81" s="438">
        <v>97</v>
      </c>
      <c r="H81" s="449">
        <f t="shared" si="0"/>
        <v>0</v>
      </c>
      <c r="L81" s="427">
        <v>44122</v>
      </c>
      <c r="M81" s="426">
        <f t="shared" si="3"/>
        <v>1451</v>
      </c>
      <c r="N81" s="97">
        <v>97</v>
      </c>
      <c r="O81" s="437">
        <v>44122</v>
      </c>
      <c r="P81" s="438">
        <v>97</v>
      </c>
      <c r="Q81" s="444">
        <f t="shared" si="4"/>
        <v>0</v>
      </c>
    </row>
    <row r="82" spans="1:17" ht="15.6" x14ac:dyDescent="0.3">
      <c r="A82" s="427">
        <v>44122</v>
      </c>
      <c r="B82" s="426">
        <f t="shared" si="5"/>
        <v>1452</v>
      </c>
      <c r="C82" s="431"/>
      <c r="D82" s="48" t="s">
        <v>553</v>
      </c>
      <c r="E82" s="97">
        <v>60</v>
      </c>
      <c r="F82" s="437">
        <v>44122</v>
      </c>
      <c r="G82" s="438">
        <v>59</v>
      </c>
      <c r="H82" s="449">
        <f t="shared" si="0"/>
        <v>1</v>
      </c>
      <c r="L82" s="427">
        <v>44122</v>
      </c>
      <c r="M82" s="426">
        <f t="shared" si="3"/>
        <v>1452</v>
      </c>
      <c r="N82" s="97">
        <v>60</v>
      </c>
      <c r="O82" s="437">
        <v>44122</v>
      </c>
      <c r="P82" s="438">
        <v>59</v>
      </c>
      <c r="Q82" s="444">
        <f t="shared" si="4"/>
        <v>1</v>
      </c>
    </row>
    <row r="83" spans="1:17" ht="15.6" x14ac:dyDescent="0.3">
      <c r="A83" s="427">
        <v>44122</v>
      </c>
      <c r="B83" s="426">
        <f t="shared" si="5"/>
        <v>1453</v>
      </c>
      <c r="C83" s="431"/>
      <c r="D83" s="48" t="s">
        <v>553</v>
      </c>
      <c r="E83" s="97">
        <v>39</v>
      </c>
      <c r="F83" s="437">
        <v>44122</v>
      </c>
      <c r="G83" s="438">
        <v>39</v>
      </c>
      <c r="H83" s="449">
        <f t="shared" si="0"/>
        <v>0</v>
      </c>
      <c r="L83" s="427">
        <v>44122</v>
      </c>
      <c r="M83" s="426">
        <f t="shared" si="3"/>
        <v>1453</v>
      </c>
      <c r="N83" s="97">
        <v>39</v>
      </c>
      <c r="O83" s="437">
        <v>44122</v>
      </c>
      <c r="P83" s="438">
        <v>39</v>
      </c>
      <c r="Q83" s="444">
        <f t="shared" si="4"/>
        <v>0</v>
      </c>
    </row>
    <row r="84" spans="1:17" ht="15.6" x14ac:dyDescent="0.3">
      <c r="A84" s="427">
        <v>44122</v>
      </c>
      <c r="B84" s="426">
        <f t="shared" si="5"/>
        <v>1454</v>
      </c>
      <c r="C84" s="431"/>
      <c r="D84" s="48" t="s">
        <v>553</v>
      </c>
      <c r="E84" s="97">
        <v>175</v>
      </c>
      <c r="F84" s="437">
        <v>44122</v>
      </c>
      <c r="G84" s="438">
        <v>175</v>
      </c>
      <c r="H84" s="449">
        <f t="shared" si="0"/>
        <v>0</v>
      </c>
      <c r="L84" s="427">
        <v>44122</v>
      </c>
      <c r="M84" s="426">
        <f t="shared" si="3"/>
        <v>1454</v>
      </c>
      <c r="N84" s="97">
        <v>175</v>
      </c>
      <c r="O84" s="437">
        <v>44122</v>
      </c>
      <c r="P84" s="438">
        <v>175</v>
      </c>
      <c r="Q84" s="444">
        <f t="shared" si="4"/>
        <v>0</v>
      </c>
    </row>
    <row r="85" spans="1:17" ht="15.6" x14ac:dyDescent="0.3">
      <c r="A85" s="427">
        <v>44122</v>
      </c>
      <c r="B85" s="426">
        <f t="shared" si="5"/>
        <v>1455</v>
      </c>
      <c r="C85" s="431"/>
      <c r="D85" s="48" t="s">
        <v>553</v>
      </c>
      <c r="E85" s="97">
        <v>40</v>
      </c>
      <c r="F85" s="437">
        <v>44122</v>
      </c>
      <c r="G85" s="438">
        <v>39</v>
      </c>
      <c r="H85" s="449">
        <f t="shared" si="0"/>
        <v>1</v>
      </c>
      <c r="L85" s="427">
        <v>44122</v>
      </c>
      <c r="M85" s="426">
        <f t="shared" si="3"/>
        <v>1455</v>
      </c>
      <c r="N85" s="97">
        <v>40</v>
      </c>
      <c r="O85" s="437">
        <v>44122</v>
      </c>
      <c r="P85" s="438">
        <v>39</v>
      </c>
      <c r="Q85" s="444">
        <f t="shared" si="4"/>
        <v>1</v>
      </c>
    </row>
    <row r="86" spans="1:17" ht="15.6" x14ac:dyDescent="0.3">
      <c r="A86" s="427">
        <v>44122</v>
      </c>
      <c r="B86" s="426">
        <f t="shared" si="5"/>
        <v>1456</v>
      </c>
      <c r="C86" s="431"/>
      <c r="D86" s="48" t="s">
        <v>553</v>
      </c>
      <c r="E86" s="97">
        <v>268</v>
      </c>
      <c r="F86" s="437">
        <v>44122</v>
      </c>
      <c r="G86" s="438">
        <v>268</v>
      </c>
      <c r="H86" s="449">
        <f t="shared" si="0"/>
        <v>0</v>
      </c>
      <c r="L86" s="427">
        <v>44122</v>
      </c>
      <c r="M86" s="426">
        <f t="shared" si="3"/>
        <v>1456</v>
      </c>
      <c r="N86" s="97">
        <v>268</v>
      </c>
      <c r="O86" s="437">
        <v>44122</v>
      </c>
      <c r="P86" s="438">
        <v>268</v>
      </c>
      <c r="Q86" s="444">
        <f t="shared" si="4"/>
        <v>0</v>
      </c>
    </row>
    <row r="87" spans="1:17" ht="15.6" x14ac:dyDescent="0.3">
      <c r="A87" s="427">
        <v>44122</v>
      </c>
      <c r="B87" s="426">
        <f t="shared" si="5"/>
        <v>1457</v>
      </c>
      <c r="C87" s="431"/>
      <c r="D87" s="48" t="s">
        <v>553</v>
      </c>
      <c r="E87" s="97">
        <v>82</v>
      </c>
      <c r="F87" s="437">
        <v>44122</v>
      </c>
      <c r="G87" s="438">
        <v>82</v>
      </c>
      <c r="H87" s="449">
        <f t="shared" si="0"/>
        <v>0</v>
      </c>
      <c r="L87" s="427">
        <v>44122</v>
      </c>
      <c r="M87" s="426">
        <f t="shared" si="3"/>
        <v>1457</v>
      </c>
      <c r="N87" s="97">
        <v>82</v>
      </c>
      <c r="O87" s="437">
        <v>44122</v>
      </c>
      <c r="P87" s="438">
        <v>82</v>
      </c>
      <c r="Q87" s="444">
        <f t="shared" si="4"/>
        <v>0</v>
      </c>
    </row>
    <row r="88" spans="1:17" ht="15.6" x14ac:dyDescent="0.3">
      <c r="A88" s="427">
        <v>44122</v>
      </c>
      <c r="B88" s="426">
        <f t="shared" si="5"/>
        <v>1458</v>
      </c>
      <c r="C88" s="431"/>
      <c r="D88" s="48" t="s">
        <v>553</v>
      </c>
      <c r="E88" s="97">
        <v>145</v>
      </c>
      <c r="F88" s="437">
        <v>44122</v>
      </c>
      <c r="G88" s="438">
        <v>145</v>
      </c>
      <c r="H88" s="449">
        <f t="shared" si="0"/>
        <v>0</v>
      </c>
      <c r="L88" s="427">
        <v>44122</v>
      </c>
      <c r="M88" s="426">
        <f t="shared" si="3"/>
        <v>1458</v>
      </c>
      <c r="N88" s="97">
        <v>145</v>
      </c>
      <c r="O88" s="437">
        <v>44122</v>
      </c>
      <c r="P88" s="438">
        <v>145</v>
      </c>
      <c r="Q88" s="444">
        <f t="shared" si="4"/>
        <v>0</v>
      </c>
    </row>
    <row r="89" spans="1:17" ht="15.6" x14ac:dyDescent="0.3">
      <c r="A89" s="427">
        <v>44122</v>
      </c>
      <c r="B89" s="426">
        <f t="shared" si="5"/>
        <v>1459</v>
      </c>
      <c r="C89" s="431"/>
      <c r="D89" s="48" t="s">
        <v>553</v>
      </c>
      <c r="E89" s="97">
        <v>82</v>
      </c>
      <c r="F89" s="437">
        <v>44122</v>
      </c>
      <c r="G89" s="438">
        <v>82</v>
      </c>
      <c r="H89" s="449">
        <f t="shared" si="0"/>
        <v>0</v>
      </c>
      <c r="L89" s="427">
        <v>44122</v>
      </c>
      <c r="M89" s="426">
        <f t="shared" si="3"/>
        <v>1459</v>
      </c>
      <c r="N89" s="97">
        <v>82</v>
      </c>
      <c r="O89" s="437">
        <v>44122</v>
      </c>
      <c r="P89" s="438">
        <v>82</v>
      </c>
      <c r="Q89" s="444">
        <f t="shared" si="4"/>
        <v>0</v>
      </c>
    </row>
    <row r="90" spans="1:17" ht="15.6" x14ac:dyDescent="0.3">
      <c r="A90" s="427">
        <v>44122</v>
      </c>
      <c r="B90" s="426">
        <f t="shared" si="5"/>
        <v>1460</v>
      </c>
      <c r="C90" s="431"/>
      <c r="D90" s="48" t="s">
        <v>553</v>
      </c>
      <c r="E90" s="97">
        <v>100</v>
      </c>
      <c r="F90" s="437">
        <v>44122</v>
      </c>
      <c r="G90" s="438">
        <v>100</v>
      </c>
      <c r="H90" s="449">
        <f t="shared" si="0"/>
        <v>0</v>
      </c>
      <c r="L90" s="427">
        <v>44122</v>
      </c>
      <c r="M90" s="426">
        <f t="shared" si="3"/>
        <v>1460</v>
      </c>
      <c r="N90" s="97">
        <v>100</v>
      </c>
      <c r="O90" s="437">
        <v>44122</v>
      </c>
      <c r="P90" s="438">
        <v>100</v>
      </c>
      <c r="Q90" s="444">
        <f t="shared" si="4"/>
        <v>0</v>
      </c>
    </row>
    <row r="91" spans="1:17" ht="15.6" x14ac:dyDescent="0.3">
      <c r="A91" s="427">
        <v>44122</v>
      </c>
      <c r="B91" s="426">
        <f t="shared" si="5"/>
        <v>1461</v>
      </c>
      <c r="C91" s="431"/>
      <c r="D91" s="48" t="s">
        <v>553</v>
      </c>
      <c r="E91" s="97">
        <v>216</v>
      </c>
      <c r="F91" s="437">
        <v>44122</v>
      </c>
      <c r="G91" s="438">
        <v>214</v>
      </c>
      <c r="H91" s="449">
        <f t="shared" si="0"/>
        <v>2</v>
      </c>
      <c r="L91" s="427">
        <v>44122</v>
      </c>
      <c r="M91" s="426">
        <f t="shared" si="3"/>
        <v>1461</v>
      </c>
      <c r="N91" s="97">
        <v>216</v>
      </c>
      <c r="O91" s="437">
        <v>44122</v>
      </c>
      <c r="P91" s="438">
        <v>214</v>
      </c>
      <c r="Q91" s="444">
        <f t="shared" si="4"/>
        <v>2</v>
      </c>
    </row>
    <row r="92" spans="1:17" ht="15.6" x14ac:dyDescent="0.3">
      <c r="A92" s="427">
        <v>44122</v>
      </c>
      <c r="B92" s="426">
        <f t="shared" si="5"/>
        <v>1462</v>
      </c>
      <c r="C92" s="431"/>
      <c r="D92" s="48" t="s">
        <v>553</v>
      </c>
      <c r="E92" s="97">
        <v>219</v>
      </c>
      <c r="F92" s="437">
        <v>44122</v>
      </c>
      <c r="G92" s="438">
        <v>218</v>
      </c>
      <c r="H92" s="449">
        <f t="shared" si="0"/>
        <v>1</v>
      </c>
      <c r="L92" s="427">
        <v>44122</v>
      </c>
      <c r="M92" s="426">
        <f t="shared" si="3"/>
        <v>1462</v>
      </c>
      <c r="N92" s="97">
        <v>219</v>
      </c>
      <c r="O92" s="437">
        <v>44122</v>
      </c>
      <c r="P92" s="438">
        <v>218</v>
      </c>
      <c r="Q92" s="444">
        <f t="shared" si="4"/>
        <v>1</v>
      </c>
    </row>
    <row r="93" spans="1:17" ht="15.6" x14ac:dyDescent="0.3">
      <c r="A93" s="427">
        <v>44122</v>
      </c>
      <c r="B93" s="426">
        <f t="shared" si="5"/>
        <v>1463</v>
      </c>
      <c r="C93" s="431"/>
      <c r="D93" s="48" t="s">
        <v>553</v>
      </c>
      <c r="E93" s="97">
        <v>15</v>
      </c>
      <c r="F93" s="437">
        <v>44122</v>
      </c>
      <c r="G93" s="438">
        <v>15</v>
      </c>
      <c r="H93" s="449">
        <f t="shared" si="0"/>
        <v>0</v>
      </c>
      <c r="L93" s="427">
        <v>44122</v>
      </c>
      <c r="M93" s="426">
        <f t="shared" si="3"/>
        <v>1463</v>
      </c>
      <c r="N93" s="97">
        <v>15</v>
      </c>
      <c r="O93" s="437">
        <v>44122</v>
      </c>
      <c r="P93" s="438">
        <v>15</v>
      </c>
      <c r="Q93" s="444">
        <f t="shared" si="4"/>
        <v>0</v>
      </c>
    </row>
    <row r="94" spans="1:17" ht="15.6" x14ac:dyDescent="0.3">
      <c r="A94" s="427">
        <v>44122</v>
      </c>
      <c r="B94" s="426">
        <f t="shared" si="5"/>
        <v>1464</v>
      </c>
      <c r="C94" s="431"/>
      <c r="D94" s="48" t="s">
        <v>553</v>
      </c>
      <c r="E94" s="97">
        <v>269</v>
      </c>
      <c r="F94" s="437">
        <v>44122</v>
      </c>
      <c r="G94" s="438">
        <v>268</v>
      </c>
      <c r="H94" s="449">
        <f t="shared" si="0"/>
        <v>1</v>
      </c>
      <c r="L94" s="427">
        <v>44122</v>
      </c>
      <c r="M94" s="426">
        <f t="shared" si="3"/>
        <v>1464</v>
      </c>
      <c r="N94" s="97">
        <v>269</v>
      </c>
      <c r="O94" s="437">
        <v>44122</v>
      </c>
      <c r="P94" s="438">
        <v>268</v>
      </c>
      <c r="Q94" s="444">
        <f t="shared" si="4"/>
        <v>1</v>
      </c>
    </row>
    <row r="95" spans="1:17" ht="15.6" x14ac:dyDescent="0.3">
      <c r="A95" s="427">
        <v>44122</v>
      </c>
      <c r="B95" s="426">
        <f t="shared" si="5"/>
        <v>1465</v>
      </c>
      <c r="C95" s="431"/>
      <c r="D95" s="48" t="s">
        <v>553</v>
      </c>
      <c r="E95" s="97">
        <v>88</v>
      </c>
      <c r="F95" s="437">
        <v>44122</v>
      </c>
      <c r="G95" s="438">
        <v>87</v>
      </c>
      <c r="H95" s="449">
        <f t="shared" si="0"/>
        <v>1</v>
      </c>
      <c r="L95" s="427">
        <v>44122</v>
      </c>
      <c r="M95" s="426">
        <f t="shared" si="3"/>
        <v>1465</v>
      </c>
      <c r="N95" s="97">
        <v>88</v>
      </c>
      <c r="O95" s="437">
        <v>44122</v>
      </c>
      <c r="P95" s="438">
        <v>87</v>
      </c>
      <c r="Q95" s="444">
        <f t="shared" si="4"/>
        <v>1</v>
      </c>
    </row>
    <row r="96" spans="1:17" ht="15.6" x14ac:dyDescent="0.3">
      <c r="A96" s="427">
        <v>44122</v>
      </c>
      <c r="B96" s="426">
        <f t="shared" si="5"/>
        <v>1466</v>
      </c>
      <c r="C96" s="431"/>
      <c r="D96" s="48" t="s">
        <v>553</v>
      </c>
      <c r="E96" s="97">
        <v>85</v>
      </c>
      <c r="F96" s="437">
        <v>44122</v>
      </c>
      <c r="G96" s="438">
        <v>84</v>
      </c>
      <c r="H96" s="449">
        <f t="shared" si="0"/>
        <v>1</v>
      </c>
      <c r="L96" s="427">
        <v>44122</v>
      </c>
      <c r="M96" s="426">
        <f t="shared" si="3"/>
        <v>1466</v>
      </c>
      <c r="N96" s="97">
        <v>85</v>
      </c>
      <c r="O96" s="437">
        <v>44122</v>
      </c>
      <c r="P96" s="438">
        <v>84</v>
      </c>
      <c r="Q96" s="444">
        <f t="shared" si="4"/>
        <v>1</v>
      </c>
    </row>
    <row r="97" spans="1:17" ht="15.6" x14ac:dyDescent="0.3">
      <c r="A97" s="427">
        <v>44122</v>
      </c>
      <c r="B97" s="426">
        <f t="shared" si="5"/>
        <v>1467</v>
      </c>
      <c r="C97" s="431"/>
      <c r="D97" s="48" t="s">
        <v>553</v>
      </c>
      <c r="E97" s="97">
        <v>494</v>
      </c>
      <c r="F97" s="437">
        <v>44122</v>
      </c>
      <c r="G97" s="438">
        <v>485</v>
      </c>
      <c r="H97" s="449">
        <f t="shared" si="0"/>
        <v>9</v>
      </c>
      <c r="L97" s="427">
        <v>44122</v>
      </c>
      <c r="M97" s="426">
        <f t="shared" si="3"/>
        <v>1467</v>
      </c>
      <c r="N97" s="97">
        <v>494</v>
      </c>
      <c r="O97" s="437">
        <v>44122</v>
      </c>
      <c r="P97" s="438">
        <v>485</v>
      </c>
      <c r="Q97" s="444">
        <f t="shared" si="4"/>
        <v>9</v>
      </c>
    </row>
    <row r="98" spans="1:17" ht="15.6" x14ac:dyDescent="0.3">
      <c r="A98" s="427">
        <v>44122</v>
      </c>
      <c r="B98" s="426">
        <f t="shared" si="5"/>
        <v>1468</v>
      </c>
      <c r="C98" s="431"/>
      <c r="D98" s="48" t="s">
        <v>553</v>
      </c>
      <c r="E98" s="97">
        <v>4152</v>
      </c>
      <c r="F98" s="437">
        <v>44122</v>
      </c>
      <c r="G98" s="438">
        <v>4152</v>
      </c>
      <c r="H98" s="449">
        <f t="shared" si="0"/>
        <v>0</v>
      </c>
      <c r="L98" s="427">
        <v>44122</v>
      </c>
      <c r="M98" s="426">
        <f t="shared" si="3"/>
        <v>1468</v>
      </c>
      <c r="N98" s="97">
        <v>4152</v>
      </c>
      <c r="O98" s="437">
        <v>44122</v>
      </c>
      <c r="P98" s="438">
        <v>4152</v>
      </c>
      <c r="Q98" s="444">
        <f t="shared" si="4"/>
        <v>0</v>
      </c>
    </row>
    <row r="99" spans="1:17" ht="15.6" x14ac:dyDescent="0.3">
      <c r="A99" s="427">
        <v>44122</v>
      </c>
      <c r="B99" s="426">
        <f t="shared" si="5"/>
        <v>1469</v>
      </c>
      <c r="C99" s="431"/>
      <c r="D99" s="48" t="s">
        <v>553</v>
      </c>
      <c r="E99" s="97">
        <v>430</v>
      </c>
      <c r="F99" s="437">
        <v>44122</v>
      </c>
      <c r="G99" s="438">
        <v>430</v>
      </c>
      <c r="H99" s="449">
        <f t="shared" si="0"/>
        <v>0</v>
      </c>
      <c r="L99" s="427">
        <v>44122</v>
      </c>
      <c r="M99" s="426">
        <f t="shared" si="3"/>
        <v>1469</v>
      </c>
      <c r="N99" s="97">
        <v>430</v>
      </c>
      <c r="O99" s="437">
        <v>44122</v>
      </c>
      <c r="P99" s="438">
        <v>430</v>
      </c>
      <c r="Q99" s="444">
        <f t="shared" si="4"/>
        <v>0</v>
      </c>
    </row>
    <row r="100" spans="1:17" ht="15.6" x14ac:dyDescent="0.3">
      <c r="A100" s="427">
        <v>44122</v>
      </c>
      <c r="B100" s="426">
        <f t="shared" si="5"/>
        <v>1470</v>
      </c>
      <c r="C100" s="431"/>
      <c r="D100" s="48" t="s">
        <v>553</v>
      </c>
      <c r="E100" s="97">
        <v>11865</v>
      </c>
      <c r="F100" s="437">
        <v>44122</v>
      </c>
      <c r="G100" s="438">
        <v>11865</v>
      </c>
      <c r="H100" s="449">
        <f t="shared" si="0"/>
        <v>0</v>
      </c>
      <c r="L100" s="427">
        <v>44122</v>
      </c>
      <c r="M100" s="426">
        <f t="shared" si="3"/>
        <v>1470</v>
      </c>
      <c r="N100" s="97">
        <v>11865</v>
      </c>
      <c r="O100" s="437">
        <v>44122</v>
      </c>
      <c r="P100" s="438">
        <v>11865</v>
      </c>
      <c r="Q100" s="444">
        <f t="shared" si="4"/>
        <v>0</v>
      </c>
    </row>
    <row r="101" spans="1:17" ht="16.2" thickBot="1" x14ac:dyDescent="0.35">
      <c r="A101" s="427">
        <v>44122</v>
      </c>
      <c r="B101" s="426">
        <f t="shared" si="5"/>
        <v>1471</v>
      </c>
      <c r="C101" s="431"/>
      <c r="D101" s="48" t="s">
        <v>560</v>
      </c>
      <c r="E101" s="97">
        <v>5692</v>
      </c>
      <c r="F101" s="437">
        <v>44124</v>
      </c>
      <c r="G101" s="438">
        <v>5692</v>
      </c>
      <c r="H101" s="449">
        <f t="shared" si="0"/>
        <v>0</v>
      </c>
      <c r="N101" s="491">
        <v>0</v>
      </c>
      <c r="P101" s="438">
        <v>0</v>
      </c>
      <c r="Q101" s="444">
        <f t="shared" si="4"/>
        <v>0</v>
      </c>
    </row>
    <row r="102" spans="1:17" ht="15.6" x14ac:dyDescent="0.3">
      <c r="A102" s="427">
        <v>44123</v>
      </c>
      <c r="B102" s="426">
        <f t="shared" si="5"/>
        <v>1472</v>
      </c>
      <c r="C102" s="431"/>
      <c r="D102" s="48" t="s">
        <v>552</v>
      </c>
      <c r="E102" s="97">
        <v>12841</v>
      </c>
      <c r="F102" s="437">
        <v>44127</v>
      </c>
      <c r="G102" s="438">
        <v>12841</v>
      </c>
      <c r="H102" s="449">
        <f t="shared" si="0"/>
        <v>0</v>
      </c>
      <c r="M102" s="651" t="s">
        <v>571</v>
      </c>
      <c r="N102" s="653">
        <f>SUM(N64:N101)</f>
        <v>21614</v>
      </c>
      <c r="O102" s="492"/>
      <c r="P102" s="653">
        <f>SUM(P64:P101)</f>
        <v>21581</v>
      </c>
      <c r="Q102" s="653">
        <f t="shared" si="4"/>
        <v>33</v>
      </c>
    </row>
    <row r="103" spans="1:17" ht="16.2" thickBot="1" x14ac:dyDescent="0.35">
      <c r="A103" s="427">
        <v>44123</v>
      </c>
      <c r="B103" s="426">
        <f t="shared" si="5"/>
        <v>1473</v>
      </c>
      <c r="C103" s="431"/>
      <c r="D103" s="48" t="s">
        <v>553</v>
      </c>
      <c r="E103" s="97">
        <v>4562</v>
      </c>
      <c r="F103" s="437">
        <v>44124</v>
      </c>
      <c r="G103" s="438">
        <v>4562</v>
      </c>
      <c r="H103" s="449">
        <f t="shared" si="0"/>
        <v>0</v>
      </c>
      <c r="M103" s="652"/>
      <c r="N103" s="654"/>
      <c r="O103" s="108"/>
      <c r="P103" s="654"/>
      <c r="Q103" s="654"/>
    </row>
    <row r="104" spans="1:17" ht="15.6" x14ac:dyDescent="0.3">
      <c r="A104" s="427">
        <v>44124</v>
      </c>
      <c r="B104" s="426">
        <f t="shared" si="5"/>
        <v>1474</v>
      </c>
      <c r="C104" s="431"/>
      <c r="D104" s="48" t="s">
        <v>556</v>
      </c>
      <c r="E104" s="97">
        <v>3072</v>
      </c>
      <c r="F104" s="455">
        <v>44145</v>
      </c>
      <c r="G104" s="456">
        <v>3072</v>
      </c>
      <c r="H104" s="449">
        <f t="shared" si="0"/>
        <v>0</v>
      </c>
    </row>
    <row r="105" spans="1:17" ht="15.6" x14ac:dyDescent="0.3">
      <c r="A105" s="427">
        <v>44124</v>
      </c>
      <c r="B105" s="426">
        <f t="shared" si="5"/>
        <v>1475</v>
      </c>
      <c r="C105" s="431"/>
      <c r="D105" s="48" t="s">
        <v>551</v>
      </c>
      <c r="E105" s="97">
        <v>2565</v>
      </c>
      <c r="F105" s="437">
        <v>44125</v>
      </c>
      <c r="G105" s="438">
        <v>2565</v>
      </c>
      <c r="H105" s="449">
        <f t="shared" si="0"/>
        <v>0</v>
      </c>
    </row>
    <row r="106" spans="1:17" ht="15.6" x14ac:dyDescent="0.3">
      <c r="A106" s="427">
        <v>44125</v>
      </c>
      <c r="B106" s="426">
        <f t="shared" si="5"/>
        <v>1476</v>
      </c>
      <c r="C106" s="431"/>
      <c r="D106" s="48" t="s">
        <v>551</v>
      </c>
      <c r="E106" s="97">
        <v>11900</v>
      </c>
      <c r="F106" s="437">
        <v>44130</v>
      </c>
      <c r="G106" s="438">
        <v>11900</v>
      </c>
      <c r="H106" s="449">
        <f t="shared" si="0"/>
        <v>0</v>
      </c>
    </row>
    <row r="107" spans="1:17" ht="15.6" x14ac:dyDescent="0.3">
      <c r="A107" s="427">
        <v>44127</v>
      </c>
      <c r="B107" s="426">
        <f t="shared" si="5"/>
        <v>1477</v>
      </c>
      <c r="C107" s="431"/>
      <c r="D107" s="48" t="s">
        <v>563</v>
      </c>
      <c r="E107" s="97">
        <v>1742</v>
      </c>
      <c r="F107" s="437">
        <v>44128</v>
      </c>
      <c r="G107" s="438">
        <v>1742</v>
      </c>
      <c r="H107" s="449">
        <f t="shared" si="0"/>
        <v>0</v>
      </c>
    </row>
    <row r="108" spans="1:17" ht="15.6" x14ac:dyDescent="0.3">
      <c r="A108" s="427">
        <v>44127</v>
      </c>
      <c r="B108" s="426">
        <f t="shared" si="5"/>
        <v>1478</v>
      </c>
      <c r="C108" s="431"/>
      <c r="D108" s="48" t="s">
        <v>552</v>
      </c>
      <c r="E108" s="97">
        <v>75</v>
      </c>
      <c r="F108" s="455">
        <v>44149</v>
      </c>
      <c r="G108" s="456">
        <v>75</v>
      </c>
      <c r="H108" s="449">
        <f t="shared" si="0"/>
        <v>0</v>
      </c>
    </row>
    <row r="109" spans="1:17" ht="15.6" x14ac:dyDescent="0.3">
      <c r="A109" s="427">
        <v>44127</v>
      </c>
      <c r="B109" s="426">
        <f t="shared" si="5"/>
        <v>1479</v>
      </c>
      <c r="C109" s="431"/>
      <c r="D109" s="48" t="s">
        <v>551</v>
      </c>
      <c r="E109" s="97">
        <v>9278</v>
      </c>
      <c r="F109" s="437">
        <v>44131</v>
      </c>
      <c r="G109" s="438">
        <v>9278</v>
      </c>
      <c r="H109" s="449">
        <f t="shared" si="0"/>
        <v>0</v>
      </c>
    </row>
    <row r="110" spans="1:17" ht="15.6" x14ac:dyDescent="0.3">
      <c r="A110" s="427">
        <v>44130</v>
      </c>
      <c r="B110" s="426">
        <f t="shared" si="5"/>
        <v>1480</v>
      </c>
      <c r="C110" s="431"/>
      <c r="D110" s="48" t="s">
        <v>551</v>
      </c>
      <c r="E110" s="97">
        <v>12216</v>
      </c>
      <c r="F110" s="455">
        <v>44137</v>
      </c>
      <c r="G110" s="456">
        <v>12216</v>
      </c>
      <c r="H110" s="449">
        <f t="shared" si="0"/>
        <v>0</v>
      </c>
    </row>
    <row r="111" spans="1:17" ht="15.6" x14ac:dyDescent="0.3">
      <c r="A111" s="427">
        <v>44130</v>
      </c>
      <c r="B111" s="426">
        <f t="shared" si="5"/>
        <v>1481</v>
      </c>
      <c r="C111" s="431"/>
      <c r="D111" s="48" t="s">
        <v>572</v>
      </c>
      <c r="E111" s="97">
        <v>2620</v>
      </c>
      <c r="F111" s="493">
        <v>44165</v>
      </c>
      <c r="G111" s="494">
        <v>2620</v>
      </c>
      <c r="H111" s="449">
        <f t="shared" si="0"/>
        <v>0</v>
      </c>
    </row>
    <row r="112" spans="1:17" ht="15.6" x14ac:dyDescent="0.3">
      <c r="A112" s="427">
        <v>44132</v>
      </c>
      <c r="B112" s="426">
        <f t="shared" si="5"/>
        <v>1482</v>
      </c>
      <c r="C112" s="431"/>
      <c r="D112" s="48" t="s">
        <v>551</v>
      </c>
      <c r="E112" s="97">
        <v>6945</v>
      </c>
      <c r="F112" s="437">
        <v>44132</v>
      </c>
      <c r="G112" s="438">
        <v>6945</v>
      </c>
      <c r="H112" s="449">
        <f t="shared" si="0"/>
        <v>0</v>
      </c>
    </row>
    <row r="113" spans="1:9" ht="13.5" customHeight="1" x14ac:dyDescent="0.3">
      <c r="A113" s="427">
        <v>44133</v>
      </c>
      <c r="B113" s="426">
        <f t="shared" si="5"/>
        <v>1483</v>
      </c>
      <c r="C113" s="431"/>
      <c r="D113" s="48" t="s">
        <v>551</v>
      </c>
      <c r="E113" s="97">
        <v>2645</v>
      </c>
      <c r="F113" s="437">
        <v>44133</v>
      </c>
      <c r="G113" s="438">
        <v>2645</v>
      </c>
      <c r="H113" s="449">
        <f t="shared" si="0"/>
        <v>0</v>
      </c>
    </row>
    <row r="114" spans="1:9" ht="15.6" x14ac:dyDescent="0.3">
      <c r="A114" s="427">
        <v>44133</v>
      </c>
      <c r="B114" s="426">
        <f t="shared" si="5"/>
        <v>1484</v>
      </c>
      <c r="C114" s="431"/>
      <c r="D114" s="48" t="s">
        <v>552</v>
      </c>
      <c r="E114" s="97">
        <v>75</v>
      </c>
      <c r="F114" s="455">
        <v>44141</v>
      </c>
      <c r="G114" s="456">
        <v>75</v>
      </c>
      <c r="H114" s="449">
        <f t="shared" si="0"/>
        <v>0</v>
      </c>
    </row>
    <row r="115" spans="1:9" ht="15.6" x14ac:dyDescent="0.3">
      <c r="A115" s="427">
        <v>44134</v>
      </c>
      <c r="B115" s="426">
        <f t="shared" si="5"/>
        <v>1485</v>
      </c>
      <c r="C115" s="431"/>
      <c r="D115" s="48" t="s">
        <v>551</v>
      </c>
      <c r="E115" s="97">
        <v>7011</v>
      </c>
      <c r="F115" s="437">
        <v>44134</v>
      </c>
      <c r="G115" s="438">
        <v>7011</v>
      </c>
      <c r="H115" s="449">
        <f t="shared" si="0"/>
        <v>0</v>
      </c>
    </row>
    <row r="116" spans="1:9" ht="15.6" x14ac:dyDescent="0.3">
      <c r="A116" s="427">
        <v>44135</v>
      </c>
      <c r="B116" s="426">
        <f t="shared" si="5"/>
        <v>1486</v>
      </c>
      <c r="C116" s="431"/>
      <c r="D116" s="48" t="s">
        <v>551</v>
      </c>
      <c r="E116" s="97">
        <v>7012</v>
      </c>
      <c r="F116" s="437">
        <v>44135</v>
      </c>
      <c r="G116" s="438">
        <v>7012</v>
      </c>
      <c r="H116" s="449">
        <f t="shared" si="0"/>
        <v>0</v>
      </c>
    </row>
    <row r="117" spans="1:9" ht="15.6" x14ac:dyDescent="0.3">
      <c r="A117" s="427"/>
      <c r="B117" s="426"/>
      <c r="C117" s="431"/>
      <c r="D117" s="65"/>
      <c r="E117" s="91"/>
      <c r="F117" s="437"/>
      <c r="G117" s="438"/>
      <c r="H117" s="449"/>
    </row>
    <row r="118" spans="1:9" ht="15.6" x14ac:dyDescent="0.3">
      <c r="A118" s="427"/>
      <c r="B118" s="426"/>
      <c r="C118" s="431"/>
      <c r="D118" s="65"/>
      <c r="E118" s="91"/>
      <c r="F118" s="437"/>
      <c r="G118" s="438"/>
      <c r="H118" s="449"/>
    </row>
    <row r="119" spans="1:9" ht="15.6" x14ac:dyDescent="0.3">
      <c r="A119" s="427"/>
      <c r="B119" s="426"/>
      <c r="C119" s="431"/>
      <c r="D119" s="65"/>
      <c r="E119" s="91"/>
      <c r="F119" s="437"/>
      <c r="G119" s="438"/>
      <c r="H119" s="449"/>
    </row>
    <row r="120" spans="1:9" ht="16.2" thickBot="1" x14ac:dyDescent="0.35">
      <c r="A120" s="461"/>
      <c r="B120" s="462"/>
      <c r="C120" s="463"/>
      <c r="D120" s="464"/>
      <c r="E120" s="129"/>
      <c r="F120" s="465"/>
      <c r="G120" s="129"/>
      <c r="H120" s="466">
        <f t="shared" si="0"/>
        <v>0</v>
      </c>
      <c r="I120" s="412"/>
    </row>
    <row r="121" spans="1:9" ht="15" thickTop="1" x14ac:dyDescent="0.3">
      <c r="A121" s="495"/>
      <c r="B121" s="467"/>
      <c r="C121" s="467"/>
      <c r="D121" s="412"/>
      <c r="E121" s="468">
        <f>SUM(E4:E120)</f>
        <v>272765</v>
      </c>
      <c r="F121" s="469"/>
      <c r="G121" s="468">
        <f>SUM(G4:G120)</f>
        <v>272601</v>
      </c>
      <c r="H121" s="45">
        <f>SUM(H4:H120)</f>
        <v>164</v>
      </c>
      <c r="I121" s="412"/>
    </row>
    <row r="122" spans="1:9" x14ac:dyDescent="0.3">
      <c r="A122" s="495"/>
      <c r="B122" s="467"/>
      <c r="C122" s="467"/>
      <c r="D122" s="412"/>
      <c r="E122" s="470"/>
      <c r="F122" s="471"/>
      <c r="G122" s="470"/>
      <c r="H122" s="472"/>
      <c r="I122" s="412"/>
    </row>
    <row r="123" spans="1:9" ht="28.8" x14ac:dyDescent="0.3">
      <c r="A123" s="495"/>
      <c r="B123" s="467"/>
      <c r="C123" s="467"/>
      <c r="D123" s="412"/>
      <c r="E123" s="473" t="s">
        <v>574</v>
      </c>
      <c r="F123" s="471"/>
      <c r="G123" s="474" t="s">
        <v>575</v>
      </c>
      <c r="H123" s="472"/>
      <c r="I123" s="412"/>
    </row>
    <row r="124" spans="1:9" ht="15" thickBot="1" x14ac:dyDescent="0.35">
      <c r="A124" s="495"/>
      <c r="B124" s="467"/>
      <c r="C124" s="467"/>
      <c r="D124" s="412"/>
      <c r="E124" s="473"/>
      <c r="F124" s="471"/>
      <c r="G124" s="474"/>
      <c r="H124" s="472"/>
      <c r="I124" s="412"/>
    </row>
    <row r="125" spans="1:9" ht="21.6" thickBot="1" x14ac:dyDescent="0.45">
      <c r="A125" s="495"/>
      <c r="B125" s="467"/>
      <c r="C125" s="467"/>
      <c r="D125" s="412"/>
      <c r="E125" s="655">
        <f>E121-G121</f>
        <v>164</v>
      </c>
      <c r="F125" s="656"/>
      <c r="G125" s="657"/>
      <c r="I125" s="412"/>
    </row>
    <row r="126" spans="1:9" x14ac:dyDescent="0.3">
      <c r="A126" s="495"/>
      <c r="B126" s="467"/>
      <c r="C126" s="467"/>
      <c r="D126" s="412"/>
      <c r="E126" s="470"/>
      <c r="F126" s="471"/>
      <c r="G126" s="470"/>
      <c r="I126" s="412"/>
    </row>
    <row r="127" spans="1:9" ht="18" x14ac:dyDescent="0.35">
      <c r="A127" s="495"/>
      <c r="B127" s="467"/>
      <c r="C127" s="467"/>
      <c r="D127" s="412"/>
      <c r="E127" s="642" t="s">
        <v>576</v>
      </c>
      <c r="F127" s="642"/>
      <c r="G127" s="642"/>
      <c r="I127" s="412"/>
    </row>
    <row r="128" spans="1:9" x14ac:dyDescent="0.3">
      <c r="A128" s="495"/>
      <c r="B128" s="467"/>
      <c r="C128" s="467"/>
      <c r="D128" s="412"/>
      <c r="E128" s="470"/>
      <c r="F128" s="471"/>
      <c r="G128" s="470"/>
      <c r="I128" s="412"/>
    </row>
    <row r="129" spans="1:9" x14ac:dyDescent="0.3">
      <c r="A129" s="495"/>
      <c r="B129" s="467"/>
      <c r="C129" s="467"/>
      <c r="D129" s="412"/>
      <c r="E129" s="470"/>
      <c r="F129" s="471"/>
      <c r="G129" s="470"/>
      <c r="I129" s="412"/>
    </row>
    <row r="130" spans="1:9" x14ac:dyDescent="0.3">
      <c r="A130" s="495"/>
      <c r="B130" s="467"/>
      <c r="C130" s="467"/>
      <c r="D130" s="412"/>
      <c r="E130" s="470"/>
      <c r="F130" s="471"/>
      <c r="G130" s="470"/>
      <c r="I130" s="412"/>
    </row>
    <row r="131" spans="1:9" x14ac:dyDescent="0.3">
      <c r="A131" s="495"/>
      <c r="B131" s="467"/>
      <c r="C131" s="467"/>
      <c r="D131" s="412"/>
      <c r="E131" s="470"/>
      <c r="F131" s="471"/>
      <c r="G131" s="470"/>
      <c r="I131" s="412"/>
    </row>
    <row r="132" spans="1:9" ht="18" x14ac:dyDescent="0.35">
      <c r="A132" s="495"/>
      <c r="B132" s="467"/>
      <c r="C132" s="467"/>
      <c r="D132" s="412"/>
      <c r="E132" s="470"/>
      <c r="F132" s="475"/>
      <c r="G132" s="470"/>
      <c r="I132" s="412"/>
    </row>
    <row r="133" spans="1:9" x14ac:dyDescent="0.3">
      <c r="A133" s="495"/>
      <c r="B133" s="467"/>
      <c r="C133" s="467"/>
      <c r="D133" s="412"/>
      <c r="E133" s="470"/>
      <c r="F133" s="471"/>
      <c r="G133" s="470"/>
      <c r="I133" s="412"/>
    </row>
    <row r="134" spans="1:9" x14ac:dyDescent="0.3">
      <c r="A134" s="495"/>
      <c r="B134" s="467"/>
      <c r="C134" s="467"/>
      <c r="D134" s="412"/>
      <c r="E134" s="470"/>
      <c r="F134" s="471"/>
      <c r="G134" s="470"/>
      <c r="I134" s="412"/>
    </row>
    <row r="135" spans="1:9" x14ac:dyDescent="0.3">
      <c r="A135" s="495"/>
      <c r="B135" s="467"/>
      <c r="C135" s="467"/>
      <c r="D135" s="412"/>
      <c r="E135" s="470"/>
      <c r="F135" s="471"/>
      <c r="G135" s="470"/>
      <c r="I135" s="412"/>
    </row>
    <row r="136" spans="1:9" x14ac:dyDescent="0.3">
      <c r="A136" s="495"/>
      <c r="B136" s="467"/>
      <c r="C136" s="467"/>
      <c r="D136" s="412"/>
      <c r="E136" s="470"/>
      <c r="F136" s="471"/>
      <c r="G136" s="470"/>
      <c r="I136" s="412"/>
    </row>
    <row r="137" spans="1:9" x14ac:dyDescent="0.3">
      <c r="A137" s="495"/>
      <c r="B137" s="467"/>
      <c r="C137" s="467"/>
      <c r="D137" s="412"/>
      <c r="E137" s="470"/>
      <c r="F137" s="471"/>
      <c r="G137" s="470"/>
      <c r="I137" s="412"/>
    </row>
    <row r="138" spans="1:9" x14ac:dyDescent="0.3">
      <c r="A138" s="495"/>
      <c r="B138" s="467"/>
      <c r="C138" s="467"/>
      <c r="D138" s="412"/>
      <c r="E138" s="470"/>
      <c r="F138" s="471"/>
      <c r="G138" s="470"/>
      <c r="I138" s="412"/>
    </row>
  </sheetData>
  <mergeCells count="10">
    <mergeCell ref="E127:G127"/>
    <mergeCell ref="B1:G1"/>
    <mergeCell ref="B2:F2"/>
    <mergeCell ref="U39:U40"/>
    <mergeCell ref="W39:W40"/>
    <mergeCell ref="M102:M103"/>
    <mergeCell ref="N102:N103"/>
    <mergeCell ref="P102:P103"/>
    <mergeCell ref="Q102:Q103"/>
    <mergeCell ref="E125:G125"/>
  </mergeCells>
  <pageMargins left="0.27559055118110237" right="0.11811023622047245" top="0.43307086614173229" bottom="0.35433070866141736" header="0.31496062992125984" footer="0.31496062992125984"/>
  <pageSetup scale="9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ABB2-FC39-4FA5-A8E4-B79E68E2BD7C}">
  <sheetPr>
    <tabColor rgb="FFFF00FF"/>
  </sheetPr>
  <dimension ref="A1:O82"/>
  <sheetViews>
    <sheetView topLeftCell="A49" workbookViewId="0">
      <selection activeCell="D68" sqref="D68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109375" style="4" customWidth="1"/>
    <col min="15" max="15" width="7.5546875" style="4" customWidth="1"/>
  </cols>
  <sheetData>
    <row r="1" spans="1:15" ht="23.4" x14ac:dyDescent="0.45">
      <c r="C1" s="592" t="s">
        <v>581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5.6" x14ac:dyDescent="0.3">
      <c r="C2" s="5"/>
      <c r="H2" s="284" t="s">
        <v>1</v>
      </c>
      <c r="I2" s="3"/>
      <c r="J2" s="243"/>
      <c r="M2" s="3"/>
      <c r="N2" s="56"/>
      <c r="O2" s="56"/>
    </row>
    <row r="3" spans="1:15" ht="21.6" thickBot="1" x14ac:dyDescent="0.4">
      <c r="B3" s="593" t="s">
        <v>2</v>
      </c>
      <c r="C3" s="594"/>
      <c r="D3" s="12"/>
      <c r="E3" s="285"/>
      <c r="F3" s="285"/>
      <c r="H3" s="622" t="s">
        <v>135</v>
      </c>
      <c r="I3" s="622"/>
      <c r="K3" s="185" t="s">
        <v>3</v>
      </c>
      <c r="L3" s="187" t="s">
        <v>136</v>
      </c>
      <c r="M3" s="187"/>
    </row>
    <row r="4" spans="1:15" ht="19.2" thickTop="1" thickBot="1" x14ac:dyDescent="0.4">
      <c r="A4" s="16" t="s">
        <v>5</v>
      </c>
      <c r="B4" s="17"/>
      <c r="C4" s="245">
        <v>313820.27</v>
      </c>
      <c r="D4" s="246">
        <v>44104</v>
      </c>
      <c r="E4" s="595" t="s">
        <v>6</v>
      </c>
      <c r="F4" s="596"/>
      <c r="H4" s="597" t="s">
        <v>7</v>
      </c>
      <c r="I4" s="598"/>
      <c r="J4" s="247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8">
        <v>44136</v>
      </c>
      <c r="C5" s="249">
        <v>19305</v>
      </c>
      <c r="D5" s="250" t="s">
        <v>582</v>
      </c>
      <c r="E5" s="27">
        <v>44136</v>
      </c>
      <c r="F5" s="28">
        <v>105375</v>
      </c>
      <c r="H5" s="29">
        <v>44136</v>
      </c>
      <c r="I5" s="30">
        <v>440</v>
      </c>
      <c r="M5" s="31">
        <v>76071</v>
      </c>
      <c r="N5" s="32">
        <v>9559</v>
      </c>
      <c r="O5" s="91"/>
    </row>
    <row r="6" spans="1:15" ht="16.2" thickBot="1" x14ac:dyDescent="0.35">
      <c r="A6" s="23"/>
      <c r="B6" s="248">
        <v>44137</v>
      </c>
      <c r="C6" s="249">
        <v>828</v>
      </c>
      <c r="D6" s="252" t="s">
        <v>72</v>
      </c>
      <c r="E6" s="27">
        <v>44137</v>
      </c>
      <c r="F6" s="28">
        <v>80318</v>
      </c>
      <c r="H6" s="29">
        <v>44137</v>
      </c>
      <c r="I6" s="34">
        <v>440</v>
      </c>
      <c r="J6" s="55"/>
      <c r="K6" s="40"/>
      <c r="L6" s="41"/>
      <c r="M6" s="31">
        <v>85989</v>
      </c>
      <c r="N6" s="32">
        <v>5277</v>
      </c>
      <c r="O6" s="217"/>
    </row>
    <row r="7" spans="1:15" ht="15" thickBot="1" x14ac:dyDescent="0.35">
      <c r="A7" s="23"/>
      <c r="B7" s="248">
        <v>44138</v>
      </c>
      <c r="C7" s="249">
        <v>13764</v>
      </c>
      <c r="D7" s="253" t="s">
        <v>583</v>
      </c>
      <c r="E7" s="27">
        <v>44138</v>
      </c>
      <c r="F7" s="28">
        <v>74355</v>
      </c>
      <c r="H7" s="29">
        <v>44138</v>
      </c>
      <c r="I7" s="34">
        <v>495</v>
      </c>
      <c r="J7" s="55"/>
      <c r="K7" s="48"/>
      <c r="L7" s="52"/>
      <c r="M7" s="31">
        <f>42718+15000</f>
        <v>57718</v>
      </c>
      <c r="N7" s="32">
        <v>2378</v>
      </c>
      <c r="O7" s="219"/>
    </row>
    <row r="8" spans="1:15" ht="15" thickBot="1" x14ac:dyDescent="0.35">
      <c r="A8" s="23"/>
      <c r="B8" s="248">
        <v>44139</v>
      </c>
      <c r="C8" s="249">
        <v>7006</v>
      </c>
      <c r="D8" s="255" t="s">
        <v>584</v>
      </c>
      <c r="E8" s="27">
        <v>44139</v>
      </c>
      <c r="F8" s="28">
        <v>75644</v>
      </c>
      <c r="H8" s="29">
        <v>44139</v>
      </c>
      <c r="I8" s="34">
        <v>440</v>
      </c>
      <c r="J8" s="341"/>
      <c r="K8" s="48"/>
      <c r="L8" s="41"/>
      <c r="M8" s="31">
        <v>65202</v>
      </c>
      <c r="N8" s="32">
        <v>2996</v>
      </c>
      <c r="O8" s="217"/>
    </row>
    <row r="9" spans="1:15" ht="15" thickBot="1" x14ac:dyDescent="0.35">
      <c r="A9" s="23"/>
      <c r="B9" s="248">
        <v>44140</v>
      </c>
      <c r="C9" s="249">
        <v>1218</v>
      </c>
      <c r="D9" s="257" t="s">
        <v>19</v>
      </c>
      <c r="E9" s="27">
        <v>44140</v>
      </c>
      <c r="F9" s="28">
        <v>69294</v>
      </c>
      <c r="H9" s="29">
        <v>44140</v>
      </c>
      <c r="I9" s="34">
        <v>440</v>
      </c>
      <c r="J9" s="342"/>
      <c r="K9" s="297"/>
      <c r="L9" s="41"/>
      <c r="M9" s="31">
        <v>64976</v>
      </c>
      <c r="N9" s="32">
        <v>2660</v>
      </c>
      <c r="O9" s="217"/>
    </row>
    <row r="10" spans="1:15" ht="15" thickBot="1" x14ac:dyDescent="0.35">
      <c r="A10" s="23"/>
      <c r="B10" s="248">
        <v>44141</v>
      </c>
      <c r="C10" s="249">
        <v>6882</v>
      </c>
      <c r="D10" s="253" t="s">
        <v>585</v>
      </c>
      <c r="E10" s="27">
        <v>44141</v>
      </c>
      <c r="F10" s="28">
        <v>137358</v>
      </c>
      <c r="H10" s="29">
        <v>44141</v>
      </c>
      <c r="I10" s="34">
        <v>16261</v>
      </c>
      <c r="J10" s="342"/>
      <c r="K10" s="300"/>
      <c r="L10" s="58"/>
      <c r="M10" s="31">
        <f>103513+248+150+100</f>
        <v>104011</v>
      </c>
      <c r="N10" s="32">
        <v>10279</v>
      </c>
      <c r="O10" s="204"/>
    </row>
    <row r="11" spans="1:15" ht="15" thickBot="1" x14ac:dyDescent="0.35">
      <c r="A11" s="23"/>
      <c r="B11" s="248">
        <v>44142</v>
      </c>
      <c r="C11" s="249">
        <v>4986</v>
      </c>
      <c r="D11" s="252" t="s">
        <v>586</v>
      </c>
      <c r="E11" s="27">
        <v>44142</v>
      </c>
      <c r="F11" s="28">
        <v>100106</v>
      </c>
      <c r="H11" s="29">
        <v>44142</v>
      </c>
      <c r="I11" s="34">
        <v>589</v>
      </c>
      <c r="J11" s="259"/>
      <c r="K11" s="54" t="s">
        <v>587</v>
      </c>
      <c r="L11" s="52">
        <v>16738.16</v>
      </c>
      <c r="M11" s="31">
        <v>76080</v>
      </c>
      <c r="N11" s="32">
        <v>6558</v>
      </c>
      <c r="O11" s="217"/>
    </row>
    <row r="12" spans="1:15" ht="15" thickBot="1" x14ac:dyDescent="0.35">
      <c r="A12" s="23"/>
      <c r="B12" s="248">
        <v>44143</v>
      </c>
      <c r="C12" s="249">
        <v>2274</v>
      </c>
      <c r="D12" s="252" t="s">
        <v>508</v>
      </c>
      <c r="E12" s="27">
        <v>44143</v>
      </c>
      <c r="F12" s="28">
        <v>97449</v>
      </c>
      <c r="H12" s="29">
        <v>44143</v>
      </c>
      <c r="I12" s="34">
        <v>585</v>
      </c>
      <c r="J12" s="55"/>
      <c r="K12" s="48"/>
      <c r="L12" s="52"/>
      <c r="M12" s="31">
        <v>89230</v>
      </c>
      <c r="N12" s="32">
        <v>5360</v>
      </c>
      <c r="O12" s="220"/>
    </row>
    <row r="13" spans="1:15" ht="15" thickBot="1" x14ac:dyDescent="0.35">
      <c r="A13" s="23"/>
      <c r="B13" s="248">
        <v>44144</v>
      </c>
      <c r="C13" s="249">
        <v>966</v>
      </c>
      <c r="D13" s="255" t="s">
        <v>19</v>
      </c>
      <c r="E13" s="27">
        <v>44144</v>
      </c>
      <c r="F13" s="28">
        <v>75509</v>
      </c>
      <c r="H13" s="29">
        <v>44144</v>
      </c>
      <c r="I13" s="34">
        <v>360</v>
      </c>
      <c r="J13" s="55"/>
      <c r="K13" s="395" t="s">
        <v>588</v>
      </c>
      <c r="L13" s="52">
        <v>2863</v>
      </c>
      <c r="M13" s="31">
        <v>59999</v>
      </c>
      <c r="N13" s="32">
        <v>12726</v>
      </c>
      <c r="O13" s="217"/>
    </row>
    <row r="14" spans="1:15" ht="15" thickBot="1" x14ac:dyDescent="0.35">
      <c r="A14" s="23"/>
      <c r="B14" s="248">
        <v>44145</v>
      </c>
      <c r="C14" s="249">
        <v>12502</v>
      </c>
      <c r="D14" s="253" t="s">
        <v>589</v>
      </c>
      <c r="E14" s="27">
        <v>44145</v>
      </c>
      <c r="F14" s="28">
        <v>82738</v>
      </c>
      <c r="H14" s="29">
        <v>44145</v>
      </c>
      <c r="I14" s="34">
        <v>430</v>
      </c>
      <c r="J14" s="55"/>
      <c r="K14" s="48"/>
      <c r="L14" s="52"/>
      <c r="M14" s="31">
        <v>68793</v>
      </c>
      <c r="N14" s="32">
        <v>4085</v>
      </c>
      <c r="O14" s="204"/>
    </row>
    <row r="15" spans="1:15" ht="15" thickBot="1" x14ac:dyDescent="0.35">
      <c r="A15" s="23"/>
      <c r="B15" s="248">
        <v>44146</v>
      </c>
      <c r="C15" s="249">
        <v>10155</v>
      </c>
      <c r="D15" s="252" t="s">
        <v>590</v>
      </c>
      <c r="E15" s="27">
        <v>44146</v>
      </c>
      <c r="F15" s="28">
        <v>67942</v>
      </c>
      <c r="H15" s="29">
        <v>44146</v>
      </c>
      <c r="I15" s="34">
        <v>360</v>
      </c>
      <c r="J15" s="55"/>
      <c r="K15" s="48"/>
      <c r="L15" s="52"/>
      <c r="M15" s="31">
        <f>44406+421.64+209</f>
        <v>45036.639999999999</v>
      </c>
      <c r="N15" s="32">
        <v>13021</v>
      </c>
      <c r="O15" s="343"/>
    </row>
    <row r="16" spans="1:15" ht="15" thickBot="1" x14ac:dyDescent="0.35">
      <c r="A16" s="23"/>
      <c r="B16" s="248">
        <v>44147</v>
      </c>
      <c r="C16" s="249">
        <v>4360</v>
      </c>
      <c r="D16" s="252" t="s">
        <v>591</v>
      </c>
      <c r="E16" s="27">
        <v>44147</v>
      </c>
      <c r="F16" s="28">
        <v>98917</v>
      </c>
      <c r="H16" s="29">
        <v>44147</v>
      </c>
      <c r="I16" s="34">
        <v>486</v>
      </c>
      <c r="J16" s="55"/>
      <c r="K16" s="48"/>
      <c r="L16" s="56"/>
      <c r="M16" s="31">
        <f>66000+19880</f>
        <v>85880</v>
      </c>
      <c r="N16" s="32">
        <v>8192</v>
      </c>
      <c r="O16" s="343" t="s">
        <v>166</v>
      </c>
    </row>
    <row r="17" spans="1:15" ht="15" thickBot="1" x14ac:dyDescent="0.35">
      <c r="A17" s="23"/>
      <c r="B17" s="248">
        <v>44148</v>
      </c>
      <c r="C17" s="249">
        <v>8956</v>
      </c>
      <c r="D17" s="255" t="s">
        <v>592</v>
      </c>
      <c r="E17" s="27">
        <v>44148</v>
      </c>
      <c r="F17" s="28">
        <v>128898</v>
      </c>
      <c r="H17" s="29">
        <v>44148</v>
      </c>
      <c r="I17" s="34">
        <v>12570</v>
      </c>
      <c r="J17" s="57"/>
      <c r="K17" s="48"/>
      <c r="L17" s="58"/>
      <c r="M17" s="31">
        <v>103473</v>
      </c>
      <c r="N17" s="32">
        <v>3899</v>
      </c>
      <c r="O17" s="217"/>
    </row>
    <row r="18" spans="1:15" ht="15" thickBot="1" x14ac:dyDescent="0.35">
      <c r="A18" s="23"/>
      <c r="B18" s="248">
        <v>44149</v>
      </c>
      <c r="C18" s="249">
        <v>9530</v>
      </c>
      <c r="D18" s="252" t="s">
        <v>593</v>
      </c>
      <c r="E18" s="27">
        <v>44149</v>
      </c>
      <c r="F18" s="28">
        <v>148565</v>
      </c>
      <c r="H18" s="29">
        <v>44149</v>
      </c>
      <c r="I18" s="34">
        <v>950</v>
      </c>
      <c r="J18" s="57">
        <v>44149</v>
      </c>
      <c r="K18" s="59" t="s">
        <v>594</v>
      </c>
      <c r="L18" s="52">
        <f>16738.19+400+4000</f>
        <v>21138.19</v>
      </c>
      <c r="M18" s="31">
        <f>117618+75</f>
        <v>117693</v>
      </c>
      <c r="N18" s="32">
        <v>10053</v>
      </c>
      <c r="O18" s="217"/>
    </row>
    <row r="19" spans="1:15" ht="15" thickBot="1" x14ac:dyDescent="0.35">
      <c r="A19" s="23"/>
      <c r="B19" s="248">
        <v>44150</v>
      </c>
      <c r="C19" s="249">
        <v>28676</v>
      </c>
      <c r="D19" s="252" t="s">
        <v>595</v>
      </c>
      <c r="E19" s="27">
        <v>44150</v>
      </c>
      <c r="F19" s="28">
        <v>109601</v>
      </c>
      <c r="H19" s="29">
        <v>44150</v>
      </c>
      <c r="I19" s="34">
        <v>950</v>
      </c>
      <c r="J19" s="57"/>
      <c r="K19" s="371"/>
      <c r="L19" s="61"/>
      <c r="M19" s="31">
        <v>72099</v>
      </c>
      <c r="N19" s="32">
        <v>7876</v>
      </c>
      <c r="O19" s="343"/>
    </row>
    <row r="20" spans="1:15" ht="15" thickBot="1" x14ac:dyDescent="0.35">
      <c r="A20" s="23"/>
      <c r="B20" s="248">
        <v>44151</v>
      </c>
      <c r="C20" s="249">
        <v>4241</v>
      </c>
      <c r="D20" s="252" t="s">
        <v>596</v>
      </c>
      <c r="E20" s="27">
        <v>44151</v>
      </c>
      <c r="F20" s="28">
        <v>142949</v>
      </c>
      <c r="H20" s="29">
        <v>44151</v>
      </c>
      <c r="I20" s="34">
        <v>440</v>
      </c>
      <c r="J20" s="55"/>
      <c r="K20" s="62"/>
      <c r="L20" s="58"/>
      <c r="M20" s="31">
        <v>136499</v>
      </c>
      <c r="N20" s="32">
        <v>1769</v>
      </c>
      <c r="O20" s="343"/>
    </row>
    <row r="21" spans="1:15" ht="15" thickBot="1" x14ac:dyDescent="0.35">
      <c r="A21" s="23"/>
      <c r="B21" s="248">
        <v>44152</v>
      </c>
      <c r="C21" s="249">
        <v>1799</v>
      </c>
      <c r="D21" s="252" t="s">
        <v>19</v>
      </c>
      <c r="E21" s="27">
        <v>44152</v>
      </c>
      <c r="F21" s="28">
        <v>87608</v>
      </c>
      <c r="H21" s="29">
        <v>44152</v>
      </c>
      <c r="I21" s="34">
        <v>495</v>
      </c>
      <c r="J21" s="57"/>
      <c r="K21" s="59"/>
      <c r="L21" s="58"/>
      <c r="M21" s="31">
        <f>78115+3000</f>
        <v>81115</v>
      </c>
      <c r="N21" s="32">
        <v>4199</v>
      </c>
      <c r="O21" s="343"/>
    </row>
    <row r="22" spans="1:15" ht="15" thickBot="1" x14ac:dyDescent="0.35">
      <c r="A22" s="23"/>
      <c r="B22" s="248">
        <v>44153</v>
      </c>
      <c r="C22" s="249">
        <v>6064.9</v>
      </c>
      <c r="D22" s="252" t="s">
        <v>597</v>
      </c>
      <c r="E22" s="27">
        <v>44153</v>
      </c>
      <c r="F22" s="28">
        <v>95565</v>
      </c>
      <c r="H22" s="29">
        <v>44153</v>
      </c>
      <c r="I22" s="34">
        <v>840</v>
      </c>
      <c r="J22" s="64"/>
      <c r="K22" s="65"/>
      <c r="L22" s="66"/>
      <c r="M22" s="31">
        <f>74017+339+459+610+9484</f>
        <v>84909</v>
      </c>
      <c r="N22" s="32">
        <v>4090</v>
      </c>
      <c r="O22" s="343" t="s">
        <v>166</v>
      </c>
    </row>
    <row r="23" spans="1:15" ht="15" thickBot="1" x14ac:dyDescent="0.35">
      <c r="A23" s="23"/>
      <c r="B23" s="248">
        <v>44154</v>
      </c>
      <c r="C23" s="249">
        <v>2984</v>
      </c>
      <c r="D23" s="252" t="s">
        <v>598</v>
      </c>
      <c r="E23" s="27">
        <v>44154</v>
      </c>
      <c r="F23" s="28">
        <v>87249</v>
      </c>
      <c r="H23" s="29">
        <v>44154</v>
      </c>
      <c r="I23" s="34">
        <v>385</v>
      </c>
      <c r="J23" s="221"/>
      <c r="K23" s="222"/>
      <c r="L23" s="223"/>
      <c r="M23" s="31">
        <v>80194</v>
      </c>
      <c r="N23" s="32">
        <v>3686</v>
      </c>
      <c r="O23" s="204"/>
    </row>
    <row r="24" spans="1:15" ht="15" thickBot="1" x14ac:dyDescent="0.35">
      <c r="A24" s="23"/>
      <c r="B24" s="248">
        <v>44155</v>
      </c>
      <c r="C24" s="249">
        <v>6500</v>
      </c>
      <c r="D24" s="252" t="s">
        <v>599</v>
      </c>
      <c r="E24" s="27">
        <v>44155</v>
      </c>
      <c r="F24" s="28">
        <v>106616</v>
      </c>
      <c r="H24" s="29">
        <v>44155</v>
      </c>
      <c r="I24" s="34">
        <v>12554</v>
      </c>
      <c r="J24" s="224"/>
      <c r="K24" s="228" t="s">
        <v>13</v>
      </c>
      <c r="L24" s="345">
        <v>1300</v>
      </c>
      <c r="M24" s="31">
        <v>83061</v>
      </c>
      <c r="N24" s="32">
        <v>3201</v>
      </c>
      <c r="O24" s="217"/>
    </row>
    <row r="25" spans="1:15" ht="15" thickBot="1" x14ac:dyDescent="0.35">
      <c r="A25" s="23"/>
      <c r="B25" s="248">
        <v>44156</v>
      </c>
      <c r="C25" s="249">
        <v>5662</v>
      </c>
      <c r="D25" s="252" t="s">
        <v>600</v>
      </c>
      <c r="E25" s="27">
        <v>44156</v>
      </c>
      <c r="F25" s="28">
        <v>135717</v>
      </c>
      <c r="H25" s="29">
        <v>44156</v>
      </c>
      <c r="I25" s="34">
        <v>605</v>
      </c>
      <c r="J25" s="346">
        <v>44156</v>
      </c>
      <c r="K25" s="86" t="s">
        <v>601</v>
      </c>
      <c r="L25" s="178">
        <f>17238.19+400+4000</f>
        <v>21638.19</v>
      </c>
      <c r="M25" s="31">
        <v>108083</v>
      </c>
      <c r="N25" s="32">
        <v>8574</v>
      </c>
      <c r="O25" s="217"/>
    </row>
    <row r="26" spans="1:15" ht="15" thickBot="1" x14ac:dyDescent="0.35">
      <c r="A26" s="23"/>
      <c r="B26" s="248">
        <v>44157</v>
      </c>
      <c r="C26" s="249">
        <v>12258</v>
      </c>
      <c r="D26" s="252" t="s">
        <v>602</v>
      </c>
      <c r="E26" s="27">
        <v>44157</v>
      </c>
      <c r="F26" s="28">
        <v>165125</v>
      </c>
      <c r="H26" s="29">
        <v>44157</v>
      </c>
      <c r="I26" s="34">
        <v>550</v>
      </c>
      <c r="J26" s="55"/>
      <c r="K26" s="228"/>
      <c r="L26" s="223"/>
      <c r="M26" s="31">
        <v>146152</v>
      </c>
      <c r="N26" s="32">
        <v>6165</v>
      </c>
      <c r="O26" s="217"/>
    </row>
    <row r="27" spans="1:15" ht="15" thickBot="1" x14ac:dyDescent="0.35">
      <c r="A27" s="23"/>
      <c r="B27" s="248">
        <v>44158</v>
      </c>
      <c r="C27" s="249">
        <v>8882.7000000000007</v>
      </c>
      <c r="D27" s="252" t="s">
        <v>603</v>
      </c>
      <c r="E27" s="27">
        <v>44158</v>
      </c>
      <c r="F27" s="28">
        <v>75229</v>
      </c>
      <c r="H27" s="29">
        <v>44158</v>
      </c>
      <c r="I27" s="34">
        <v>440</v>
      </c>
      <c r="J27" s="176"/>
      <c r="K27" s="96"/>
      <c r="L27" s="178"/>
      <c r="M27" s="31">
        <v>64289</v>
      </c>
      <c r="N27" s="32">
        <v>1617</v>
      </c>
      <c r="O27" s="217"/>
    </row>
    <row r="28" spans="1:15" ht="15" thickBot="1" x14ac:dyDescent="0.35">
      <c r="A28" s="23"/>
      <c r="B28" s="248">
        <v>44159</v>
      </c>
      <c r="C28" s="249">
        <v>1659</v>
      </c>
      <c r="D28" s="253" t="s">
        <v>19</v>
      </c>
      <c r="E28" s="27">
        <v>44159</v>
      </c>
      <c r="F28" s="28">
        <v>78158</v>
      </c>
      <c r="H28" s="29">
        <v>44159</v>
      </c>
      <c r="I28" s="34">
        <v>495</v>
      </c>
      <c r="J28" s="176"/>
      <c r="K28" s="353"/>
      <c r="L28" s="178"/>
      <c r="M28" s="31">
        <f>65072+8000</f>
        <v>73072</v>
      </c>
      <c r="N28" s="32">
        <v>2932</v>
      </c>
      <c r="O28" s="217"/>
    </row>
    <row r="29" spans="1:15" ht="15" thickBot="1" x14ac:dyDescent="0.35">
      <c r="A29" s="23"/>
      <c r="B29" s="248">
        <v>44160</v>
      </c>
      <c r="C29" s="249">
        <v>11667</v>
      </c>
      <c r="D29" s="304" t="s">
        <v>604</v>
      </c>
      <c r="E29" s="27">
        <v>44160</v>
      </c>
      <c r="F29" s="28">
        <v>78604</v>
      </c>
      <c r="H29" s="29">
        <v>44160</v>
      </c>
      <c r="I29" s="34">
        <v>2495</v>
      </c>
      <c r="J29" s="176"/>
      <c r="K29" s="354"/>
      <c r="L29" s="178"/>
      <c r="M29" s="31">
        <f>47406+2754+11607</f>
        <v>61767</v>
      </c>
      <c r="N29" s="32">
        <v>2675</v>
      </c>
      <c r="O29" s="204" t="s">
        <v>166</v>
      </c>
    </row>
    <row r="30" spans="1:15" ht="15" thickBot="1" x14ac:dyDescent="0.35">
      <c r="A30" s="23"/>
      <c r="B30" s="248">
        <v>44161</v>
      </c>
      <c r="C30" s="249">
        <v>6409</v>
      </c>
      <c r="D30" s="263" t="s">
        <v>605</v>
      </c>
      <c r="E30" s="27">
        <v>44161</v>
      </c>
      <c r="F30" s="28">
        <v>117133</v>
      </c>
      <c r="H30" s="29">
        <v>44161</v>
      </c>
      <c r="I30" s="199">
        <v>440</v>
      </c>
      <c r="J30" s="176"/>
      <c r="K30" s="48"/>
      <c r="L30" s="41"/>
      <c r="M30" s="31">
        <f>101344+574+2483</f>
        <v>104401</v>
      </c>
      <c r="N30" s="32">
        <v>5883</v>
      </c>
      <c r="O30" s="217"/>
    </row>
    <row r="31" spans="1:15" ht="15" thickBot="1" x14ac:dyDescent="0.35">
      <c r="A31" s="23"/>
      <c r="B31" s="248">
        <v>44162</v>
      </c>
      <c r="C31" s="262">
        <v>2034</v>
      </c>
      <c r="D31" s="304" t="s">
        <v>19</v>
      </c>
      <c r="E31" s="27">
        <v>44162</v>
      </c>
      <c r="F31" s="28">
        <v>161750</v>
      </c>
      <c r="H31" s="29">
        <v>44162</v>
      </c>
      <c r="I31" s="199">
        <v>12868</v>
      </c>
      <c r="J31" s="176"/>
      <c r="K31" s="86"/>
      <c r="L31" s="178"/>
      <c r="M31" s="31">
        <f>131807+10190</f>
        <v>141997</v>
      </c>
      <c r="N31" s="32">
        <v>4851</v>
      </c>
      <c r="O31" s="204" t="s">
        <v>166</v>
      </c>
    </row>
    <row r="32" spans="1:15" ht="15" thickBot="1" x14ac:dyDescent="0.35">
      <c r="A32" s="23"/>
      <c r="B32" s="248">
        <v>44163</v>
      </c>
      <c r="C32" s="262">
        <v>7010</v>
      </c>
      <c r="D32" s="304" t="s">
        <v>606</v>
      </c>
      <c r="E32" s="27">
        <v>44163</v>
      </c>
      <c r="F32" s="202">
        <v>132742</v>
      </c>
      <c r="H32" s="29">
        <v>44163</v>
      </c>
      <c r="I32" s="199">
        <v>4320</v>
      </c>
      <c r="J32" s="176">
        <v>44163</v>
      </c>
      <c r="K32" s="48" t="s">
        <v>607</v>
      </c>
      <c r="L32" s="41">
        <f>16533.44+4000</f>
        <v>20533.439999999999</v>
      </c>
      <c r="M32" s="31">
        <v>102660</v>
      </c>
      <c r="N32" s="32">
        <v>7064</v>
      </c>
      <c r="O32" s="217"/>
    </row>
    <row r="33" spans="1:15" ht="15" thickBot="1" x14ac:dyDescent="0.35">
      <c r="A33" s="23"/>
      <c r="B33" s="248">
        <v>44164</v>
      </c>
      <c r="C33" s="97">
        <v>8723</v>
      </c>
      <c r="D33" s="96" t="s">
        <v>86</v>
      </c>
      <c r="E33" s="27">
        <v>44164</v>
      </c>
      <c r="F33" s="97">
        <v>144263</v>
      </c>
      <c r="H33" s="29">
        <v>44164</v>
      </c>
      <c r="I33" s="199">
        <v>550</v>
      </c>
      <c r="J33" s="176">
        <v>44164</v>
      </c>
      <c r="K33" s="48" t="s">
        <v>608</v>
      </c>
      <c r="L33" s="358">
        <v>400</v>
      </c>
      <c r="M33" s="31">
        <v>128595</v>
      </c>
      <c r="N33" s="32">
        <v>5995</v>
      </c>
      <c r="O33" s="217"/>
    </row>
    <row r="34" spans="1:15" ht="16.2" thickBot="1" x14ac:dyDescent="0.35">
      <c r="A34" s="23"/>
      <c r="B34" s="248">
        <v>44165</v>
      </c>
      <c r="C34" s="136">
        <v>4301</v>
      </c>
      <c r="D34" s="86" t="s">
        <v>609</v>
      </c>
      <c r="E34" s="27">
        <v>44165</v>
      </c>
      <c r="F34" s="97">
        <v>147017</v>
      </c>
      <c r="H34" s="29">
        <v>44165</v>
      </c>
      <c r="I34" s="199">
        <v>550</v>
      </c>
      <c r="J34" s="176"/>
      <c r="K34" s="6"/>
      <c r="L34" s="45"/>
      <c r="M34" s="498">
        <f>134423+6000+629+507</f>
        <v>141559</v>
      </c>
      <c r="N34" s="32">
        <v>3227</v>
      </c>
      <c r="O34" s="217"/>
    </row>
    <row r="35" spans="1:15" ht="16.2" thickBot="1" x14ac:dyDescent="0.35">
      <c r="A35" s="23"/>
      <c r="B35" s="499"/>
      <c r="C35" s="500"/>
      <c r="D35" s="501"/>
      <c r="E35" s="502"/>
      <c r="F35" s="503"/>
      <c r="G35" s="504"/>
      <c r="H35" s="505"/>
      <c r="I35" s="506"/>
      <c r="J35" s="507"/>
      <c r="K35" s="508"/>
      <c r="L35" s="509"/>
      <c r="M35" s="510">
        <v>0</v>
      </c>
      <c r="N35" s="511">
        <v>0</v>
      </c>
      <c r="O35" s="217"/>
    </row>
    <row r="36" spans="1:15" ht="16.2" thickBot="1" x14ac:dyDescent="0.35">
      <c r="A36" s="23"/>
      <c r="B36" s="512">
        <v>44138</v>
      </c>
      <c r="C36" s="97">
        <v>17506</v>
      </c>
      <c r="D36" s="399" t="s">
        <v>610</v>
      </c>
      <c r="E36" s="27"/>
      <c r="F36" s="97"/>
      <c r="H36" s="29"/>
      <c r="I36" s="199"/>
      <c r="J36" s="176" t="s">
        <v>611</v>
      </c>
      <c r="K36" s="48" t="s">
        <v>235</v>
      </c>
      <c r="L36" s="358">
        <f>9720+9885</f>
        <v>19605</v>
      </c>
      <c r="M36" s="31">
        <v>0</v>
      </c>
      <c r="N36" s="32">
        <v>0</v>
      </c>
      <c r="O36" s="217"/>
    </row>
    <row r="37" spans="1:15" ht="16.2" thickBot="1" x14ac:dyDescent="0.35">
      <c r="A37" s="23"/>
      <c r="B37" s="512">
        <v>44141</v>
      </c>
      <c r="C37" s="97">
        <v>13243</v>
      </c>
      <c r="D37" s="399" t="s">
        <v>612</v>
      </c>
      <c r="E37" s="27"/>
      <c r="F37" s="97"/>
      <c r="H37" s="29"/>
      <c r="I37" s="199"/>
      <c r="J37" s="176" t="s">
        <v>611</v>
      </c>
      <c r="K37" s="48" t="s">
        <v>613</v>
      </c>
      <c r="L37" s="358">
        <v>15660</v>
      </c>
      <c r="M37" s="31">
        <v>0</v>
      </c>
      <c r="N37" s="32">
        <v>0</v>
      </c>
      <c r="O37" s="217"/>
    </row>
    <row r="38" spans="1:15" ht="16.2" thickBot="1" x14ac:dyDescent="0.35">
      <c r="A38" s="23"/>
      <c r="B38" s="513">
        <v>44144</v>
      </c>
      <c r="C38" s="97">
        <v>15119.09</v>
      </c>
      <c r="D38" s="399" t="s">
        <v>614</v>
      </c>
      <c r="E38" s="27"/>
      <c r="F38" s="97"/>
      <c r="H38" s="29"/>
      <c r="I38" s="199"/>
      <c r="J38" s="176" t="s">
        <v>611</v>
      </c>
      <c r="K38" s="48" t="s">
        <v>17</v>
      </c>
      <c r="L38" s="358">
        <v>5800</v>
      </c>
      <c r="M38" s="31">
        <v>0</v>
      </c>
      <c r="N38" s="32">
        <v>0</v>
      </c>
      <c r="O38" s="217"/>
    </row>
    <row r="39" spans="1:15" ht="16.2" thickBot="1" x14ac:dyDescent="0.35">
      <c r="A39" s="23"/>
      <c r="B39" s="513">
        <v>44145</v>
      </c>
      <c r="C39" s="97">
        <v>16956.75</v>
      </c>
      <c r="D39" s="399" t="s">
        <v>615</v>
      </c>
      <c r="E39" s="27"/>
      <c r="F39" s="97"/>
      <c r="H39" s="29"/>
      <c r="I39" s="199"/>
      <c r="J39" s="176" t="s">
        <v>611</v>
      </c>
      <c r="K39" s="48" t="s">
        <v>192</v>
      </c>
      <c r="L39" s="358">
        <v>986</v>
      </c>
      <c r="M39" s="31">
        <v>0</v>
      </c>
      <c r="N39" s="32">
        <v>0</v>
      </c>
      <c r="O39" s="217"/>
    </row>
    <row r="40" spans="1:15" ht="16.2" thickBot="1" x14ac:dyDescent="0.35">
      <c r="A40" s="23"/>
      <c r="B40" s="513">
        <v>44147</v>
      </c>
      <c r="C40" s="97">
        <v>10102.870000000001</v>
      </c>
      <c r="D40" s="399" t="s">
        <v>616</v>
      </c>
      <c r="E40" s="27"/>
      <c r="F40" s="97"/>
      <c r="H40" s="29"/>
      <c r="I40" s="199"/>
      <c r="J40" s="176" t="s">
        <v>611</v>
      </c>
      <c r="K40" s="48" t="s">
        <v>617</v>
      </c>
      <c r="L40" s="358">
        <v>7000</v>
      </c>
      <c r="M40" s="31">
        <v>0</v>
      </c>
      <c r="N40" s="32">
        <v>0</v>
      </c>
      <c r="O40" s="217"/>
    </row>
    <row r="41" spans="1:15" ht="16.2" thickBot="1" x14ac:dyDescent="0.35">
      <c r="A41" s="23"/>
      <c r="B41" s="514">
        <v>44148</v>
      </c>
      <c r="C41" s="515">
        <v>18677.03</v>
      </c>
      <c r="D41" s="399" t="s">
        <v>618</v>
      </c>
      <c r="E41" s="27"/>
      <c r="F41" s="97"/>
      <c r="H41" s="29"/>
      <c r="I41" s="199"/>
      <c r="J41" s="176" t="s">
        <v>611</v>
      </c>
      <c r="K41" s="516" t="s">
        <v>238</v>
      </c>
      <c r="L41" s="358">
        <v>5303.4</v>
      </c>
      <c r="M41" s="31">
        <v>0</v>
      </c>
      <c r="N41" s="32">
        <v>0</v>
      </c>
      <c r="O41" s="217"/>
    </row>
    <row r="42" spans="1:15" ht="16.2" thickBot="1" x14ac:dyDescent="0.35">
      <c r="A42" s="23"/>
      <c r="B42" s="514">
        <v>44151</v>
      </c>
      <c r="C42" s="515">
        <v>17259.34</v>
      </c>
      <c r="D42" s="399" t="s">
        <v>619</v>
      </c>
      <c r="E42" s="158"/>
      <c r="F42" s="97"/>
      <c r="H42" s="29"/>
      <c r="I42" s="199"/>
      <c r="J42" s="176" t="s">
        <v>611</v>
      </c>
      <c r="K42" s="517" t="s">
        <v>165</v>
      </c>
      <c r="L42" s="82">
        <v>10000</v>
      </c>
      <c r="M42" s="31">
        <v>0</v>
      </c>
      <c r="N42" s="32">
        <v>0</v>
      </c>
      <c r="O42" s="217"/>
    </row>
    <row r="43" spans="1:15" ht="16.2" thickBot="1" x14ac:dyDescent="0.35">
      <c r="A43" s="23"/>
      <c r="B43" s="514">
        <v>44153</v>
      </c>
      <c r="C43" s="515">
        <v>22594.37</v>
      </c>
      <c r="D43" s="399" t="s">
        <v>620</v>
      </c>
      <c r="E43" s="400"/>
      <c r="F43" s="97"/>
      <c r="H43" s="29"/>
      <c r="I43" s="199"/>
      <c r="J43" s="176" t="s">
        <v>611</v>
      </c>
      <c r="K43" s="362" t="s">
        <v>46</v>
      </c>
      <c r="L43" s="66">
        <v>1394.81</v>
      </c>
      <c r="M43" s="31">
        <v>0</v>
      </c>
      <c r="N43" s="32">
        <v>0</v>
      </c>
      <c r="O43" s="217"/>
    </row>
    <row r="44" spans="1:15" ht="16.2" thickBot="1" x14ac:dyDescent="0.35">
      <c r="A44" s="23"/>
      <c r="B44" s="514">
        <v>44155</v>
      </c>
      <c r="C44" s="515">
        <v>17005.52</v>
      </c>
      <c r="D44" s="399" t="s">
        <v>621</v>
      </c>
      <c r="E44" s="158"/>
      <c r="F44" s="97"/>
      <c r="H44" s="29"/>
      <c r="I44" s="199"/>
      <c r="J44" s="176" t="s">
        <v>611</v>
      </c>
      <c r="K44" s="518" t="s">
        <v>622</v>
      </c>
      <c r="L44" s="45">
        <f>1696.04+198.99</f>
        <v>1895.03</v>
      </c>
      <c r="M44" s="31"/>
      <c r="N44" s="32"/>
      <c r="O44" s="217"/>
    </row>
    <row r="45" spans="1:15" ht="16.2" thickBot="1" x14ac:dyDescent="0.35">
      <c r="A45" s="23"/>
      <c r="B45" s="514">
        <v>44158</v>
      </c>
      <c r="C45" s="515">
        <v>24006.639999999999</v>
      </c>
      <c r="D45" s="399" t="s">
        <v>623</v>
      </c>
      <c r="E45" s="158"/>
      <c r="F45" s="97"/>
      <c r="H45" s="29"/>
      <c r="I45" s="199"/>
      <c r="J45" s="176" t="s">
        <v>611</v>
      </c>
      <c r="K45" s="362" t="s">
        <v>624</v>
      </c>
      <c r="L45" s="66">
        <v>60000</v>
      </c>
      <c r="M45" s="31"/>
      <c r="N45" s="32"/>
      <c r="O45" s="217"/>
    </row>
    <row r="46" spans="1:15" ht="16.2" thickBot="1" x14ac:dyDescent="0.35">
      <c r="A46" s="23"/>
      <c r="B46" s="513">
        <v>44160</v>
      </c>
      <c r="C46" s="97">
        <v>33230.230000000003</v>
      </c>
      <c r="D46" s="399" t="s">
        <v>625</v>
      </c>
      <c r="E46" s="27"/>
      <c r="F46" s="97"/>
      <c r="H46" s="29"/>
      <c r="I46" s="199"/>
      <c r="J46" s="176" t="s">
        <v>611</v>
      </c>
      <c r="K46" s="286" t="s">
        <v>15</v>
      </c>
      <c r="L46" s="66">
        <v>24530</v>
      </c>
      <c r="M46" s="31"/>
      <c r="N46" s="32"/>
      <c r="O46" s="217"/>
    </row>
    <row r="47" spans="1:15" ht="16.2" thickBot="1" x14ac:dyDescent="0.35">
      <c r="A47" s="23"/>
      <c r="B47" s="513">
        <v>44162</v>
      </c>
      <c r="C47" s="97">
        <v>13708.67</v>
      </c>
      <c r="D47" s="399" t="s">
        <v>626</v>
      </c>
      <c r="E47" s="27"/>
      <c r="F47" s="97"/>
      <c r="H47" s="29"/>
      <c r="I47" s="199"/>
      <c r="J47" s="176" t="s">
        <v>611</v>
      </c>
      <c r="K47" s="362" t="s">
        <v>203</v>
      </c>
      <c r="L47" s="66">
        <v>4922.97</v>
      </c>
      <c r="M47" s="31"/>
      <c r="N47" s="32"/>
      <c r="O47" s="217"/>
    </row>
    <row r="48" spans="1:15" ht="16.2" thickBot="1" x14ac:dyDescent="0.35">
      <c r="A48" s="23"/>
      <c r="B48" s="513"/>
      <c r="C48" s="97"/>
      <c r="D48" s="519"/>
      <c r="E48" s="27"/>
      <c r="F48" s="97"/>
      <c r="H48" s="29"/>
      <c r="I48" s="199"/>
      <c r="J48" s="176"/>
      <c r="K48" s="362"/>
      <c r="L48" s="66"/>
      <c r="M48" s="31"/>
      <c r="N48" s="32"/>
      <c r="O48" s="217"/>
    </row>
    <row r="49" spans="1:15" ht="15" thickBot="1" x14ac:dyDescent="0.35">
      <c r="A49" s="23"/>
      <c r="B49" s="248"/>
      <c r="C49" s="262"/>
      <c r="D49" s="375"/>
      <c r="E49" s="27"/>
      <c r="F49" s="97"/>
      <c r="H49" s="29"/>
      <c r="I49" s="199"/>
      <c r="J49" s="176"/>
      <c r="K49" s="362"/>
      <c r="L49" s="66"/>
      <c r="M49" s="31"/>
      <c r="N49" s="32"/>
      <c r="O49" s="217"/>
    </row>
    <row r="50" spans="1:15" ht="15" thickBot="1" x14ac:dyDescent="0.35">
      <c r="A50" s="23"/>
      <c r="B50" s="248"/>
      <c r="C50" s="262"/>
      <c r="D50" s="375"/>
      <c r="E50" s="27"/>
      <c r="F50" s="97"/>
      <c r="H50" s="29"/>
      <c r="I50" s="199"/>
      <c r="J50" s="176"/>
      <c r="K50" s="362"/>
      <c r="L50" s="66"/>
      <c r="M50" s="31"/>
      <c r="N50" s="32"/>
      <c r="O50" s="217"/>
    </row>
    <row r="51" spans="1:15" ht="15" thickBot="1" x14ac:dyDescent="0.35">
      <c r="A51" s="23"/>
      <c r="B51" s="248"/>
      <c r="C51" s="520"/>
      <c r="D51" s="375"/>
      <c r="E51" s="27"/>
      <c r="F51" s="97"/>
      <c r="H51" s="29"/>
      <c r="I51" s="199"/>
      <c r="J51" s="176"/>
      <c r="K51" s="361"/>
      <c r="L51" s="82"/>
      <c r="M51" s="31">
        <v>0</v>
      </c>
      <c r="N51" s="32">
        <v>0</v>
      </c>
      <c r="O51" s="217"/>
    </row>
    <row r="52" spans="1:15" ht="15" thickBot="1" x14ac:dyDescent="0.35">
      <c r="A52" s="23"/>
      <c r="B52" s="248"/>
      <c r="C52" s="97"/>
      <c r="D52" s="376"/>
      <c r="E52" s="365"/>
      <c r="F52" s="351"/>
      <c r="H52" s="29"/>
      <c r="I52" s="307"/>
      <c r="J52" s="176" t="s">
        <v>611</v>
      </c>
      <c r="K52" s="361" t="s">
        <v>627</v>
      </c>
      <c r="L52" s="82">
        <f>8768+24802.77+1240</f>
        <v>34810.770000000004</v>
      </c>
      <c r="M52" s="31">
        <v>0</v>
      </c>
      <c r="N52" s="32">
        <v>0</v>
      </c>
      <c r="O52" s="217"/>
    </row>
    <row r="53" spans="1:15" ht="16.2" thickBot="1" x14ac:dyDescent="0.35">
      <c r="B53" s="521" t="s">
        <v>51</v>
      </c>
      <c r="C53" s="522">
        <f>SUM(C5:C52)</f>
        <v>441012.11</v>
      </c>
      <c r="D53" s="114"/>
      <c r="E53" s="237" t="s">
        <v>51</v>
      </c>
      <c r="F53" s="238">
        <f>SUM(F5:F52)</f>
        <v>3207794</v>
      </c>
      <c r="G53" s="114"/>
      <c r="H53" s="117" t="s">
        <v>245</v>
      </c>
      <c r="I53" s="118">
        <f>SUM(I5:I52)</f>
        <v>73823</v>
      </c>
      <c r="J53" s="265"/>
      <c r="K53" s="120" t="s">
        <v>246</v>
      </c>
      <c r="L53" s="121">
        <f>SUM(L6:L52)</f>
        <v>276518.95999999996</v>
      </c>
      <c r="M53" s="126">
        <f>SUM(M5:M52)</f>
        <v>2710603.64</v>
      </c>
      <c r="N53" s="126">
        <f>SUM(N5:N52)</f>
        <v>170847</v>
      </c>
      <c r="O53" s="239"/>
    </row>
    <row r="54" spans="1:15" ht="16.8" thickTop="1" thickBot="1" x14ac:dyDescent="0.35">
      <c r="B54" s="523" t="s">
        <v>628</v>
      </c>
      <c r="C54" s="524">
        <v>177172.6</v>
      </c>
      <c r="D54" s="375" t="s">
        <v>629</v>
      </c>
      <c r="E54" s="502" t="s">
        <v>628</v>
      </c>
      <c r="F54" s="136">
        <v>3078182</v>
      </c>
      <c r="H54" s="505" t="s">
        <v>628</v>
      </c>
      <c r="I54" s="525">
        <v>81577</v>
      </c>
      <c r="J54" s="176"/>
      <c r="K54" s="526" t="s">
        <v>630</v>
      </c>
      <c r="L54" s="66">
        <v>229387.12</v>
      </c>
      <c r="M54" s="510">
        <v>2523127.46</v>
      </c>
      <c r="N54" s="511">
        <v>146040</v>
      </c>
      <c r="O54" s="239"/>
    </row>
    <row r="55" spans="1:15" ht="15" thickBot="1" x14ac:dyDescent="0.35">
      <c r="B55" s="527" t="s">
        <v>628</v>
      </c>
      <c r="C55" s="332">
        <v>167881.81</v>
      </c>
      <c r="D55" s="375" t="s">
        <v>41</v>
      </c>
      <c r="E55" s="365"/>
      <c r="F55" s="332">
        <v>0</v>
      </c>
      <c r="H55" s="29"/>
      <c r="I55" s="332">
        <v>0</v>
      </c>
      <c r="J55" s="176"/>
      <c r="K55" s="528"/>
      <c r="L55" s="529">
        <v>0</v>
      </c>
      <c r="M55" s="530">
        <v>0</v>
      </c>
      <c r="N55" s="531">
        <v>0</v>
      </c>
      <c r="O55" s="239"/>
    </row>
    <row r="56" spans="1:15" ht="16.2" thickBot="1" x14ac:dyDescent="0.35">
      <c r="B56" s="532" t="s">
        <v>631</v>
      </c>
      <c r="C56" s="533">
        <f>SUM(C53:C55)</f>
        <v>786066.52</v>
      </c>
      <c r="E56" s="534" t="s">
        <v>632</v>
      </c>
      <c r="F56" s="535">
        <f>SUM(F53:F55)</f>
        <v>6285976</v>
      </c>
      <c r="H56" s="536" t="s">
        <v>632</v>
      </c>
      <c r="I56" s="537">
        <f>SUM(I53:I55)</f>
        <v>155400</v>
      </c>
      <c r="J56" s="265"/>
      <c r="K56" s="538" t="s">
        <v>632</v>
      </c>
      <c r="L56" s="539">
        <f>SUM(L53:L55)</f>
        <v>505906.07999999996</v>
      </c>
      <c r="M56" s="540">
        <f>SUM(M53:M55)</f>
        <v>5233731.0999999996</v>
      </c>
      <c r="N56" s="537">
        <f>SUM(N53:N55)</f>
        <v>316887</v>
      </c>
      <c r="O56" s="239"/>
    </row>
    <row r="57" spans="1:15" ht="18.600000000000001" thickBot="1" x14ac:dyDescent="0.35">
      <c r="C57" s="541"/>
      <c r="O57" s="240"/>
    </row>
    <row r="58" spans="1:15" ht="18.600000000000001" thickBot="1" x14ac:dyDescent="0.35">
      <c r="A58" s="65"/>
      <c r="B58" s="122"/>
      <c r="C58" s="5" t="s">
        <v>10</v>
      </c>
      <c r="H58" s="601" t="s">
        <v>52</v>
      </c>
      <c r="I58" s="602"/>
      <c r="J58" s="266"/>
      <c r="K58" s="603">
        <f>I53+L53+I54+L54</f>
        <v>661306.07999999996</v>
      </c>
      <c r="L58" s="604"/>
      <c r="M58" s="599">
        <f>M53+N53</f>
        <v>2881450.64</v>
      </c>
      <c r="N58" s="600"/>
    </row>
    <row r="59" spans="1:15" ht="15.6" x14ac:dyDescent="0.3">
      <c r="C59" s="4"/>
      <c r="D59" s="606" t="s">
        <v>53</v>
      </c>
      <c r="E59" s="606"/>
      <c r="F59" s="124">
        <f>F56-K58-C56</f>
        <v>4838603.4000000004</v>
      </c>
      <c r="I59" s="125"/>
      <c r="J59" s="267"/>
    </row>
    <row r="60" spans="1:15" ht="18" x14ac:dyDescent="0.35">
      <c r="D60" s="607" t="s">
        <v>54</v>
      </c>
      <c r="E60" s="607"/>
      <c r="F60" s="126">
        <f>-2442248.4-2336836.32</f>
        <v>-4779084.72</v>
      </c>
      <c r="I60" s="608" t="s">
        <v>55</v>
      </c>
      <c r="J60" s="609"/>
      <c r="K60" s="610">
        <f>F62+F63+F64</f>
        <v>393383.74000000063</v>
      </c>
      <c r="L60" s="611"/>
    </row>
    <row r="61" spans="1:15" ht="18.600000000000001" thickBot="1" x14ac:dyDescent="0.4">
      <c r="D61" s="127"/>
      <c r="E61" s="128"/>
      <c r="F61" s="129">
        <v>0</v>
      </c>
      <c r="I61" s="130"/>
      <c r="J61" s="268"/>
      <c r="K61" s="131"/>
      <c r="L61" s="131"/>
    </row>
    <row r="62" spans="1:15" ht="18.600000000000001" thickTop="1" x14ac:dyDescent="0.35">
      <c r="E62" s="65" t="s">
        <v>56</v>
      </c>
      <c r="F62" s="126">
        <f>SUM(F59:F61)</f>
        <v>59518.680000000633</v>
      </c>
      <c r="H62" s="23"/>
      <c r="I62" s="132" t="s">
        <v>57</v>
      </c>
      <c r="J62" s="269"/>
      <c r="K62" s="612">
        <f>-C4</f>
        <v>-313820.27</v>
      </c>
      <c r="L62" s="613"/>
      <c r="M62" s="134"/>
    </row>
    <row r="63" spans="1:15" ht="16.2" thickBot="1" x14ac:dyDescent="0.35">
      <c r="C63" s="13" t="s">
        <v>10</v>
      </c>
      <c r="D63" s="135" t="s">
        <v>58</v>
      </c>
      <c r="E63" s="65" t="s">
        <v>59</v>
      </c>
      <c r="F63" s="136">
        <f>18212+42136</f>
        <v>60348</v>
      </c>
    </row>
    <row r="64" spans="1:15" ht="19.2" thickTop="1" thickBot="1" x14ac:dyDescent="0.4">
      <c r="C64" s="542">
        <v>44165</v>
      </c>
      <c r="D64" s="614" t="s">
        <v>60</v>
      </c>
      <c r="E64" s="615"/>
      <c r="F64" s="138">
        <v>273517.06</v>
      </c>
      <c r="I64" s="658" t="s">
        <v>61</v>
      </c>
      <c r="J64" s="659"/>
      <c r="K64" s="660">
        <f>K60+K62</f>
        <v>79563.470000000612</v>
      </c>
      <c r="L64" s="661"/>
    </row>
    <row r="65" spans="2:15" ht="18" x14ac:dyDescent="0.35">
      <c r="C65" s="137"/>
      <c r="D65" s="140"/>
      <c r="E65" s="141"/>
      <c r="F65" s="142"/>
      <c r="J65" s="270"/>
      <c r="M65" s="143"/>
    </row>
    <row r="66" spans="2:15" x14ac:dyDescent="0.3">
      <c r="C66" s="139"/>
    </row>
    <row r="67" spans="2:15" x14ac:dyDescent="0.3">
      <c r="B67" s="409"/>
      <c r="D67" s="102"/>
      <c r="E67" s="91"/>
      <c r="M67" s="144"/>
      <c r="N67" s="65"/>
      <c r="O67" s="65"/>
    </row>
    <row r="68" spans="2:15" ht="15.6" x14ac:dyDescent="0.3">
      <c r="B68" s="409"/>
      <c r="C68" s="410"/>
      <c r="E68" s="91"/>
      <c r="M68" s="144"/>
      <c r="N68" s="65"/>
      <c r="O68" s="65"/>
    </row>
    <row r="69" spans="2:15" ht="15.6" x14ac:dyDescent="0.3">
      <c r="B69" s="409"/>
      <c r="C69" s="364"/>
      <c r="E69" s="91"/>
      <c r="F69" s="145"/>
      <c r="M69" s="4"/>
    </row>
    <row r="70" spans="2:15" ht="15.6" x14ac:dyDescent="0.3">
      <c r="B70" s="409"/>
      <c r="C70" s="364"/>
      <c r="E70" s="91"/>
      <c r="M70" s="4"/>
    </row>
    <row r="71" spans="2:15" ht="15.6" x14ac:dyDescent="0.3">
      <c r="B71" s="409"/>
      <c r="C71" s="364"/>
      <c r="E71" s="91"/>
      <c r="M71" s="4"/>
    </row>
    <row r="72" spans="2:15" ht="15.6" x14ac:dyDescent="0.3">
      <c r="C72" s="364"/>
      <c r="M72" s="4"/>
    </row>
    <row r="73" spans="2:15" x14ac:dyDescent="0.3">
      <c r="M73" s="4"/>
    </row>
    <row r="74" spans="2:15" x14ac:dyDescent="0.3">
      <c r="M74" s="4"/>
    </row>
    <row r="75" spans="2:15" x14ac:dyDescent="0.3">
      <c r="M75" s="4"/>
    </row>
    <row r="76" spans="2:15" x14ac:dyDescent="0.3">
      <c r="M76" s="4"/>
    </row>
    <row r="77" spans="2:15" x14ac:dyDescent="0.3">
      <c r="M77" s="4"/>
    </row>
    <row r="78" spans="2:15" x14ac:dyDescent="0.3">
      <c r="M78" s="4"/>
    </row>
    <row r="79" spans="2:15" x14ac:dyDescent="0.3">
      <c r="M79" s="4"/>
    </row>
    <row r="80" spans="2:15" x14ac:dyDescent="0.3">
      <c r="M80" s="4"/>
    </row>
    <row r="81" spans="13:13" x14ac:dyDescent="0.3">
      <c r="M81" s="4"/>
    </row>
    <row r="82" spans="13:13" x14ac:dyDescent="0.3">
      <c r="M82" s="4"/>
    </row>
  </sheetData>
  <mergeCells count="16">
    <mergeCell ref="C1:K1"/>
    <mergeCell ref="B3:C3"/>
    <mergeCell ref="H3:I3"/>
    <mergeCell ref="E4:F4"/>
    <mergeCell ref="H4:I4"/>
    <mergeCell ref="D64:E64"/>
    <mergeCell ref="I64:J64"/>
    <mergeCell ref="K64:L64"/>
    <mergeCell ref="M58:N58"/>
    <mergeCell ref="D59:E59"/>
    <mergeCell ref="D60:E60"/>
    <mergeCell ref="I60:J60"/>
    <mergeCell ref="K60:L60"/>
    <mergeCell ref="K62:L62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EADD-E41F-4303-933A-6FC414A39229}">
  <sheetPr>
    <tabColor rgb="FFFF00FF"/>
  </sheetPr>
  <dimension ref="A1:X91"/>
  <sheetViews>
    <sheetView workbookViewId="0">
      <selection activeCell="D20" sqref="D19:D20"/>
    </sheetView>
  </sheetViews>
  <sheetFormatPr baseColWidth="10" defaultRowHeight="14.4" x14ac:dyDescent="0.3"/>
  <cols>
    <col min="1" max="1" width="11.44140625" style="1"/>
    <col min="2" max="2" width="13.109375" style="476" customWidth="1"/>
    <col min="3" max="3" width="9.88671875" style="476" hidden="1" customWidth="1"/>
    <col min="4" max="4" width="29.5546875" customWidth="1"/>
    <col min="5" max="5" width="14.109375" style="5" bestFit="1" customWidth="1"/>
    <col min="6" max="6" width="13.33203125" style="477" customWidth="1"/>
    <col min="7" max="7" width="18" style="5" customWidth="1"/>
    <col min="8" max="8" width="14.109375" customWidth="1"/>
    <col min="9" max="9" width="3.44140625" customWidth="1"/>
    <col min="14" max="14" width="15.109375" customWidth="1"/>
    <col min="16" max="16" width="12.6640625" bestFit="1" customWidth="1"/>
    <col min="21" max="21" width="18.44140625" customWidth="1"/>
    <col min="22" max="22" width="12.33203125" bestFit="1" customWidth="1"/>
    <col min="23" max="23" width="17.6640625" customWidth="1"/>
    <col min="24" max="24" width="14.5546875" customWidth="1"/>
  </cols>
  <sheetData>
    <row r="1" spans="1:9" ht="18.600000000000001" thickBot="1" x14ac:dyDescent="0.4">
      <c r="B1" s="643" t="s">
        <v>543</v>
      </c>
      <c r="C1" s="644"/>
      <c r="D1" s="644"/>
      <c r="E1" s="644"/>
      <c r="F1" s="644"/>
      <c r="G1" s="645"/>
      <c r="I1" s="412"/>
    </row>
    <row r="2" spans="1:9" ht="21" x14ac:dyDescent="0.4">
      <c r="A2" s="413"/>
      <c r="B2" s="646" t="s">
        <v>544</v>
      </c>
      <c r="C2" s="646"/>
      <c r="D2" s="646"/>
      <c r="E2" s="646"/>
      <c r="F2" s="646"/>
      <c r="G2" s="414"/>
      <c r="H2" s="173"/>
      <c r="I2" s="412"/>
    </row>
    <row r="3" spans="1:9" ht="44.4" thickBot="1" x14ac:dyDescent="0.4">
      <c r="A3" s="415"/>
      <c r="B3" s="416" t="s">
        <v>545</v>
      </c>
      <c r="C3" s="417" t="s">
        <v>546</v>
      </c>
      <c r="D3" s="418" t="s">
        <v>547</v>
      </c>
      <c r="E3" s="419" t="s">
        <v>66</v>
      </c>
      <c r="F3" s="420" t="s">
        <v>548</v>
      </c>
      <c r="G3" s="421" t="s">
        <v>549</v>
      </c>
      <c r="H3" s="422" t="s">
        <v>550</v>
      </c>
      <c r="I3" s="412"/>
    </row>
    <row r="4" spans="1:9" ht="18.75" customHeight="1" thickTop="1" x14ac:dyDescent="0.3">
      <c r="A4" s="158">
        <v>44136</v>
      </c>
      <c r="B4" s="423">
        <v>1487</v>
      </c>
      <c r="C4" s="424"/>
      <c r="D4" s="48" t="s">
        <v>551</v>
      </c>
      <c r="E4" s="52">
        <v>10006</v>
      </c>
      <c r="F4" s="270">
        <v>44141</v>
      </c>
      <c r="G4" s="56">
        <v>10006</v>
      </c>
      <c r="H4" s="425">
        <f t="shared" ref="H4:H73" si="0">E4-G4</f>
        <v>0</v>
      </c>
      <c r="I4" s="412"/>
    </row>
    <row r="5" spans="1:9" ht="15.6" x14ac:dyDescent="0.3">
      <c r="A5" s="158">
        <v>44137</v>
      </c>
      <c r="B5" s="426">
        <f>B4+1</f>
        <v>1488</v>
      </c>
      <c r="C5" s="424"/>
      <c r="D5" s="48" t="s">
        <v>552</v>
      </c>
      <c r="E5" s="52">
        <v>75</v>
      </c>
      <c r="F5" s="270">
        <v>44141</v>
      </c>
      <c r="G5" s="56">
        <v>75</v>
      </c>
      <c r="H5" s="425">
        <f t="shared" si="0"/>
        <v>0</v>
      </c>
    </row>
    <row r="6" spans="1:9" ht="15.6" x14ac:dyDescent="0.3">
      <c r="A6" s="158">
        <v>44138</v>
      </c>
      <c r="B6" s="426">
        <f t="shared" ref="B6:B69" si="1">B5+1</f>
        <v>1489</v>
      </c>
      <c r="C6" s="424"/>
      <c r="D6" s="48" t="s">
        <v>551</v>
      </c>
      <c r="E6" s="52">
        <v>8208</v>
      </c>
      <c r="F6" s="270">
        <v>44138</v>
      </c>
      <c r="G6" s="56">
        <v>8208</v>
      </c>
      <c r="H6" s="425">
        <f t="shared" si="0"/>
        <v>0</v>
      </c>
    </row>
    <row r="7" spans="1:9" ht="16.5" customHeight="1" x14ac:dyDescent="0.3">
      <c r="A7" s="427">
        <v>44138</v>
      </c>
      <c r="B7" s="426">
        <f t="shared" si="1"/>
        <v>1490</v>
      </c>
      <c r="C7" s="424"/>
      <c r="D7" s="428" t="s">
        <v>553</v>
      </c>
      <c r="E7" s="429">
        <v>459</v>
      </c>
      <c r="F7" s="270">
        <v>44153</v>
      </c>
      <c r="G7" s="56">
        <v>459</v>
      </c>
      <c r="H7" s="425">
        <f t="shared" si="0"/>
        <v>0</v>
      </c>
    </row>
    <row r="8" spans="1:9" ht="15.6" x14ac:dyDescent="0.3">
      <c r="A8" s="158">
        <v>44140</v>
      </c>
      <c r="B8" s="426">
        <f t="shared" si="1"/>
        <v>1491</v>
      </c>
      <c r="C8" s="424"/>
      <c r="D8" s="430" t="s">
        <v>551</v>
      </c>
      <c r="E8" s="97">
        <v>3379</v>
      </c>
      <c r="F8" s="270">
        <v>44141</v>
      </c>
      <c r="G8" s="56">
        <v>3379</v>
      </c>
      <c r="H8" s="425">
        <f t="shared" si="0"/>
        <v>0</v>
      </c>
    </row>
    <row r="9" spans="1:9" ht="15.6" x14ac:dyDescent="0.3">
      <c r="A9" s="158">
        <v>44140</v>
      </c>
      <c r="B9" s="426">
        <f t="shared" si="1"/>
        <v>1492</v>
      </c>
      <c r="C9" s="424"/>
      <c r="D9" s="48" t="s">
        <v>552</v>
      </c>
      <c r="E9" s="97">
        <v>8191</v>
      </c>
      <c r="F9" s="270">
        <v>44147</v>
      </c>
      <c r="G9" s="56">
        <v>8191</v>
      </c>
      <c r="H9" s="425">
        <f t="shared" si="0"/>
        <v>0</v>
      </c>
    </row>
    <row r="10" spans="1:9" ht="15.6" x14ac:dyDescent="0.3">
      <c r="A10" s="158">
        <v>44141</v>
      </c>
      <c r="B10" s="426">
        <f t="shared" si="1"/>
        <v>1493</v>
      </c>
      <c r="C10" s="424"/>
      <c r="D10" s="48" t="s">
        <v>551</v>
      </c>
      <c r="E10" s="97">
        <v>12112</v>
      </c>
      <c r="F10" s="270" t="s">
        <v>554</v>
      </c>
      <c r="G10" s="56">
        <v>12112</v>
      </c>
      <c r="H10" s="425">
        <f t="shared" si="0"/>
        <v>0</v>
      </c>
    </row>
    <row r="11" spans="1:9" ht="15.6" x14ac:dyDescent="0.3">
      <c r="A11" s="158">
        <v>44141</v>
      </c>
      <c r="B11" s="426">
        <f t="shared" si="1"/>
        <v>1494</v>
      </c>
      <c r="C11" s="424"/>
      <c r="D11" s="48" t="s">
        <v>552</v>
      </c>
      <c r="E11" s="52">
        <v>758</v>
      </c>
      <c r="F11" s="270">
        <v>44147</v>
      </c>
      <c r="G11" s="56">
        <v>758</v>
      </c>
      <c r="H11" s="425">
        <f t="shared" si="0"/>
        <v>0</v>
      </c>
    </row>
    <row r="12" spans="1:9" ht="15.6" x14ac:dyDescent="0.3">
      <c r="A12" s="158">
        <v>44143</v>
      </c>
      <c r="B12" s="426">
        <f t="shared" si="1"/>
        <v>1495</v>
      </c>
      <c r="C12" s="431"/>
      <c r="D12" s="51" t="s">
        <v>551</v>
      </c>
      <c r="E12" s="52">
        <v>5414</v>
      </c>
      <c r="F12" s="270">
        <v>44143</v>
      </c>
      <c r="G12" s="56">
        <v>5414</v>
      </c>
      <c r="H12" s="425">
        <f t="shared" si="0"/>
        <v>0</v>
      </c>
    </row>
    <row r="13" spans="1:9" ht="15.6" x14ac:dyDescent="0.3">
      <c r="A13" s="158">
        <v>44144</v>
      </c>
      <c r="B13" s="426">
        <f t="shared" si="1"/>
        <v>1496</v>
      </c>
      <c r="C13" s="432"/>
      <c r="D13" s="48" t="s">
        <v>553</v>
      </c>
      <c r="E13" s="52">
        <v>3177</v>
      </c>
      <c r="F13" s="270">
        <v>44145</v>
      </c>
      <c r="G13" s="56">
        <v>3177</v>
      </c>
      <c r="H13" s="425">
        <f t="shared" si="0"/>
        <v>0</v>
      </c>
    </row>
    <row r="14" spans="1:9" ht="15.6" x14ac:dyDescent="0.3">
      <c r="A14" s="158">
        <v>44145</v>
      </c>
      <c r="B14" s="426">
        <f t="shared" si="1"/>
        <v>1497</v>
      </c>
      <c r="C14" s="431"/>
      <c r="D14" s="51" t="s">
        <v>555</v>
      </c>
      <c r="E14" s="52">
        <v>610</v>
      </c>
      <c r="F14" s="270">
        <v>44153</v>
      </c>
      <c r="G14" s="56">
        <v>610</v>
      </c>
      <c r="H14" s="425">
        <f t="shared" si="0"/>
        <v>0</v>
      </c>
    </row>
    <row r="15" spans="1:9" ht="15.6" x14ac:dyDescent="0.3">
      <c r="A15" s="158">
        <v>44146</v>
      </c>
      <c r="B15" s="426">
        <f t="shared" si="1"/>
        <v>1498</v>
      </c>
      <c r="C15" s="432"/>
      <c r="D15" s="48" t="s">
        <v>552</v>
      </c>
      <c r="E15" s="52">
        <v>10930</v>
      </c>
      <c r="F15" s="270">
        <v>44147</v>
      </c>
      <c r="G15" s="56">
        <v>10930</v>
      </c>
      <c r="H15" s="425">
        <f t="shared" si="0"/>
        <v>0</v>
      </c>
    </row>
    <row r="16" spans="1:9" ht="15.6" x14ac:dyDescent="0.3">
      <c r="A16" s="158">
        <v>44146</v>
      </c>
      <c r="B16" s="426">
        <f t="shared" si="1"/>
        <v>1499</v>
      </c>
      <c r="C16" s="431"/>
      <c r="D16" s="48" t="s">
        <v>556</v>
      </c>
      <c r="E16" s="52">
        <v>2149</v>
      </c>
      <c r="F16" s="270">
        <v>44153</v>
      </c>
      <c r="G16" s="56">
        <v>2149</v>
      </c>
      <c r="H16" s="425">
        <f t="shared" si="0"/>
        <v>0</v>
      </c>
    </row>
    <row r="17" spans="1:8" ht="15.6" x14ac:dyDescent="0.3">
      <c r="A17" s="158">
        <v>44148</v>
      </c>
      <c r="B17" s="426">
        <f t="shared" si="1"/>
        <v>1500</v>
      </c>
      <c r="C17" s="432"/>
      <c r="D17" s="48" t="s">
        <v>557</v>
      </c>
      <c r="E17" s="52">
        <v>1175</v>
      </c>
      <c r="F17" s="270">
        <v>44148</v>
      </c>
      <c r="G17" s="56">
        <v>1175</v>
      </c>
      <c r="H17" s="425">
        <f t="shared" si="0"/>
        <v>0</v>
      </c>
    </row>
    <row r="18" spans="1:8" ht="15.6" x14ac:dyDescent="0.3">
      <c r="A18" s="158">
        <v>44148</v>
      </c>
      <c r="B18" s="426">
        <f t="shared" si="1"/>
        <v>1501</v>
      </c>
      <c r="C18" s="431"/>
      <c r="D18" s="48" t="s">
        <v>558</v>
      </c>
      <c r="E18" s="52">
        <v>6294</v>
      </c>
      <c r="F18" s="270">
        <v>44149</v>
      </c>
      <c r="G18" s="56">
        <v>6294</v>
      </c>
      <c r="H18" s="425">
        <f t="shared" si="0"/>
        <v>0</v>
      </c>
    </row>
    <row r="19" spans="1:8" ht="15.6" x14ac:dyDescent="0.3">
      <c r="A19" s="158">
        <v>44149</v>
      </c>
      <c r="B19" s="426">
        <f t="shared" si="1"/>
        <v>1502</v>
      </c>
      <c r="C19" s="432"/>
      <c r="D19" s="48" t="s">
        <v>551</v>
      </c>
      <c r="E19" s="52">
        <v>13421</v>
      </c>
      <c r="F19" s="270">
        <v>44157</v>
      </c>
      <c r="G19" s="56">
        <v>13421</v>
      </c>
      <c r="H19" s="425">
        <f t="shared" si="0"/>
        <v>0</v>
      </c>
    </row>
    <row r="20" spans="1:8" ht="15.6" x14ac:dyDescent="0.3">
      <c r="A20" s="158">
        <v>44149</v>
      </c>
      <c r="B20" s="426">
        <f t="shared" si="1"/>
        <v>1503</v>
      </c>
      <c r="C20" s="431"/>
      <c r="D20" s="48" t="s">
        <v>552</v>
      </c>
      <c r="E20" s="52">
        <v>2801</v>
      </c>
      <c r="F20" s="270">
        <v>44153</v>
      </c>
      <c r="G20" s="56">
        <v>2801</v>
      </c>
      <c r="H20" s="425">
        <f t="shared" si="0"/>
        <v>0</v>
      </c>
    </row>
    <row r="21" spans="1:8" ht="15.6" x14ac:dyDescent="0.3">
      <c r="A21" s="158">
        <v>44150</v>
      </c>
      <c r="B21" s="426">
        <f t="shared" si="1"/>
        <v>1504</v>
      </c>
      <c r="C21" s="431"/>
      <c r="D21" s="48" t="s">
        <v>559</v>
      </c>
      <c r="E21" s="52">
        <v>39866</v>
      </c>
      <c r="F21" s="270">
        <v>44151</v>
      </c>
      <c r="G21" s="56">
        <v>39866</v>
      </c>
      <c r="H21" s="425">
        <f t="shared" si="0"/>
        <v>0</v>
      </c>
    </row>
    <row r="22" spans="1:8" ht="15.6" x14ac:dyDescent="0.3">
      <c r="A22" s="158">
        <v>44150</v>
      </c>
      <c r="B22" s="426">
        <f t="shared" si="1"/>
        <v>1505</v>
      </c>
      <c r="C22" s="431"/>
      <c r="D22" s="48" t="s">
        <v>560</v>
      </c>
      <c r="E22" s="52">
        <v>4203</v>
      </c>
      <c r="F22" s="270">
        <v>44151</v>
      </c>
      <c r="G22" s="56">
        <v>4203</v>
      </c>
      <c r="H22" s="425">
        <f t="shared" si="0"/>
        <v>0</v>
      </c>
    </row>
    <row r="23" spans="1:8" ht="15.6" x14ac:dyDescent="0.3">
      <c r="A23" s="158">
        <v>44150</v>
      </c>
      <c r="B23" s="426">
        <f t="shared" si="1"/>
        <v>1506</v>
      </c>
      <c r="C23" s="431"/>
      <c r="D23" s="48" t="s">
        <v>561</v>
      </c>
      <c r="E23" s="52">
        <v>5046</v>
      </c>
      <c r="F23" s="270">
        <v>44151</v>
      </c>
      <c r="G23" s="56">
        <v>5046</v>
      </c>
      <c r="H23" s="425">
        <f t="shared" si="0"/>
        <v>0</v>
      </c>
    </row>
    <row r="24" spans="1:8" ht="15.6" x14ac:dyDescent="0.3">
      <c r="A24" s="158">
        <v>44151</v>
      </c>
      <c r="B24" s="426">
        <f t="shared" si="1"/>
        <v>1507</v>
      </c>
      <c r="C24" s="431"/>
      <c r="D24" s="48" t="s">
        <v>552</v>
      </c>
      <c r="E24" s="52">
        <v>6682</v>
      </c>
      <c r="F24" s="270">
        <v>44153</v>
      </c>
      <c r="G24" s="56">
        <v>6682</v>
      </c>
      <c r="H24" s="425">
        <f t="shared" si="0"/>
        <v>0</v>
      </c>
    </row>
    <row r="25" spans="1:8" ht="15.6" x14ac:dyDescent="0.3">
      <c r="A25" s="158">
        <v>44151</v>
      </c>
      <c r="B25" s="426">
        <f t="shared" si="1"/>
        <v>1508</v>
      </c>
      <c r="C25" s="431"/>
      <c r="D25" s="48" t="s">
        <v>562</v>
      </c>
      <c r="E25" s="52">
        <v>1296</v>
      </c>
      <c r="F25" s="270">
        <v>44152</v>
      </c>
      <c r="G25" s="56">
        <v>1296</v>
      </c>
      <c r="H25" s="425">
        <f t="shared" si="0"/>
        <v>0</v>
      </c>
    </row>
    <row r="26" spans="1:8" ht="15.6" x14ac:dyDescent="0.3">
      <c r="A26" s="158">
        <v>44151</v>
      </c>
      <c r="B26" s="426">
        <f t="shared" si="1"/>
        <v>1509</v>
      </c>
      <c r="C26" s="431"/>
      <c r="D26" s="48" t="s">
        <v>560</v>
      </c>
      <c r="E26" s="52">
        <v>4911</v>
      </c>
      <c r="F26" s="270">
        <v>44154</v>
      </c>
      <c r="G26" s="56">
        <v>4911</v>
      </c>
      <c r="H26" s="425">
        <f t="shared" si="0"/>
        <v>0</v>
      </c>
    </row>
    <row r="27" spans="1:8" ht="15.6" x14ac:dyDescent="0.3">
      <c r="A27" s="158">
        <v>44151</v>
      </c>
      <c r="B27" s="426">
        <f t="shared" si="1"/>
        <v>1510</v>
      </c>
      <c r="C27" s="431"/>
      <c r="D27" s="48" t="s">
        <v>558</v>
      </c>
      <c r="E27" s="52">
        <v>7569</v>
      </c>
      <c r="F27" s="270">
        <v>44153</v>
      </c>
      <c r="G27" s="56">
        <v>7569</v>
      </c>
      <c r="H27" s="425">
        <f t="shared" si="0"/>
        <v>0</v>
      </c>
    </row>
    <row r="28" spans="1:8" ht="15.6" x14ac:dyDescent="0.3">
      <c r="A28" s="158">
        <v>44152</v>
      </c>
      <c r="B28" s="426">
        <f t="shared" si="1"/>
        <v>1511</v>
      </c>
      <c r="C28" s="431"/>
      <c r="D28" s="48" t="s">
        <v>555</v>
      </c>
      <c r="E28" s="52">
        <v>574</v>
      </c>
      <c r="F28" s="270">
        <v>44161</v>
      </c>
      <c r="G28" s="56">
        <v>574</v>
      </c>
      <c r="H28" s="425">
        <f t="shared" si="0"/>
        <v>0</v>
      </c>
    </row>
    <row r="29" spans="1:8" ht="15.6" x14ac:dyDescent="0.3">
      <c r="A29" s="158">
        <v>44152</v>
      </c>
      <c r="B29" s="426">
        <f t="shared" si="1"/>
        <v>1512</v>
      </c>
      <c r="C29" s="431"/>
      <c r="D29" s="48" t="s">
        <v>559</v>
      </c>
      <c r="E29" s="52">
        <v>1742</v>
      </c>
      <c r="F29" s="270">
        <v>44157</v>
      </c>
      <c r="G29" s="56">
        <v>1742</v>
      </c>
      <c r="H29" s="425">
        <f t="shared" si="0"/>
        <v>0</v>
      </c>
    </row>
    <row r="30" spans="1:8" ht="15.6" x14ac:dyDescent="0.3">
      <c r="A30" s="158">
        <v>44152</v>
      </c>
      <c r="B30" s="426">
        <f t="shared" si="1"/>
        <v>1513</v>
      </c>
      <c r="C30" s="431"/>
      <c r="D30" s="48" t="s">
        <v>552</v>
      </c>
      <c r="E30" s="52">
        <v>2724</v>
      </c>
      <c r="F30" s="270">
        <v>44160</v>
      </c>
      <c r="G30" s="56">
        <v>2724</v>
      </c>
      <c r="H30" s="425">
        <f t="shared" si="0"/>
        <v>0</v>
      </c>
    </row>
    <row r="31" spans="1:8" ht="15.6" x14ac:dyDescent="0.3">
      <c r="A31" s="158">
        <v>44153</v>
      </c>
      <c r="B31" s="426">
        <f t="shared" si="1"/>
        <v>1514</v>
      </c>
      <c r="C31" s="431"/>
      <c r="D31" s="48" t="s">
        <v>556</v>
      </c>
      <c r="E31" s="52">
        <v>2200</v>
      </c>
      <c r="F31" s="433"/>
      <c r="G31" s="434"/>
      <c r="H31" s="425">
        <f t="shared" si="0"/>
        <v>2200</v>
      </c>
    </row>
    <row r="32" spans="1:8" ht="15.6" x14ac:dyDescent="0.3">
      <c r="A32" s="158">
        <v>44153</v>
      </c>
      <c r="B32" s="426">
        <f t="shared" si="1"/>
        <v>1515</v>
      </c>
      <c r="C32" s="431"/>
      <c r="D32" s="48" t="s">
        <v>553</v>
      </c>
      <c r="E32" s="52">
        <v>2483</v>
      </c>
      <c r="F32" s="270">
        <v>44161</v>
      </c>
      <c r="G32" s="56">
        <v>2483</v>
      </c>
      <c r="H32" s="425">
        <f t="shared" si="0"/>
        <v>0</v>
      </c>
    </row>
    <row r="33" spans="1:24" ht="15.6" x14ac:dyDescent="0.3">
      <c r="A33" s="158">
        <v>44153</v>
      </c>
      <c r="B33" s="426">
        <f t="shared" si="1"/>
        <v>1516</v>
      </c>
      <c r="C33" s="431"/>
      <c r="D33" s="48" t="s">
        <v>558</v>
      </c>
      <c r="E33" s="52">
        <v>7598</v>
      </c>
      <c r="F33" s="270">
        <v>44154</v>
      </c>
      <c r="G33" s="56">
        <v>7598</v>
      </c>
      <c r="H33" s="425">
        <f t="shared" si="0"/>
        <v>0</v>
      </c>
    </row>
    <row r="34" spans="1:24" ht="15.6" x14ac:dyDescent="0.3">
      <c r="A34" s="158">
        <v>44153</v>
      </c>
      <c r="B34" s="426">
        <f t="shared" si="1"/>
        <v>1517</v>
      </c>
      <c r="C34" s="435"/>
      <c r="D34" s="48" t="s">
        <v>553</v>
      </c>
      <c r="E34" s="52">
        <v>3306</v>
      </c>
      <c r="F34" s="270">
        <v>44154</v>
      </c>
      <c r="G34" s="56">
        <v>3306</v>
      </c>
      <c r="H34" s="425">
        <f t="shared" si="0"/>
        <v>0</v>
      </c>
    </row>
    <row r="35" spans="1:24" ht="18.75" customHeight="1" x14ac:dyDescent="0.3">
      <c r="A35" s="158">
        <v>44154</v>
      </c>
      <c r="B35" s="426">
        <f t="shared" si="1"/>
        <v>1518</v>
      </c>
      <c r="C35" s="436"/>
      <c r="D35" s="48" t="s">
        <v>552</v>
      </c>
      <c r="E35" s="52">
        <v>30</v>
      </c>
      <c r="F35" s="270">
        <v>44160</v>
      </c>
      <c r="G35" s="56">
        <v>30</v>
      </c>
      <c r="H35" s="425">
        <f t="shared" si="0"/>
        <v>0</v>
      </c>
    </row>
    <row r="36" spans="1:24" ht="18.75" customHeight="1" x14ac:dyDescent="0.3">
      <c r="A36" s="158">
        <v>44154</v>
      </c>
      <c r="B36" s="426">
        <f t="shared" si="1"/>
        <v>1519</v>
      </c>
      <c r="C36" s="431"/>
      <c r="D36" s="48" t="s">
        <v>559</v>
      </c>
      <c r="E36" s="97">
        <v>43290</v>
      </c>
      <c r="F36" s="437">
        <v>44157</v>
      </c>
      <c r="G36" s="56">
        <v>43290</v>
      </c>
      <c r="H36" s="425">
        <f t="shared" si="0"/>
        <v>0</v>
      </c>
    </row>
    <row r="37" spans="1:24" ht="18.75" customHeight="1" x14ac:dyDescent="0.3">
      <c r="A37" s="158">
        <v>44154</v>
      </c>
      <c r="B37" s="426">
        <f t="shared" si="1"/>
        <v>1520</v>
      </c>
      <c r="C37" s="431"/>
      <c r="D37" s="48" t="s">
        <v>560</v>
      </c>
      <c r="E37" s="97">
        <v>5117</v>
      </c>
      <c r="F37" s="437">
        <v>44156</v>
      </c>
      <c r="G37" s="438">
        <v>5117</v>
      </c>
      <c r="H37" s="425">
        <f t="shared" si="0"/>
        <v>0</v>
      </c>
    </row>
    <row r="38" spans="1:24" ht="18.75" customHeight="1" thickBot="1" x14ac:dyDescent="0.35">
      <c r="A38" s="158">
        <v>44155</v>
      </c>
      <c r="B38" s="426">
        <f t="shared" si="1"/>
        <v>1521</v>
      </c>
      <c r="C38" s="431"/>
      <c r="D38" s="48" t="s">
        <v>557</v>
      </c>
      <c r="E38" s="97">
        <v>2251</v>
      </c>
      <c r="F38" s="437">
        <v>44156</v>
      </c>
      <c r="G38" s="438">
        <v>2251</v>
      </c>
      <c r="H38" s="425">
        <f t="shared" si="0"/>
        <v>0</v>
      </c>
    </row>
    <row r="39" spans="1:24" ht="18.75" customHeight="1" x14ac:dyDescent="0.3">
      <c r="A39" s="158">
        <v>44155</v>
      </c>
      <c r="B39" s="426">
        <f t="shared" si="1"/>
        <v>1522</v>
      </c>
      <c r="C39" s="431"/>
      <c r="D39" s="48" t="s">
        <v>563</v>
      </c>
      <c r="E39" s="97">
        <v>1742</v>
      </c>
      <c r="F39" s="437">
        <v>44156</v>
      </c>
      <c r="G39" s="438">
        <v>1742</v>
      </c>
      <c r="H39" s="425">
        <f t="shared" si="0"/>
        <v>0</v>
      </c>
      <c r="U39" s="647" t="s">
        <v>564</v>
      </c>
      <c r="W39" s="649" t="s">
        <v>565</v>
      </c>
    </row>
    <row r="40" spans="1:24" ht="18.75" customHeight="1" thickBot="1" x14ac:dyDescent="0.35">
      <c r="A40" s="158">
        <v>44155</v>
      </c>
      <c r="B40" s="426">
        <f t="shared" si="1"/>
        <v>1523</v>
      </c>
      <c r="C40" s="431"/>
      <c r="D40" s="48" t="s">
        <v>558</v>
      </c>
      <c r="E40" s="97">
        <v>6608</v>
      </c>
      <c r="F40" s="270">
        <v>44156</v>
      </c>
      <c r="G40" s="56">
        <v>6608</v>
      </c>
      <c r="H40" s="425">
        <f t="shared" si="0"/>
        <v>0</v>
      </c>
      <c r="T40" s="439" t="s">
        <v>545</v>
      </c>
      <c r="U40" s="648"/>
      <c r="V40" s="108"/>
      <c r="W40" s="650"/>
      <c r="X40" s="440" t="s">
        <v>566</v>
      </c>
    </row>
    <row r="41" spans="1:24" ht="18.75" customHeight="1" x14ac:dyDescent="0.3">
      <c r="A41" s="158">
        <v>44156</v>
      </c>
      <c r="B41" s="426">
        <f t="shared" si="1"/>
        <v>1524</v>
      </c>
      <c r="C41" s="431"/>
      <c r="D41" s="48" t="s">
        <v>552</v>
      </c>
      <c r="E41" s="97">
        <v>11607</v>
      </c>
      <c r="F41" s="270">
        <v>44160</v>
      </c>
      <c r="G41" s="56">
        <v>11607</v>
      </c>
      <c r="H41" s="425">
        <f t="shared" si="0"/>
        <v>0</v>
      </c>
      <c r="T41" s="441">
        <v>1412</v>
      </c>
      <c r="U41" s="234">
        <v>430</v>
      </c>
      <c r="V41" s="442">
        <v>44121</v>
      </c>
      <c r="W41" s="443">
        <v>427</v>
      </c>
      <c r="X41" s="444">
        <f>U41-W41</f>
        <v>3</v>
      </c>
    </row>
    <row r="42" spans="1:24" ht="18.75" customHeight="1" x14ac:dyDescent="0.3">
      <c r="A42" s="158">
        <v>44156</v>
      </c>
      <c r="B42" s="426">
        <f t="shared" si="1"/>
        <v>1525</v>
      </c>
      <c r="C42" s="431"/>
      <c r="D42" s="48" t="s">
        <v>557</v>
      </c>
      <c r="E42" s="97">
        <v>2937</v>
      </c>
      <c r="F42" s="437">
        <v>44157</v>
      </c>
      <c r="G42" s="438">
        <v>2937</v>
      </c>
      <c r="H42" s="425">
        <f t="shared" si="0"/>
        <v>0</v>
      </c>
      <c r="T42" s="40">
        <v>1413</v>
      </c>
      <c r="U42" s="52">
        <v>126</v>
      </c>
      <c r="V42" s="445">
        <v>44121</v>
      </c>
      <c r="W42" s="136">
        <v>126</v>
      </c>
      <c r="X42" s="444">
        <f t="shared" ref="X42:X62" si="2">U42-W42</f>
        <v>0</v>
      </c>
    </row>
    <row r="43" spans="1:24" ht="18.75" customHeight="1" x14ac:dyDescent="0.3">
      <c r="A43" s="158">
        <v>44156</v>
      </c>
      <c r="B43" s="426">
        <f t="shared" si="1"/>
        <v>1526</v>
      </c>
      <c r="C43" s="431"/>
      <c r="D43" s="48" t="s">
        <v>560</v>
      </c>
      <c r="E43" s="97">
        <v>4685</v>
      </c>
      <c r="F43" s="437">
        <v>44161</v>
      </c>
      <c r="G43" s="438">
        <v>4685</v>
      </c>
      <c r="H43" s="425">
        <f t="shared" si="0"/>
        <v>0</v>
      </c>
      <c r="T43" s="40">
        <v>1414</v>
      </c>
      <c r="U43" s="52">
        <v>119</v>
      </c>
      <c r="V43" s="445">
        <v>44121</v>
      </c>
      <c r="W43" s="136">
        <v>87</v>
      </c>
      <c r="X43" s="444">
        <f t="shared" si="2"/>
        <v>32</v>
      </c>
    </row>
    <row r="44" spans="1:24" ht="18.75" customHeight="1" x14ac:dyDescent="0.3">
      <c r="A44" s="158">
        <v>44156</v>
      </c>
      <c r="B44" s="426">
        <f t="shared" si="1"/>
        <v>1527</v>
      </c>
      <c r="C44" s="431"/>
      <c r="D44" s="48" t="s">
        <v>553</v>
      </c>
      <c r="E44" s="97">
        <v>4086</v>
      </c>
      <c r="F44" s="437">
        <v>44157</v>
      </c>
      <c r="G44" s="438">
        <v>4086</v>
      </c>
      <c r="H44" s="425">
        <f t="shared" si="0"/>
        <v>0</v>
      </c>
      <c r="T44" s="40">
        <v>1415</v>
      </c>
      <c r="U44" s="52">
        <v>92</v>
      </c>
      <c r="V44" s="445">
        <v>44121</v>
      </c>
      <c r="W44" s="136">
        <v>56</v>
      </c>
      <c r="X44" s="444">
        <f t="shared" si="2"/>
        <v>36</v>
      </c>
    </row>
    <row r="45" spans="1:24" ht="15.6" x14ac:dyDescent="0.3">
      <c r="A45" s="158">
        <v>44156</v>
      </c>
      <c r="B45" s="426">
        <f t="shared" si="1"/>
        <v>1528</v>
      </c>
      <c r="C45" s="431"/>
      <c r="D45" s="48" t="s">
        <v>567</v>
      </c>
      <c r="E45" s="97">
        <v>355</v>
      </c>
      <c r="F45" s="437">
        <v>44157</v>
      </c>
      <c r="G45" s="438">
        <v>355</v>
      </c>
      <c r="H45" s="425">
        <f t="shared" si="0"/>
        <v>0</v>
      </c>
      <c r="T45" s="40">
        <v>1416</v>
      </c>
      <c r="U45" s="52">
        <v>161</v>
      </c>
      <c r="V45" s="445">
        <v>44121</v>
      </c>
      <c r="W45" s="136">
        <v>403</v>
      </c>
      <c r="X45" s="444">
        <f t="shared" si="2"/>
        <v>-242</v>
      </c>
    </row>
    <row r="46" spans="1:24" ht="15.6" x14ac:dyDescent="0.3">
      <c r="A46" s="158">
        <v>44157</v>
      </c>
      <c r="B46" s="426">
        <f t="shared" si="1"/>
        <v>1529</v>
      </c>
      <c r="C46" s="431"/>
      <c r="D46" s="48" t="s">
        <v>553</v>
      </c>
      <c r="E46" s="97">
        <v>2436</v>
      </c>
      <c r="F46" s="437">
        <v>44158</v>
      </c>
      <c r="G46" s="438">
        <v>2436</v>
      </c>
      <c r="H46" s="425">
        <f t="shared" si="0"/>
        <v>0</v>
      </c>
      <c r="T46" s="40">
        <v>1417</v>
      </c>
      <c r="U46" s="52">
        <v>141</v>
      </c>
      <c r="V46" s="446">
        <v>44121</v>
      </c>
      <c r="W46" s="97">
        <v>492</v>
      </c>
      <c r="X46" s="444">
        <f t="shared" si="2"/>
        <v>-351</v>
      </c>
    </row>
    <row r="47" spans="1:24" ht="15.6" x14ac:dyDescent="0.3">
      <c r="A47" s="158">
        <v>44157</v>
      </c>
      <c r="B47" s="426">
        <f t="shared" si="1"/>
        <v>1530</v>
      </c>
      <c r="C47" s="431"/>
      <c r="D47" s="48" t="s">
        <v>557</v>
      </c>
      <c r="E47" s="97">
        <v>1314</v>
      </c>
      <c r="F47" s="270">
        <v>44158</v>
      </c>
      <c r="G47" s="56">
        <v>1314</v>
      </c>
      <c r="H47" s="425">
        <f t="shared" si="0"/>
        <v>0</v>
      </c>
      <c r="T47" s="40">
        <v>1418</v>
      </c>
      <c r="U47" s="52">
        <v>403</v>
      </c>
      <c r="V47" s="446">
        <v>44121</v>
      </c>
      <c r="W47" s="97">
        <v>132</v>
      </c>
      <c r="X47" s="444">
        <f t="shared" si="2"/>
        <v>271</v>
      </c>
    </row>
    <row r="48" spans="1:24" ht="15.6" x14ac:dyDescent="0.3">
      <c r="A48" s="427">
        <v>44157</v>
      </c>
      <c r="B48" s="426">
        <f t="shared" si="1"/>
        <v>1531</v>
      </c>
      <c r="C48" s="431"/>
      <c r="D48" s="48" t="s">
        <v>551</v>
      </c>
      <c r="E48" s="97">
        <v>13184</v>
      </c>
      <c r="F48" s="270">
        <v>44165</v>
      </c>
      <c r="G48" s="56">
        <v>13184</v>
      </c>
      <c r="H48" s="425">
        <f t="shared" si="0"/>
        <v>0</v>
      </c>
      <c r="T48" s="40">
        <v>1419</v>
      </c>
      <c r="U48" s="52">
        <v>492</v>
      </c>
      <c r="V48" s="446">
        <v>44121</v>
      </c>
      <c r="W48" s="97">
        <v>139</v>
      </c>
      <c r="X48" s="444">
        <f t="shared" si="2"/>
        <v>353</v>
      </c>
    </row>
    <row r="49" spans="1:24" ht="15.6" x14ac:dyDescent="0.3">
      <c r="A49" s="427">
        <v>44158</v>
      </c>
      <c r="B49" s="426">
        <f t="shared" si="1"/>
        <v>1532</v>
      </c>
      <c r="C49" s="431"/>
      <c r="D49" s="48" t="s">
        <v>562</v>
      </c>
      <c r="E49" s="97">
        <v>1791</v>
      </c>
      <c r="F49" s="270">
        <v>44159</v>
      </c>
      <c r="G49" s="56">
        <v>1791</v>
      </c>
      <c r="H49" s="425">
        <f t="shared" si="0"/>
        <v>0</v>
      </c>
      <c r="T49" s="40">
        <v>1420</v>
      </c>
      <c r="U49" s="52">
        <v>132</v>
      </c>
      <c r="V49" s="446">
        <v>44121</v>
      </c>
      <c r="W49" s="97">
        <v>116</v>
      </c>
      <c r="X49" s="444">
        <f t="shared" si="2"/>
        <v>16</v>
      </c>
    </row>
    <row r="50" spans="1:24" ht="15.6" x14ac:dyDescent="0.3">
      <c r="A50" s="427">
        <v>44158</v>
      </c>
      <c r="B50" s="426">
        <f t="shared" si="1"/>
        <v>1533</v>
      </c>
      <c r="C50" s="431"/>
      <c r="D50" s="48" t="s">
        <v>553</v>
      </c>
      <c r="E50" s="97">
        <v>2830</v>
      </c>
      <c r="F50" s="270">
        <v>44159</v>
      </c>
      <c r="G50" s="56">
        <v>2830</v>
      </c>
      <c r="H50" s="425">
        <f t="shared" si="0"/>
        <v>0</v>
      </c>
      <c r="T50" s="40">
        <v>1421</v>
      </c>
      <c r="U50" s="52">
        <v>139</v>
      </c>
      <c r="V50" s="446">
        <v>44121</v>
      </c>
      <c r="W50" s="97">
        <v>151</v>
      </c>
      <c r="X50" s="444">
        <f t="shared" si="2"/>
        <v>-12</v>
      </c>
    </row>
    <row r="51" spans="1:24" ht="15.6" x14ac:dyDescent="0.3">
      <c r="A51" s="427">
        <v>44158</v>
      </c>
      <c r="B51" s="426">
        <f t="shared" si="1"/>
        <v>1534</v>
      </c>
      <c r="C51" s="431"/>
      <c r="D51" s="48" t="s">
        <v>568</v>
      </c>
      <c r="E51" s="97">
        <v>1811</v>
      </c>
      <c r="F51" s="270">
        <v>44164</v>
      </c>
      <c r="G51" s="56">
        <v>1811</v>
      </c>
      <c r="H51" s="425">
        <f t="shared" si="0"/>
        <v>0</v>
      </c>
      <c r="T51" s="40">
        <v>1422</v>
      </c>
      <c r="U51" s="52">
        <v>116</v>
      </c>
      <c r="V51" s="446">
        <v>44121</v>
      </c>
      <c r="W51" s="97">
        <v>214</v>
      </c>
      <c r="X51" s="444">
        <f t="shared" si="2"/>
        <v>-98</v>
      </c>
    </row>
    <row r="52" spans="1:24" ht="15.6" x14ac:dyDescent="0.3">
      <c r="A52" s="427">
        <v>44159</v>
      </c>
      <c r="B52" s="426">
        <f t="shared" si="1"/>
        <v>1535</v>
      </c>
      <c r="C52" s="431"/>
      <c r="D52" s="48" t="s">
        <v>562</v>
      </c>
      <c r="E52" s="97">
        <v>2509</v>
      </c>
      <c r="F52" s="270">
        <v>44161</v>
      </c>
      <c r="G52" s="56">
        <v>2509</v>
      </c>
      <c r="H52" s="425">
        <f t="shared" si="0"/>
        <v>0</v>
      </c>
      <c r="T52" s="40">
        <v>1423</v>
      </c>
      <c r="U52" s="52">
        <v>151</v>
      </c>
      <c r="V52" s="446">
        <v>44121</v>
      </c>
      <c r="W52" s="97">
        <v>70</v>
      </c>
      <c r="X52" s="444">
        <f t="shared" si="2"/>
        <v>81</v>
      </c>
    </row>
    <row r="53" spans="1:24" ht="15.6" x14ac:dyDescent="0.3">
      <c r="A53" s="427">
        <v>44159</v>
      </c>
      <c r="B53" s="426">
        <f t="shared" si="1"/>
        <v>1536</v>
      </c>
      <c r="C53" s="431"/>
      <c r="D53" s="48" t="s">
        <v>560</v>
      </c>
      <c r="E53" s="97">
        <v>4174</v>
      </c>
      <c r="F53" s="270">
        <v>44162</v>
      </c>
      <c r="G53" s="56">
        <v>4174</v>
      </c>
      <c r="H53" s="425">
        <f t="shared" si="0"/>
        <v>0</v>
      </c>
      <c r="T53" s="40">
        <v>1424</v>
      </c>
      <c r="U53" s="52">
        <v>214</v>
      </c>
      <c r="V53" s="446">
        <v>44121</v>
      </c>
      <c r="W53" s="97">
        <v>103</v>
      </c>
      <c r="X53" s="444">
        <f t="shared" si="2"/>
        <v>111</v>
      </c>
    </row>
    <row r="54" spans="1:24" ht="15.6" x14ac:dyDescent="0.3">
      <c r="A54" s="427">
        <v>44159</v>
      </c>
      <c r="B54" s="426">
        <f t="shared" si="1"/>
        <v>1537</v>
      </c>
      <c r="C54" s="431"/>
      <c r="D54" s="48" t="s">
        <v>555</v>
      </c>
      <c r="E54" s="97">
        <v>507</v>
      </c>
      <c r="F54" s="447">
        <v>44165</v>
      </c>
      <c r="G54" s="448"/>
      <c r="H54" s="425">
        <f t="shared" si="0"/>
        <v>507</v>
      </c>
      <c r="T54" s="40">
        <v>1425</v>
      </c>
      <c r="U54" s="52">
        <v>70</v>
      </c>
      <c r="V54" s="446">
        <v>44121</v>
      </c>
      <c r="W54" s="97">
        <v>721</v>
      </c>
      <c r="X54" s="444">
        <f t="shared" si="2"/>
        <v>-651</v>
      </c>
    </row>
    <row r="55" spans="1:24" ht="15.6" x14ac:dyDescent="0.3">
      <c r="A55" s="427">
        <v>44160</v>
      </c>
      <c r="B55" s="426">
        <f t="shared" si="1"/>
        <v>1538</v>
      </c>
      <c r="C55" s="431"/>
      <c r="D55" s="48" t="s">
        <v>569</v>
      </c>
      <c r="E55" s="97">
        <v>6141</v>
      </c>
      <c r="F55" s="270">
        <v>44161</v>
      </c>
      <c r="G55" s="56">
        <v>6141</v>
      </c>
      <c r="H55" s="425">
        <f t="shared" si="0"/>
        <v>0</v>
      </c>
      <c r="T55" s="40">
        <v>1426</v>
      </c>
      <c r="U55" s="52">
        <v>104</v>
      </c>
      <c r="V55" s="446">
        <v>44121</v>
      </c>
      <c r="W55" s="97">
        <v>133</v>
      </c>
      <c r="X55" s="444">
        <f t="shared" si="2"/>
        <v>-29</v>
      </c>
    </row>
    <row r="56" spans="1:24" ht="15.6" x14ac:dyDescent="0.3">
      <c r="A56" s="427">
        <v>44160</v>
      </c>
      <c r="B56" s="426">
        <f t="shared" si="1"/>
        <v>1539</v>
      </c>
      <c r="C56" s="431"/>
      <c r="D56" s="48" t="s">
        <v>563</v>
      </c>
      <c r="E56" s="97">
        <v>1742</v>
      </c>
      <c r="F56" s="270">
        <v>44162</v>
      </c>
      <c r="G56" s="56">
        <v>1742</v>
      </c>
      <c r="H56" s="425">
        <f t="shared" si="0"/>
        <v>0</v>
      </c>
      <c r="T56" s="40">
        <v>1427</v>
      </c>
      <c r="U56" s="52">
        <v>721</v>
      </c>
      <c r="V56" s="446">
        <v>44121</v>
      </c>
      <c r="W56" s="97">
        <v>94</v>
      </c>
      <c r="X56" s="444">
        <f t="shared" si="2"/>
        <v>627</v>
      </c>
    </row>
    <row r="57" spans="1:24" ht="15.6" x14ac:dyDescent="0.3">
      <c r="A57" s="427">
        <v>44160</v>
      </c>
      <c r="B57" s="426">
        <f t="shared" si="1"/>
        <v>1540</v>
      </c>
      <c r="C57" s="431"/>
      <c r="D57" s="48" t="s">
        <v>570</v>
      </c>
      <c r="E57" s="97">
        <v>728</v>
      </c>
      <c r="F57" s="270">
        <v>44161</v>
      </c>
      <c r="G57" s="56">
        <v>728</v>
      </c>
      <c r="H57" s="425">
        <f t="shared" si="0"/>
        <v>0</v>
      </c>
      <c r="T57" s="40">
        <v>1428</v>
      </c>
      <c r="U57" s="52">
        <v>133</v>
      </c>
      <c r="V57" s="446">
        <v>44121</v>
      </c>
      <c r="W57" s="97">
        <v>130</v>
      </c>
      <c r="X57" s="444">
        <f t="shared" si="2"/>
        <v>3</v>
      </c>
    </row>
    <row r="58" spans="1:24" ht="15.6" x14ac:dyDescent="0.3">
      <c r="A58" s="427">
        <v>44160</v>
      </c>
      <c r="B58" s="426">
        <f t="shared" si="1"/>
        <v>1541</v>
      </c>
      <c r="C58" s="431"/>
      <c r="D58" s="48" t="s">
        <v>558</v>
      </c>
      <c r="E58" s="97">
        <v>6704</v>
      </c>
      <c r="F58" s="270">
        <v>44161</v>
      </c>
      <c r="G58" s="56">
        <v>6704</v>
      </c>
      <c r="H58" s="425">
        <f t="shared" si="0"/>
        <v>0</v>
      </c>
      <c r="T58" s="40">
        <v>1429</v>
      </c>
      <c r="U58" s="52">
        <v>94</v>
      </c>
      <c r="V58" s="446">
        <v>44121</v>
      </c>
      <c r="W58" s="97">
        <v>37</v>
      </c>
      <c r="X58" s="444">
        <f t="shared" si="2"/>
        <v>57</v>
      </c>
    </row>
    <row r="59" spans="1:24" ht="15.6" x14ac:dyDescent="0.3">
      <c r="A59" s="427">
        <v>44160</v>
      </c>
      <c r="B59" s="426">
        <f t="shared" si="1"/>
        <v>1542</v>
      </c>
      <c r="C59" s="431"/>
      <c r="D59" s="48" t="s">
        <v>553</v>
      </c>
      <c r="E59" s="97">
        <v>520</v>
      </c>
      <c r="F59" s="270">
        <v>44161</v>
      </c>
      <c r="G59" s="56">
        <v>520</v>
      </c>
      <c r="H59" s="425">
        <f t="shared" si="0"/>
        <v>0</v>
      </c>
      <c r="T59" s="40">
        <v>1430</v>
      </c>
      <c r="U59" s="52">
        <v>128</v>
      </c>
      <c r="V59" s="446">
        <v>44121</v>
      </c>
      <c r="W59" s="97">
        <v>153</v>
      </c>
      <c r="X59" s="444">
        <f t="shared" si="2"/>
        <v>-25</v>
      </c>
    </row>
    <row r="60" spans="1:24" ht="15.6" x14ac:dyDescent="0.3">
      <c r="A60" s="427">
        <v>44161</v>
      </c>
      <c r="B60" s="426">
        <f t="shared" si="1"/>
        <v>1543</v>
      </c>
      <c r="C60" s="431"/>
      <c r="D60" s="48" t="s">
        <v>552</v>
      </c>
      <c r="E60" s="97">
        <v>10190</v>
      </c>
      <c r="F60" s="270">
        <v>44162</v>
      </c>
      <c r="G60" s="56">
        <v>10190</v>
      </c>
      <c r="H60" s="425">
        <f t="shared" si="0"/>
        <v>0</v>
      </c>
      <c r="T60" s="40">
        <v>1431</v>
      </c>
      <c r="U60" s="52">
        <v>37</v>
      </c>
      <c r="V60" s="446">
        <v>44121</v>
      </c>
      <c r="W60" s="97">
        <v>431</v>
      </c>
      <c r="X60" s="444">
        <f t="shared" si="2"/>
        <v>-394</v>
      </c>
    </row>
    <row r="61" spans="1:24" ht="15.6" x14ac:dyDescent="0.3">
      <c r="A61" s="427">
        <v>44161</v>
      </c>
      <c r="B61" s="426">
        <f t="shared" si="1"/>
        <v>1544</v>
      </c>
      <c r="C61" s="431"/>
      <c r="D61" s="48" t="s">
        <v>553</v>
      </c>
      <c r="E61" s="97">
        <v>3947</v>
      </c>
      <c r="F61" s="270">
        <v>44162</v>
      </c>
      <c r="G61" s="56">
        <v>3947</v>
      </c>
      <c r="H61" s="425">
        <f t="shared" si="0"/>
        <v>0</v>
      </c>
      <c r="T61" s="40">
        <v>1432</v>
      </c>
      <c r="U61" s="52">
        <v>154</v>
      </c>
      <c r="V61" s="446">
        <v>44121</v>
      </c>
      <c r="W61" s="97">
        <v>160</v>
      </c>
      <c r="X61" s="444">
        <f t="shared" si="2"/>
        <v>-6</v>
      </c>
    </row>
    <row r="62" spans="1:24" ht="15.6" x14ac:dyDescent="0.3">
      <c r="A62" s="427">
        <v>44161</v>
      </c>
      <c r="B62" s="426">
        <f t="shared" si="1"/>
        <v>1545</v>
      </c>
      <c r="C62" s="431"/>
      <c r="D62" s="48" t="s">
        <v>557</v>
      </c>
      <c r="E62" s="97">
        <v>8548</v>
      </c>
      <c r="F62" s="270">
        <v>44163</v>
      </c>
      <c r="G62" s="56">
        <v>8548</v>
      </c>
      <c r="H62" s="449">
        <f t="shared" si="0"/>
        <v>0</v>
      </c>
      <c r="T62" s="40">
        <v>1433</v>
      </c>
      <c r="U62" s="52">
        <v>436</v>
      </c>
      <c r="V62" s="446">
        <v>44121</v>
      </c>
      <c r="W62" s="97">
        <v>87</v>
      </c>
      <c r="X62" s="444">
        <f t="shared" si="2"/>
        <v>349</v>
      </c>
    </row>
    <row r="63" spans="1:24" ht="16.2" thickBot="1" x14ac:dyDescent="0.35">
      <c r="A63" s="427">
        <v>44162</v>
      </c>
      <c r="B63" s="426">
        <f t="shared" si="1"/>
        <v>1546</v>
      </c>
      <c r="C63" s="431"/>
      <c r="D63" s="48" t="s">
        <v>560</v>
      </c>
      <c r="E63" s="97">
        <v>5611</v>
      </c>
      <c r="F63" s="270">
        <v>44165</v>
      </c>
      <c r="G63" s="56">
        <v>5611</v>
      </c>
      <c r="H63" s="449">
        <f t="shared" si="0"/>
        <v>0</v>
      </c>
      <c r="U63" s="450">
        <v>0</v>
      </c>
      <c r="V63" s="451"/>
      <c r="W63" s="161">
        <v>0</v>
      </c>
      <c r="X63" s="5">
        <v>0</v>
      </c>
    </row>
    <row r="64" spans="1:24" ht="19.2" thickTop="1" thickBot="1" x14ac:dyDescent="0.4">
      <c r="A64" s="427">
        <v>44162</v>
      </c>
      <c r="B64" s="426">
        <f t="shared" si="1"/>
        <v>1547</v>
      </c>
      <c r="C64" s="431"/>
      <c r="D64" s="48" t="s">
        <v>553</v>
      </c>
      <c r="E64" s="97">
        <v>629</v>
      </c>
      <c r="F64" s="270">
        <v>44165</v>
      </c>
      <c r="G64" s="56">
        <v>629</v>
      </c>
      <c r="H64" s="449">
        <f t="shared" si="0"/>
        <v>0</v>
      </c>
      <c r="L64" s="427">
        <v>44122</v>
      </c>
      <c r="M64" s="426">
        <v>1434</v>
      </c>
      <c r="N64" s="97">
        <v>48</v>
      </c>
      <c r="O64" s="270">
        <v>44122</v>
      </c>
      <c r="P64" s="56">
        <v>48</v>
      </c>
      <c r="Q64" s="444">
        <f>N64-P64</f>
        <v>0</v>
      </c>
      <c r="T64" s="452" t="s">
        <v>571</v>
      </c>
      <c r="U64" s="453">
        <f>SUM(U41:U63)</f>
        <v>4593</v>
      </c>
      <c r="V64" s="184"/>
      <c r="W64" s="453">
        <f>SUM(W41:W63)</f>
        <v>4462</v>
      </c>
      <c r="X64" s="454">
        <f>SUM(X41:X63)</f>
        <v>131</v>
      </c>
    </row>
    <row r="65" spans="1:24" ht="15.6" x14ac:dyDescent="0.3">
      <c r="A65" s="427">
        <v>44162</v>
      </c>
      <c r="B65" s="426">
        <f t="shared" si="1"/>
        <v>1548</v>
      </c>
      <c r="C65" s="431"/>
      <c r="D65" s="48" t="s">
        <v>559</v>
      </c>
      <c r="E65" s="97">
        <v>35231</v>
      </c>
      <c r="F65" s="270">
        <v>44164</v>
      </c>
      <c r="G65" s="56">
        <v>35231</v>
      </c>
      <c r="H65" s="449">
        <f t="shared" si="0"/>
        <v>0</v>
      </c>
      <c r="L65" s="427">
        <v>44122</v>
      </c>
      <c r="M65" s="426">
        <f t="shared" ref="M65:M69" si="3">M64+1</f>
        <v>1435</v>
      </c>
      <c r="N65" s="97">
        <v>96</v>
      </c>
      <c r="O65" s="270">
        <v>44122</v>
      </c>
      <c r="P65" s="56">
        <v>95</v>
      </c>
      <c r="Q65" s="444">
        <f t="shared" ref="Q65:Q69" si="4">N65-P65</f>
        <v>1</v>
      </c>
      <c r="X65" s="5"/>
    </row>
    <row r="66" spans="1:24" ht="15.6" x14ac:dyDescent="0.3">
      <c r="A66" s="427">
        <v>44163</v>
      </c>
      <c r="B66" s="426">
        <f t="shared" si="1"/>
        <v>1549</v>
      </c>
      <c r="C66" s="431"/>
      <c r="D66" s="48" t="s">
        <v>559</v>
      </c>
      <c r="E66" s="97">
        <v>33524</v>
      </c>
      <c r="F66" s="433">
        <v>44166</v>
      </c>
      <c r="G66" s="434">
        <v>33524</v>
      </c>
      <c r="H66" s="449">
        <f t="shared" si="0"/>
        <v>0</v>
      </c>
      <c r="L66" s="427">
        <v>44122</v>
      </c>
      <c r="M66" s="426">
        <f t="shared" si="3"/>
        <v>1436</v>
      </c>
      <c r="N66" s="97">
        <v>265</v>
      </c>
      <c r="O66" s="270">
        <v>44122</v>
      </c>
      <c r="P66" s="56">
        <v>264</v>
      </c>
      <c r="Q66" s="444">
        <f t="shared" si="4"/>
        <v>1</v>
      </c>
      <c r="X66" s="5"/>
    </row>
    <row r="67" spans="1:24" ht="16.2" thickBot="1" x14ac:dyDescent="0.35">
      <c r="A67" s="427">
        <v>44164</v>
      </c>
      <c r="B67" s="426">
        <f t="shared" si="1"/>
        <v>1550</v>
      </c>
      <c r="C67" s="431"/>
      <c r="D67" s="48" t="s">
        <v>560</v>
      </c>
      <c r="E67" s="97">
        <v>4097</v>
      </c>
      <c r="F67" s="437">
        <v>44165</v>
      </c>
      <c r="G67" s="438">
        <v>4097</v>
      </c>
      <c r="H67" s="449">
        <f t="shared" si="0"/>
        <v>0</v>
      </c>
      <c r="L67" s="427">
        <v>44122</v>
      </c>
      <c r="M67" s="426">
        <f t="shared" si="3"/>
        <v>1437</v>
      </c>
      <c r="N67" s="97">
        <v>154</v>
      </c>
      <c r="O67" s="437">
        <v>44122</v>
      </c>
      <c r="P67" s="438">
        <v>154</v>
      </c>
      <c r="Q67" s="444">
        <f t="shared" si="4"/>
        <v>0</v>
      </c>
    </row>
    <row r="68" spans="1:24" ht="18" x14ac:dyDescent="0.35">
      <c r="A68" s="427">
        <v>44165</v>
      </c>
      <c r="B68" s="426">
        <f t="shared" si="1"/>
        <v>1551</v>
      </c>
      <c r="C68" s="431"/>
      <c r="D68" s="48" t="s">
        <v>572</v>
      </c>
      <c r="E68" s="97">
        <v>2078</v>
      </c>
      <c r="F68" s="455"/>
      <c r="G68" s="456"/>
      <c r="H68" s="449">
        <f t="shared" si="0"/>
        <v>2078</v>
      </c>
      <c r="L68" s="427">
        <v>44122</v>
      </c>
      <c r="M68" s="426">
        <f t="shared" si="3"/>
        <v>1438</v>
      </c>
      <c r="N68" s="97">
        <v>75</v>
      </c>
      <c r="O68" s="437">
        <v>44122</v>
      </c>
      <c r="P68" s="438">
        <v>74</v>
      </c>
      <c r="Q68" s="444">
        <f t="shared" si="4"/>
        <v>1</v>
      </c>
      <c r="U68" s="457" t="s">
        <v>573</v>
      </c>
      <c r="V68" s="458">
        <f>U64-W64</f>
        <v>131</v>
      </c>
      <c r="W68" s="337"/>
    </row>
    <row r="69" spans="1:24" ht="16.2" thickBot="1" x14ac:dyDescent="0.35">
      <c r="A69" s="427">
        <v>44165</v>
      </c>
      <c r="B69" s="426">
        <f t="shared" si="1"/>
        <v>1552</v>
      </c>
      <c r="C69" s="431"/>
      <c r="D69" s="48" t="s">
        <v>560</v>
      </c>
      <c r="E69" s="97">
        <v>3827</v>
      </c>
      <c r="F69" s="455">
        <v>44170</v>
      </c>
      <c r="G69" s="456">
        <v>3827</v>
      </c>
      <c r="H69" s="449">
        <f t="shared" si="0"/>
        <v>0</v>
      </c>
      <c r="L69" s="427">
        <v>44122</v>
      </c>
      <c r="M69" s="426">
        <f t="shared" si="3"/>
        <v>1439</v>
      </c>
      <c r="N69" s="97">
        <v>43</v>
      </c>
      <c r="O69" s="437">
        <v>44122</v>
      </c>
      <c r="P69" s="438">
        <v>43</v>
      </c>
      <c r="Q69" s="444">
        <f t="shared" si="4"/>
        <v>0</v>
      </c>
      <c r="U69" s="459"/>
      <c r="V69" s="460"/>
    </row>
    <row r="70" spans="1:24" ht="15.6" x14ac:dyDescent="0.3">
      <c r="A70" s="427"/>
      <c r="B70" s="426"/>
      <c r="C70" s="431"/>
      <c r="D70" s="65"/>
      <c r="E70" s="91"/>
      <c r="F70" s="437"/>
      <c r="G70" s="438"/>
      <c r="H70" s="449"/>
    </row>
    <row r="71" spans="1:24" ht="15.6" x14ac:dyDescent="0.3">
      <c r="A71" s="427"/>
      <c r="B71" s="426"/>
      <c r="C71" s="431"/>
      <c r="D71" s="65"/>
      <c r="E71" s="91"/>
      <c r="F71" s="437"/>
      <c r="G71" s="438"/>
      <c r="H71" s="449"/>
    </row>
    <row r="72" spans="1:24" ht="15.6" x14ac:dyDescent="0.3">
      <c r="A72" s="427"/>
      <c r="B72" s="426"/>
      <c r="C72" s="431"/>
      <c r="D72" s="65"/>
      <c r="E72" s="91"/>
      <c r="F72" s="437"/>
      <c r="G72" s="438"/>
      <c r="H72" s="449"/>
    </row>
    <row r="73" spans="1:24" ht="16.2" thickBot="1" x14ac:dyDescent="0.35">
      <c r="A73" s="461"/>
      <c r="B73" s="462"/>
      <c r="C73" s="463"/>
      <c r="D73" s="464"/>
      <c r="E73" s="129"/>
      <c r="F73" s="465"/>
      <c r="G73" s="129"/>
      <c r="H73" s="466">
        <f t="shared" si="0"/>
        <v>0</v>
      </c>
      <c r="I73" s="412"/>
    </row>
    <row r="74" spans="1:24" ht="15" thickTop="1" x14ac:dyDescent="0.3">
      <c r="B74" s="467"/>
      <c r="C74" s="467"/>
      <c r="D74" s="412"/>
      <c r="E74" s="468">
        <f>SUM(E4:E73)</f>
        <v>416140</v>
      </c>
      <c r="F74" s="469"/>
      <c r="G74" s="468">
        <f>SUM(G4:G73)</f>
        <v>411355</v>
      </c>
      <c r="H74" s="45">
        <f>SUM(H4:H73)</f>
        <v>4785</v>
      </c>
      <c r="I74" s="412"/>
    </row>
    <row r="75" spans="1:24" x14ac:dyDescent="0.3">
      <c r="B75" s="467"/>
      <c r="C75" s="467"/>
      <c r="D75" s="412"/>
      <c r="E75" s="470"/>
      <c r="F75" s="471"/>
      <c r="G75" s="470"/>
      <c r="H75" s="472"/>
      <c r="I75" s="412"/>
    </row>
    <row r="76" spans="1:24" ht="28.8" x14ac:dyDescent="0.3">
      <c r="B76" s="467"/>
      <c r="C76" s="467"/>
      <c r="D76" s="412"/>
      <c r="E76" s="473" t="s">
        <v>574</v>
      </c>
      <c r="F76" s="471"/>
      <c r="G76" s="474" t="s">
        <v>575</v>
      </c>
      <c r="H76" s="472"/>
      <c r="I76" s="412"/>
    </row>
    <row r="77" spans="1:24" ht="15" thickBot="1" x14ac:dyDescent="0.35">
      <c r="B77" s="467"/>
      <c r="C77" s="467"/>
      <c r="D77" s="412"/>
      <c r="E77" s="473"/>
      <c r="F77" s="471"/>
      <c r="G77" s="474"/>
      <c r="H77" s="472"/>
      <c r="I77" s="412"/>
    </row>
    <row r="78" spans="1:24" ht="21.6" thickBot="1" x14ac:dyDescent="0.45">
      <c r="B78" s="467"/>
      <c r="C78" s="467"/>
      <c r="D78" s="412"/>
      <c r="E78" s="655">
        <f>E74-G74</f>
        <v>4785</v>
      </c>
      <c r="F78" s="656"/>
      <c r="G78" s="657"/>
      <c r="I78" s="412"/>
    </row>
    <row r="79" spans="1:24" x14ac:dyDescent="0.3">
      <c r="B79" s="467"/>
      <c r="C79" s="467"/>
      <c r="D79" s="412"/>
      <c r="E79" s="470"/>
      <c r="F79" s="471"/>
      <c r="G79" s="470"/>
      <c r="I79" s="412"/>
    </row>
    <row r="80" spans="1:24" ht="18" x14ac:dyDescent="0.35">
      <c r="B80" s="467"/>
      <c r="C80" s="467"/>
      <c r="D80" s="412"/>
      <c r="E80" s="642" t="s">
        <v>576</v>
      </c>
      <c r="F80" s="642"/>
      <c r="G80" s="642"/>
      <c r="I80" s="412"/>
    </row>
    <row r="81" spans="2:9" x14ac:dyDescent="0.3">
      <c r="B81" s="467"/>
      <c r="C81" s="467"/>
      <c r="D81" s="412"/>
      <c r="E81" s="470"/>
      <c r="F81" s="471"/>
      <c r="G81" s="470"/>
      <c r="I81" s="412"/>
    </row>
    <row r="82" spans="2:9" x14ac:dyDescent="0.3">
      <c r="B82" s="467"/>
      <c r="C82" s="467"/>
      <c r="D82" s="412"/>
      <c r="E82" s="470"/>
      <c r="F82" s="471"/>
      <c r="G82" s="470"/>
      <c r="I82" s="412"/>
    </row>
    <row r="83" spans="2:9" x14ac:dyDescent="0.3">
      <c r="B83" s="467"/>
      <c r="C83" s="467"/>
      <c r="D83" s="412"/>
      <c r="E83" s="470"/>
      <c r="F83" s="471"/>
      <c r="G83" s="470"/>
      <c r="I83" s="412"/>
    </row>
    <row r="84" spans="2:9" x14ac:dyDescent="0.3">
      <c r="B84" s="467"/>
      <c r="C84" s="467"/>
      <c r="D84" s="412"/>
      <c r="E84" s="470"/>
      <c r="F84" s="471"/>
      <c r="G84" s="470"/>
      <c r="I84" s="412"/>
    </row>
    <row r="85" spans="2:9" ht="18" x14ac:dyDescent="0.35">
      <c r="B85" s="467"/>
      <c r="C85" s="467"/>
      <c r="D85" s="412"/>
      <c r="E85" s="470"/>
      <c r="F85" s="475"/>
      <c r="G85" s="470"/>
      <c r="I85" s="412"/>
    </row>
    <row r="86" spans="2:9" x14ac:dyDescent="0.3">
      <c r="B86" s="467"/>
      <c r="C86" s="467"/>
      <c r="D86" s="412"/>
      <c r="E86" s="470"/>
      <c r="F86" s="471"/>
      <c r="G86" s="470"/>
      <c r="I86" s="412"/>
    </row>
    <row r="87" spans="2:9" x14ac:dyDescent="0.3">
      <c r="B87" s="467"/>
      <c r="C87" s="467"/>
      <c r="D87" s="412"/>
      <c r="E87" s="470"/>
      <c r="F87" s="471"/>
      <c r="G87" s="470"/>
      <c r="I87" s="412"/>
    </row>
    <row r="88" spans="2:9" x14ac:dyDescent="0.3">
      <c r="B88" s="467"/>
      <c r="C88" s="467"/>
      <c r="D88" s="412"/>
      <c r="E88" s="470"/>
      <c r="F88" s="471"/>
      <c r="G88" s="470"/>
      <c r="I88" s="412"/>
    </row>
    <row r="89" spans="2:9" x14ac:dyDescent="0.3">
      <c r="B89" s="467"/>
      <c r="C89" s="467"/>
      <c r="D89" s="412"/>
      <c r="E89" s="470"/>
      <c r="F89" s="471"/>
      <c r="G89" s="470"/>
      <c r="I89" s="412"/>
    </row>
    <row r="90" spans="2:9" x14ac:dyDescent="0.3">
      <c r="B90" s="467"/>
      <c r="C90" s="467"/>
      <c r="D90" s="412"/>
      <c r="E90" s="470"/>
      <c r="F90" s="471"/>
      <c r="G90" s="470"/>
      <c r="I90" s="412"/>
    </row>
    <row r="91" spans="2:9" x14ac:dyDescent="0.3">
      <c r="B91" s="467"/>
      <c r="C91" s="467"/>
      <c r="D91" s="412"/>
      <c r="E91" s="470"/>
      <c r="F91" s="471"/>
      <c r="G91" s="470"/>
      <c r="I91" s="412"/>
    </row>
  </sheetData>
  <mergeCells count="6">
    <mergeCell ref="E80:G80"/>
    <mergeCell ref="B1:G1"/>
    <mergeCell ref="B2:F2"/>
    <mergeCell ref="U39:U40"/>
    <mergeCell ref="W39:W40"/>
    <mergeCell ref="E78:G78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0FF0-EF45-44FB-A43E-2597495EE189}">
  <sheetPr>
    <tabColor rgb="FF00FFCC"/>
  </sheetPr>
  <dimension ref="A1:O87"/>
  <sheetViews>
    <sheetView tabSelected="1" workbookViewId="0">
      <selection activeCell="I5" sqref="I5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4.109375" style="13" customWidth="1"/>
    <col min="10" max="10" width="11.6640625" style="251" customWidth="1"/>
    <col min="11" max="11" width="17.33203125" customWidth="1"/>
    <col min="12" max="12" width="14.5546875" style="5" customWidth="1"/>
    <col min="13" max="13" width="18.109375" style="13" customWidth="1"/>
    <col min="14" max="14" width="14.109375" style="4" customWidth="1"/>
    <col min="15" max="15" width="7.5546875" style="544" customWidth="1"/>
  </cols>
  <sheetData>
    <row r="1" spans="1:15" ht="23.4" x14ac:dyDescent="0.45">
      <c r="C1" s="592" t="s">
        <v>633</v>
      </c>
      <c r="D1" s="592"/>
      <c r="E1" s="592"/>
      <c r="F1" s="592"/>
      <c r="G1" s="592"/>
      <c r="H1" s="592"/>
      <c r="I1" s="592"/>
      <c r="J1" s="592"/>
      <c r="K1" s="592"/>
      <c r="L1" s="144"/>
      <c r="M1" s="3"/>
    </row>
    <row r="2" spans="1:15" ht="15.6" x14ac:dyDescent="0.3">
      <c r="C2" s="5"/>
      <c r="H2" s="284" t="s">
        <v>1</v>
      </c>
      <c r="I2" s="3"/>
      <c r="J2" s="243"/>
      <c r="L2" s="545"/>
      <c r="M2" s="3"/>
      <c r="N2" s="56"/>
      <c r="O2" s="546"/>
    </row>
    <row r="3" spans="1:15" ht="21.6" thickBot="1" x14ac:dyDescent="0.4">
      <c r="B3" s="593" t="s">
        <v>2</v>
      </c>
      <c r="C3" s="594"/>
      <c r="D3" s="12"/>
      <c r="E3" s="285"/>
      <c r="F3" s="285"/>
      <c r="H3" s="622" t="s">
        <v>135</v>
      </c>
      <c r="I3" s="622"/>
      <c r="K3" s="185" t="s">
        <v>3</v>
      </c>
      <c r="L3" s="185" t="s">
        <v>136</v>
      </c>
      <c r="M3" s="187"/>
    </row>
    <row r="4" spans="1:15" ht="19.2" thickTop="1" thickBot="1" x14ac:dyDescent="0.4">
      <c r="A4" s="16" t="s">
        <v>5</v>
      </c>
      <c r="B4" s="17"/>
      <c r="C4" s="245">
        <v>273517.06</v>
      </c>
      <c r="D4" s="246">
        <v>44165</v>
      </c>
      <c r="E4" s="595" t="s">
        <v>6</v>
      </c>
      <c r="F4" s="596"/>
      <c r="H4" s="666" t="s">
        <v>7</v>
      </c>
      <c r="I4" s="598"/>
      <c r="J4" s="247"/>
      <c r="K4" s="20"/>
      <c r="L4" s="547"/>
      <c r="M4" s="21" t="s">
        <v>8</v>
      </c>
      <c r="N4" s="22" t="s">
        <v>9</v>
      </c>
      <c r="O4" s="548"/>
    </row>
    <row r="5" spans="1:15" ht="15" thickBot="1" x14ac:dyDescent="0.35">
      <c r="A5" s="23" t="s">
        <v>10</v>
      </c>
      <c r="B5" s="248">
        <v>44166</v>
      </c>
      <c r="C5" s="249">
        <v>5538</v>
      </c>
      <c r="D5" s="250" t="s">
        <v>87</v>
      </c>
      <c r="E5" s="27">
        <v>44166</v>
      </c>
      <c r="F5" s="28">
        <v>72150</v>
      </c>
      <c r="H5" s="549">
        <v>44166</v>
      </c>
      <c r="I5" s="550">
        <v>534</v>
      </c>
      <c r="J5" s="551">
        <v>44166</v>
      </c>
      <c r="K5" s="286" t="s">
        <v>17</v>
      </c>
      <c r="L5" s="56">
        <v>20000</v>
      </c>
      <c r="M5" s="31">
        <v>76528</v>
      </c>
      <c r="N5" s="32">
        <v>3074</v>
      </c>
      <c r="O5" s="548"/>
    </row>
    <row r="6" spans="1:15" ht="16.2" thickBot="1" x14ac:dyDescent="0.35">
      <c r="A6" s="23"/>
      <c r="B6" s="248">
        <v>44167</v>
      </c>
      <c r="C6" s="249">
        <v>9474</v>
      </c>
      <c r="D6" s="252" t="s">
        <v>634</v>
      </c>
      <c r="E6" s="27">
        <v>44167</v>
      </c>
      <c r="F6" s="28">
        <v>107821</v>
      </c>
      <c r="H6" s="549">
        <v>44167</v>
      </c>
      <c r="I6" s="552">
        <v>2495</v>
      </c>
      <c r="J6" s="55">
        <v>44167</v>
      </c>
      <c r="K6" s="40" t="s">
        <v>635</v>
      </c>
      <c r="L6" s="52">
        <v>1253</v>
      </c>
      <c r="M6" s="31">
        <v>89232</v>
      </c>
      <c r="N6" s="32">
        <v>5367</v>
      </c>
      <c r="O6" s="553"/>
    </row>
    <row r="7" spans="1:15" ht="15" thickBot="1" x14ac:dyDescent="0.35">
      <c r="A7" s="23"/>
      <c r="B7" s="248">
        <v>44168</v>
      </c>
      <c r="C7" s="249">
        <v>0</v>
      </c>
      <c r="D7" s="253"/>
      <c r="E7" s="27">
        <v>44168</v>
      </c>
      <c r="F7" s="28">
        <v>134989</v>
      </c>
      <c r="H7" s="549">
        <v>44168</v>
      </c>
      <c r="I7" s="34">
        <v>440</v>
      </c>
      <c r="J7" s="55"/>
      <c r="K7" s="48"/>
      <c r="L7" s="52"/>
      <c r="M7" s="31">
        <v>131617</v>
      </c>
      <c r="N7" s="32">
        <v>2932</v>
      </c>
      <c r="O7" s="548"/>
    </row>
    <row r="8" spans="1:15" ht="15" thickBot="1" x14ac:dyDescent="0.35">
      <c r="A8" s="23"/>
      <c r="B8" s="248">
        <v>44169</v>
      </c>
      <c r="C8" s="249">
        <v>1812</v>
      </c>
      <c r="D8" s="255" t="s">
        <v>19</v>
      </c>
      <c r="E8" s="27">
        <v>44169</v>
      </c>
      <c r="F8" s="28">
        <v>167319</v>
      </c>
      <c r="H8" s="549">
        <v>44169</v>
      </c>
      <c r="I8" s="34">
        <v>562</v>
      </c>
      <c r="J8" s="341"/>
      <c r="K8" s="48"/>
      <c r="L8" s="52"/>
      <c r="M8" s="31">
        <v>141612</v>
      </c>
      <c r="N8" s="32">
        <v>23333</v>
      </c>
      <c r="O8" s="553"/>
    </row>
    <row r="9" spans="1:15" ht="15" thickBot="1" x14ac:dyDescent="0.35">
      <c r="A9" s="23"/>
      <c r="B9" s="248">
        <v>44170</v>
      </c>
      <c r="C9" s="249">
        <v>7275</v>
      </c>
      <c r="D9" s="257" t="s">
        <v>359</v>
      </c>
      <c r="E9" s="27">
        <v>44170</v>
      </c>
      <c r="F9" s="28">
        <v>163094</v>
      </c>
      <c r="H9" s="549">
        <v>44170</v>
      </c>
      <c r="I9" s="34">
        <v>10625</v>
      </c>
      <c r="J9" s="342">
        <v>44170</v>
      </c>
      <c r="K9" s="297" t="s">
        <v>636</v>
      </c>
      <c r="L9" s="52">
        <f>17023.87+400+4000</f>
        <v>21423.87</v>
      </c>
      <c r="M9" s="31">
        <v>126670</v>
      </c>
      <c r="N9" s="32">
        <v>9772</v>
      </c>
      <c r="O9" s="553"/>
    </row>
    <row r="10" spans="1:15" ht="15" thickBot="1" x14ac:dyDescent="0.35">
      <c r="A10" s="23"/>
      <c r="B10" s="248">
        <v>44171</v>
      </c>
      <c r="C10" s="249">
        <v>17156</v>
      </c>
      <c r="D10" s="253" t="s">
        <v>637</v>
      </c>
      <c r="E10" s="27">
        <v>44171</v>
      </c>
      <c r="F10" s="28">
        <v>112067</v>
      </c>
      <c r="H10" s="549">
        <v>44171</v>
      </c>
      <c r="I10" s="34">
        <v>605</v>
      </c>
      <c r="J10" s="342">
        <v>44171</v>
      </c>
      <c r="K10" s="300" t="s">
        <v>638</v>
      </c>
      <c r="L10" s="58">
        <v>1400</v>
      </c>
      <c r="M10" s="31">
        <v>86874</v>
      </c>
      <c r="N10" s="32">
        <v>6032</v>
      </c>
      <c r="O10" s="553"/>
    </row>
    <row r="11" spans="1:15" ht="15" thickBot="1" x14ac:dyDescent="0.35">
      <c r="A11" s="23"/>
      <c r="B11" s="248">
        <v>44172</v>
      </c>
      <c r="C11" s="249">
        <v>6622</v>
      </c>
      <c r="D11" s="252" t="s">
        <v>639</v>
      </c>
      <c r="E11" s="27">
        <v>44172</v>
      </c>
      <c r="F11" s="28">
        <v>108374</v>
      </c>
      <c r="H11" s="549">
        <v>44172</v>
      </c>
      <c r="I11" s="34">
        <v>495</v>
      </c>
      <c r="J11" s="259"/>
      <c r="K11" s="54"/>
      <c r="L11" s="52"/>
      <c r="M11" s="31">
        <v>96029</v>
      </c>
      <c r="N11" s="32">
        <v>5228</v>
      </c>
      <c r="O11" s="553"/>
    </row>
    <row r="12" spans="1:15" ht="15" thickBot="1" x14ac:dyDescent="0.35">
      <c r="A12" s="23"/>
      <c r="B12" s="248">
        <v>44173</v>
      </c>
      <c r="C12" s="249">
        <v>1104</v>
      </c>
      <c r="D12" s="252" t="s">
        <v>19</v>
      </c>
      <c r="E12" s="27">
        <v>44173</v>
      </c>
      <c r="F12" s="28">
        <v>96636</v>
      </c>
      <c r="H12" s="549">
        <v>44173</v>
      </c>
      <c r="I12" s="34">
        <v>589</v>
      </c>
      <c r="J12" s="55"/>
      <c r="K12" s="48"/>
      <c r="L12" s="52"/>
      <c r="M12" s="31">
        <f>69282+20900</f>
        <v>90182</v>
      </c>
      <c r="N12" s="32">
        <v>4761</v>
      </c>
      <c r="O12" s="553"/>
    </row>
    <row r="13" spans="1:15" ht="15" thickBot="1" x14ac:dyDescent="0.35">
      <c r="A13" s="23"/>
      <c r="B13" s="248">
        <v>44174</v>
      </c>
      <c r="C13" s="249">
        <v>16976</v>
      </c>
      <c r="D13" s="255" t="s">
        <v>640</v>
      </c>
      <c r="E13" s="27">
        <v>44174</v>
      </c>
      <c r="F13" s="28">
        <v>75835</v>
      </c>
      <c r="H13" s="549">
        <v>44174</v>
      </c>
      <c r="I13" s="34">
        <v>947</v>
      </c>
      <c r="J13" s="55"/>
      <c r="K13" s="48"/>
      <c r="L13" s="52"/>
      <c r="M13" s="31">
        <f>38089+2904.5+13900</f>
        <v>54893.5</v>
      </c>
      <c r="N13" s="32">
        <v>3018</v>
      </c>
      <c r="O13" s="553"/>
    </row>
    <row r="14" spans="1:15" ht="15" thickBot="1" x14ac:dyDescent="0.35">
      <c r="A14" s="23"/>
      <c r="B14" s="248">
        <v>44175</v>
      </c>
      <c r="C14" s="249">
        <v>5363</v>
      </c>
      <c r="D14" s="253" t="s">
        <v>641</v>
      </c>
      <c r="E14" s="27">
        <v>44175</v>
      </c>
      <c r="F14" s="28">
        <v>123193</v>
      </c>
      <c r="H14" s="549">
        <v>44175</v>
      </c>
      <c r="I14" s="34">
        <v>5547</v>
      </c>
      <c r="J14" s="55"/>
      <c r="K14" s="48"/>
      <c r="L14" s="52"/>
      <c r="M14" s="31">
        <f>36016+2308+69991</f>
        <v>108315</v>
      </c>
      <c r="N14" s="32">
        <v>3968</v>
      </c>
      <c r="O14" s="553"/>
    </row>
    <row r="15" spans="1:15" ht="15" thickBot="1" x14ac:dyDescent="0.35">
      <c r="A15" s="23"/>
      <c r="B15" s="248">
        <v>44176</v>
      </c>
      <c r="C15" s="249">
        <v>3927</v>
      </c>
      <c r="D15" s="252" t="s">
        <v>39</v>
      </c>
      <c r="E15" s="27">
        <v>44176</v>
      </c>
      <c r="F15" s="28">
        <v>243040</v>
      </c>
      <c r="H15" s="549">
        <v>44176</v>
      </c>
      <c r="I15" s="34">
        <v>14230.92</v>
      </c>
      <c r="J15" s="55"/>
      <c r="K15" s="48"/>
      <c r="L15" s="52"/>
      <c r="M15" s="31">
        <f>183364+35496</f>
        <v>218860</v>
      </c>
      <c r="N15" s="32">
        <v>6022</v>
      </c>
      <c r="O15" s="553"/>
    </row>
    <row r="16" spans="1:15" ht="15" thickBot="1" x14ac:dyDescent="0.35">
      <c r="A16" s="23"/>
      <c r="B16" s="248">
        <v>44177</v>
      </c>
      <c r="C16" s="249">
        <v>8466</v>
      </c>
      <c r="D16" s="252" t="s">
        <v>345</v>
      </c>
      <c r="E16" s="27">
        <v>44177</v>
      </c>
      <c r="F16" s="28">
        <v>276595</v>
      </c>
      <c r="H16" s="549">
        <v>44177</v>
      </c>
      <c r="I16" s="34">
        <v>660</v>
      </c>
      <c r="J16" s="55">
        <v>44177</v>
      </c>
      <c r="K16" s="48" t="s">
        <v>642</v>
      </c>
      <c r="L16" s="56">
        <f>17542.97+400+4000</f>
        <v>21942.97</v>
      </c>
      <c r="M16" s="31">
        <v>240891</v>
      </c>
      <c r="N16" s="32">
        <v>13289</v>
      </c>
      <c r="O16" s="553"/>
    </row>
    <row r="17" spans="1:15" ht="15" thickBot="1" x14ac:dyDescent="0.35">
      <c r="A17" s="23"/>
      <c r="B17" s="248">
        <v>44178</v>
      </c>
      <c r="C17" s="249">
        <v>23318</v>
      </c>
      <c r="D17" s="255" t="s">
        <v>643</v>
      </c>
      <c r="E17" s="27">
        <v>44178</v>
      </c>
      <c r="F17" s="28">
        <v>106343</v>
      </c>
      <c r="H17" s="549">
        <v>44178</v>
      </c>
      <c r="I17" s="34">
        <v>550</v>
      </c>
      <c r="J17" s="55"/>
      <c r="K17" s="48"/>
      <c r="L17" s="58"/>
      <c r="M17" s="31">
        <f>70376+6000</f>
        <v>76376</v>
      </c>
      <c r="N17" s="32">
        <v>6099</v>
      </c>
      <c r="O17" s="553"/>
    </row>
    <row r="18" spans="1:15" ht="15" thickBot="1" x14ac:dyDescent="0.35">
      <c r="A18" s="23"/>
      <c r="B18" s="248">
        <v>44179</v>
      </c>
      <c r="C18" s="249">
        <v>1704</v>
      </c>
      <c r="D18" s="252" t="s">
        <v>72</v>
      </c>
      <c r="E18" s="27">
        <v>44179</v>
      </c>
      <c r="F18" s="28">
        <v>72644</v>
      </c>
      <c r="H18" s="549">
        <v>44179</v>
      </c>
      <c r="I18" s="34">
        <v>550</v>
      </c>
      <c r="J18" s="55"/>
      <c r="K18" s="59"/>
      <c r="L18" s="52"/>
      <c r="M18" s="31">
        <v>67868</v>
      </c>
      <c r="N18" s="32">
        <v>4600</v>
      </c>
      <c r="O18" s="553"/>
    </row>
    <row r="19" spans="1:15" ht="15" thickBot="1" x14ac:dyDescent="0.35">
      <c r="A19" s="23"/>
      <c r="B19" s="248">
        <v>44180</v>
      </c>
      <c r="C19" s="249">
        <v>4297</v>
      </c>
      <c r="D19" s="252" t="s">
        <v>72</v>
      </c>
      <c r="E19" s="27">
        <v>44180</v>
      </c>
      <c r="F19" s="28">
        <v>145172</v>
      </c>
      <c r="H19" s="549">
        <v>44180</v>
      </c>
      <c r="I19" s="34">
        <v>1862</v>
      </c>
      <c r="J19" s="55"/>
      <c r="K19" s="371"/>
      <c r="L19" s="61"/>
      <c r="M19" s="31">
        <f>6000+37350+2875+88830</f>
        <v>135055</v>
      </c>
      <c r="N19" s="32">
        <v>3958</v>
      </c>
      <c r="O19" s="553" t="s">
        <v>166</v>
      </c>
    </row>
    <row r="20" spans="1:15" ht="15" thickBot="1" x14ac:dyDescent="0.35">
      <c r="A20" s="23"/>
      <c r="B20" s="248">
        <v>44181</v>
      </c>
      <c r="C20" s="249">
        <v>5028</v>
      </c>
      <c r="D20" s="252" t="s">
        <v>644</v>
      </c>
      <c r="E20" s="27">
        <v>44181</v>
      </c>
      <c r="F20" s="28">
        <v>93060</v>
      </c>
      <c r="H20" s="549">
        <v>44181</v>
      </c>
      <c r="I20" s="34">
        <v>2660</v>
      </c>
      <c r="J20" s="55"/>
      <c r="K20" s="62"/>
      <c r="L20" s="58"/>
      <c r="M20" s="31">
        <v>82619</v>
      </c>
      <c r="N20" s="32">
        <v>2753</v>
      </c>
      <c r="O20" s="553"/>
    </row>
    <row r="21" spans="1:15" ht="15" thickBot="1" x14ac:dyDescent="0.35">
      <c r="A21" s="23"/>
      <c r="B21" s="248">
        <v>44182</v>
      </c>
      <c r="C21" s="249">
        <v>677</v>
      </c>
      <c r="D21" s="252" t="s">
        <v>19</v>
      </c>
      <c r="E21" s="27">
        <v>44182</v>
      </c>
      <c r="F21" s="28">
        <v>122886</v>
      </c>
      <c r="H21" s="549">
        <v>44182</v>
      </c>
      <c r="I21" s="34">
        <v>1658</v>
      </c>
      <c r="J21" s="55"/>
      <c r="K21" s="59"/>
      <c r="L21" s="58"/>
      <c r="M21" s="31">
        <f>114414+602+454+202+741</f>
        <v>116413</v>
      </c>
      <c r="N21" s="32">
        <v>4138</v>
      </c>
      <c r="O21" s="553"/>
    </row>
    <row r="22" spans="1:15" ht="15" thickBot="1" x14ac:dyDescent="0.35">
      <c r="A22" s="23"/>
      <c r="B22" s="248">
        <v>44183</v>
      </c>
      <c r="C22" s="249">
        <v>1110</v>
      </c>
      <c r="D22" s="252" t="s">
        <v>19</v>
      </c>
      <c r="E22" s="27">
        <v>44183</v>
      </c>
      <c r="F22" s="28">
        <v>215486</v>
      </c>
      <c r="H22" s="549">
        <v>44183</v>
      </c>
      <c r="I22" s="34">
        <v>10631</v>
      </c>
      <c r="J22" s="342"/>
      <c r="K22" s="65"/>
      <c r="L22" s="66"/>
      <c r="M22" s="31">
        <f>31000+166715</f>
        <v>197715</v>
      </c>
      <c r="N22" s="32">
        <v>6030</v>
      </c>
      <c r="O22" s="553" t="s">
        <v>166</v>
      </c>
    </row>
    <row r="23" spans="1:15" ht="15" thickBot="1" x14ac:dyDescent="0.35">
      <c r="A23" s="23"/>
      <c r="B23" s="248">
        <v>44184</v>
      </c>
      <c r="C23" s="249">
        <v>14404.5</v>
      </c>
      <c r="D23" s="252" t="s">
        <v>645</v>
      </c>
      <c r="E23" s="27">
        <v>44184</v>
      </c>
      <c r="F23" s="28">
        <v>203035</v>
      </c>
      <c r="H23" s="549">
        <v>44184</v>
      </c>
      <c r="I23" s="34">
        <v>660</v>
      </c>
      <c r="J23" s="554">
        <v>44184</v>
      </c>
      <c r="K23" s="555" t="s">
        <v>646</v>
      </c>
      <c r="L23" s="223">
        <f>17452.22+400+4000+19202.36+8571.45</f>
        <v>49626.03</v>
      </c>
      <c r="M23" s="31">
        <v>146373</v>
      </c>
      <c r="N23" s="32">
        <v>12914</v>
      </c>
      <c r="O23" s="553"/>
    </row>
    <row r="24" spans="1:15" ht="15" thickBot="1" x14ac:dyDescent="0.35">
      <c r="A24" s="23"/>
      <c r="B24" s="248">
        <v>44185</v>
      </c>
      <c r="C24" s="249">
        <v>22412</v>
      </c>
      <c r="D24" s="252" t="s">
        <v>647</v>
      </c>
      <c r="E24" s="27">
        <v>44185</v>
      </c>
      <c r="F24" s="28">
        <v>161911</v>
      </c>
      <c r="H24" s="549">
        <v>44185</v>
      </c>
      <c r="I24" s="34">
        <v>710</v>
      </c>
      <c r="J24" s="224">
        <v>44185</v>
      </c>
      <c r="K24" s="228" t="s">
        <v>638</v>
      </c>
      <c r="L24" s="345">
        <v>1400</v>
      </c>
      <c r="M24" s="31">
        <v>131204</v>
      </c>
      <c r="N24" s="32">
        <v>6185</v>
      </c>
      <c r="O24" s="553"/>
    </row>
    <row r="25" spans="1:15" ht="15" thickBot="1" x14ac:dyDescent="0.35">
      <c r="A25" s="23"/>
      <c r="B25" s="248">
        <v>44186</v>
      </c>
      <c r="C25" s="249">
        <v>7379</v>
      </c>
      <c r="D25" s="252" t="s">
        <v>75</v>
      </c>
      <c r="E25" s="27">
        <v>44186</v>
      </c>
      <c r="F25" s="28">
        <v>128846</v>
      </c>
      <c r="H25" s="549">
        <v>44186</v>
      </c>
      <c r="I25" s="34">
        <v>660</v>
      </c>
      <c r="J25" s="346"/>
      <c r="K25" s="86"/>
      <c r="L25" s="178"/>
      <c r="M25" s="31">
        <v>111737</v>
      </c>
      <c r="N25" s="32">
        <v>9070</v>
      </c>
      <c r="O25" s="553"/>
    </row>
    <row r="26" spans="1:15" ht="15" thickBot="1" x14ac:dyDescent="0.35">
      <c r="A26" s="23"/>
      <c r="B26" s="248">
        <v>44187</v>
      </c>
      <c r="C26" s="249">
        <v>2056</v>
      </c>
      <c r="D26" s="252" t="s">
        <v>19</v>
      </c>
      <c r="E26" s="27">
        <v>44187</v>
      </c>
      <c r="F26" s="28">
        <v>267186</v>
      </c>
      <c r="H26" s="549">
        <v>44187</v>
      </c>
      <c r="I26" s="34">
        <v>660</v>
      </c>
      <c r="J26" s="55"/>
      <c r="K26" s="228"/>
      <c r="L26" s="223"/>
      <c r="M26" s="31">
        <v>251672</v>
      </c>
      <c r="N26" s="32">
        <v>14998</v>
      </c>
      <c r="O26" s="553" t="s">
        <v>166</v>
      </c>
    </row>
    <row r="27" spans="1:15" ht="15" thickBot="1" x14ac:dyDescent="0.35">
      <c r="A27" s="23"/>
      <c r="B27" s="248">
        <v>44188</v>
      </c>
      <c r="C27" s="249">
        <v>6635</v>
      </c>
      <c r="D27" s="252" t="s">
        <v>499</v>
      </c>
      <c r="E27" s="27">
        <v>44188</v>
      </c>
      <c r="F27" s="28">
        <v>418106</v>
      </c>
      <c r="H27" s="549">
        <v>44188</v>
      </c>
      <c r="I27" s="34">
        <v>5660</v>
      </c>
      <c r="J27" s="176"/>
      <c r="K27" s="96"/>
      <c r="L27" s="178"/>
      <c r="M27" s="31">
        <v>350542</v>
      </c>
      <c r="N27" s="32">
        <v>55279</v>
      </c>
      <c r="O27" s="553" t="s">
        <v>166</v>
      </c>
    </row>
    <row r="28" spans="1:15" ht="15" thickBot="1" x14ac:dyDescent="0.35">
      <c r="A28" s="23"/>
      <c r="B28" s="248">
        <v>44189</v>
      </c>
      <c r="C28" s="249">
        <v>7950</v>
      </c>
      <c r="D28" s="253" t="s">
        <v>648</v>
      </c>
      <c r="E28" s="27">
        <v>44189</v>
      </c>
      <c r="F28" s="28">
        <v>280276</v>
      </c>
      <c r="H28" s="549">
        <v>44189</v>
      </c>
      <c r="I28" s="34">
        <v>1147</v>
      </c>
      <c r="J28" s="176"/>
      <c r="K28" s="353"/>
      <c r="L28" s="178"/>
      <c r="M28" s="31">
        <v>259575</v>
      </c>
      <c r="N28" s="32">
        <v>11604</v>
      </c>
      <c r="O28" s="553" t="s">
        <v>166</v>
      </c>
    </row>
    <row r="29" spans="1:15" ht="15" thickBot="1" x14ac:dyDescent="0.35">
      <c r="A29" s="23"/>
      <c r="B29" s="248">
        <v>44190</v>
      </c>
      <c r="C29" s="556">
        <v>0</v>
      </c>
      <c r="D29" s="557"/>
      <c r="E29" s="558">
        <v>44190</v>
      </c>
      <c r="F29" s="191">
        <v>0</v>
      </c>
      <c r="G29" s="559"/>
      <c r="H29" s="560">
        <v>44190</v>
      </c>
      <c r="I29" s="192">
        <v>0</v>
      </c>
      <c r="J29" s="176"/>
      <c r="K29" s="354"/>
      <c r="L29" s="178"/>
      <c r="M29" s="193">
        <v>0</v>
      </c>
      <c r="N29" s="194">
        <v>0</v>
      </c>
      <c r="O29" s="553"/>
    </row>
    <row r="30" spans="1:15" ht="15" thickBot="1" x14ac:dyDescent="0.35">
      <c r="A30" s="23"/>
      <c r="B30" s="248">
        <v>44191</v>
      </c>
      <c r="C30" s="249">
        <v>2378</v>
      </c>
      <c r="D30" s="263" t="s">
        <v>12</v>
      </c>
      <c r="E30" s="27">
        <v>44191</v>
      </c>
      <c r="F30" s="28">
        <v>141312</v>
      </c>
      <c r="H30" s="549">
        <v>44191</v>
      </c>
      <c r="I30" s="199">
        <v>10680</v>
      </c>
      <c r="J30" s="176">
        <v>44191</v>
      </c>
      <c r="K30" s="48" t="s">
        <v>649</v>
      </c>
      <c r="L30" s="52">
        <f>18595.3+4571.44+400</f>
        <v>23566.739999999998</v>
      </c>
      <c r="M30" s="31">
        <f>92398+4524+2041</f>
        <v>98963</v>
      </c>
      <c r="N30" s="32">
        <v>15141</v>
      </c>
      <c r="O30" s="553"/>
    </row>
    <row r="31" spans="1:15" ht="15" thickBot="1" x14ac:dyDescent="0.35">
      <c r="A31" s="23"/>
      <c r="B31" s="248">
        <v>44192</v>
      </c>
      <c r="C31" s="249">
        <v>3869</v>
      </c>
      <c r="D31" s="304" t="s">
        <v>359</v>
      </c>
      <c r="E31" s="27">
        <v>44192</v>
      </c>
      <c r="F31" s="28">
        <v>113002</v>
      </c>
      <c r="H31" s="549">
        <v>44192</v>
      </c>
      <c r="I31" s="199">
        <v>1209</v>
      </c>
      <c r="J31" s="176">
        <v>44556</v>
      </c>
      <c r="K31" s="86" t="s">
        <v>638</v>
      </c>
      <c r="L31" s="178">
        <v>2450</v>
      </c>
      <c r="M31" s="31">
        <v>89785</v>
      </c>
      <c r="N31" s="32">
        <v>15689</v>
      </c>
      <c r="O31" s="553"/>
    </row>
    <row r="32" spans="1:15" ht="15" thickBot="1" x14ac:dyDescent="0.35">
      <c r="A32" s="23"/>
      <c r="B32" s="248">
        <v>44193</v>
      </c>
      <c r="C32" s="249">
        <v>23182</v>
      </c>
      <c r="D32" s="304" t="s">
        <v>650</v>
      </c>
      <c r="E32" s="27">
        <v>44193</v>
      </c>
      <c r="F32" s="202">
        <v>122096</v>
      </c>
      <c r="H32" s="549">
        <v>44193</v>
      </c>
      <c r="I32" s="199">
        <v>605</v>
      </c>
      <c r="J32" s="176"/>
      <c r="K32" s="48"/>
      <c r="L32" s="52"/>
      <c r="M32" s="31">
        <v>96226</v>
      </c>
      <c r="N32" s="32">
        <v>2083</v>
      </c>
      <c r="O32" s="553"/>
    </row>
    <row r="33" spans="1:15" ht="16.2" thickBot="1" x14ac:dyDescent="0.35">
      <c r="A33" s="23"/>
      <c r="B33" s="248">
        <v>44194</v>
      </c>
      <c r="C33" s="249">
        <v>1856</v>
      </c>
      <c r="D33" s="349" t="s">
        <v>19</v>
      </c>
      <c r="E33" s="27">
        <v>44194</v>
      </c>
      <c r="F33" s="97">
        <v>282285</v>
      </c>
      <c r="H33" s="549">
        <v>44194</v>
      </c>
      <c r="I33" s="199">
        <v>660</v>
      </c>
      <c r="J33" s="176"/>
      <c r="K33" s="48"/>
      <c r="L33" s="97"/>
      <c r="M33" s="31">
        <f>102933+167050</f>
        <v>269983</v>
      </c>
      <c r="N33" s="32">
        <v>9787</v>
      </c>
      <c r="O33" s="553" t="s">
        <v>166</v>
      </c>
    </row>
    <row r="34" spans="1:15" ht="15" thickBot="1" x14ac:dyDescent="0.35">
      <c r="A34" s="23"/>
      <c r="B34" s="248">
        <v>44195</v>
      </c>
      <c r="C34" s="249">
        <v>5337</v>
      </c>
      <c r="D34" s="86" t="s">
        <v>651</v>
      </c>
      <c r="E34" s="27">
        <v>44195</v>
      </c>
      <c r="F34" s="97">
        <v>368805</v>
      </c>
      <c r="H34" s="549">
        <v>44195</v>
      </c>
      <c r="I34" s="199">
        <v>4215</v>
      </c>
      <c r="J34" s="176"/>
      <c r="K34" s="6"/>
      <c r="L34" s="56"/>
      <c r="M34" s="31">
        <v>320965</v>
      </c>
      <c r="N34" s="32">
        <v>38288</v>
      </c>
      <c r="O34" s="553" t="s">
        <v>166</v>
      </c>
    </row>
    <row r="35" spans="1:15" ht="15" thickBot="1" x14ac:dyDescent="0.35">
      <c r="A35" s="23"/>
      <c r="B35" s="248">
        <v>44196</v>
      </c>
      <c r="C35" s="249">
        <v>4610</v>
      </c>
      <c r="D35" s="86" t="s">
        <v>652</v>
      </c>
      <c r="E35" s="27">
        <v>44196</v>
      </c>
      <c r="F35" s="97">
        <v>339700</v>
      </c>
      <c r="H35" s="549">
        <v>44196</v>
      </c>
      <c r="I35" s="199">
        <v>660</v>
      </c>
      <c r="J35" s="176"/>
      <c r="K35" s="395"/>
      <c r="L35" s="97"/>
      <c r="M35" s="31">
        <f>2209+4355+310965</f>
        <v>317529</v>
      </c>
      <c r="N35" s="32">
        <v>16901</v>
      </c>
      <c r="O35" s="553" t="s">
        <v>166</v>
      </c>
    </row>
    <row r="36" spans="1:15" ht="15" thickBot="1" x14ac:dyDescent="0.35">
      <c r="A36" s="23"/>
      <c r="B36" s="248">
        <v>44197</v>
      </c>
      <c r="C36" s="556">
        <v>0</v>
      </c>
      <c r="D36" s="561"/>
      <c r="E36" s="558">
        <v>44197</v>
      </c>
      <c r="F36" s="562">
        <v>0</v>
      </c>
      <c r="G36" s="559">
        <v>0</v>
      </c>
      <c r="H36" s="560">
        <v>44197</v>
      </c>
      <c r="I36" s="563">
        <v>0</v>
      </c>
      <c r="J36" s="176"/>
      <c r="L36" s="4"/>
      <c r="M36" s="193">
        <v>0</v>
      </c>
      <c r="N36" s="194">
        <v>0</v>
      </c>
      <c r="O36" s="553"/>
    </row>
    <row r="37" spans="1:15" ht="28.2" thickBot="1" x14ac:dyDescent="0.35">
      <c r="A37" s="23"/>
      <c r="B37" s="248">
        <v>44198</v>
      </c>
      <c r="C37" s="249">
        <v>7798.5</v>
      </c>
      <c r="D37" s="86" t="s">
        <v>653</v>
      </c>
      <c r="E37" s="27">
        <v>44198</v>
      </c>
      <c r="F37" s="97">
        <v>122367</v>
      </c>
      <c r="H37" s="549">
        <v>44198</v>
      </c>
      <c r="I37" s="199">
        <v>11130</v>
      </c>
      <c r="J37" s="176">
        <v>44198</v>
      </c>
      <c r="K37" s="564" t="s">
        <v>654</v>
      </c>
      <c r="L37" s="565">
        <f>20000+18381.01+4571+400</f>
        <v>43352.009999999995</v>
      </c>
      <c r="M37" s="31">
        <v>53217</v>
      </c>
      <c r="N37" s="32">
        <v>16285</v>
      </c>
      <c r="O37" s="553"/>
    </row>
    <row r="38" spans="1:15" ht="15" thickBot="1" x14ac:dyDescent="0.35">
      <c r="A38" s="23"/>
      <c r="B38" s="248">
        <v>44199</v>
      </c>
      <c r="C38" s="249">
        <v>8749</v>
      </c>
      <c r="D38" s="86" t="s">
        <v>655</v>
      </c>
      <c r="E38" s="27">
        <v>44199</v>
      </c>
      <c r="F38" s="97">
        <v>98731</v>
      </c>
      <c r="H38" s="549">
        <v>44199</v>
      </c>
      <c r="I38" s="199">
        <v>660</v>
      </c>
      <c r="J38" s="176">
        <v>44199</v>
      </c>
      <c r="K38" s="168" t="s">
        <v>638</v>
      </c>
      <c r="L38" s="565">
        <v>2450</v>
      </c>
      <c r="M38" s="31">
        <v>78078</v>
      </c>
      <c r="N38" s="32">
        <v>8794</v>
      </c>
      <c r="O38" s="553"/>
    </row>
    <row r="39" spans="1:15" ht="15" thickBot="1" x14ac:dyDescent="0.35">
      <c r="A39" s="23"/>
      <c r="B39" s="248">
        <v>44200</v>
      </c>
      <c r="C39" s="249">
        <v>1333</v>
      </c>
      <c r="D39" s="86" t="s">
        <v>19</v>
      </c>
      <c r="E39" s="27">
        <v>44200</v>
      </c>
      <c r="F39" s="97">
        <v>80302</v>
      </c>
      <c r="H39" s="549">
        <v>44200</v>
      </c>
      <c r="I39" s="199">
        <v>550</v>
      </c>
      <c r="J39" s="176"/>
      <c r="K39" s="6"/>
      <c r="L39" s="565">
        <v>0</v>
      </c>
      <c r="M39" s="31">
        <f>59572+5500</f>
        <v>65072</v>
      </c>
      <c r="N39" s="32">
        <v>13347</v>
      </c>
      <c r="O39" s="553"/>
    </row>
    <row r="40" spans="1:15" ht="15" thickBot="1" x14ac:dyDescent="0.35">
      <c r="A40" s="23"/>
      <c r="B40" s="248">
        <v>44201</v>
      </c>
      <c r="C40" s="249">
        <v>3229</v>
      </c>
      <c r="D40" s="86" t="s">
        <v>345</v>
      </c>
      <c r="E40" s="27">
        <v>44201</v>
      </c>
      <c r="F40" s="97">
        <v>179840</v>
      </c>
      <c r="H40" s="549">
        <v>44201</v>
      </c>
      <c r="I40" s="199">
        <v>2699</v>
      </c>
      <c r="J40" s="176"/>
      <c r="K40" s="168"/>
      <c r="L40" s="565"/>
      <c r="M40" s="31">
        <f>42608+115378</f>
        <v>157986</v>
      </c>
      <c r="N40" s="32">
        <v>15926</v>
      </c>
      <c r="O40" s="553" t="s">
        <v>166</v>
      </c>
    </row>
    <row r="41" spans="1:15" ht="15" thickBot="1" x14ac:dyDescent="0.35">
      <c r="A41" s="23"/>
      <c r="B41" s="248"/>
      <c r="C41" s="249">
        <v>0</v>
      </c>
      <c r="D41" s="86"/>
      <c r="E41" s="27"/>
      <c r="F41" s="97"/>
      <c r="H41" s="29"/>
      <c r="I41" s="199"/>
      <c r="J41" s="176"/>
      <c r="K41" s="48"/>
      <c r="L41" s="97"/>
      <c r="M41" s="31">
        <v>0</v>
      </c>
      <c r="N41" s="32">
        <v>0</v>
      </c>
      <c r="O41" s="553"/>
    </row>
    <row r="42" spans="1:15" ht="15" thickBot="1" x14ac:dyDescent="0.35">
      <c r="A42" s="23"/>
      <c r="B42" s="248"/>
      <c r="C42" s="249">
        <v>0</v>
      </c>
      <c r="D42" s="86"/>
      <c r="E42" s="27"/>
      <c r="F42" s="97"/>
      <c r="H42" s="29"/>
      <c r="I42" s="199"/>
      <c r="J42" s="176"/>
      <c r="K42" s="48" t="s">
        <v>656</v>
      </c>
      <c r="L42" s="97">
        <f>9720+9345</f>
        <v>19065</v>
      </c>
      <c r="M42" s="31">
        <v>0</v>
      </c>
      <c r="N42" s="32">
        <v>0</v>
      </c>
      <c r="O42" s="553"/>
    </row>
    <row r="43" spans="1:15" ht="16.2" thickBot="1" x14ac:dyDescent="0.35">
      <c r="A43" s="23"/>
      <c r="B43" s="566">
        <v>44167</v>
      </c>
      <c r="C43" s="94">
        <v>11990.79</v>
      </c>
      <c r="D43" s="567" t="s">
        <v>657</v>
      </c>
      <c r="E43" s="27"/>
      <c r="F43" s="97"/>
      <c r="H43" s="29"/>
      <c r="I43" s="199"/>
      <c r="J43" s="176"/>
      <c r="K43" s="48" t="s">
        <v>658</v>
      </c>
      <c r="L43" s="97">
        <v>5800</v>
      </c>
      <c r="M43" s="31">
        <v>0</v>
      </c>
      <c r="N43" s="32">
        <v>0</v>
      </c>
      <c r="O43" s="553"/>
    </row>
    <row r="44" spans="1:15" ht="16.2" thickBot="1" x14ac:dyDescent="0.35">
      <c r="A44" s="23"/>
      <c r="B44" s="566">
        <v>44168</v>
      </c>
      <c r="C44" s="94">
        <v>20508.7</v>
      </c>
      <c r="D44" s="568" t="s">
        <v>659</v>
      </c>
      <c r="E44" s="569"/>
      <c r="F44" s="570"/>
      <c r="H44" s="29"/>
      <c r="I44" s="199"/>
      <c r="J44" s="176"/>
      <c r="K44" s="48" t="s">
        <v>660</v>
      </c>
      <c r="L44" s="97">
        <v>1959</v>
      </c>
      <c r="M44" s="31">
        <v>0</v>
      </c>
      <c r="N44" s="32">
        <v>0</v>
      </c>
      <c r="O44" s="553"/>
    </row>
    <row r="45" spans="1:15" ht="16.2" thickBot="1" x14ac:dyDescent="0.35">
      <c r="A45" s="23"/>
      <c r="B45" s="566">
        <v>44170</v>
      </c>
      <c r="C45" s="94">
        <v>29234.31</v>
      </c>
      <c r="D45" s="568" t="s">
        <v>661</v>
      </c>
      <c r="E45" s="569"/>
      <c r="F45" s="570"/>
      <c r="H45" s="29"/>
      <c r="I45" s="199"/>
      <c r="J45" s="571"/>
      <c r="K45" s="572" t="s">
        <v>662</v>
      </c>
      <c r="L45" s="97">
        <v>782742.4</v>
      </c>
      <c r="M45" s="31">
        <v>0</v>
      </c>
      <c r="N45" s="32">
        <v>0</v>
      </c>
      <c r="O45" s="553"/>
    </row>
    <row r="46" spans="1:15" ht="16.2" thickBot="1" x14ac:dyDescent="0.35">
      <c r="A46" s="23"/>
      <c r="B46" s="566">
        <v>44174</v>
      </c>
      <c r="C46" s="94">
        <v>21860.19</v>
      </c>
      <c r="D46" s="568" t="s">
        <v>663</v>
      </c>
      <c r="E46" s="573"/>
      <c r="F46" s="570"/>
      <c r="H46" s="29"/>
      <c r="I46" s="199"/>
      <c r="J46" s="176"/>
      <c r="K46" s="401" t="s">
        <v>664</v>
      </c>
      <c r="L46" s="82">
        <v>11410</v>
      </c>
      <c r="M46" s="31">
        <v>0</v>
      </c>
      <c r="N46" s="32">
        <v>0</v>
      </c>
      <c r="O46" s="553"/>
    </row>
    <row r="47" spans="1:15" ht="18.600000000000001" thickBot="1" x14ac:dyDescent="0.4">
      <c r="A47" s="23"/>
      <c r="B47" s="566">
        <v>44176</v>
      </c>
      <c r="C47" s="574">
        <v>17543.368999999999</v>
      </c>
      <c r="D47" s="575" t="s">
        <v>665</v>
      </c>
      <c r="E47" s="573"/>
      <c r="F47" s="570"/>
      <c r="H47" s="29"/>
      <c r="I47" s="199"/>
      <c r="J47" s="176"/>
      <c r="K47" s="361" t="s">
        <v>666</v>
      </c>
      <c r="L47" s="82">
        <v>549</v>
      </c>
      <c r="M47" s="31">
        <v>0</v>
      </c>
      <c r="N47" s="32">
        <v>0</v>
      </c>
      <c r="O47" s="553"/>
    </row>
    <row r="48" spans="1:15" ht="16.2" thickBot="1" x14ac:dyDescent="0.35">
      <c r="A48" s="23"/>
      <c r="B48" s="566">
        <v>44179</v>
      </c>
      <c r="C48" s="94">
        <v>22419.18</v>
      </c>
      <c r="D48" s="576">
        <v>159</v>
      </c>
      <c r="E48" s="573"/>
      <c r="F48" s="570"/>
      <c r="H48" s="29"/>
      <c r="I48" s="199"/>
      <c r="J48" s="176"/>
      <c r="K48" s="361" t="s">
        <v>667</v>
      </c>
      <c r="L48" s="97">
        <v>7000</v>
      </c>
      <c r="M48" s="277"/>
      <c r="N48" s="32"/>
      <c r="O48" s="553"/>
    </row>
    <row r="49" spans="1:15" ht="16.2" thickBot="1" x14ac:dyDescent="0.35">
      <c r="A49" s="23"/>
      <c r="B49" s="566">
        <v>44181</v>
      </c>
      <c r="C49" s="94">
        <v>12158.4</v>
      </c>
      <c r="D49" s="576">
        <v>165</v>
      </c>
      <c r="E49" s="573"/>
      <c r="F49" s="570"/>
      <c r="H49" s="29"/>
      <c r="I49" s="199"/>
      <c r="J49" s="176"/>
      <c r="K49" s="361" t="s">
        <v>46</v>
      </c>
      <c r="L49" s="82">
        <v>1394.81</v>
      </c>
      <c r="M49" s="277"/>
      <c r="N49" s="32"/>
      <c r="O49" s="553"/>
    </row>
    <row r="50" spans="1:15" ht="18.600000000000001" thickBot="1" x14ac:dyDescent="0.4">
      <c r="A50" s="23"/>
      <c r="B50" s="566">
        <v>44182</v>
      </c>
      <c r="C50" s="577">
        <v>9421.7000000000007</v>
      </c>
      <c r="D50" s="578" t="s">
        <v>668</v>
      </c>
      <c r="E50" s="569"/>
      <c r="F50" s="570"/>
      <c r="H50" s="29"/>
      <c r="I50" s="199"/>
      <c r="J50" s="176"/>
      <c r="K50" s="361" t="s">
        <v>669</v>
      </c>
      <c r="L50" s="82">
        <v>10000</v>
      </c>
      <c r="M50" s="277"/>
      <c r="N50" s="32"/>
      <c r="O50" s="553"/>
    </row>
    <row r="51" spans="1:15" ht="16.2" thickBot="1" x14ac:dyDescent="0.35">
      <c r="A51" s="23"/>
      <c r="B51" s="566">
        <v>44186</v>
      </c>
      <c r="C51" s="94">
        <v>19971.490000000002</v>
      </c>
      <c r="D51" s="576">
        <v>180</v>
      </c>
      <c r="E51" s="569"/>
      <c r="F51" s="570"/>
      <c r="H51" s="29"/>
      <c r="I51" s="199"/>
      <c r="J51" s="176"/>
      <c r="K51" s="361" t="s">
        <v>239</v>
      </c>
      <c r="L51" s="82">
        <v>9321.14</v>
      </c>
      <c r="M51" s="277"/>
      <c r="N51" s="32"/>
      <c r="O51" s="553"/>
    </row>
    <row r="52" spans="1:15" ht="16.2" thickBot="1" x14ac:dyDescent="0.35">
      <c r="A52" s="23"/>
      <c r="B52" s="566">
        <v>44187</v>
      </c>
      <c r="C52" s="94">
        <v>24726.34</v>
      </c>
      <c r="D52" s="576">
        <v>181</v>
      </c>
      <c r="E52" s="27"/>
      <c r="F52" s="97"/>
      <c r="H52" s="29"/>
      <c r="I52" s="199"/>
      <c r="J52" s="176"/>
      <c r="K52" s="361" t="s">
        <v>670</v>
      </c>
      <c r="L52" s="82">
        <v>986</v>
      </c>
      <c r="M52" s="277"/>
      <c r="N52" s="32"/>
      <c r="O52" s="553"/>
    </row>
    <row r="53" spans="1:15" ht="16.2" thickBot="1" x14ac:dyDescent="0.35">
      <c r="A53" s="23"/>
      <c r="B53" s="566">
        <v>44188</v>
      </c>
      <c r="C53" s="94">
        <v>25511.01</v>
      </c>
      <c r="D53" s="576">
        <v>182</v>
      </c>
      <c r="E53" s="27"/>
      <c r="F53" s="97"/>
      <c r="H53" s="29"/>
      <c r="I53" s="199"/>
      <c r="J53" s="176"/>
      <c r="K53" s="361" t="s">
        <v>671</v>
      </c>
      <c r="L53" s="82">
        <v>1923.78</v>
      </c>
      <c r="M53" s="277"/>
      <c r="N53" s="32"/>
      <c r="O53" s="553"/>
    </row>
    <row r="54" spans="1:15" ht="16.2" thickBot="1" x14ac:dyDescent="0.35">
      <c r="A54" s="23"/>
      <c r="B54" s="566">
        <v>44189</v>
      </c>
      <c r="C54" s="94">
        <v>27953.89</v>
      </c>
      <c r="D54" s="576">
        <v>183</v>
      </c>
      <c r="E54" s="27"/>
      <c r="F54" s="97"/>
      <c r="H54" s="29"/>
      <c r="I54" s="199"/>
      <c r="J54" s="176"/>
      <c r="K54" s="6" t="s">
        <v>672</v>
      </c>
      <c r="L54" s="82">
        <v>7891.23</v>
      </c>
      <c r="M54" s="31"/>
      <c r="N54" s="32"/>
      <c r="O54" s="553"/>
    </row>
    <row r="55" spans="1:15" ht="16.2" thickBot="1" x14ac:dyDescent="0.35">
      <c r="A55" s="23"/>
      <c r="B55" s="566">
        <v>44191</v>
      </c>
      <c r="C55" s="94">
        <v>13982.03</v>
      </c>
      <c r="D55" s="576">
        <v>184</v>
      </c>
      <c r="E55" s="27"/>
      <c r="F55" s="97"/>
      <c r="H55" s="29"/>
      <c r="I55" s="199"/>
      <c r="J55" s="176"/>
      <c r="K55" s="361" t="s">
        <v>673</v>
      </c>
      <c r="L55" s="82">
        <v>1488</v>
      </c>
      <c r="M55" s="31">
        <v>0</v>
      </c>
      <c r="N55" s="32">
        <v>0</v>
      </c>
      <c r="O55" s="553"/>
    </row>
    <row r="56" spans="1:15" ht="16.2" thickBot="1" x14ac:dyDescent="0.35">
      <c r="A56" s="23"/>
      <c r="B56" s="566">
        <v>44194</v>
      </c>
      <c r="C56" s="94">
        <v>21186.61</v>
      </c>
      <c r="D56" s="576">
        <v>185</v>
      </c>
      <c r="E56" s="365"/>
      <c r="F56" s="351"/>
      <c r="H56" s="29"/>
      <c r="I56" s="307"/>
      <c r="J56" s="176"/>
      <c r="K56" s="579"/>
      <c r="L56" s="219"/>
      <c r="M56" s="31"/>
      <c r="N56" s="32"/>
      <c r="O56" s="553"/>
    </row>
    <row r="57" spans="1:15" ht="16.2" thickBot="1" x14ac:dyDescent="0.35">
      <c r="A57" s="23"/>
      <c r="B57" s="566">
        <v>44195</v>
      </c>
      <c r="C57" s="94">
        <v>7088.64</v>
      </c>
      <c r="D57" s="580">
        <v>202</v>
      </c>
      <c r="E57" s="365"/>
      <c r="F57" s="351"/>
      <c r="H57" s="29"/>
      <c r="I57" s="307"/>
      <c r="J57" s="176"/>
      <c r="K57" s="286" t="s">
        <v>15</v>
      </c>
      <c r="L57" s="219">
        <v>0</v>
      </c>
      <c r="M57" s="31"/>
      <c r="N57" s="32"/>
      <c r="O57" s="553"/>
    </row>
    <row r="58" spans="1:15" ht="16.2" thickBot="1" x14ac:dyDescent="0.35">
      <c r="A58" s="23"/>
      <c r="B58" s="566">
        <v>44196</v>
      </c>
      <c r="C58" s="94">
        <v>21176.13</v>
      </c>
      <c r="D58" s="576">
        <v>203</v>
      </c>
      <c r="E58" s="365"/>
      <c r="F58" s="351"/>
      <c r="H58" s="29"/>
      <c r="I58" s="307"/>
      <c r="J58" s="176"/>
      <c r="K58" s="579"/>
      <c r="L58" s="219"/>
      <c r="M58" s="31"/>
      <c r="N58" s="32"/>
      <c r="O58" s="553"/>
    </row>
    <row r="59" spans="1:15" ht="16.2" thickBot="1" x14ac:dyDescent="0.35">
      <c r="A59" s="23"/>
      <c r="B59" s="566">
        <v>44198</v>
      </c>
      <c r="C59" s="94">
        <v>17986.400000000001</v>
      </c>
      <c r="D59" s="576">
        <v>204</v>
      </c>
      <c r="E59" s="365"/>
      <c r="F59" s="351"/>
      <c r="H59" s="29"/>
      <c r="I59" s="307"/>
      <c r="J59" s="176"/>
      <c r="K59" s="579"/>
      <c r="L59" s="219"/>
      <c r="M59" s="31"/>
      <c r="N59" s="32"/>
      <c r="O59" s="553"/>
    </row>
    <row r="60" spans="1:15" ht="16.2" thickBot="1" x14ac:dyDescent="0.35">
      <c r="A60" s="23"/>
      <c r="B60" s="566">
        <v>44200</v>
      </c>
      <c r="C60" s="94">
        <v>22231.67</v>
      </c>
      <c r="D60" s="576">
        <v>205</v>
      </c>
      <c r="E60" s="365"/>
      <c r="F60" s="351"/>
      <c r="H60" s="29"/>
      <c r="I60" s="307"/>
      <c r="J60" s="176"/>
      <c r="K60" s="579"/>
      <c r="L60" s="219"/>
      <c r="M60" s="31"/>
      <c r="N60" s="32"/>
      <c r="O60" s="553"/>
    </row>
    <row r="61" spans="1:15" ht="15" thickBot="1" x14ac:dyDescent="0.35">
      <c r="A61" s="23"/>
      <c r="B61" s="248"/>
      <c r="C61" s="249">
        <v>0</v>
      </c>
      <c r="D61" s="376"/>
      <c r="E61" s="365"/>
      <c r="F61" s="351"/>
      <c r="H61" s="29"/>
      <c r="I61" s="307"/>
      <c r="J61" s="176"/>
      <c r="K61" s="581"/>
      <c r="L61" s="56"/>
      <c r="M61" s="31">
        <v>0</v>
      </c>
      <c r="N61" s="32">
        <v>0</v>
      </c>
      <c r="O61" s="553"/>
    </row>
    <row r="62" spans="1:15" ht="16.2" thickBot="1" x14ac:dyDescent="0.35">
      <c r="B62" s="335" t="s">
        <v>51</v>
      </c>
      <c r="C62" s="336">
        <f>SUM(C5:C61)</f>
        <v>589975.84900000016</v>
      </c>
      <c r="D62" s="114"/>
      <c r="E62" s="237" t="s">
        <v>51</v>
      </c>
      <c r="F62" s="238">
        <f>SUM(F5:F61)</f>
        <v>5744504</v>
      </c>
      <c r="G62" s="114"/>
      <c r="H62" s="117" t="s">
        <v>245</v>
      </c>
      <c r="I62" s="118">
        <f>SUM(I5:I61)</f>
        <v>98205.92</v>
      </c>
      <c r="J62" s="265"/>
      <c r="K62" s="120" t="s">
        <v>246</v>
      </c>
      <c r="L62" s="582">
        <f>SUM(L5:L61)</f>
        <v>1050394.9800000002</v>
      </c>
      <c r="M62" s="126">
        <f>SUM(M5:M61)</f>
        <v>4936656.5</v>
      </c>
      <c r="N62" s="126">
        <f>SUM(N5:N61)</f>
        <v>376665</v>
      </c>
      <c r="O62" s="583"/>
    </row>
    <row r="63" spans="1:15" ht="15.6" thickTop="1" thickBot="1" x14ac:dyDescent="0.35">
      <c r="C63" s="5" t="s">
        <v>10</v>
      </c>
      <c r="O63" s="583"/>
    </row>
    <row r="64" spans="1:15" ht="18.600000000000001" thickBot="1" x14ac:dyDescent="0.35">
      <c r="A64" s="65"/>
      <c r="B64" s="122"/>
      <c r="C64" s="4"/>
      <c r="H64" s="601" t="s">
        <v>52</v>
      </c>
      <c r="I64" s="602"/>
      <c r="J64" s="266"/>
      <c r="K64" s="603">
        <f>I62+L62</f>
        <v>1148600.9000000001</v>
      </c>
      <c r="L64" s="604"/>
      <c r="M64" s="599">
        <f>M62+N62</f>
        <v>5313321.5</v>
      </c>
      <c r="N64" s="600"/>
      <c r="O64" s="584"/>
    </row>
    <row r="65" spans="2:15" ht="15.6" x14ac:dyDescent="0.3">
      <c r="D65" s="606" t="s">
        <v>53</v>
      </c>
      <c r="E65" s="606"/>
      <c r="F65" s="124">
        <f>F62-K64-C62</f>
        <v>4005927.2509999992</v>
      </c>
      <c r="I65" s="125"/>
      <c r="J65" s="267"/>
    </row>
    <row r="66" spans="2:15" ht="18.600000000000001" thickBot="1" x14ac:dyDescent="0.4">
      <c r="D66" s="607" t="s">
        <v>54</v>
      </c>
      <c r="E66" s="607"/>
      <c r="F66" s="585">
        <v>-4423988.62</v>
      </c>
      <c r="I66" s="608" t="s">
        <v>55</v>
      </c>
      <c r="J66" s="609"/>
      <c r="K66" s="610">
        <f>F67+F68+F69</f>
        <v>-143535.68900000089</v>
      </c>
      <c r="L66" s="611"/>
    </row>
    <row r="67" spans="2:15" ht="18.600000000000001" thickTop="1" x14ac:dyDescent="0.35">
      <c r="C67" s="13" t="s">
        <v>10</v>
      </c>
      <c r="E67" s="65" t="s">
        <v>56</v>
      </c>
      <c r="F67" s="126">
        <f>SUM(F65:F66)</f>
        <v>-418061.36900000088</v>
      </c>
      <c r="H67" s="23"/>
      <c r="I67" s="132" t="s">
        <v>57</v>
      </c>
      <c r="J67" s="269"/>
      <c r="K67" s="612">
        <f>-C4</f>
        <v>-273517.06</v>
      </c>
      <c r="L67" s="613"/>
      <c r="M67" s="134"/>
    </row>
    <row r="68" spans="2:15" ht="16.2" thickBot="1" x14ac:dyDescent="0.35">
      <c r="D68" s="135" t="s">
        <v>58</v>
      </c>
      <c r="E68" s="65" t="s">
        <v>59</v>
      </c>
      <c r="F68" s="136">
        <v>23661</v>
      </c>
    </row>
    <row r="69" spans="2:15" ht="19.2" thickTop="1" thickBot="1" x14ac:dyDescent="0.4">
      <c r="C69" s="137">
        <v>44201</v>
      </c>
      <c r="D69" s="614" t="s">
        <v>60</v>
      </c>
      <c r="E69" s="615"/>
      <c r="F69" s="138">
        <v>250864.68</v>
      </c>
      <c r="I69" s="662" t="s">
        <v>464</v>
      </c>
      <c r="J69" s="663"/>
      <c r="K69" s="664">
        <f>K66+K67</f>
        <v>-417052.74900000088</v>
      </c>
      <c r="L69" s="665"/>
    </row>
    <row r="70" spans="2:15" ht="18" x14ac:dyDescent="0.35">
      <c r="C70" s="139"/>
      <c r="D70" s="140"/>
      <c r="E70" s="141"/>
      <c r="F70" s="142"/>
      <c r="J70" s="270"/>
      <c r="M70" s="143"/>
    </row>
    <row r="72" spans="2:15" ht="15.6" x14ac:dyDescent="0.3">
      <c r="B72" s="409"/>
      <c r="C72" s="410"/>
      <c r="D72" s="102"/>
      <c r="E72" s="91"/>
      <c r="M72" s="144"/>
      <c r="N72" s="65"/>
    </row>
    <row r="73" spans="2:15" ht="15.6" x14ac:dyDescent="0.3">
      <c r="B73" s="409"/>
      <c r="C73" s="364"/>
      <c r="E73" s="91"/>
      <c r="M73" s="144"/>
      <c r="N73" s="65"/>
      <c r="O73" s="543"/>
    </row>
    <row r="74" spans="2:15" ht="15.6" x14ac:dyDescent="0.3">
      <c r="B74" s="409"/>
      <c r="C74" s="364"/>
      <c r="E74" s="91"/>
      <c r="F74" s="145"/>
      <c r="L74" s="586"/>
      <c r="M74" s="4"/>
      <c r="O74" s="543"/>
    </row>
    <row r="75" spans="2:15" ht="15.6" x14ac:dyDescent="0.3">
      <c r="B75" s="409"/>
      <c r="C75" s="364"/>
      <c r="E75" s="91"/>
      <c r="M75" s="4"/>
    </row>
    <row r="76" spans="2:15" ht="15.6" x14ac:dyDescent="0.3">
      <c r="B76" s="409"/>
      <c r="C76" s="364"/>
      <c r="E76" s="91"/>
      <c r="M76" s="4"/>
    </row>
    <row r="77" spans="2:15" x14ac:dyDescent="0.3">
      <c r="M77" s="4"/>
    </row>
    <row r="78" spans="2:15" x14ac:dyDescent="0.3">
      <c r="M78" s="4"/>
    </row>
    <row r="79" spans="2:15" x14ac:dyDescent="0.3">
      <c r="M79" s="4"/>
    </row>
    <row r="80" spans="2:15" x14ac:dyDescent="0.3">
      <c r="M80" s="4"/>
    </row>
    <row r="81" spans="13:13" x14ac:dyDescent="0.3">
      <c r="M81" s="4"/>
    </row>
    <row r="82" spans="13:13" x14ac:dyDescent="0.3">
      <c r="M82" s="4"/>
    </row>
    <row r="83" spans="13:13" x14ac:dyDescent="0.3">
      <c r="M83" s="4"/>
    </row>
    <row r="84" spans="13:13" x14ac:dyDescent="0.3">
      <c r="M84" s="4"/>
    </row>
    <row r="85" spans="13:13" x14ac:dyDescent="0.3">
      <c r="M85" s="4"/>
    </row>
    <row r="86" spans="13:13" x14ac:dyDescent="0.3">
      <c r="M86" s="4"/>
    </row>
    <row r="87" spans="13:13" x14ac:dyDescent="0.3">
      <c r="M87" s="4"/>
    </row>
  </sheetData>
  <mergeCells count="16">
    <mergeCell ref="C1:K1"/>
    <mergeCell ref="B3:C3"/>
    <mergeCell ref="H3:I3"/>
    <mergeCell ref="E4:F4"/>
    <mergeCell ref="H4:I4"/>
    <mergeCell ref="D69:E69"/>
    <mergeCell ref="I69:J69"/>
    <mergeCell ref="K69:L69"/>
    <mergeCell ref="M64:N64"/>
    <mergeCell ref="D65:E65"/>
    <mergeCell ref="D66:E66"/>
    <mergeCell ref="I66:J66"/>
    <mergeCell ref="K66:L66"/>
    <mergeCell ref="K67:L67"/>
    <mergeCell ref="H64:I64"/>
    <mergeCell ref="K64:L64"/>
  </mergeCells>
  <pageMargins left="0.15748031496062992" right="0.15748031496062992" top="0.35433070866141736" bottom="0.31496062992125984" header="0.31496062992125984" footer="0.31496062992125984"/>
  <pageSetup scale="70" orientation="landscape" horizontalDpi="0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DE03-69BD-444D-BB23-1F05E69C0EBA}">
  <sheetPr>
    <tabColor rgb="FF00FFCC"/>
  </sheetPr>
  <dimension ref="A1:G103"/>
  <sheetViews>
    <sheetView topLeftCell="A46" workbookViewId="0">
      <selection activeCell="I8" sqref="I8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5" bestFit="1" customWidth="1"/>
  </cols>
  <sheetData>
    <row r="1" spans="1:7" ht="21" x14ac:dyDescent="0.4">
      <c r="B1" s="146" t="s">
        <v>177</v>
      </c>
      <c r="C1" s="147"/>
      <c r="D1" s="148"/>
      <c r="E1" s="147"/>
      <c r="F1" s="149"/>
    </row>
    <row r="2" spans="1:7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7" ht="15.6" x14ac:dyDescent="0.3">
      <c r="A3" s="156">
        <v>44166</v>
      </c>
      <c r="B3" s="157" t="s">
        <v>674</v>
      </c>
      <c r="C3" s="97">
        <v>173442.85</v>
      </c>
      <c r="D3" s="154"/>
      <c r="E3" s="56"/>
      <c r="F3" s="591">
        <f>C3-E3</f>
        <v>173442.85</v>
      </c>
    </row>
    <row r="4" spans="1:7" ht="18" x14ac:dyDescent="0.35">
      <c r="A4" s="156">
        <v>44168</v>
      </c>
      <c r="B4" s="157" t="s">
        <v>675</v>
      </c>
      <c r="C4" s="97">
        <v>32268.07</v>
      </c>
      <c r="D4" s="158"/>
      <c r="E4" s="97"/>
      <c r="F4" s="378">
        <f>F3+C4-E4</f>
        <v>205710.92</v>
      </c>
      <c r="G4" s="368"/>
    </row>
    <row r="5" spans="1:7" x14ac:dyDescent="0.3">
      <c r="A5" s="158">
        <v>44168</v>
      </c>
      <c r="B5" s="157" t="s">
        <v>676</v>
      </c>
      <c r="C5" s="97">
        <v>131154.12</v>
      </c>
      <c r="D5" s="158"/>
      <c r="E5" s="97"/>
      <c r="F5" s="587">
        <f t="shared" ref="F5:F66" si="0">F4+C5-E5</f>
        <v>336865.04000000004</v>
      </c>
    </row>
    <row r="6" spans="1:7" x14ac:dyDescent="0.3">
      <c r="A6" s="158">
        <v>44169</v>
      </c>
      <c r="B6" s="157" t="s">
        <v>677</v>
      </c>
      <c r="C6" s="97">
        <v>35296.400000000001</v>
      </c>
      <c r="D6" s="158">
        <v>44169</v>
      </c>
      <c r="E6" s="97">
        <v>372161.44</v>
      </c>
      <c r="F6" s="587">
        <f t="shared" si="0"/>
        <v>0</v>
      </c>
    </row>
    <row r="7" spans="1:7" x14ac:dyDescent="0.3">
      <c r="A7" s="158">
        <v>44170</v>
      </c>
      <c r="B7" s="157" t="s">
        <v>678</v>
      </c>
      <c r="C7" s="97">
        <v>48112.5</v>
      </c>
      <c r="D7" s="158"/>
      <c r="E7" s="97"/>
      <c r="F7" s="587">
        <f t="shared" si="0"/>
        <v>48112.5</v>
      </c>
    </row>
    <row r="8" spans="1:7" x14ac:dyDescent="0.3">
      <c r="A8" s="158">
        <v>44170</v>
      </c>
      <c r="B8" s="157" t="s">
        <v>679</v>
      </c>
      <c r="C8" s="97">
        <v>175481.65</v>
      </c>
      <c r="D8" s="158"/>
      <c r="E8" s="97"/>
      <c r="F8" s="587">
        <f t="shared" si="0"/>
        <v>223594.15</v>
      </c>
    </row>
    <row r="9" spans="1:7" x14ac:dyDescent="0.3">
      <c r="A9" s="158">
        <v>44171</v>
      </c>
      <c r="B9" s="157" t="s">
        <v>680</v>
      </c>
      <c r="C9" s="97">
        <v>2832</v>
      </c>
      <c r="D9" s="158"/>
      <c r="E9" s="97"/>
      <c r="F9" s="587">
        <f t="shared" si="0"/>
        <v>226426.15</v>
      </c>
    </row>
    <row r="10" spans="1:7" ht="18" x14ac:dyDescent="0.35">
      <c r="A10" s="158">
        <v>44172</v>
      </c>
      <c r="B10" s="157" t="s">
        <v>681</v>
      </c>
      <c r="C10" s="97">
        <v>189434</v>
      </c>
      <c r="D10" s="158"/>
      <c r="E10" s="97"/>
      <c r="F10" s="587">
        <f t="shared" si="0"/>
        <v>415860.15</v>
      </c>
      <c r="G10" s="368"/>
    </row>
    <row r="11" spans="1:7" x14ac:dyDescent="0.3">
      <c r="A11" s="156">
        <v>44172</v>
      </c>
      <c r="B11" s="157" t="s">
        <v>682</v>
      </c>
      <c r="C11" s="97">
        <v>14802.76</v>
      </c>
      <c r="D11" s="158"/>
      <c r="E11" s="97"/>
      <c r="F11" s="587">
        <f t="shared" si="0"/>
        <v>430662.91000000003</v>
      </c>
    </row>
    <row r="12" spans="1:7" x14ac:dyDescent="0.3">
      <c r="A12" s="158">
        <v>44173</v>
      </c>
      <c r="B12" s="157" t="s">
        <v>683</v>
      </c>
      <c r="C12" s="97">
        <v>800</v>
      </c>
      <c r="D12" s="158"/>
      <c r="E12" s="97"/>
      <c r="F12" s="587">
        <f t="shared" si="0"/>
        <v>431462.91000000003</v>
      </c>
    </row>
    <row r="13" spans="1:7" x14ac:dyDescent="0.3">
      <c r="A13" s="158">
        <v>44174</v>
      </c>
      <c r="B13" s="157" t="s">
        <v>684</v>
      </c>
      <c r="C13" s="97">
        <v>138653.93</v>
      </c>
      <c r="D13" s="158"/>
      <c r="E13" s="97"/>
      <c r="F13" s="587">
        <f t="shared" si="0"/>
        <v>570116.84000000008</v>
      </c>
    </row>
    <row r="14" spans="1:7" x14ac:dyDescent="0.3">
      <c r="A14" s="158">
        <v>44175</v>
      </c>
      <c r="B14" s="157" t="s">
        <v>685</v>
      </c>
      <c r="C14" s="97">
        <v>111449.97</v>
      </c>
      <c r="D14" s="158"/>
      <c r="E14" s="97"/>
      <c r="F14" s="587">
        <f t="shared" si="0"/>
        <v>681566.81</v>
      </c>
    </row>
    <row r="15" spans="1:7" x14ac:dyDescent="0.3">
      <c r="A15" s="158">
        <v>44176</v>
      </c>
      <c r="B15" s="157" t="s">
        <v>686</v>
      </c>
      <c r="C15" s="97">
        <v>2589.6</v>
      </c>
      <c r="D15" s="158"/>
      <c r="E15" s="97"/>
      <c r="F15" s="587">
        <f t="shared" si="0"/>
        <v>684156.41</v>
      </c>
    </row>
    <row r="16" spans="1:7" x14ac:dyDescent="0.3">
      <c r="A16" s="158">
        <v>44176</v>
      </c>
      <c r="B16" s="157" t="s">
        <v>687</v>
      </c>
      <c r="C16" s="97">
        <v>58476.38</v>
      </c>
      <c r="D16" s="158"/>
      <c r="E16" s="97"/>
      <c r="F16" s="587">
        <f t="shared" si="0"/>
        <v>742632.79</v>
      </c>
    </row>
    <row r="17" spans="1:7" x14ac:dyDescent="0.3">
      <c r="A17" s="158">
        <v>44176</v>
      </c>
      <c r="B17" s="157" t="s">
        <v>688</v>
      </c>
      <c r="C17" s="97">
        <v>43765.5</v>
      </c>
      <c r="D17" s="158">
        <v>44176</v>
      </c>
      <c r="E17" s="97">
        <v>786398.29</v>
      </c>
      <c r="F17" s="587">
        <f t="shared" si="0"/>
        <v>0</v>
      </c>
    </row>
    <row r="18" spans="1:7" x14ac:dyDescent="0.3">
      <c r="A18" s="158">
        <v>44177</v>
      </c>
      <c r="B18" s="157" t="s">
        <v>689</v>
      </c>
      <c r="C18" s="97">
        <v>50809.29</v>
      </c>
      <c r="D18" s="158"/>
      <c r="E18" s="97"/>
      <c r="F18" s="587">
        <f t="shared" si="0"/>
        <v>50809.29</v>
      </c>
    </row>
    <row r="19" spans="1:7" x14ac:dyDescent="0.3">
      <c r="A19" s="158">
        <v>44177</v>
      </c>
      <c r="B19" s="157" t="s">
        <v>690</v>
      </c>
      <c r="C19" s="97">
        <v>38367.1</v>
      </c>
      <c r="D19" s="158"/>
      <c r="E19" s="97"/>
      <c r="F19" s="587">
        <f t="shared" si="0"/>
        <v>89176.39</v>
      </c>
    </row>
    <row r="20" spans="1:7" x14ac:dyDescent="0.3">
      <c r="A20" s="158">
        <v>44177</v>
      </c>
      <c r="B20" s="157" t="s">
        <v>691</v>
      </c>
      <c r="C20" s="97">
        <v>166347.4</v>
      </c>
      <c r="D20" s="158"/>
      <c r="E20" s="97"/>
      <c r="F20" s="587">
        <f t="shared" si="0"/>
        <v>255523.78999999998</v>
      </c>
    </row>
    <row r="21" spans="1:7" x14ac:dyDescent="0.3">
      <c r="A21" s="158">
        <v>44177</v>
      </c>
      <c r="B21" s="157" t="s">
        <v>692</v>
      </c>
      <c r="C21" s="97">
        <v>50816.5</v>
      </c>
      <c r="D21" s="158"/>
      <c r="E21" s="97"/>
      <c r="F21" s="587">
        <f t="shared" si="0"/>
        <v>306340.28999999998</v>
      </c>
    </row>
    <row r="22" spans="1:7" ht="18" x14ac:dyDescent="0.35">
      <c r="A22" s="158">
        <v>44179</v>
      </c>
      <c r="B22" s="157" t="s">
        <v>693</v>
      </c>
      <c r="C22" s="97">
        <v>193472.26</v>
      </c>
      <c r="D22" s="158"/>
      <c r="E22" s="97"/>
      <c r="F22" s="378">
        <f t="shared" si="0"/>
        <v>499812.55</v>
      </c>
      <c r="G22" s="368"/>
    </row>
    <row r="23" spans="1:7" x14ac:dyDescent="0.3">
      <c r="A23" s="158">
        <v>44179</v>
      </c>
      <c r="B23" s="157" t="s">
        <v>694</v>
      </c>
      <c r="C23" s="97">
        <v>12789</v>
      </c>
      <c r="D23" s="158"/>
      <c r="E23" s="97"/>
      <c r="F23" s="587">
        <f t="shared" si="0"/>
        <v>512601.55</v>
      </c>
    </row>
    <row r="24" spans="1:7" x14ac:dyDescent="0.3">
      <c r="A24" s="158">
        <v>44180</v>
      </c>
      <c r="B24" s="157" t="s">
        <v>695</v>
      </c>
      <c r="C24" s="97">
        <v>1280</v>
      </c>
      <c r="D24" s="158"/>
      <c r="E24" s="97"/>
      <c r="F24" s="587">
        <f t="shared" si="0"/>
        <v>513881.55</v>
      </c>
    </row>
    <row r="25" spans="1:7" x14ac:dyDescent="0.3">
      <c r="A25" s="158">
        <v>44181</v>
      </c>
      <c r="B25" s="157" t="s">
        <v>696</v>
      </c>
      <c r="C25" s="97">
        <v>12722.6</v>
      </c>
      <c r="D25" s="158"/>
      <c r="E25" s="97"/>
      <c r="F25" s="587">
        <f t="shared" si="0"/>
        <v>526604.15</v>
      </c>
    </row>
    <row r="26" spans="1:7" x14ac:dyDescent="0.3">
      <c r="A26" s="158">
        <v>44181</v>
      </c>
      <c r="B26" s="157" t="s">
        <v>697</v>
      </c>
      <c r="C26" s="97">
        <v>73381.8</v>
      </c>
      <c r="D26" s="158"/>
      <c r="E26" s="97"/>
      <c r="F26" s="587">
        <f t="shared" si="0"/>
        <v>599985.95000000007</v>
      </c>
    </row>
    <row r="27" spans="1:7" x14ac:dyDescent="0.3">
      <c r="A27" s="158">
        <v>44182</v>
      </c>
      <c r="B27" s="157" t="s">
        <v>698</v>
      </c>
      <c r="C27" s="97">
        <v>146143.25</v>
      </c>
      <c r="D27" s="158">
        <v>44183</v>
      </c>
      <c r="E27" s="97">
        <v>746129.2</v>
      </c>
      <c r="F27" s="587">
        <f t="shared" si="0"/>
        <v>0</v>
      </c>
    </row>
    <row r="28" spans="1:7" x14ac:dyDescent="0.3">
      <c r="A28" s="158">
        <v>44182</v>
      </c>
      <c r="B28" s="157" t="s">
        <v>699</v>
      </c>
      <c r="C28" s="97">
        <v>65269.1</v>
      </c>
      <c r="D28" s="158"/>
      <c r="E28" s="97"/>
      <c r="F28" s="587">
        <f t="shared" si="0"/>
        <v>65269.1</v>
      </c>
    </row>
    <row r="29" spans="1:7" x14ac:dyDescent="0.3">
      <c r="A29" s="158">
        <v>44183</v>
      </c>
      <c r="B29" s="157" t="s">
        <v>700</v>
      </c>
      <c r="C29" s="97">
        <v>2926</v>
      </c>
      <c r="D29" s="158"/>
      <c r="E29" s="97"/>
      <c r="F29" s="587">
        <f t="shared" si="0"/>
        <v>68195.100000000006</v>
      </c>
    </row>
    <row r="30" spans="1:7" ht="18" x14ac:dyDescent="0.35">
      <c r="A30" s="158">
        <v>44183</v>
      </c>
      <c r="B30" s="157" t="s">
        <v>701</v>
      </c>
      <c r="C30" s="97">
        <v>162181.4</v>
      </c>
      <c r="D30" s="158"/>
      <c r="E30" s="97"/>
      <c r="F30" s="378">
        <f t="shared" si="0"/>
        <v>230376.5</v>
      </c>
      <c r="G30" s="368"/>
    </row>
    <row r="31" spans="1:7" x14ac:dyDescent="0.3">
      <c r="A31" s="158">
        <v>44183</v>
      </c>
      <c r="B31" s="157" t="s">
        <v>702</v>
      </c>
      <c r="C31" s="97">
        <v>4149.6000000000004</v>
      </c>
      <c r="D31" s="158"/>
      <c r="E31" s="97"/>
      <c r="F31" s="587">
        <f t="shared" si="0"/>
        <v>234526.1</v>
      </c>
    </row>
    <row r="32" spans="1:7" x14ac:dyDescent="0.3">
      <c r="A32" s="156">
        <v>44184</v>
      </c>
      <c r="B32" s="157" t="s">
        <v>703</v>
      </c>
      <c r="C32" s="97">
        <v>927.2</v>
      </c>
      <c r="D32" s="154"/>
      <c r="E32" s="91"/>
      <c r="F32" s="587">
        <f t="shared" si="0"/>
        <v>235453.30000000002</v>
      </c>
    </row>
    <row r="33" spans="1:6" x14ac:dyDescent="0.3">
      <c r="A33" s="156">
        <v>44184</v>
      </c>
      <c r="B33" s="157" t="s">
        <v>704</v>
      </c>
      <c r="C33" s="97">
        <v>191402.02</v>
      </c>
      <c r="D33" s="154"/>
      <c r="E33" s="91"/>
      <c r="F33" s="587">
        <f t="shared" si="0"/>
        <v>426855.32</v>
      </c>
    </row>
    <row r="34" spans="1:6" x14ac:dyDescent="0.3">
      <c r="A34" s="156">
        <v>44185</v>
      </c>
      <c r="B34" s="157" t="s">
        <v>705</v>
      </c>
      <c r="C34" s="97">
        <v>160642.37</v>
      </c>
      <c r="D34" s="154"/>
      <c r="E34" s="91"/>
      <c r="F34" s="587">
        <f t="shared" si="0"/>
        <v>587497.68999999994</v>
      </c>
    </row>
    <row r="35" spans="1:6" x14ac:dyDescent="0.3">
      <c r="A35" s="156">
        <v>44186</v>
      </c>
      <c r="B35" s="157" t="s">
        <v>706</v>
      </c>
      <c r="C35" s="97">
        <v>28915.4</v>
      </c>
      <c r="D35" s="154"/>
      <c r="E35" s="91"/>
      <c r="F35" s="587">
        <f t="shared" si="0"/>
        <v>616413.09</v>
      </c>
    </row>
    <row r="36" spans="1:6" x14ac:dyDescent="0.3">
      <c r="A36" s="156">
        <v>44187</v>
      </c>
      <c r="B36" s="157" t="s">
        <v>707</v>
      </c>
      <c r="C36" s="97">
        <v>137131.79999999999</v>
      </c>
      <c r="D36" s="154"/>
      <c r="E36" s="91"/>
      <c r="F36" s="587">
        <f t="shared" si="0"/>
        <v>753544.8899999999</v>
      </c>
    </row>
    <row r="37" spans="1:6" x14ac:dyDescent="0.3">
      <c r="A37" s="158">
        <v>44187</v>
      </c>
      <c r="B37" s="157" t="s">
        <v>708</v>
      </c>
      <c r="C37" s="97">
        <v>45879.6</v>
      </c>
      <c r="D37" s="154"/>
      <c r="E37" s="91"/>
      <c r="F37" s="587">
        <f t="shared" si="0"/>
        <v>799424.48999999987</v>
      </c>
    </row>
    <row r="38" spans="1:6" x14ac:dyDescent="0.3">
      <c r="A38" s="158">
        <v>44187</v>
      </c>
      <c r="B38" s="157" t="s">
        <v>709</v>
      </c>
      <c r="C38" s="97">
        <v>89543</v>
      </c>
      <c r="D38" s="154"/>
      <c r="E38" s="91"/>
      <c r="F38" s="587">
        <f t="shared" si="0"/>
        <v>888967.48999999987</v>
      </c>
    </row>
    <row r="39" spans="1:6" x14ac:dyDescent="0.3">
      <c r="A39" s="158">
        <v>44187</v>
      </c>
      <c r="B39" s="157" t="s">
        <v>710</v>
      </c>
      <c r="C39" s="97">
        <v>130189.82</v>
      </c>
      <c r="D39" s="154"/>
      <c r="E39" s="91"/>
      <c r="F39" s="587">
        <f t="shared" si="0"/>
        <v>1019157.3099999998</v>
      </c>
    </row>
    <row r="40" spans="1:6" x14ac:dyDescent="0.3">
      <c r="A40" s="156">
        <v>44188</v>
      </c>
      <c r="B40" s="157" t="s">
        <v>711</v>
      </c>
      <c r="C40" s="97">
        <v>288</v>
      </c>
      <c r="D40" s="154">
        <v>44188</v>
      </c>
      <c r="E40" s="91">
        <v>1019445.31</v>
      </c>
      <c r="F40" s="587">
        <f t="shared" si="0"/>
        <v>0</v>
      </c>
    </row>
    <row r="41" spans="1:6" x14ac:dyDescent="0.3">
      <c r="A41" s="156">
        <v>44188</v>
      </c>
      <c r="B41" s="157" t="s">
        <v>712</v>
      </c>
      <c r="C41" s="97">
        <v>63024</v>
      </c>
      <c r="D41" s="154"/>
      <c r="E41" s="91"/>
      <c r="F41" s="587">
        <f t="shared" si="0"/>
        <v>63024</v>
      </c>
    </row>
    <row r="42" spans="1:6" x14ac:dyDescent="0.3">
      <c r="A42" s="156">
        <v>44188</v>
      </c>
      <c r="B42" s="157" t="s">
        <v>713</v>
      </c>
      <c r="C42" s="97">
        <v>73918.3</v>
      </c>
      <c r="D42" s="154"/>
      <c r="E42" s="91"/>
      <c r="F42" s="587">
        <f t="shared" si="0"/>
        <v>136942.29999999999</v>
      </c>
    </row>
    <row r="43" spans="1:6" x14ac:dyDescent="0.3">
      <c r="A43" s="156">
        <v>44188</v>
      </c>
      <c r="B43" s="157" t="s">
        <v>714</v>
      </c>
      <c r="C43" s="97">
        <v>34181</v>
      </c>
      <c r="D43" s="154"/>
      <c r="E43" s="91"/>
      <c r="F43" s="587">
        <f t="shared" si="0"/>
        <v>171123.3</v>
      </c>
    </row>
    <row r="44" spans="1:6" x14ac:dyDescent="0.3">
      <c r="A44" s="156">
        <v>44188</v>
      </c>
      <c r="B44" s="157" t="s">
        <v>715</v>
      </c>
      <c r="C44" s="97">
        <v>34454.6</v>
      </c>
      <c r="D44" s="154"/>
      <c r="E44" s="91"/>
      <c r="F44" s="587">
        <f t="shared" si="0"/>
        <v>205577.9</v>
      </c>
    </row>
    <row r="45" spans="1:6" x14ac:dyDescent="0.3">
      <c r="A45" s="156">
        <v>44188</v>
      </c>
      <c r="B45" s="157" t="s">
        <v>716</v>
      </c>
      <c r="C45" s="97">
        <v>34595.199999999997</v>
      </c>
      <c r="D45" s="154"/>
      <c r="E45" s="91"/>
      <c r="F45" s="587">
        <f t="shared" si="0"/>
        <v>240173.09999999998</v>
      </c>
    </row>
    <row r="46" spans="1:6" x14ac:dyDescent="0.3">
      <c r="A46" s="156">
        <v>44189</v>
      </c>
      <c r="B46" s="157" t="s">
        <v>717</v>
      </c>
      <c r="C46" s="97">
        <v>101627.66</v>
      </c>
      <c r="D46" s="154"/>
      <c r="E46" s="91"/>
      <c r="F46" s="587">
        <f t="shared" si="0"/>
        <v>341800.76</v>
      </c>
    </row>
    <row r="47" spans="1:6" x14ac:dyDescent="0.3">
      <c r="A47" s="156">
        <v>44189</v>
      </c>
      <c r="B47" s="157" t="s">
        <v>718</v>
      </c>
      <c r="C47" s="97">
        <v>41922.400000000001</v>
      </c>
      <c r="D47" s="154"/>
      <c r="E47" s="91"/>
      <c r="F47" s="587">
        <f t="shared" si="0"/>
        <v>383723.16000000003</v>
      </c>
    </row>
    <row r="48" spans="1:6" x14ac:dyDescent="0.3">
      <c r="A48" s="156">
        <v>44191</v>
      </c>
      <c r="B48" s="157" t="s">
        <v>719</v>
      </c>
      <c r="C48" s="97">
        <v>14437.2</v>
      </c>
      <c r="D48" s="154"/>
      <c r="E48" s="91"/>
      <c r="F48" s="587">
        <f t="shared" si="0"/>
        <v>398160.36000000004</v>
      </c>
    </row>
    <row r="49" spans="1:6" x14ac:dyDescent="0.3">
      <c r="A49" s="156">
        <v>44191</v>
      </c>
      <c r="B49" s="157" t="s">
        <v>720</v>
      </c>
      <c r="C49" s="97">
        <v>185361.1</v>
      </c>
      <c r="D49" s="154"/>
      <c r="E49" s="91"/>
      <c r="F49" s="587">
        <f t="shared" si="0"/>
        <v>583521.46000000008</v>
      </c>
    </row>
    <row r="50" spans="1:6" x14ac:dyDescent="0.3">
      <c r="A50" s="156">
        <v>44193</v>
      </c>
      <c r="B50" s="157" t="s">
        <v>721</v>
      </c>
      <c r="C50" s="97">
        <v>111879.56</v>
      </c>
      <c r="D50" s="154">
        <v>44193</v>
      </c>
      <c r="E50" s="91">
        <v>641117</v>
      </c>
      <c r="F50" s="587">
        <f t="shared" si="0"/>
        <v>54284.020000000019</v>
      </c>
    </row>
    <row r="51" spans="1:6" x14ac:dyDescent="0.3">
      <c r="A51" s="156">
        <v>44194</v>
      </c>
      <c r="B51" s="157" t="s">
        <v>722</v>
      </c>
      <c r="C51" s="97">
        <v>139221.10999999999</v>
      </c>
      <c r="D51" s="154"/>
      <c r="E51" s="91"/>
      <c r="F51" s="587">
        <f t="shared" si="0"/>
        <v>193505.13</v>
      </c>
    </row>
    <row r="52" spans="1:6" x14ac:dyDescent="0.3">
      <c r="A52" s="156">
        <v>44195</v>
      </c>
      <c r="B52" s="157" t="s">
        <v>723</v>
      </c>
      <c r="C52" s="97">
        <v>141368.85</v>
      </c>
      <c r="D52" s="154"/>
      <c r="E52" s="91"/>
      <c r="F52" s="587">
        <f t="shared" si="0"/>
        <v>334873.98</v>
      </c>
    </row>
    <row r="53" spans="1:6" x14ac:dyDescent="0.3">
      <c r="A53" s="156">
        <v>44195</v>
      </c>
      <c r="B53" s="157" t="s">
        <v>724</v>
      </c>
      <c r="C53" s="97">
        <v>29931.99</v>
      </c>
      <c r="D53" s="154"/>
      <c r="E53" s="91"/>
      <c r="F53" s="587">
        <f t="shared" si="0"/>
        <v>364805.97</v>
      </c>
    </row>
    <row r="54" spans="1:6" x14ac:dyDescent="0.3">
      <c r="A54" s="156">
        <v>44196</v>
      </c>
      <c r="B54" s="157" t="s">
        <v>725</v>
      </c>
      <c r="C54" s="97">
        <v>52270.6</v>
      </c>
      <c r="D54" s="154"/>
      <c r="E54" s="91"/>
      <c r="F54" s="587">
        <f t="shared" si="0"/>
        <v>417076.56999999995</v>
      </c>
    </row>
    <row r="55" spans="1:6" x14ac:dyDescent="0.3">
      <c r="A55" s="156">
        <v>44196</v>
      </c>
      <c r="B55" s="157" t="s">
        <v>726</v>
      </c>
      <c r="C55" s="97">
        <v>153643.4</v>
      </c>
      <c r="D55" s="154"/>
      <c r="E55" s="91"/>
      <c r="F55" s="587">
        <f t="shared" si="0"/>
        <v>570719.97</v>
      </c>
    </row>
    <row r="56" spans="1:6" x14ac:dyDescent="0.3">
      <c r="A56" s="156">
        <v>44198</v>
      </c>
      <c r="B56" s="157" t="s">
        <v>727</v>
      </c>
      <c r="C56" s="97">
        <v>112014.57</v>
      </c>
      <c r="D56" s="154"/>
      <c r="E56" s="91"/>
      <c r="F56" s="587">
        <f t="shared" si="0"/>
        <v>682734.54</v>
      </c>
    </row>
    <row r="57" spans="1:6" x14ac:dyDescent="0.3">
      <c r="A57" s="156">
        <v>44199</v>
      </c>
      <c r="B57" s="157" t="s">
        <v>728</v>
      </c>
      <c r="C57" s="97">
        <v>1969.12</v>
      </c>
      <c r="D57" s="154"/>
      <c r="E57" s="91"/>
      <c r="F57" s="587">
        <f t="shared" si="0"/>
        <v>684703.66</v>
      </c>
    </row>
    <row r="58" spans="1:6" x14ac:dyDescent="0.3">
      <c r="A58" s="156">
        <v>44199</v>
      </c>
      <c r="B58" s="157" t="s">
        <v>729</v>
      </c>
      <c r="C58" s="97">
        <v>31686.1</v>
      </c>
      <c r="D58" s="154"/>
      <c r="E58" s="91"/>
      <c r="F58" s="587">
        <f t="shared" si="0"/>
        <v>716389.76</v>
      </c>
    </row>
    <row r="59" spans="1:6" x14ac:dyDescent="0.3">
      <c r="A59" s="156">
        <v>44200</v>
      </c>
      <c r="B59" s="157" t="s">
        <v>730</v>
      </c>
      <c r="C59" s="97">
        <v>25514.42</v>
      </c>
      <c r="D59" s="154"/>
      <c r="E59" s="91"/>
      <c r="F59" s="587">
        <f t="shared" si="0"/>
        <v>741904.18</v>
      </c>
    </row>
    <row r="60" spans="1:6" x14ac:dyDescent="0.3">
      <c r="A60" s="156">
        <v>44201</v>
      </c>
      <c r="B60" s="157" t="s">
        <v>731</v>
      </c>
      <c r="C60" s="97">
        <v>57288</v>
      </c>
      <c r="D60" s="154"/>
      <c r="E60" s="91"/>
      <c r="F60" s="587">
        <f t="shared" si="0"/>
        <v>799192.18</v>
      </c>
    </row>
    <row r="61" spans="1:6" x14ac:dyDescent="0.3">
      <c r="A61" s="588">
        <v>44201</v>
      </c>
      <c r="B61" s="589" t="s">
        <v>732</v>
      </c>
      <c r="C61" s="91">
        <v>59545.2</v>
      </c>
      <c r="D61" s="154">
        <v>44204</v>
      </c>
      <c r="E61" s="91">
        <v>858737.38</v>
      </c>
      <c r="F61" s="587">
        <f t="shared" si="0"/>
        <v>0</v>
      </c>
    </row>
    <row r="62" spans="1:6" x14ac:dyDescent="0.3">
      <c r="A62" s="588"/>
      <c r="B62" s="589"/>
      <c r="C62" s="91"/>
      <c r="D62" s="154"/>
      <c r="E62" s="91"/>
      <c r="F62" s="587">
        <f t="shared" si="0"/>
        <v>0</v>
      </c>
    </row>
    <row r="63" spans="1:6" x14ac:dyDescent="0.3">
      <c r="A63" s="588"/>
      <c r="B63" s="589"/>
      <c r="C63" s="91"/>
      <c r="D63" s="154"/>
      <c r="E63" s="91"/>
      <c r="F63" s="587">
        <f t="shared" si="0"/>
        <v>0</v>
      </c>
    </row>
    <row r="64" spans="1:6" x14ac:dyDescent="0.3">
      <c r="A64" s="588"/>
      <c r="B64" s="589"/>
      <c r="C64" s="91"/>
      <c r="D64" s="154"/>
      <c r="E64" s="91"/>
      <c r="F64" s="587">
        <f t="shared" si="0"/>
        <v>0</v>
      </c>
    </row>
    <row r="65" spans="1:6" x14ac:dyDescent="0.3">
      <c r="A65" s="588"/>
      <c r="B65" s="589"/>
      <c r="C65" s="91"/>
      <c r="D65" s="154"/>
      <c r="E65" s="91"/>
      <c r="F65" s="587">
        <f t="shared" si="0"/>
        <v>0</v>
      </c>
    </row>
    <row r="66" spans="1:6" ht="15" thickBot="1" x14ac:dyDescent="0.35">
      <c r="A66" s="159"/>
      <c r="B66" s="160"/>
      <c r="C66" s="161">
        <v>0</v>
      </c>
      <c r="D66" s="162"/>
      <c r="E66" s="161"/>
      <c r="F66" s="587">
        <f t="shared" si="0"/>
        <v>0</v>
      </c>
    </row>
    <row r="67" spans="1:6" ht="18.600000000000001" thickTop="1" x14ac:dyDescent="0.35">
      <c r="B67" s="65"/>
      <c r="C67" s="4">
        <f>SUM(C3:C66)</f>
        <v>4423988.620000001</v>
      </c>
      <c r="D67" s="1"/>
      <c r="E67" s="4">
        <f>SUM(E3:E66)</f>
        <v>4423988.62</v>
      </c>
      <c r="F67" s="590">
        <f>F66</f>
        <v>0</v>
      </c>
    </row>
    <row r="68" spans="1:6" x14ac:dyDescent="0.3">
      <c r="B68" s="65"/>
      <c r="C68" s="4"/>
      <c r="D68" s="1"/>
      <c r="E68" s="5"/>
      <c r="F68" s="4"/>
    </row>
    <row r="69" spans="1:6" x14ac:dyDescent="0.3">
      <c r="B69" s="65"/>
      <c r="C69" s="4"/>
      <c r="D69" s="1"/>
      <c r="E69" s="5"/>
      <c r="F69" s="4"/>
    </row>
    <row r="70" spans="1:6" x14ac:dyDescent="0.3">
      <c r="A70"/>
      <c r="B70" s="23"/>
      <c r="D70" s="23"/>
    </row>
    <row r="71" spans="1:6" x14ac:dyDescent="0.3">
      <c r="A71"/>
      <c r="B71" s="23"/>
      <c r="D71" s="23"/>
    </row>
    <row r="72" spans="1:6" x14ac:dyDescent="0.3">
      <c r="A72"/>
      <c r="B72" s="23"/>
      <c r="D72" s="23"/>
    </row>
    <row r="73" spans="1:6" x14ac:dyDescent="0.3">
      <c r="A73"/>
      <c r="B73" s="23"/>
      <c r="D73" s="23"/>
      <c r="F73"/>
    </row>
    <row r="74" spans="1:6" x14ac:dyDescent="0.3">
      <c r="A74"/>
      <c r="B74" s="23"/>
      <c r="D74" s="23"/>
      <c r="F74"/>
    </row>
    <row r="75" spans="1:6" x14ac:dyDescent="0.3">
      <c r="A75"/>
      <c r="B75" s="23"/>
      <c r="D75" s="23"/>
      <c r="F75"/>
    </row>
    <row r="76" spans="1:6" x14ac:dyDescent="0.3">
      <c r="A76"/>
      <c r="B76" s="23"/>
      <c r="D76" s="23"/>
      <c r="F76"/>
    </row>
    <row r="77" spans="1:6" x14ac:dyDescent="0.3">
      <c r="A77"/>
      <c r="B77" s="23"/>
      <c r="D77" s="23"/>
      <c r="F77"/>
    </row>
    <row r="78" spans="1:6" x14ac:dyDescent="0.3">
      <c r="A78"/>
      <c r="B78" s="23"/>
      <c r="D78" s="23"/>
      <c r="F78"/>
    </row>
    <row r="79" spans="1:6" x14ac:dyDescent="0.3">
      <c r="A79"/>
      <c r="B79" s="23"/>
      <c r="D79" s="23"/>
      <c r="F79"/>
    </row>
    <row r="80" spans="1:6" x14ac:dyDescent="0.3">
      <c r="A80"/>
      <c r="B80" s="23"/>
      <c r="D80" s="23"/>
      <c r="F80"/>
    </row>
    <row r="81" spans="1:6" x14ac:dyDescent="0.3">
      <c r="A81"/>
      <c r="B81" s="23"/>
      <c r="D81" s="23"/>
      <c r="F81"/>
    </row>
    <row r="82" spans="1:6" x14ac:dyDescent="0.3">
      <c r="A82"/>
      <c r="B82" s="23"/>
      <c r="D82" s="23"/>
      <c r="E82"/>
      <c r="F82"/>
    </row>
    <row r="83" spans="1:6" x14ac:dyDescent="0.3">
      <c r="A83"/>
      <c r="B83" s="23"/>
      <c r="D83" s="23"/>
      <c r="E83"/>
      <c r="F83"/>
    </row>
    <row r="84" spans="1:6" x14ac:dyDescent="0.3">
      <c r="A84"/>
      <c r="B84" s="23"/>
      <c r="D84" s="23"/>
      <c r="E84"/>
      <c r="F84"/>
    </row>
    <row r="85" spans="1:6" x14ac:dyDescent="0.3">
      <c r="A85"/>
      <c r="B85" s="23"/>
      <c r="D85" s="23"/>
      <c r="E85"/>
      <c r="F85"/>
    </row>
    <row r="86" spans="1:6" x14ac:dyDescent="0.3">
      <c r="A86"/>
      <c r="B86" s="23"/>
      <c r="D86" s="23"/>
      <c r="E86"/>
      <c r="F86"/>
    </row>
    <row r="87" spans="1:6" x14ac:dyDescent="0.3">
      <c r="A87"/>
      <c r="B87" s="23"/>
      <c r="D87" s="23"/>
      <c r="E87"/>
      <c r="F87"/>
    </row>
    <row r="88" spans="1:6" x14ac:dyDescent="0.3">
      <c r="B88" s="23"/>
      <c r="D88" s="23"/>
      <c r="E88"/>
    </row>
    <row r="89" spans="1:6" x14ac:dyDescent="0.3">
      <c r="B89" s="23"/>
      <c r="D89" s="23"/>
      <c r="E89"/>
    </row>
    <row r="90" spans="1:6" x14ac:dyDescent="0.3">
      <c r="B90" s="23"/>
      <c r="D90" s="23"/>
      <c r="E90"/>
    </row>
    <row r="91" spans="1:6" x14ac:dyDescent="0.3">
      <c r="B91" s="23"/>
      <c r="D91" s="23"/>
      <c r="E91"/>
    </row>
    <row r="92" spans="1:6" x14ac:dyDescent="0.3">
      <c r="B92" s="23"/>
      <c r="D92" s="23"/>
      <c r="E92"/>
    </row>
    <row r="93" spans="1:6" x14ac:dyDescent="0.3">
      <c r="B93" s="23"/>
      <c r="D93" s="23"/>
      <c r="E93"/>
    </row>
    <row r="94" spans="1:6" x14ac:dyDescent="0.3">
      <c r="B94" s="23"/>
      <c r="D94" s="23"/>
      <c r="E94"/>
    </row>
    <row r="95" spans="1:6" x14ac:dyDescent="0.3">
      <c r="B95" s="23"/>
      <c r="D95" s="23"/>
      <c r="E95"/>
    </row>
    <row r="96" spans="1:6" x14ac:dyDescent="0.3">
      <c r="B96" s="23"/>
      <c r="D96" s="23"/>
      <c r="E96"/>
    </row>
    <row r="97" spans="2:4" x14ac:dyDescent="0.3">
      <c r="B97" s="23"/>
    </row>
    <row r="98" spans="2:4" x14ac:dyDescent="0.3">
      <c r="B98" s="23"/>
    </row>
    <row r="99" spans="2:4" x14ac:dyDescent="0.3">
      <c r="B99" s="23"/>
      <c r="D99" s="23"/>
    </row>
    <row r="100" spans="2:4" x14ac:dyDescent="0.3">
      <c r="B100" s="23"/>
    </row>
    <row r="101" spans="2:4" x14ac:dyDescent="0.3">
      <c r="B101" s="23"/>
    </row>
    <row r="102" spans="2:4" x14ac:dyDescent="0.3">
      <c r="B102" s="23"/>
    </row>
    <row r="103" spans="2:4" ht="18" x14ac:dyDescent="0.35">
      <c r="C103" s="143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4E13-D0DD-4533-B1BA-1BA1010000EA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817E-7AA0-4DC1-B8E8-15EF6C4573DF}">
  <sheetPr>
    <tabColor rgb="FF00B0F0"/>
  </sheetPr>
  <dimension ref="A1:N80"/>
  <sheetViews>
    <sheetView topLeftCell="A37" workbookViewId="0">
      <selection activeCell="Q9" sqref="Q9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2.109375" style="13" customWidth="1"/>
    <col min="10" max="10" width="11.6640625" style="13" customWidth="1"/>
    <col min="11" max="11" width="17.33203125" customWidth="1"/>
    <col min="12" max="12" width="14.5546875" customWidth="1"/>
    <col min="13" max="13" width="18.109375" style="13" customWidth="1"/>
    <col min="14" max="14" width="14.44140625" style="4" customWidth="1"/>
  </cols>
  <sheetData>
    <row r="1" spans="1:14" ht="23.4" x14ac:dyDescent="0.45">
      <c r="C1" s="592" t="s">
        <v>0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4" ht="18" x14ac:dyDescent="0.35">
      <c r="C2" s="5"/>
      <c r="E2" s="6"/>
      <c r="F2" s="7"/>
      <c r="H2" s="8" t="s">
        <v>1</v>
      </c>
      <c r="I2" s="9"/>
      <c r="J2" s="9"/>
      <c r="K2" s="10"/>
      <c r="L2" s="10"/>
      <c r="M2" s="9"/>
      <c r="N2" s="11"/>
    </row>
    <row r="3" spans="1:14" ht="18.600000000000001" thickBot="1" x14ac:dyDescent="0.4">
      <c r="B3" s="593" t="s">
        <v>2</v>
      </c>
      <c r="C3" s="594"/>
      <c r="D3" s="12"/>
      <c r="I3" s="14" t="s">
        <v>3</v>
      </c>
      <c r="J3" s="9"/>
      <c r="K3" s="15" t="s">
        <v>4</v>
      </c>
      <c r="L3" s="15"/>
    </row>
    <row r="4" spans="1:14" ht="19.2" thickTop="1" thickBot="1" x14ac:dyDescent="0.4">
      <c r="A4" s="16" t="s">
        <v>5</v>
      </c>
      <c r="B4" s="17"/>
      <c r="C4" s="18">
        <v>355209.27</v>
      </c>
      <c r="D4" s="19">
        <v>43867</v>
      </c>
      <c r="E4" s="595" t="s">
        <v>6</v>
      </c>
      <c r="F4" s="596"/>
      <c r="H4" s="597" t="s">
        <v>7</v>
      </c>
      <c r="I4" s="598"/>
      <c r="J4" s="20"/>
      <c r="K4" s="20"/>
      <c r="L4" s="20"/>
      <c r="M4" s="21" t="s">
        <v>8</v>
      </c>
      <c r="N4" s="22" t="s">
        <v>9</v>
      </c>
    </row>
    <row r="5" spans="1:14" ht="15" thickBot="1" x14ac:dyDescent="0.35">
      <c r="A5" s="23" t="s">
        <v>10</v>
      </c>
      <c r="B5" s="24">
        <v>43868</v>
      </c>
      <c r="C5" s="25">
        <v>2409</v>
      </c>
      <c r="D5" s="26" t="s">
        <v>11</v>
      </c>
      <c r="E5" s="27">
        <v>43868</v>
      </c>
      <c r="F5" s="28">
        <v>107443</v>
      </c>
      <c r="H5" s="29">
        <v>43868</v>
      </c>
      <c r="I5" s="30">
        <v>12921</v>
      </c>
      <c r="M5" s="31">
        <v>90780</v>
      </c>
      <c r="N5" s="32">
        <v>2259</v>
      </c>
    </row>
    <row r="6" spans="1:14" ht="15" thickBot="1" x14ac:dyDescent="0.35">
      <c r="A6" s="23"/>
      <c r="B6" s="24">
        <v>43869</v>
      </c>
      <c r="C6" s="25">
        <v>2754</v>
      </c>
      <c r="D6" s="33" t="s">
        <v>12</v>
      </c>
      <c r="E6" s="27">
        <v>43869</v>
      </c>
      <c r="F6" s="28">
        <v>111950</v>
      </c>
      <c r="H6" s="29">
        <v>43869</v>
      </c>
      <c r="I6" s="34">
        <v>100</v>
      </c>
      <c r="J6" s="35"/>
      <c r="K6" s="36"/>
      <c r="L6" s="37"/>
      <c r="M6" s="31">
        <v>94000</v>
      </c>
      <c r="N6" s="32">
        <v>3547</v>
      </c>
    </row>
    <row r="7" spans="1:14" ht="16.2" thickBot="1" x14ac:dyDescent="0.35">
      <c r="A7" s="23"/>
      <c r="B7" s="24">
        <v>43870</v>
      </c>
      <c r="C7" s="25">
        <v>0</v>
      </c>
      <c r="D7" s="38"/>
      <c r="E7" s="27">
        <v>43870</v>
      </c>
      <c r="F7" s="28">
        <v>81407</v>
      </c>
      <c r="H7" s="29">
        <v>43870</v>
      </c>
      <c r="I7" s="34">
        <v>0</v>
      </c>
      <c r="J7" s="39">
        <v>43880</v>
      </c>
      <c r="K7" s="40" t="s">
        <v>13</v>
      </c>
      <c r="L7" s="41">
        <v>896</v>
      </c>
      <c r="M7" s="31">
        <v>77463</v>
      </c>
      <c r="N7" s="32">
        <v>3944</v>
      </c>
    </row>
    <row r="8" spans="1:14" ht="16.2" thickBot="1" x14ac:dyDescent="0.35">
      <c r="A8" s="23"/>
      <c r="B8" s="24">
        <v>43871</v>
      </c>
      <c r="C8" s="25">
        <v>2727</v>
      </c>
      <c r="D8" s="42" t="s">
        <v>14</v>
      </c>
      <c r="E8" s="27">
        <v>43871</v>
      </c>
      <c r="F8" s="28">
        <v>96558</v>
      </c>
      <c r="H8" s="29">
        <v>43871</v>
      </c>
      <c r="I8" s="34">
        <v>0</v>
      </c>
      <c r="J8" s="43"/>
      <c r="K8" s="44" t="s">
        <v>15</v>
      </c>
      <c r="L8" s="45">
        <v>0</v>
      </c>
      <c r="M8" s="31">
        <f>32921+66615</f>
        <v>99536</v>
      </c>
      <c r="N8" s="32">
        <v>539</v>
      </c>
    </row>
    <row r="9" spans="1:14" ht="16.2" thickBot="1" x14ac:dyDescent="0.35">
      <c r="A9" s="23"/>
      <c r="B9" s="24">
        <v>43872</v>
      </c>
      <c r="C9" s="25">
        <v>12922.9</v>
      </c>
      <c r="D9" s="46" t="s">
        <v>16</v>
      </c>
      <c r="E9" s="27">
        <v>43872</v>
      </c>
      <c r="F9" s="28">
        <v>62266</v>
      </c>
      <c r="H9" s="29">
        <v>43872</v>
      </c>
      <c r="I9" s="34">
        <v>0</v>
      </c>
      <c r="J9" s="47">
        <v>43890</v>
      </c>
      <c r="K9" s="48" t="s">
        <v>17</v>
      </c>
      <c r="L9" s="49">
        <v>20000</v>
      </c>
      <c r="M9" s="31">
        <v>50983</v>
      </c>
      <c r="N9" s="32">
        <v>784</v>
      </c>
    </row>
    <row r="10" spans="1:14" ht="16.2" thickBot="1" x14ac:dyDescent="0.35">
      <c r="A10" s="23"/>
      <c r="B10" s="24">
        <v>43873</v>
      </c>
      <c r="C10" s="25">
        <v>1212</v>
      </c>
      <c r="D10" s="33" t="s">
        <v>18</v>
      </c>
      <c r="E10" s="27">
        <v>43873</v>
      </c>
      <c r="F10" s="28">
        <v>78137</v>
      </c>
      <c r="H10" s="29">
        <v>43873</v>
      </c>
      <c r="I10" s="34">
        <v>0</v>
      </c>
      <c r="J10" s="50"/>
      <c r="K10" s="51"/>
      <c r="L10" s="52"/>
      <c r="M10" s="31">
        <f>74850+20950</f>
        <v>95800</v>
      </c>
      <c r="N10" s="32">
        <v>2026</v>
      </c>
    </row>
    <row r="11" spans="1:14" ht="15" thickBot="1" x14ac:dyDescent="0.35">
      <c r="A11" s="23"/>
      <c r="B11" s="24">
        <v>43874</v>
      </c>
      <c r="C11" s="25">
        <v>1046</v>
      </c>
      <c r="D11" s="33" t="s">
        <v>19</v>
      </c>
      <c r="E11" s="27">
        <v>43874</v>
      </c>
      <c r="F11" s="28">
        <v>72949</v>
      </c>
      <c r="H11" s="29">
        <v>43874</v>
      </c>
      <c r="I11" s="34">
        <v>0</v>
      </c>
      <c r="J11" s="53"/>
      <c r="K11" s="54"/>
      <c r="L11" s="52"/>
      <c r="M11" s="31">
        <v>70313</v>
      </c>
      <c r="N11" s="32">
        <v>1590</v>
      </c>
    </row>
    <row r="12" spans="1:14" ht="15" thickBot="1" x14ac:dyDescent="0.35">
      <c r="A12" s="23"/>
      <c r="B12" s="24">
        <v>43875</v>
      </c>
      <c r="C12" s="25">
        <v>765</v>
      </c>
      <c r="D12" s="33" t="s">
        <v>19</v>
      </c>
      <c r="E12" s="27">
        <v>43875</v>
      </c>
      <c r="F12" s="28">
        <v>145714</v>
      </c>
      <c r="H12" s="29">
        <v>43875</v>
      </c>
      <c r="I12" s="34">
        <v>12058</v>
      </c>
      <c r="J12" s="55">
        <v>43869</v>
      </c>
      <c r="K12" s="48" t="s">
        <v>20</v>
      </c>
      <c r="L12" s="52">
        <f>15502.64+400+4000+1933.67</f>
        <v>21836.309999999998</v>
      </c>
      <c r="M12" s="31">
        <v>126480</v>
      </c>
      <c r="N12" s="32">
        <v>6411</v>
      </c>
    </row>
    <row r="13" spans="1:14" ht="15" thickBot="1" x14ac:dyDescent="0.35">
      <c r="A13" s="23"/>
      <c r="B13" s="24">
        <v>43876</v>
      </c>
      <c r="C13" s="25">
        <v>2230</v>
      </c>
      <c r="D13" s="42" t="s">
        <v>12</v>
      </c>
      <c r="E13" s="27">
        <v>43876</v>
      </c>
      <c r="F13" s="28">
        <v>157236</v>
      </c>
      <c r="H13" s="29">
        <v>43876</v>
      </c>
      <c r="I13" s="34">
        <v>2853.6</v>
      </c>
      <c r="J13" s="55">
        <v>43876</v>
      </c>
      <c r="K13" s="48" t="s">
        <v>21</v>
      </c>
      <c r="L13" s="52">
        <f>15002.67+5010.2+4000+400</f>
        <v>24412.87</v>
      </c>
      <c r="M13" s="31">
        <f>121478+10574+3796.57</f>
        <v>135848.57</v>
      </c>
      <c r="N13" s="32">
        <v>4465</v>
      </c>
    </row>
    <row r="14" spans="1:14" ht="15" thickBot="1" x14ac:dyDescent="0.35">
      <c r="A14" s="23"/>
      <c r="B14" s="24">
        <v>43877</v>
      </c>
      <c r="C14" s="25">
        <v>3060</v>
      </c>
      <c r="D14" s="38" t="s">
        <v>22</v>
      </c>
      <c r="E14" s="27">
        <v>43877</v>
      </c>
      <c r="F14" s="28">
        <v>110400</v>
      </c>
      <c r="H14" s="29">
        <v>43877</v>
      </c>
      <c r="I14" s="34">
        <v>0</v>
      </c>
      <c r="J14" s="55">
        <v>43883</v>
      </c>
      <c r="K14" s="48" t="s">
        <v>23</v>
      </c>
      <c r="L14" s="52">
        <f>13295.5+1928.57+400+4000</f>
        <v>19624.07</v>
      </c>
      <c r="M14" s="31">
        <v>105942</v>
      </c>
      <c r="N14" s="32">
        <v>1398</v>
      </c>
    </row>
    <row r="15" spans="1:14" ht="15" thickBot="1" x14ac:dyDescent="0.35">
      <c r="A15" s="23"/>
      <c r="B15" s="24">
        <v>43878</v>
      </c>
      <c r="C15" s="25">
        <v>3416</v>
      </c>
      <c r="D15" s="33" t="s">
        <v>24</v>
      </c>
      <c r="E15" s="27">
        <v>43878</v>
      </c>
      <c r="F15" s="28">
        <v>87481</v>
      </c>
      <c r="H15" s="29">
        <v>43878</v>
      </c>
      <c r="I15" s="34">
        <v>0</v>
      </c>
      <c r="J15" s="55">
        <v>43890</v>
      </c>
      <c r="K15" s="48" t="s">
        <v>25</v>
      </c>
      <c r="L15" s="52">
        <f>12164.45+400+4000</f>
        <v>16564.45</v>
      </c>
      <c r="M15" s="31">
        <v>82750</v>
      </c>
      <c r="N15" s="32">
        <v>1320</v>
      </c>
    </row>
    <row r="16" spans="1:14" ht="15" thickBot="1" x14ac:dyDescent="0.35">
      <c r="A16" s="23"/>
      <c r="B16" s="24">
        <v>43879</v>
      </c>
      <c r="C16" s="25">
        <v>1059</v>
      </c>
      <c r="D16" s="33" t="s">
        <v>19</v>
      </c>
      <c r="E16" s="27">
        <v>43879</v>
      </c>
      <c r="F16" s="28">
        <v>90467</v>
      </c>
      <c r="H16" s="29">
        <v>43879</v>
      </c>
      <c r="I16" s="34">
        <v>0</v>
      </c>
      <c r="J16" s="55"/>
      <c r="K16" s="48" t="s">
        <v>26</v>
      </c>
      <c r="L16" s="56">
        <v>0</v>
      </c>
      <c r="M16" s="31">
        <v>88759</v>
      </c>
      <c r="N16" s="32">
        <v>649</v>
      </c>
    </row>
    <row r="17" spans="1:14" ht="15" thickBot="1" x14ac:dyDescent="0.35">
      <c r="A17" s="23"/>
      <c r="B17" s="24">
        <v>43880</v>
      </c>
      <c r="C17" s="25">
        <v>3507</v>
      </c>
      <c r="D17" s="42" t="s">
        <v>27</v>
      </c>
      <c r="E17" s="27">
        <v>43880</v>
      </c>
      <c r="F17" s="28">
        <v>60491</v>
      </c>
      <c r="H17" s="29">
        <v>43880</v>
      </c>
      <c r="I17" s="34">
        <v>2400</v>
      </c>
      <c r="J17" s="57"/>
      <c r="K17" s="48" t="s">
        <v>28</v>
      </c>
      <c r="L17" s="58"/>
      <c r="M17" s="31">
        <v>52262</v>
      </c>
      <c r="N17" s="32">
        <v>1426</v>
      </c>
    </row>
    <row r="18" spans="1:14" ht="15" thickBot="1" x14ac:dyDescent="0.35">
      <c r="A18" s="23"/>
      <c r="B18" s="24">
        <v>43881</v>
      </c>
      <c r="C18" s="25">
        <v>1105</v>
      </c>
      <c r="D18" s="33" t="s">
        <v>19</v>
      </c>
      <c r="E18" s="27">
        <v>43881</v>
      </c>
      <c r="F18" s="28">
        <v>88871</v>
      </c>
      <c r="H18" s="29">
        <v>43881</v>
      </c>
      <c r="I18" s="34">
        <v>56</v>
      </c>
      <c r="J18" s="57"/>
      <c r="K18" s="59"/>
      <c r="L18" s="52"/>
      <c r="M18" s="31">
        <f>78218+7506.22</f>
        <v>85724.22</v>
      </c>
      <c r="N18" s="32">
        <v>1986</v>
      </c>
    </row>
    <row r="19" spans="1:14" ht="15" thickBot="1" x14ac:dyDescent="0.35">
      <c r="A19" s="23"/>
      <c r="B19" s="24">
        <v>43882</v>
      </c>
      <c r="C19" s="25">
        <v>520</v>
      </c>
      <c r="D19" s="33" t="s">
        <v>19</v>
      </c>
      <c r="E19" s="27">
        <v>43882</v>
      </c>
      <c r="F19" s="28">
        <v>151976</v>
      </c>
      <c r="H19" s="29">
        <v>43882</v>
      </c>
      <c r="I19" s="34">
        <v>10096</v>
      </c>
      <c r="J19" s="57"/>
      <c r="K19" s="60"/>
      <c r="L19" s="61"/>
      <c r="M19" s="31">
        <v>138317</v>
      </c>
      <c r="N19" s="32">
        <v>3043</v>
      </c>
    </row>
    <row r="20" spans="1:14" ht="15" thickBot="1" x14ac:dyDescent="0.35">
      <c r="A20" s="23"/>
      <c r="B20" s="24">
        <v>43883</v>
      </c>
      <c r="C20" s="25">
        <v>1891</v>
      </c>
      <c r="D20" s="33" t="s">
        <v>29</v>
      </c>
      <c r="E20" s="27">
        <v>43883</v>
      </c>
      <c r="F20" s="28">
        <v>137427</v>
      </c>
      <c r="H20" s="29">
        <v>43883</v>
      </c>
      <c r="I20" s="34">
        <v>0</v>
      </c>
      <c r="J20" s="55"/>
      <c r="K20" s="62"/>
      <c r="L20" s="58"/>
      <c r="M20" s="31">
        <v>122813</v>
      </c>
      <c r="N20" s="32">
        <v>2308</v>
      </c>
    </row>
    <row r="21" spans="1:14" ht="16.2" thickBot="1" x14ac:dyDescent="0.35">
      <c r="A21" s="23"/>
      <c r="B21" s="24">
        <v>43884</v>
      </c>
      <c r="C21" s="25">
        <v>2482</v>
      </c>
      <c r="D21" s="33" t="s">
        <v>30</v>
      </c>
      <c r="E21" s="27">
        <v>43884</v>
      </c>
      <c r="F21" s="28">
        <v>93067</v>
      </c>
      <c r="H21" s="29">
        <v>43884</v>
      </c>
      <c r="I21" s="34">
        <v>0</v>
      </c>
      <c r="J21" s="57"/>
      <c r="K21" s="63"/>
      <c r="L21" s="58"/>
      <c r="M21" s="31">
        <v>85702</v>
      </c>
      <c r="N21" s="32">
        <v>4883</v>
      </c>
    </row>
    <row r="22" spans="1:14" ht="15" thickBot="1" x14ac:dyDescent="0.35">
      <c r="A22" s="23"/>
      <c r="B22" s="24">
        <v>43885</v>
      </c>
      <c r="C22" s="25">
        <v>7312</v>
      </c>
      <c r="D22" s="33" t="s">
        <v>31</v>
      </c>
      <c r="E22" s="27">
        <v>43885</v>
      </c>
      <c r="F22" s="28">
        <v>86951</v>
      </c>
      <c r="H22" s="29">
        <v>43885</v>
      </c>
      <c r="I22" s="34">
        <v>0</v>
      </c>
      <c r="J22" s="64"/>
      <c r="K22" s="65"/>
      <c r="L22" s="66"/>
      <c r="M22" s="31">
        <v>79114</v>
      </c>
      <c r="N22" s="32">
        <v>525</v>
      </c>
    </row>
    <row r="23" spans="1:14" ht="15" thickBot="1" x14ac:dyDescent="0.35">
      <c r="A23" s="23"/>
      <c r="B23" s="24">
        <v>43886</v>
      </c>
      <c r="C23" s="25">
        <v>3990.5</v>
      </c>
      <c r="D23" s="33" t="s">
        <v>32</v>
      </c>
      <c r="E23" s="27">
        <v>43886</v>
      </c>
      <c r="F23" s="28">
        <v>119228</v>
      </c>
      <c r="H23" s="29">
        <v>43886</v>
      </c>
      <c r="I23" s="34">
        <v>0</v>
      </c>
      <c r="J23" s="67"/>
      <c r="K23" s="68"/>
      <c r="L23" s="58"/>
      <c r="M23" s="31">
        <v>106387</v>
      </c>
      <c r="N23" s="32">
        <v>1560</v>
      </c>
    </row>
    <row r="24" spans="1:14" ht="15" thickBot="1" x14ac:dyDescent="0.35">
      <c r="A24" s="23"/>
      <c r="B24" s="24">
        <v>43887</v>
      </c>
      <c r="C24" s="25">
        <v>3244</v>
      </c>
      <c r="D24" s="33" t="s">
        <v>33</v>
      </c>
      <c r="E24" s="27">
        <v>43887</v>
      </c>
      <c r="F24" s="28">
        <v>72097</v>
      </c>
      <c r="H24" s="29">
        <v>43887</v>
      </c>
      <c r="I24" s="34">
        <v>7290</v>
      </c>
      <c r="J24" s="69"/>
      <c r="K24" s="70"/>
      <c r="L24" s="71"/>
      <c r="M24" s="31">
        <f>47912+13104</f>
        <v>61016</v>
      </c>
      <c r="N24" s="32">
        <v>547</v>
      </c>
    </row>
    <row r="25" spans="1:14" ht="15" thickBot="1" x14ac:dyDescent="0.35">
      <c r="A25" s="23"/>
      <c r="B25" s="24">
        <v>43888</v>
      </c>
      <c r="C25" s="25">
        <v>3212</v>
      </c>
      <c r="D25" s="33" t="s">
        <v>34</v>
      </c>
      <c r="E25" s="27">
        <v>43888</v>
      </c>
      <c r="F25" s="28">
        <v>77692</v>
      </c>
      <c r="H25" s="29">
        <v>43888</v>
      </c>
      <c r="I25" s="34">
        <v>0</v>
      </c>
      <c r="J25" s="72"/>
      <c r="K25" s="73"/>
      <c r="L25" s="74"/>
      <c r="M25" s="31">
        <v>70182</v>
      </c>
      <c r="N25" s="32">
        <v>4298</v>
      </c>
    </row>
    <row r="26" spans="1:14" ht="15" thickBot="1" x14ac:dyDescent="0.35">
      <c r="A26" s="23"/>
      <c r="B26" s="24">
        <v>43889</v>
      </c>
      <c r="C26" s="25">
        <v>0</v>
      </c>
      <c r="D26" s="33"/>
      <c r="E26" s="27">
        <v>43889</v>
      </c>
      <c r="F26" s="28">
        <v>103702</v>
      </c>
      <c r="H26" s="29">
        <v>43889</v>
      </c>
      <c r="I26" s="34">
        <v>10020</v>
      </c>
      <c r="J26" s="57"/>
      <c r="K26" s="75"/>
      <c r="L26" s="52"/>
      <c r="M26" s="31">
        <v>92684</v>
      </c>
      <c r="N26" s="32">
        <v>998</v>
      </c>
    </row>
    <row r="27" spans="1:14" ht="15" thickBot="1" x14ac:dyDescent="0.35">
      <c r="A27" s="23"/>
      <c r="B27" s="24">
        <v>43890</v>
      </c>
      <c r="C27" s="25">
        <v>1569</v>
      </c>
      <c r="D27" s="33" t="s">
        <v>12</v>
      </c>
      <c r="E27" s="27">
        <v>43890</v>
      </c>
      <c r="F27" s="28">
        <v>160854</v>
      </c>
      <c r="H27" s="29">
        <v>43890</v>
      </c>
      <c r="I27" s="34">
        <v>3850</v>
      </c>
      <c r="J27" s="76"/>
      <c r="K27" s="77"/>
      <c r="L27" s="74"/>
      <c r="M27" s="31">
        <f>118089+2519+2241</f>
        <v>122849</v>
      </c>
      <c r="N27" s="32">
        <v>6135</v>
      </c>
    </row>
    <row r="28" spans="1:14" ht="15" thickBot="1" x14ac:dyDescent="0.35">
      <c r="A28" s="23"/>
      <c r="B28" s="24">
        <v>43891</v>
      </c>
      <c r="C28" s="25">
        <v>1624</v>
      </c>
      <c r="D28" s="33" t="s">
        <v>19</v>
      </c>
      <c r="E28" s="27">
        <v>43891</v>
      </c>
      <c r="F28" s="28">
        <v>101012</v>
      </c>
      <c r="H28" s="29">
        <v>43891</v>
      </c>
      <c r="I28" s="34">
        <v>0</v>
      </c>
      <c r="J28" s="76"/>
      <c r="K28" s="78"/>
      <c r="L28" s="74"/>
      <c r="M28" s="31">
        <v>95579</v>
      </c>
      <c r="N28" s="32">
        <v>3809</v>
      </c>
    </row>
    <row r="29" spans="1:14" ht="15" thickBot="1" x14ac:dyDescent="0.35">
      <c r="A29" s="23"/>
      <c r="B29" s="24">
        <v>43892</v>
      </c>
      <c r="C29" s="25">
        <v>817</v>
      </c>
      <c r="D29" s="33" t="s">
        <v>19</v>
      </c>
      <c r="E29" s="27">
        <v>43892</v>
      </c>
      <c r="F29" s="28">
        <v>64009</v>
      </c>
      <c r="H29" s="29">
        <v>43892</v>
      </c>
      <c r="I29" s="34">
        <v>0</v>
      </c>
      <c r="J29" s="76"/>
      <c r="K29" s="73"/>
      <c r="L29" s="74"/>
      <c r="M29" s="31">
        <v>61516</v>
      </c>
      <c r="N29" s="32">
        <v>1676</v>
      </c>
    </row>
    <row r="30" spans="1:14" ht="16.2" thickBot="1" x14ac:dyDescent="0.35">
      <c r="A30" s="23"/>
      <c r="B30" s="24">
        <v>43893</v>
      </c>
      <c r="C30" s="25">
        <v>5684</v>
      </c>
      <c r="D30" s="33" t="s">
        <v>35</v>
      </c>
      <c r="E30" s="27">
        <v>43893</v>
      </c>
      <c r="F30" s="28">
        <v>71953</v>
      </c>
      <c r="H30" s="29">
        <v>43893</v>
      </c>
      <c r="I30" s="79">
        <v>76</v>
      </c>
      <c r="J30" s="80" t="s">
        <v>36</v>
      </c>
      <c r="K30" s="81" t="s">
        <v>37</v>
      </c>
      <c r="L30" s="82">
        <v>9540.1</v>
      </c>
      <c r="M30" s="31">
        <v>64764</v>
      </c>
      <c r="N30" s="32">
        <v>1429</v>
      </c>
    </row>
    <row r="31" spans="1:14" ht="16.2" thickBot="1" x14ac:dyDescent="0.35">
      <c r="A31" s="23"/>
      <c r="B31" s="24">
        <v>43894</v>
      </c>
      <c r="C31" s="83">
        <v>1901</v>
      </c>
      <c r="D31" s="33" t="s">
        <v>19</v>
      </c>
      <c r="E31" s="27">
        <v>43894</v>
      </c>
      <c r="F31" s="28">
        <v>71376</v>
      </c>
      <c r="H31" s="29">
        <v>43894</v>
      </c>
      <c r="I31" s="84">
        <v>0</v>
      </c>
      <c r="J31" s="80" t="s">
        <v>36</v>
      </c>
      <c r="K31" s="81" t="s">
        <v>38</v>
      </c>
      <c r="L31" s="82">
        <v>2600</v>
      </c>
      <c r="M31" s="31">
        <v>68573</v>
      </c>
      <c r="N31" s="32">
        <v>902</v>
      </c>
    </row>
    <row r="32" spans="1:14" ht="15" thickBot="1" x14ac:dyDescent="0.35">
      <c r="A32" s="23"/>
      <c r="B32" s="24">
        <v>43895</v>
      </c>
      <c r="C32" s="83">
        <v>675</v>
      </c>
      <c r="D32" s="33" t="s">
        <v>39</v>
      </c>
      <c r="E32" s="27">
        <v>43895</v>
      </c>
      <c r="F32" s="28">
        <v>110121</v>
      </c>
      <c r="H32" s="29">
        <v>43895</v>
      </c>
      <c r="I32" s="84">
        <v>396</v>
      </c>
      <c r="J32" s="85" t="s">
        <v>36</v>
      </c>
      <c r="K32" s="86" t="s">
        <v>40</v>
      </c>
      <c r="L32" s="82">
        <v>1392</v>
      </c>
      <c r="M32" s="31">
        <v>105811</v>
      </c>
      <c r="N32" s="32">
        <v>3239</v>
      </c>
    </row>
    <row r="33" spans="1:14" ht="15.6" x14ac:dyDescent="0.3">
      <c r="A33" s="23"/>
      <c r="B33" s="87">
        <v>43872</v>
      </c>
      <c r="C33" s="88">
        <v>10988.8</v>
      </c>
      <c r="D33" s="89" t="s">
        <v>41</v>
      </c>
      <c r="E33" s="90"/>
      <c r="F33" s="91"/>
      <c r="H33" s="29"/>
      <c r="I33" s="92"/>
      <c r="J33" s="85" t="s">
        <v>36</v>
      </c>
      <c r="K33" s="93" t="s">
        <v>42</v>
      </c>
      <c r="L33" s="45">
        <v>2682.16</v>
      </c>
      <c r="M33" s="31">
        <v>0</v>
      </c>
      <c r="N33" s="32">
        <v>0</v>
      </c>
    </row>
    <row r="34" spans="1:14" ht="15.6" x14ac:dyDescent="0.3">
      <c r="A34" s="23"/>
      <c r="B34" s="24">
        <v>43874</v>
      </c>
      <c r="C34" s="94">
        <v>9660.16</v>
      </c>
      <c r="D34" s="95" t="s">
        <v>41</v>
      </c>
      <c r="E34" s="90"/>
      <c r="F34" s="91"/>
      <c r="H34" s="29"/>
      <c r="I34" s="91"/>
      <c r="J34" s="85" t="s">
        <v>36</v>
      </c>
      <c r="K34" s="86" t="s">
        <v>43</v>
      </c>
      <c r="L34" s="82">
        <v>1697.17</v>
      </c>
      <c r="M34" s="31">
        <v>0</v>
      </c>
      <c r="N34" s="32">
        <v>0</v>
      </c>
    </row>
    <row r="35" spans="1:14" ht="15.6" x14ac:dyDescent="0.3">
      <c r="A35" s="23"/>
      <c r="B35" s="24">
        <v>43876</v>
      </c>
      <c r="C35" s="94">
        <v>10852.12</v>
      </c>
      <c r="D35" s="95" t="s">
        <v>41</v>
      </c>
      <c r="E35" s="90"/>
      <c r="F35" s="91"/>
      <c r="H35" s="29"/>
      <c r="I35" s="91"/>
      <c r="J35" s="85" t="s">
        <v>36</v>
      </c>
      <c r="K35" s="86" t="s">
        <v>44</v>
      </c>
      <c r="L35" s="82">
        <v>0</v>
      </c>
      <c r="M35" s="31">
        <v>0</v>
      </c>
      <c r="N35" s="32">
        <v>0</v>
      </c>
    </row>
    <row r="36" spans="1:14" ht="15.6" x14ac:dyDescent="0.3">
      <c r="A36" s="23"/>
      <c r="B36" s="24">
        <v>43879</v>
      </c>
      <c r="C36" s="94">
        <v>8990.7199999999993</v>
      </c>
      <c r="D36" s="95" t="s">
        <v>41</v>
      </c>
      <c r="E36" s="90"/>
      <c r="F36" s="91"/>
      <c r="H36" s="29"/>
      <c r="I36" s="91"/>
      <c r="J36" s="85" t="s">
        <v>36</v>
      </c>
      <c r="K36" s="96" t="s">
        <v>45</v>
      </c>
      <c r="L36" s="82">
        <v>24077</v>
      </c>
      <c r="M36" s="31">
        <v>0</v>
      </c>
      <c r="N36" s="32">
        <v>0</v>
      </c>
    </row>
    <row r="37" spans="1:14" ht="15.6" x14ac:dyDescent="0.3">
      <c r="A37" s="23"/>
      <c r="B37" s="24">
        <v>43882</v>
      </c>
      <c r="C37" s="94">
        <v>16447.240000000002</v>
      </c>
      <c r="D37" s="95" t="s">
        <v>41</v>
      </c>
      <c r="E37" s="90"/>
      <c r="F37" s="91"/>
      <c r="H37" s="29"/>
      <c r="I37" s="91"/>
      <c r="J37" s="85" t="s">
        <v>36</v>
      </c>
      <c r="K37" s="86" t="s">
        <v>46</v>
      </c>
      <c r="L37" s="82">
        <v>1315.86</v>
      </c>
      <c r="M37" s="31">
        <v>0</v>
      </c>
      <c r="N37" s="32">
        <v>0</v>
      </c>
    </row>
    <row r="38" spans="1:14" ht="15.6" x14ac:dyDescent="0.3">
      <c r="A38" s="23"/>
      <c r="B38" s="24">
        <v>43885</v>
      </c>
      <c r="C38" s="94">
        <v>9276.7999999999993</v>
      </c>
      <c r="D38" s="95" t="s">
        <v>41</v>
      </c>
      <c r="E38" s="90"/>
      <c r="F38" s="91"/>
      <c r="H38" s="29"/>
      <c r="I38" s="91"/>
      <c r="J38" s="85" t="s">
        <v>36</v>
      </c>
      <c r="K38" s="86" t="s">
        <v>47</v>
      </c>
      <c r="L38" s="82">
        <v>29939.599999999999</v>
      </c>
      <c r="M38" s="31">
        <v>0</v>
      </c>
      <c r="N38" s="32">
        <v>0</v>
      </c>
    </row>
    <row r="39" spans="1:14" ht="15.6" x14ac:dyDescent="0.3">
      <c r="A39" s="23"/>
      <c r="B39" s="24">
        <v>43889</v>
      </c>
      <c r="C39" s="97">
        <v>12541.92</v>
      </c>
      <c r="D39" s="95" t="s">
        <v>41</v>
      </c>
      <c r="E39" s="90"/>
      <c r="F39" s="91"/>
      <c r="H39" s="29"/>
      <c r="I39" s="91"/>
      <c r="J39" s="85" t="s">
        <v>36</v>
      </c>
      <c r="K39" s="86" t="s">
        <v>48</v>
      </c>
      <c r="L39" s="82">
        <v>15800</v>
      </c>
      <c r="M39" s="31">
        <v>0</v>
      </c>
      <c r="N39" s="32">
        <v>0</v>
      </c>
    </row>
    <row r="40" spans="1:14" ht="16.2" thickBot="1" x14ac:dyDescent="0.35">
      <c r="A40" s="23"/>
      <c r="B40" s="98">
        <v>43893</v>
      </c>
      <c r="C40" s="99">
        <v>10238.76</v>
      </c>
      <c r="D40" s="100" t="s">
        <v>41</v>
      </c>
      <c r="E40" s="90"/>
      <c r="F40" s="91"/>
      <c r="H40" s="29"/>
      <c r="I40" s="91"/>
      <c r="J40" s="85" t="s">
        <v>36</v>
      </c>
      <c r="K40" s="101" t="s">
        <v>49</v>
      </c>
      <c r="L40" s="82">
        <v>2685</v>
      </c>
      <c r="M40" s="91"/>
      <c r="N40" s="91"/>
    </row>
    <row r="41" spans="1:14" ht="16.2" thickBot="1" x14ac:dyDescent="0.35">
      <c r="A41" s="102"/>
      <c r="B41" s="103"/>
      <c r="C41" s="104"/>
      <c r="D41" s="105"/>
      <c r="E41" s="106"/>
      <c r="F41" s="107"/>
      <c r="G41" s="108"/>
      <c r="H41" s="29">
        <v>43907</v>
      </c>
      <c r="I41" s="107"/>
      <c r="J41" s="85" t="s">
        <v>36</v>
      </c>
      <c r="K41" s="109" t="s">
        <v>50</v>
      </c>
      <c r="L41" s="66">
        <v>3442.3</v>
      </c>
      <c r="M41" s="110">
        <f>SUM(M5:M40)</f>
        <v>2531947.79</v>
      </c>
      <c r="N41" s="111">
        <f>SUM(N5:N40)</f>
        <v>67696</v>
      </c>
    </row>
    <row r="42" spans="1:14" ht="16.2" thickBot="1" x14ac:dyDescent="0.35">
      <c r="B42" s="112" t="s">
        <v>51</v>
      </c>
      <c r="C42" s="113">
        <f>SUM(C5:C41)</f>
        <v>162130.92000000001</v>
      </c>
      <c r="D42" s="114"/>
      <c r="E42" s="115" t="s">
        <v>51</v>
      </c>
      <c r="F42" s="116">
        <f>SUM(F5:F41)</f>
        <v>2772835</v>
      </c>
      <c r="G42" s="114"/>
      <c r="H42" s="117" t="s">
        <v>51</v>
      </c>
      <c r="I42" s="118">
        <f>SUM(I5:I41)</f>
        <v>62116.6</v>
      </c>
      <c r="J42" s="119"/>
      <c r="K42" s="120" t="s">
        <v>51</v>
      </c>
      <c r="L42" s="121">
        <f>SUM(L6:L41)</f>
        <v>198504.88999999998</v>
      </c>
    </row>
    <row r="43" spans="1:14" ht="19.2" thickTop="1" thickBot="1" x14ac:dyDescent="0.35">
      <c r="C43" s="5" t="s">
        <v>10</v>
      </c>
      <c r="M43" s="599">
        <f>N41+M41</f>
        <v>2599643.79</v>
      </c>
      <c r="N43" s="600"/>
    </row>
    <row r="44" spans="1:14" ht="15.6" x14ac:dyDescent="0.3">
      <c r="A44" s="65"/>
      <c r="B44" s="122"/>
      <c r="C44" s="4"/>
      <c r="H44" s="601" t="s">
        <v>52</v>
      </c>
      <c r="I44" s="602"/>
      <c r="J44" s="123"/>
      <c r="K44" s="603">
        <f>I42+L42</f>
        <v>260621.49</v>
      </c>
      <c r="L44" s="604"/>
    </row>
    <row r="45" spans="1:14" ht="15.6" x14ac:dyDescent="0.3">
      <c r="D45" s="606" t="s">
        <v>53</v>
      </c>
      <c r="E45" s="606"/>
      <c r="F45" s="124">
        <f>F42-K44-C42</f>
        <v>2350082.59</v>
      </c>
      <c r="I45" s="125"/>
      <c r="J45" s="125"/>
    </row>
    <row r="46" spans="1:14" ht="18" x14ac:dyDescent="0.35">
      <c r="D46" s="607" t="s">
        <v>54</v>
      </c>
      <c r="E46" s="607"/>
      <c r="F46" s="126">
        <v>-2289599.25</v>
      </c>
      <c r="I46" s="608" t="s">
        <v>55</v>
      </c>
      <c r="J46" s="609"/>
      <c r="K46" s="610">
        <f>F51</f>
        <v>442869.79999999981</v>
      </c>
      <c r="L46" s="611"/>
    </row>
    <row r="47" spans="1:14" ht="18.600000000000001" thickBot="1" x14ac:dyDescent="0.4">
      <c r="D47" s="127"/>
      <c r="E47" s="128"/>
      <c r="F47" s="129" t="s">
        <v>10</v>
      </c>
      <c r="I47" s="130"/>
      <c r="J47" s="130"/>
      <c r="K47" s="131"/>
      <c r="L47" s="131"/>
    </row>
    <row r="48" spans="1:14" ht="18.600000000000001" thickTop="1" x14ac:dyDescent="0.35">
      <c r="C48" s="13" t="s">
        <v>10</v>
      </c>
      <c r="E48" s="65" t="s">
        <v>56</v>
      </c>
      <c r="F48" s="126">
        <f>SUM(F45:F47)</f>
        <v>60483.339999999851</v>
      </c>
      <c r="H48" s="23"/>
      <c r="I48" s="132" t="s">
        <v>57</v>
      </c>
      <c r="J48" s="133"/>
      <c r="K48" s="612">
        <f>-C4</f>
        <v>-355209.27</v>
      </c>
      <c r="L48" s="613"/>
      <c r="M48" s="134"/>
    </row>
    <row r="49" spans="2:14" ht="16.2" thickBot="1" x14ac:dyDescent="0.35">
      <c r="D49" s="135" t="s">
        <v>58</v>
      </c>
      <c r="E49" s="65" t="s">
        <v>59</v>
      </c>
      <c r="F49" s="136">
        <v>18020.8</v>
      </c>
    </row>
    <row r="50" spans="2:14" ht="19.2" thickTop="1" thickBot="1" x14ac:dyDescent="0.4">
      <c r="C50" s="137">
        <v>43895</v>
      </c>
      <c r="D50" s="614" t="s">
        <v>60</v>
      </c>
      <c r="E50" s="615"/>
      <c r="F50" s="138">
        <v>364365.66</v>
      </c>
      <c r="I50" s="616" t="s">
        <v>61</v>
      </c>
      <c r="J50" s="617"/>
      <c r="K50" s="618">
        <f>K46+K48</f>
        <v>87660.529999999795</v>
      </c>
      <c r="L50" s="619"/>
    </row>
    <row r="51" spans="2:14" ht="18" x14ac:dyDescent="0.35">
      <c r="C51" s="139"/>
      <c r="D51" s="140"/>
      <c r="E51" s="141" t="s">
        <v>62</v>
      </c>
      <c r="F51" s="142">
        <f>F48+F49+F50</f>
        <v>442869.79999999981</v>
      </c>
      <c r="J51" s="6"/>
      <c r="M51" s="143"/>
    </row>
    <row r="53" spans="2:14" x14ac:dyDescent="0.3">
      <c r="B53"/>
      <c r="C53"/>
      <c r="D53" s="605"/>
      <c r="E53" s="605"/>
      <c r="M53" s="144"/>
      <c r="N53" s="65"/>
    </row>
    <row r="54" spans="2:14" x14ac:dyDescent="0.3">
      <c r="B54"/>
      <c r="C54"/>
      <c r="M54" s="144"/>
      <c r="N54" s="65"/>
    </row>
    <row r="55" spans="2:14" x14ac:dyDescent="0.3">
      <c r="B55"/>
      <c r="C55"/>
      <c r="N55" s="65"/>
    </row>
    <row r="56" spans="2:14" x14ac:dyDescent="0.3">
      <c r="B56"/>
      <c r="C56"/>
      <c r="F56"/>
      <c r="I56"/>
      <c r="J56"/>
      <c r="M56"/>
      <c r="N56" s="65"/>
    </row>
    <row r="57" spans="2:14" x14ac:dyDescent="0.3">
      <c r="B57"/>
      <c r="C57"/>
      <c r="F57" s="145"/>
      <c r="N57" s="65"/>
    </row>
    <row r="58" spans="2:14" x14ac:dyDescent="0.3">
      <c r="F58" s="91"/>
      <c r="M58" s="4"/>
      <c r="N58" s="65"/>
    </row>
    <row r="59" spans="2:14" x14ac:dyDescent="0.3">
      <c r="F59" s="91"/>
      <c r="M59" s="4"/>
      <c r="N59" s="65"/>
    </row>
    <row r="60" spans="2:14" x14ac:dyDescent="0.3">
      <c r="F60" s="91"/>
      <c r="M60" s="4"/>
      <c r="N60" s="65"/>
    </row>
    <row r="61" spans="2:14" x14ac:dyDescent="0.3">
      <c r="F61" s="91"/>
      <c r="M61" s="4"/>
      <c r="N61" s="65"/>
    </row>
    <row r="62" spans="2:14" x14ac:dyDescent="0.3">
      <c r="F62" s="91"/>
      <c r="M62" s="4"/>
    </row>
    <row r="63" spans="2:14" x14ac:dyDescent="0.3">
      <c r="F63" s="91"/>
      <c r="M63" s="4"/>
    </row>
    <row r="64" spans="2:14" x14ac:dyDescent="0.3">
      <c r="F64" s="91"/>
      <c r="M64" s="4"/>
    </row>
    <row r="65" spans="6:13" x14ac:dyDescent="0.3">
      <c r="F65" s="91"/>
      <c r="M65" s="4"/>
    </row>
    <row r="66" spans="6:13" x14ac:dyDescent="0.3">
      <c r="F66" s="91"/>
      <c r="M66" s="4"/>
    </row>
    <row r="67" spans="6:13" x14ac:dyDescent="0.3">
      <c r="F67" s="145"/>
      <c r="M67" s="4"/>
    </row>
    <row r="68" spans="6:13" x14ac:dyDescent="0.3">
      <c r="M68" s="4"/>
    </row>
    <row r="69" spans="6:13" x14ac:dyDescent="0.3">
      <c r="M69" s="4"/>
    </row>
    <row r="70" spans="6:13" x14ac:dyDescent="0.3"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  <row r="79" spans="6:13" x14ac:dyDescent="0.3">
      <c r="M79" s="4"/>
    </row>
    <row r="80" spans="6:13" x14ac:dyDescent="0.3">
      <c r="M80" s="4"/>
    </row>
  </sheetData>
  <mergeCells count="16">
    <mergeCell ref="C1:K1"/>
    <mergeCell ref="B3:C3"/>
    <mergeCell ref="E4:F4"/>
    <mergeCell ref="H4:I4"/>
    <mergeCell ref="M43:N43"/>
    <mergeCell ref="H44:I44"/>
    <mergeCell ref="K44:L44"/>
    <mergeCell ref="D53:E53"/>
    <mergeCell ref="D45:E45"/>
    <mergeCell ref="D46:E46"/>
    <mergeCell ref="I46:J46"/>
    <mergeCell ref="K46:L46"/>
    <mergeCell ref="K48:L48"/>
    <mergeCell ref="D50:E50"/>
    <mergeCell ref="I50:J50"/>
    <mergeCell ref="K50:L50"/>
  </mergeCells>
  <pageMargins left="0.43307086614173229" right="0.15748031496062992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7359-1FFA-4215-B04A-C10D18399579}">
  <sheetPr>
    <tabColor rgb="FF00B0F0"/>
  </sheetPr>
  <dimension ref="A1:F87"/>
  <sheetViews>
    <sheetView topLeftCell="A28" workbookViewId="0">
      <selection activeCell="H16" sqref="H16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63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2">
        <v>43869</v>
      </c>
      <c r="B3" s="153">
        <v>4106</v>
      </c>
      <c r="C3" s="56">
        <v>145478.92000000001</v>
      </c>
      <c r="D3" s="154"/>
      <c r="E3" s="56"/>
      <c r="F3" s="155">
        <f>C3-E3</f>
        <v>145478.92000000001</v>
      </c>
    </row>
    <row r="4" spans="1:6" x14ac:dyDescent="0.3">
      <c r="A4" s="156">
        <v>43869</v>
      </c>
      <c r="B4" s="157">
        <v>4113</v>
      </c>
      <c r="C4" s="97">
        <v>4191.3</v>
      </c>
      <c r="D4" s="158"/>
      <c r="E4" s="97"/>
      <c r="F4" s="155">
        <f>F3+C4-E4</f>
        <v>149670.22</v>
      </c>
    </row>
    <row r="5" spans="1:6" x14ac:dyDescent="0.3">
      <c r="A5" s="158">
        <v>43870</v>
      </c>
      <c r="B5" s="157">
        <v>4213</v>
      </c>
      <c r="C5" s="97">
        <v>3434.3</v>
      </c>
      <c r="D5" s="158"/>
      <c r="E5" s="97"/>
      <c r="F5" s="155">
        <f t="shared" ref="F5:F50" si="0">F4+C5-E5</f>
        <v>153104.51999999999</v>
      </c>
    </row>
    <row r="6" spans="1:6" x14ac:dyDescent="0.3">
      <c r="A6" s="158">
        <v>43870</v>
      </c>
      <c r="B6" s="157">
        <v>4228</v>
      </c>
      <c r="C6" s="97">
        <v>5048</v>
      </c>
      <c r="D6" s="158"/>
      <c r="E6" s="97"/>
      <c r="F6" s="155">
        <f t="shared" si="0"/>
        <v>158152.51999999999</v>
      </c>
    </row>
    <row r="7" spans="1:6" x14ac:dyDescent="0.3">
      <c r="A7" s="158">
        <v>43870</v>
      </c>
      <c r="B7" s="157">
        <v>4262</v>
      </c>
      <c r="C7" s="97">
        <v>100796.5</v>
      </c>
      <c r="D7" s="158"/>
      <c r="E7" s="97"/>
      <c r="F7" s="155">
        <f t="shared" si="0"/>
        <v>258949.02</v>
      </c>
    </row>
    <row r="8" spans="1:6" x14ac:dyDescent="0.3">
      <c r="A8" s="158">
        <v>43872</v>
      </c>
      <c r="B8" s="157">
        <v>4445</v>
      </c>
      <c r="C8" s="97">
        <v>140862.12</v>
      </c>
      <c r="D8" s="158"/>
      <c r="E8" s="97"/>
      <c r="F8" s="155">
        <f t="shared" si="0"/>
        <v>399811.14</v>
      </c>
    </row>
    <row r="9" spans="1:6" x14ac:dyDescent="0.3">
      <c r="A9" s="158">
        <v>43872</v>
      </c>
      <c r="B9" s="157">
        <v>4457</v>
      </c>
      <c r="C9" s="97">
        <v>5400</v>
      </c>
      <c r="D9" s="158">
        <v>43873</v>
      </c>
      <c r="E9" s="97">
        <v>405211.14</v>
      </c>
      <c r="F9" s="155">
        <f t="shared" si="0"/>
        <v>0</v>
      </c>
    </row>
    <row r="10" spans="1:6" x14ac:dyDescent="0.3">
      <c r="A10" s="158">
        <v>43873</v>
      </c>
      <c r="B10" s="157">
        <v>4549</v>
      </c>
      <c r="C10" s="97">
        <v>32080.46</v>
      </c>
      <c r="D10" s="158"/>
      <c r="E10" s="97"/>
      <c r="F10" s="155">
        <f t="shared" si="0"/>
        <v>32080.46</v>
      </c>
    </row>
    <row r="11" spans="1:6" x14ac:dyDescent="0.3">
      <c r="A11" s="156">
        <v>43873</v>
      </c>
      <c r="B11" s="157">
        <v>4560</v>
      </c>
      <c r="C11" s="97">
        <v>3300</v>
      </c>
      <c r="D11" s="158"/>
      <c r="E11" s="97"/>
      <c r="F11" s="155">
        <f t="shared" si="0"/>
        <v>35380.46</v>
      </c>
    </row>
    <row r="12" spans="1:6" x14ac:dyDescent="0.3">
      <c r="A12" s="158">
        <v>43875</v>
      </c>
      <c r="B12" s="157">
        <v>4790</v>
      </c>
      <c r="C12" s="97">
        <v>133306.85999999999</v>
      </c>
      <c r="D12" s="158"/>
      <c r="E12" s="97"/>
      <c r="F12" s="155">
        <f t="shared" si="0"/>
        <v>168687.31999999998</v>
      </c>
    </row>
    <row r="13" spans="1:6" x14ac:dyDescent="0.3">
      <c r="A13" s="158">
        <v>43875</v>
      </c>
      <c r="B13" s="157">
        <v>4801</v>
      </c>
      <c r="C13" s="97">
        <v>23398.2</v>
      </c>
      <c r="D13" s="158"/>
      <c r="E13" s="97"/>
      <c r="F13" s="155">
        <f t="shared" si="0"/>
        <v>192085.52</v>
      </c>
    </row>
    <row r="14" spans="1:6" x14ac:dyDescent="0.3">
      <c r="A14" s="158">
        <v>43875</v>
      </c>
      <c r="B14" s="157">
        <v>4859</v>
      </c>
      <c r="C14" s="97">
        <v>19477.8</v>
      </c>
      <c r="D14" s="158"/>
      <c r="E14" s="97"/>
      <c r="F14" s="155">
        <f t="shared" si="0"/>
        <v>211563.31999999998</v>
      </c>
    </row>
    <row r="15" spans="1:6" x14ac:dyDescent="0.3">
      <c r="A15" s="158">
        <v>43876</v>
      </c>
      <c r="B15" s="157">
        <v>4958</v>
      </c>
      <c r="C15" s="97">
        <v>75357.899999999994</v>
      </c>
      <c r="D15" s="158"/>
      <c r="E15" s="97"/>
      <c r="F15" s="155">
        <f t="shared" si="0"/>
        <v>286921.21999999997</v>
      </c>
    </row>
    <row r="16" spans="1:6" x14ac:dyDescent="0.3">
      <c r="A16" s="158">
        <v>43876</v>
      </c>
      <c r="B16" s="157">
        <v>4965</v>
      </c>
      <c r="C16" s="97">
        <v>28216.12</v>
      </c>
      <c r="D16" s="158"/>
      <c r="E16" s="97"/>
      <c r="F16" s="155">
        <f t="shared" si="0"/>
        <v>315137.33999999997</v>
      </c>
    </row>
    <row r="17" spans="1:6" x14ac:dyDescent="0.3">
      <c r="A17" s="158">
        <v>43876</v>
      </c>
      <c r="B17" s="157">
        <v>5022</v>
      </c>
      <c r="C17" s="97">
        <v>12587.6</v>
      </c>
      <c r="D17" s="158"/>
      <c r="E17" s="97"/>
      <c r="F17" s="155">
        <f t="shared" si="0"/>
        <v>327724.93999999994</v>
      </c>
    </row>
    <row r="18" spans="1:6" x14ac:dyDescent="0.3">
      <c r="A18" s="158">
        <v>43877</v>
      </c>
      <c r="B18" s="157">
        <v>5073</v>
      </c>
      <c r="C18" s="97">
        <v>16065.2</v>
      </c>
      <c r="D18" s="158"/>
      <c r="E18" s="97"/>
      <c r="F18" s="155">
        <f t="shared" si="0"/>
        <v>343790.13999999996</v>
      </c>
    </row>
    <row r="19" spans="1:6" x14ac:dyDescent="0.3">
      <c r="A19" s="158">
        <v>43877</v>
      </c>
      <c r="B19" s="157">
        <v>5084</v>
      </c>
      <c r="C19" s="97">
        <v>78089.3</v>
      </c>
      <c r="D19" s="158"/>
      <c r="E19" s="97"/>
      <c r="F19" s="155">
        <f t="shared" si="0"/>
        <v>421879.43999999994</v>
      </c>
    </row>
    <row r="20" spans="1:6" x14ac:dyDescent="0.3">
      <c r="A20" s="158">
        <v>43877</v>
      </c>
      <c r="B20" s="157">
        <v>5091</v>
      </c>
      <c r="C20" s="97">
        <v>2860</v>
      </c>
      <c r="D20" s="158"/>
      <c r="E20" s="97"/>
      <c r="F20" s="155">
        <f t="shared" si="0"/>
        <v>424739.43999999994</v>
      </c>
    </row>
    <row r="21" spans="1:6" x14ac:dyDescent="0.3">
      <c r="A21" s="158">
        <v>43878</v>
      </c>
      <c r="B21" s="157">
        <v>5206</v>
      </c>
      <c r="C21" s="97">
        <v>42173.48</v>
      </c>
      <c r="D21" s="158"/>
      <c r="E21" s="97"/>
      <c r="F21" s="155">
        <f t="shared" si="0"/>
        <v>466912.91999999993</v>
      </c>
    </row>
    <row r="22" spans="1:6" x14ac:dyDescent="0.3">
      <c r="A22" s="158">
        <v>43879</v>
      </c>
      <c r="B22" s="157">
        <v>5261</v>
      </c>
      <c r="C22" s="97">
        <v>107603.26</v>
      </c>
      <c r="D22" s="158">
        <v>43879</v>
      </c>
      <c r="E22" s="97">
        <v>574516.18000000005</v>
      </c>
      <c r="F22" s="155">
        <f t="shared" si="0"/>
        <v>0</v>
      </c>
    </row>
    <row r="23" spans="1:6" x14ac:dyDescent="0.3">
      <c r="A23" s="158">
        <v>43880</v>
      </c>
      <c r="B23" s="157">
        <v>5339</v>
      </c>
      <c r="C23" s="97">
        <v>520</v>
      </c>
      <c r="D23" s="158"/>
      <c r="E23" s="97"/>
      <c r="F23" s="155">
        <f t="shared" si="0"/>
        <v>520</v>
      </c>
    </row>
    <row r="24" spans="1:6" x14ac:dyDescent="0.3">
      <c r="A24" s="158">
        <v>43881</v>
      </c>
      <c r="B24" s="157">
        <v>5456</v>
      </c>
      <c r="C24" s="97">
        <v>78381.75</v>
      </c>
      <c r="D24" s="158"/>
      <c r="E24" s="97"/>
      <c r="F24" s="155">
        <f t="shared" si="0"/>
        <v>78901.75</v>
      </c>
    </row>
    <row r="25" spans="1:6" x14ac:dyDescent="0.3">
      <c r="A25" s="158">
        <v>43881</v>
      </c>
      <c r="B25" s="157">
        <v>5565</v>
      </c>
      <c r="C25" s="97">
        <v>122502.8</v>
      </c>
      <c r="D25" s="158"/>
      <c r="E25" s="97"/>
      <c r="F25" s="155">
        <f t="shared" si="0"/>
        <v>201404.55</v>
      </c>
    </row>
    <row r="26" spans="1:6" x14ac:dyDescent="0.3">
      <c r="A26" s="158">
        <v>43882</v>
      </c>
      <c r="B26" s="157">
        <v>5625</v>
      </c>
      <c r="C26" s="97">
        <v>75406.320000000007</v>
      </c>
      <c r="D26" s="158"/>
      <c r="E26" s="97"/>
      <c r="F26" s="155">
        <f t="shared" si="0"/>
        <v>276810.87</v>
      </c>
    </row>
    <row r="27" spans="1:6" x14ac:dyDescent="0.3">
      <c r="A27" s="158">
        <v>43883</v>
      </c>
      <c r="B27" s="157">
        <v>5788</v>
      </c>
      <c r="C27" s="97">
        <v>9910.6</v>
      </c>
      <c r="D27" s="158"/>
      <c r="E27" s="97"/>
      <c r="F27" s="155">
        <f t="shared" si="0"/>
        <v>286721.46999999997</v>
      </c>
    </row>
    <row r="28" spans="1:6" x14ac:dyDescent="0.3">
      <c r="A28" s="156">
        <v>43883</v>
      </c>
      <c r="B28" s="157">
        <v>5811</v>
      </c>
      <c r="C28" s="97">
        <v>133044.6</v>
      </c>
      <c r="D28" s="158"/>
      <c r="E28" s="97"/>
      <c r="F28" s="155">
        <f t="shared" si="0"/>
        <v>419766.06999999995</v>
      </c>
    </row>
    <row r="29" spans="1:6" x14ac:dyDescent="0.3">
      <c r="A29" s="156">
        <v>43883</v>
      </c>
      <c r="B29" s="157">
        <v>5844</v>
      </c>
      <c r="C29" s="97">
        <v>43547.5</v>
      </c>
      <c r="D29" s="158"/>
      <c r="E29" s="97"/>
      <c r="F29" s="155">
        <f t="shared" si="0"/>
        <v>463313.56999999995</v>
      </c>
    </row>
    <row r="30" spans="1:6" x14ac:dyDescent="0.3">
      <c r="A30" s="156">
        <v>43885</v>
      </c>
      <c r="B30" s="157">
        <v>5919</v>
      </c>
      <c r="C30" s="97">
        <v>48182.2</v>
      </c>
      <c r="D30" s="158">
        <v>43885</v>
      </c>
      <c r="E30" s="97">
        <v>511495.77</v>
      </c>
      <c r="F30" s="155">
        <f t="shared" si="0"/>
        <v>0</v>
      </c>
    </row>
    <row r="31" spans="1:6" x14ac:dyDescent="0.3">
      <c r="A31" s="156">
        <v>43886</v>
      </c>
      <c r="B31" s="157">
        <v>6112</v>
      </c>
      <c r="C31" s="97">
        <v>106051.2</v>
      </c>
      <c r="D31" s="158"/>
      <c r="E31" s="97"/>
      <c r="F31" s="155">
        <f t="shared" si="0"/>
        <v>106051.2</v>
      </c>
    </row>
    <row r="32" spans="1:6" x14ac:dyDescent="0.3">
      <c r="A32" s="156">
        <v>43887</v>
      </c>
      <c r="B32" s="157">
        <v>6196</v>
      </c>
      <c r="C32" s="97">
        <v>1239.9000000000001</v>
      </c>
      <c r="D32" s="158"/>
      <c r="E32" s="97"/>
      <c r="F32" s="155">
        <f t="shared" si="0"/>
        <v>107291.09999999999</v>
      </c>
    </row>
    <row r="33" spans="1:6" x14ac:dyDescent="0.3">
      <c r="A33" s="156">
        <v>43887</v>
      </c>
      <c r="B33" s="157">
        <v>6198</v>
      </c>
      <c r="C33" s="97">
        <v>129872.43</v>
      </c>
      <c r="D33" s="158"/>
      <c r="E33" s="97"/>
      <c r="F33" s="155">
        <f t="shared" si="0"/>
        <v>237163.52999999997</v>
      </c>
    </row>
    <row r="34" spans="1:6" x14ac:dyDescent="0.3">
      <c r="A34" s="156">
        <v>43888</v>
      </c>
      <c r="B34" s="157">
        <v>6265</v>
      </c>
      <c r="C34" s="97">
        <v>65799.55</v>
      </c>
      <c r="D34" s="158">
        <v>43889</v>
      </c>
      <c r="E34" s="97">
        <v>302963.08</v>
      </c>
      <c r="F34" s="155">
        <f t="shared" si="0"/>
        <v>0</v>
      </c>
    </row>
    <row r="35" spans="1:6" x14ac:dyDescent="0.3">
      <c r="A35" s="156">
        <v>43889</v>
      </c>
      <c r="B35" s="157">
        <v>6449</v>
      </c>
      <c r="C35" s="97">
        <v>32266.799999999999</v>
      </c>
      <c r="D35" s="158"/>
      <c r="E35" s="97"/>
      <c r="F35" s="155">
        <f t="shared" si="0"/>
        <v>32266.799999999999</v>
      </c>
    </row>
    <row r="36" spans="1:6" x14ac:dyDescent="0.3">
      <c r="A36" s="156">
        <v>43889</v>
      </c>
      <c r="B36" s="157">
        <v>6456</v>
      </c>
      <c r="C36" s="97">
        <v>61649.52</v>
      </c>
      <c r="D36" s="158"/>
      <c r="E36" s="97"/>
      <c r="F36" s="155">
        <f t="shared" si="0"/>
        <v>93916.319999999992</v>
      </c>
    </row>
    <row r="37" spans="1:6" x14ac:dyDescent="0.3">
      <c r="A37" s="156">
        <v>43889</v>
      </c>
      <c r="B37" s="157">
        <v>6468</v>
      </c>
      <c r="C37" s="97">
        <v>48393.45</v>
      </c>
      <c r="D37" s="158"/>
      <c r="E37" s="97"/>
      <c r="F37" s="155">
        <f t="shared" si="0"/>
        <v>142309.76999999999</v>
      </c>
    </row>
    <row r="38" spans="1:6" x14ac:dyDescent="0.3">
      <c r="A38" s="156">
        <v>43889</v>
      </c>
      <c r="B38" s="157">
        <v>6469</v>
      </c>
      <c r="C38" s="97">
        <v>976.8</v>
      </c>
      <c r="D38" s="158"/>
      <c r="E38" s="97"/>
      <c r="F38" s="155">
        <f t="shared" si="0"/>
        <v>143286.56999999998</v>
      </c>
    </row>
    <row r="39" spans="1:6" x14ac:dyDescent="0.3">
      <c r="A39" s="156">
        <v>43890</v>
      </c>
      <c r="B39" s="157">
        <v>6563</v>
      </c>
      <c r="C39" s="97">
        <v>63781.2</v>
      </c>
      <c r="D39" s="158"/>
      <c r="E39" s="97"/>
      <c r="F39" s="155">
        <f t="shared" si="0"/>
        <v>207067.76999999996</v>
      </c>
    </row>
    <row r="40" spans="1:6" x14ac:dyDescent="0.3">
      <c r="A40" s="156">
        <v>43890</v>
      </c>
      <c r="B40" s="157">
        <v>6591</v>
      </c>
      <c r="C40" s="97">
        <v>46626</v>
      </c>
      <c r="D40" s="158"/>
      <c r="E40" s="97"/>
      <c r="F40" s="155">
        <f t="shared" si="0"/>
        <v>253693.76999999996</v>
      </c>
    </row>
    <row r="41" spans="1:6" x14ac:dyDescent="0.3">
      <c r="A41" s="156">
        <v>43893</v>
      </c>
      <c r="B41" s="157">
        <v>6825</v>
      </c>
      <c r="C41" s="97">
        <v>107181.42</v>
      </c>
      <c r="D41" s="158"/>
      <c r="E41" s="97"/>
      <c r="F41" s="155">
        <f t="shared" si="0"/>
        <v>360875.18999999994</v>
      </c>
    </row>
    <row r="42" spans="1:6" x14ac:dyDescent="0.3">
      <c r="A42" s="156">
        <v>43865</v>
      </c>
      <c r="B42" s="157">
        <v>6982</v>
      </c>
      <c r="C42" s="97">
        <v>134047.89000000001</v>
      </c>
      <c r="D42" s="158"/>
      <c r="E42" s="97"/>
      <c r="F42" s="155">
        <f t="shared" si="0"/>
        <v>494923.07999999996</v>
      </c>
    </row>
    <row r="43" spans="1:6" x14ac:dyDescent="0.3">
      <c r="A43" s="156">
        <v>43894</v>
      </c>
      <c r="B43" s="157">
        <v>6385</v>
      </c>
      <c r="C43" s="97">
        <v>490</v>
      </c>
      <c r="D43" s="158">
        <v>43897</v>
      </c>
      <c r="E43" s="97">
        <v>495413.08</v>
      </c>
      <c r="F43" s="155">
        <f t="shared" si="0"/>
        <v>0</v>
      </c>
    </row>
    <row r="44" spans="1:6" x14ac:dyDescent="0.3">
      <c r="A44" s="156"/>
      <c r="B44" s="157"/>
      <c r="C44" s="97">
        <v>0</v>
      </c>
      <c r="D44" s="158"/>
      <c r="E44" s="97"/>
      <c r="F44" s="155">
        <f t="shared" si="0"/>
        <v>0</v>
      </c>
    </row>
    <row r="45" spans="1:6" x14ac:dyDescent="0.3">
      <c r="A45" s="156"/>
      <c r="B45" s="157"/>
      <c r="C45" s="97">
        <v>0</v>
      </c>
      <c r="D45" s="158"/>
      <c r="E45" s="97"/>
      <c r="F45" s="155">
        <f t="shared" si="0"/>
        <v>0</v>
      </c>
    </row>
    <row r="46" spans="1:6" x14ac:dyDescent="0.3">
      <c r="A46" s="156"/>
      <c r="B46" s="157"/>
      <c r="C46" s="97">
        <v>0</v>
      </c>
      <c r="D46" s="158"/>
      <c r="E46" s="97"/>
      <c r="F46" s="155">
        <f t="shared" si="0"/>
        <v>0</v>
      </c>
    </row>
    <row r="47" spans="1:6" x14ac:dyDescent="0.3">
      <c r="A47" s="156"/>
      <c r="B47" s="157"/>
      <c r="C47" s="97">
        <v>0</v>
      </c>
      <c r="D47" s="158"/>
      <c r="E47" s="97"/>
      <c r="F47" s="155">
        <f t="shared" si="0"/>
        <v>0</v>
      </c>
    </row>
    <row r="48" spans="1:6" x14ac:dyDescent="0.3">
      <c r="A48" s="156"/>
      <c r="B48" s="157"/>
      <c r="C48" s="97">
        <v>0</v>
      </c>
      <c r="D48" s="158"/>
      <c r="E48" s="97"/>
      <c r="F48" s="155">
        <f t="shared" si="0"/>
        <v>0</v>
      </c>
    </row>
    <row r="49" spans="1:6" x14ac:dyDescent="0.3">
      <c r="A49" s="156"/>
      <c r="B49" s="157"/>
      <c r="C49" s="97">
        <v>0</v>
      </c>
      <c r="D49" s="158"/>
      <c r="E49" s="97"/>
      <c r="F49" s="155">
        <f t="shared" si="0"/>
        <v>0</v>
      </c>
    </row>
    <row r="50" spans="1:6" ht="15" thickBot="1" x14ac:dyDescent="0.35">
      <c r="A50" s="159"/>
      <c r="B50" s="160"/>
      <c r="C50" s="161">
        <v>0</v>
      </c>
      <c r="D50" s="162"/>
      <c r="E50" s="161"/>
      <c r="F50" s="155">
        <f t="shared" si="0"/>
        <v>0</v>
      </c>
    </row>
    <row r="51" spans="1:6" ht="18.600000000000001" thickTop="1" x14ac:dyDescent="0.35">
      <c r="B51" s="65"/>
      <c r="C51" s="4">
        <f>SUM(C3:C50)</f>
        <v>2289599.25</v>
      </c>
      <c r="D51" s="1"/>
      <c r="E51" s="4">
        <f>SUM(E3:E50)</f>
        <v>2289599.25</v>
      </c>
      <c r="F51" s="163">
        <f>F50</f>
        <v>0</v>
      </c>
    </row>
    <row r="52" spans="1:6" x14ac:dyDescent="0.3">
      <c r="B52" s="65"/>
      <c r="C52" s="4"/>
      <c r="D52" s="1"/>
      <c r="E52" s="5"/>
      <c r="F52" s="4"/>
    </row>
    <row r="53" spans="1:6" x14ac:dyDescent="0.3">
      <c r="B53" s="65"/>
      <c r="C53" s="4"/>
      <c r="D53" s="1"/>
      <c r="E53" s="5"/>
      <c r="F53" s="4"/>
    </row>
    <row r="54" spans="1:6" x14ac:dyDescent="0.3">
      <c r="A54"/>
      <c r="B54" s="23"/>
      <c r="D54" s="23"/>
    </row>
    <row r="55" spans="1:6" x14ac:dyDescent="0.3">
      <c r="A55"/>
      <c r="B55" s="23"/>
      <c r="D55" s="23"/>
    </row>
    <row r="56" spans="1:6" x14ac:dyDescent="0.3">
      <c r="A56"/>
      <c r="B56" s="23"/>
      <c r="D56" s="23"/>
    </row>
    <row r="57" spans="1:6" x14ac:dyDescent="0.3">
      <c r="A57"/>
      <c r="B57" s="23"/>
      <c r="D57" s="23"/>
      <c r="F57"/>
    </row>
    <row r="58" spans="1:6" x14ac:dyDescent="0.3">
      <c r="A58"/>
      <c r="B58" s="23"/>
      <c r="D58" s="23"/>
      <c r="F58"/>
    </row>
    <row r="59" spans="1:6" x14ac:dyDescent="0.3">
      <c r="A59"/>
      <c r="B59" s="23"/>
      <c r="D59" s="23"/>
      <c r="F59"/>
    </row>
    <row r="60" spans="1:6" x14ac:dyDescent="0.3">
      <c r="A60"/>
      <c r="B60" s="23"/>
      <c r="D60" s="23"/>
      <c r="F60"/>
    </row>
    <row r="61" spans="1:6" x14ac:dyDescent="0.3">
      <c r="A61"/>
      <c r="B61" s="23"/>
      <c r="D61" s="23"/>
      <c r="F61"/>
    </row>
    <row r="62" spans="1:6" x14ac:dyDescent="0.3">
      <c r="A62"/>
      <c r="B62" s="23"/>
      <c r="D62" s="23"/>
      <c r="F62"/>
    </row>
    <row r="63" spans="1:6" x14ac:dyDescent="0.3">
      <c r="A63"/>
      <c r="B63" s="23"/>
      <c r="D63" s="23"/>
      <c r="F63"/>
    </row>
    <row r="64" spans="1:6" x14ac:dyDescent="0.3">
      <c r="A64"/>
      <c r="B64" s="23"/>
      <c r="D64" s="23"/>
      <c r="F64"/>
    </row>
    <row r="65" spans="1:6" x14ac:dyDescent="0.3">
      <c r="A65"/>
      <c r="B65" s="23"/>
      <c r="D65" s="23"/>
      <c r="F65"/>
    </row>
    <row r="66" spans="1:6" x14ac:dyDescent="0.3">
      <c r="A66"/>
      <c r="B66" s="23"/>
      <c r="D66" s="23"/>
      <c r="E66"/>
      <c r="F66"/>
    </row>
    <row r="67" spans="1:6" x14ac:dyDescent="0.3">
      <c r="A67"/>
      <c r="B67" s="23"/>
      <c r="D67" s="23"/>
      <c r="E67"/>
      <c r="F67"/>
    </row>
    <row r="68" spans="1:6" x14ac:dyDescent="0.3">
      <c r="A68"/>
      <c r="B68" s="23"/>
      <c r="D68" s="23"/>
      <c r="E68"/>
      <c r="F68"/>
    </row>
    <row r="69" spans="1:6" x14ac:dyDescent="0.3">
      <c r="A69"/>
      <c r="B69" s="23"/>
      <c r="D69" s="23"/>
      <c r="E69"/>
      <c r="F69"/>
    </row>
    <row r="70" spans="1:6" x14ac:dyDescent="0.3">
      <c r="A70"/>
      <c r="B70" s="23"/>
      <c r="D70" s="23"/>
      <c r="E70"/>
      <c r="F70"/>
    </row>
    <row r="71" spans="1:6" x14ac:dyDescent="0.3">
      <c r="A71"/>
      <c r="B71" s="23"/>
      <c r="D71" s="23"/>
      <c r="E71"/>
      <c r="F71"/>
    </row>
    <row r="72" spans="1:6" x14ac:dyDescent="0.3">
      <c r="B72" s="23"/>
      <c r="D72" s="23"/>
      <c r="E72"/>
    </row>
    <row r="73" spans="1:6" x14ac:dyDescent="0.3">
      <c r="B73" s="23"/>
      <c r="D73" s="23"/>
      <c r="E73"/>
    </row>
    <row r="74" spans="1:6" x14ac:dyDescent="0.3">
      <c r="B74" s="23"/>
      <c r="D74" s="23"/>
      <c r="E74"/>
    </row>
    <row r="75" spans="1:6" x14ac:dyDescent="0.3">
      <c r="B75" s="23"/>
      <c r="D75" s="23"/>
      <c r="E75"/>
    </row>
    <row r="76" spans="1:6" x14ac:dyDescent="0.3">
      <c r="B76" s="23"/>
      <c r="D76" s="23"/>
      <c r="E76"/>
    </row>
    <row r="77" spans="1:6" x14ac:dyDescent="0.3">
      <c r="B77" s="23"/>
      <c r="D77" s="23"/>
      <c r="E77"/>
    </row>
    <row r="78" spans="1:6" x14ac:dyDescent="0.3">
      <c r="B78" s="23"/>
      <c r="D78" s="23"/>
      <c r="E78"/>
    </row>
    <row r="79" spans="1:6" x14ac:dyDescent="0.3">
      <c r="B79" s="23"/>
      <c r="D79" s="23"/>
      <c r="E79"/>
    </row>
    <row r="80" spans="1:6" x14ac:dyDescent="0.3">
      <c r="B80" s="23"/>
      <c r="D80" s="23"/>
      <c r="E80"/>
    </row>
    <row r="81" spans="2:4" x14ac:dyDescent="0.3">
      <c r="B81" s="23"/>
    </row>
    <row r="82" spans="2:4" x14ac:dyDescent="0.3">
      <c r="B82" s="23"/>
    </row>
    <row r="83" spans="2:4" x14ac:dyDescent="0.3">
      <c r="B83" s="23"/>
      <c r="D83" s="23"/>
    </row>
    <row r="84" spans="2:4" x14ac:dyDescent="0.3">
      <c r="B84" s="23"/>
    </row>
    <row r="85" spans="2:4" x14ac:dyDescent="0.3">
      <c r="B85" s="23"/>
    </row>
    <row r="86" spans="2:4" x14ac:dyDescent="0.3">
      <c r="B86" s="23"/>
    </row>
    <row r="87" spans="2:4" ht="18" x14ac:dyDescent="0.35">
      <c r="C87" s="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AB-0A56-47D7-98DF-CF0E69EDFC51}">
  <sheetPr>
    <tabColor rgb="FFFF00FF"/>
  </sheetPr>
  <dimension ref="A1:O78"/>
  <sheetViews>
    <sheetView topLeftCell="A25" workbookViewId="0">
      <selection activeCell="G19" sqref="G19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2.109375" style="13" customWidth="1"/>
    <col min="10" max="10" width="11.6640625" style="13" customWidth="1"/>
    <col min="11" max="11" width="17.33203125" customWidth="1"/>
    <col min="12" max="12" width="14.5546875" customWidth="1"/>
    <col min="13" max="13" width="18.109375" style="13" customWidth="1"/>
    <col min="14" max="14" width="14.44140625" style="4" customWidth="1"/>
    <col min="15" max="15" width="8.44140625" style="4" customWidth="1"/>
  </cols>
  <sheetData>
    <row r="1" spans="1:15" ht="23.4" x14ac:dyDescent="0.45">
      <c r="C1" s="592" t="s">
        <v>0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8" x14ac:dyDescent="0.35">
      <c r="C2" s="5"/>
      <c r="E2" s="620" t="s">
        <v>135</v>
      </c>
      <c r="F2" s="620"/>
      <c r="H2" s="184" t="s">
        <v>1</v>
      </c>
      <c r="I2" s="3"/>
      <c r="J2" s="3"/>
      <c r="M2" s="3"/>
      <c r="N2" s="56"/>
      <c r="O2" s="56"/>
    </row>
    <row r="3" spans="1:15" ht="18.600000000000001" thickBot="1" x14ac:dyDescent="0.4">
      <c r="B3" s="593" t="s">
        <v>2</v>
      </c>
      <c r="C3" s="594"/>
      <c r="D3" s="12"/>
      <c r="E3" s="621"/>
      <c r="F3" s="621"/>
      <c r="I3" s="185" t="s">
        <v>3</v>
      </c>
      <c r="J3" s="186"/>
      <c r="K3" s="187" t="s">
        <v>136</v>
      </c>
      <c r="L3" s="187"/>
    </row>
    <row r="4" spans="1:15" ht="19.2" thickTop="1" thickBot="1" x14ac:dyDescent="0.4">
      <c r="A4" s="16" t="s">
        <v>5</v>
      </c>
      <c r="B4" s="17"/>
      <c r="C4" s="18">
        <v>364365.66</v>
      </c>
      <c r="D4" s="188">
        <v>43895</v>
      </c>
      <c r="E4" s="595" t="s">
        <v>6</v>
      </c>
      <c r="F4" s="596"/>
      <c r="H4" s="597" t="s">
        <v>7</v>
      </c>
      <c r="I4" s="598"/>
      <c r="J4" s="20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">
        <v>43896</v>
      </c>
      <c r="C5" s="25">
        <v>2567</v>
      </c>
      <c r="D5" s="26" t="s">
        <v>19</v>
      </c>
      <c r="E5" s="27">
        <v>43896</v>
      </c>
      <c r="F5" s="28">
        <v>93525</v>
      </c>
      <c r="H5" s="29">
        <v>43896</v>
      </c>
      <c r="I5" s="30">
        <v>14659</v>
      </c>
      <c r="M5" s="31">
        <v>74142</v>
      </c>
      <c r="N5" s="32">
        <v>662</v>
      </c>
      <c r="O5" s="91"/>
    </row>
    <row r="6" spans="1:15" ht="15" thickBot="1" x14ac:dyDescent="0.35">
      <c r="A6" s="23"/>
      <c r="B6" s="24">
        <v>43897</v>
      </c>
      <c r="C6" s="25">
        <v>2368</v>
      </c>
      <c r="D6" s="33" t="s">
        <v>39</v>
      </c>
      <c r="E6" s="27">
        <v>43897</v>
      </c>
      <c r="F6" s="28">
        <v>112022</v>
      </c>
      <c r="H6" s="29">
        <v>43897</v>
      </c>
      <c r="I6" s="34">
        <v>130.53</v>
      </c>
      <c r="J6" s="35"/>
      <c r="K6" s="36"/>
      <c r="L6" s="37"/>
      <c r="M6" s="31">
        <v>100685</v>
      </c>
      <c r="N6" s="32">
        <v>3598</v>
      </c>
      <c r="O6" s="91" t="s">
        <v>10</v>
      </c>
    </row>
    <row r="7" spans="1:15" ht="16.2" thickBot="1" x14ac:dyDescent="0.35">
      <c r="A7" s="23"/>
      <c r="B7" s="24">
        <v>43898</v>
      </c>
      <c r="C7" s="25">
        <v>1938</v>
      </c>
      <c r="D7" s="38" t="s">
        <v>11</v>
      </c>
      <c r="E7" s="27">
        <v>43898</v>
      </c>
      <c r="F7" s="28">
        <v>107431</v>
      </c>
      <c r="H7" s="29">
        <v>43898</v>
      </c>
      <c r="I7" s="34">
        <v>95.75</v>
      </c>
      <c r="J7" s="39"/>
      <c r="K7" s="40" t="s">
        <v>13</v>
      </c>
      <c r="L7" s="41">
        <v>0</v>
      </c>
      <c r="M7" s="31">
        <v>101166</v>
      </c>
      <c r="N7" s="32">
        <v>4232</v>
      </c>
      <c r="O7" s="91"/>
    </row>
    <row r="8" spans="1:15" ht="16.2" thickBot="1" x14ac:dyDescent="0.35">
      <c r="A8" s="23"/>
      <c r="B8" s="24">
        <v>43899</v>
      </c>
      <c r="C8" s="25">
        <v>12249</v>
      </c>
      <c r="D8" s="42" t="s">
        <v>137</v>
      </c>
      <c r="E8" s="27">
        <v>43899</v>
      </c>
      <c r="F8" s="28">
        <v>81389</v>
      </c>
      <c r="H8" s="29">
        <v>43899</v>
      </c>
      <c r="I8" s="34">
        <v>0</v>
      </c>
      <c r="J8" s="47">
        <v>43917</v>
      </c>
      <c r="K8" s="44" t="s">
        <v>15</v>
      </c>
      <c r="L8" s="45">
        <v>23484</v>
      </c>
      <c r="M8" s="31">
        <v>66222</v>
      </c>
      <c r="N8" s="32">
        <v>2918</v>
      </c>
      <c r="O8" s="91"/>
    </row>
    <row r="9" spans="1:15" ht="16.2" thickBot="1" x14ac:dyDescent="0.35">
      <c r="A9" s="23"/>
      <c r="B9" s="24">
        <v>43900</v>
      </c>
      <c r="C9" s="25">
        <v>15956</v>
      </c>
      <c r="D9" s="46" t="s">
        <v>138</v>
      </c>
      <c r="E9" s="27">
        <v>43900</v>
      </c>
      <c r="F9" s="28">
        <v>65940</v>
      </c>
      <c r="H9" s="29">
        <v>43900</v>
      </c>
      <c r="I9" s="34">
        <v>114</v>
      </c>
      <c r="J9" s="47">
        <v>43920</v>
      </c>
      <c r="K9" s="48" t="s">
        <v>17</v>
      </c>
      <c r="L9" s="49">
        <v>20000</v>
      </c>
      <c r="M9" s="31">
        <v>49557</v>
      </c>
      <c r="N9" s="32">
        <v>313</v>
      </c>
      <c r="O9" s="91"/>
    </row>
    <row r="10" spans="1:15" ht="16.2" thickBot="1" x14ac:dyDescent="0.35">
      <c r="A10" s="23"/>
      <c r="B10" s="24">
        <v>43901</v>
      </c>
      <c r="C10" s="25">
        <v>2400</v>
      </c>
      <c r="D10" s="33" t="s">
        <v>139</v>
      </c>
      <c r="E10" s="27">
        <v>43901</v>
      </c>
      <c r="F10" s="28">
        <v>74179</v>
      </c>
      <c r="H10" s="29">
        <v>43901</v>
      </c>
      <c r="I10" s="34">
        <v>0</v>
      </c>
      <c r="J10" s="50"/>
      <c r="K10" s="51"/>
      <c r="L10" s="52"/>
      <c r="M10" s="31">
        <f>64432+18192.5</f>
        <v>82624.5</v>
      </c>
      <c r="N10" s="32">
        <v>1895</v>
      </c>
      <c r="O10" s="91"/>
    </row>
    <row r="11" spans="1:15" ht="15" thickBot="1" x14ac:dyDescent="0.35">
      <c r="A11" s="23"/>
      <c r="B11" s="24">
        <v>43902</v>
      </c>
      <c r="C11" s="25">
        <v>4852</v>
      </c>
      <c r="D11" s="33" t="s">
        <v>140</v>
      </c>
      <c r="E11" s="27">
        <v>43902</v>
      </c>
      <c r="F11" s="28">
        <v>59539</v>
      </c>
      <c r="H11" s="29">
        <v>43902</v>
      </c>
      <c r="I11" s="34">
        <v>250</v>
      </c>
      <c r="J11" s="53"/>
      <c r="K11" s="54"/>
      <c r="L11" s="52"/>
      <c r="M11" s="31">
        <v>53273</v>
      </c>
      <c r="N11" s="32">
        <v>1164</v>
      </c>
      <c r="O11" s="91"/>
    </row>
    <row r="12" spans="1:15" ht="15" thickBot="1" x14ac:dyDescent="0.35">
      <c r="A12" s="23"/>
      <c r="B12" s="24">
        <v>43903</v>
      </c>
      <c r="C12" s="25">
        <v>12830</v>
      </c>
      <c r="D12" s="33" t="s">
        <v>141</v>
      </c>
      <c r="E12" s="27">
        <v>43903</v>
      </c>
      <c r="F12" s="28">
        <v>105602</v>
      </c>
      <c r="H12" s="29">
        <v>43903</v>
      </c>
      <c r="I12" s="34">
        <v>12050</v>
      </c>
      <c r="J12" s="55">
        <v>43896</v>
      </c>
      <c r="K12" s="48" t="s">
        <v>28</v>
      </c>
      <c r="L12" s="52">
        <v>300</v>
      </c>
      <c r="M12" s="31">
        <v>76891</v>
      </c>
      <c r="N12" s="32">
        <v>3831</v>
      </c>
      <c r="O12" s="91"/>
    </row>
    <row r="13" spans="1:15" ht="15" thickBot="1" x14ac:dyDescent="0.35">
      <c r="A13" s="23"/>
      <c r="B13" s="24">
        <v>43904</v>
      </c>
      <c r="C13" s="25">
        <v>1672</v>
      </c>
      <c r="D13" s="42" t="s">
        <v>29</v>
      </c>
      <c r="E13" s="27">
        <v>43904</v>
      </c>
      <c r="F13" s="28">
        <v>140032</v>
      </c>
      <c r="H13" s="29">
        <v>43904</v>
      </c>
      <c r="I13" s="34">
        <v>0</v>
      </c>
      <c r="J13" s="55">
        <v>43897</v>
      </c>
      <c r="K13" s="48" t="s">
        <v>26</v>
      </c>
      <c r="L13" s="52">
        <f>14999.37+400+4000</f>
        <v>19399.370000000003</v>
      </c>
      <c r="M13" s="31">
        <v>119896</v>
      </c>
      <c r="N13" s="32">
        <v>7615</v>
      </c>
      <c r="O13" s="91"/>
    </row>
    <row r="14" spans="1:15" ht="15" thickBot="1" x14ac:dyDescent="0.35">
      <c r="A14" s="23"/>
      <c r="B14" s="24">
        <v>43905</v>
      </c>
      <c r="C14" s="25">
        <v>6794</v>
      </c>
      <c r="D14" s="38" t="s">
        <v>142</v>
      </c>
      <c r="E14" s="27">
        <v>43905</v>
      </c>
      <c r="F14" s="28">
        <v>105562</v>
      </c>
      <c r="H14" s="29">
        <v>43905</v>
      </c>
      <c r="I14" s="34">
        <v>0</v>
      </c>
      <c r="J14" s="55">
        <v>43904</v>
      </c>
      <c r="K14" s="48" t="s">
        <v>143</v>
      </c>
      <c r="L14" s="52">
        <f>15327.94+400+4000</f>
        <v>19727.940000000002</v>
      </c>
      <c r="M14" s="31">
        <v>95097</v>
      </c>
      <c r="N14" s="32">
        <v>3671</v>
      </c>
      <c r="O14" s="91"/>
    </row>
    <row r="15" spans="1:15" ht="15" thickBot="1" x14ac:dyDescent="0.35">
      <c r="A15" s="23"/>
      <c r="B15" s="24">
        <v>43906</v>
      </c>
      <c r="C15" s="25">
        <v>1302</v>
      </c>
      <c r="D15" s="33" t="s">
        <v>19</v>
      </c>
      <c r="E15" s="27">
        <v>43906</v>
      </c>
      <c r="F15" s="28">
        <v>93609</v>
      </c>
      <c r="H15" s="29">
        <v>43906</v>
      </c>
      <c r="I15" s="34">
        <v>0</v>
      </c>
      <c r="J15" s="55">
        <v>43911</v>
      </c>
      <c r="K15" s="48" t="s">
        <v>144</v>
      </c>
      <c r="L15" s="52">
        <f>15387.83+400+4000</f>
        <v>19787.830000000002</v>
      </c>
      <c r="M15" s="31">
        <v>87646</v>
      </c>
      <c r="N15" s="32">
        <v>4661</v>
      </c>
      <c r="O15" s="91"/>
    </row>
    <row r="16" spans="1:15" ht="15" thickBot="1" x14ac:dyDescent="0.35">
      <c r="A16" s="23"/>
      <c r="B16" s="24">
        <v>43907</v>
      </c>
      <c r="C16" s="25">
        <v>12675</v>
      </c>
      <c r="D16" s="33" t="s">
        <v>71</v>
      </c>
      <c r="E16" s="27">
        <v>43907</v>
      </c>
      <c r="F16" s="28">
        <v>71910</v>
      </c>
      <c r="H16" s="29">
        <v>43907</v>
      </c>
      <c r="I16" s="34">
        <v>76</v>
      </c>
      <c r="J16" s="55">
        <v>43918</v>
      </c>
      <c r="K16" s="48" t="s">
        <v>145</v>
      </c>
      <c r="L16" s="56">
        <f>13441.57+400+4000</f>
        <v>17841.57</v>
      </c>
      <c r="M16" s="31">
        <v>57332</v>
      </c>
      <c r="N16" s="32">
        <v>1827</v>
      </c>
      <c r="O16" s="91"/>
    </row>
    <row r="17" spans="1:15" ht="15" thickBot="1" x14ac:dyDescent="0.35">
      <c r="A17" s="23"/>
      <c r="B17" s="24">
        <v>43908</v>
      </c>
      <c r="C17" s="25">
        <v>1868</v>
      </c>
      <c r="D17" s="42" t="s">
        <v>146</v>
      </c>
      <c r="E17" s="27">
        <v>43908</v>
      </c>
      <c r="F17" s="28">
        <v>83114</v>
      </c>
      <c r="H17" s="29">
        <v>43908</v>
      </c>
      <c r="I17" s="34">
        <v>2000</v>
      </c>
      <c r="J17" s="57">
        <v>43925</v>
      </c>
      <c r="K17" s="48" t="s">
        <v>147</v>
      </c>
      <c r="L17" s="58">
        <f>15048.57+400+4000</f>
        <v>19448.57</v>
      </c>
      <c r="M17" s="31">
        <v>77484</v>
      </c>
      <c r="N17" s="32">
        <v>1762</v>
      </c>
      <c r="O17" s="91"/>
    </row>
    <row r="18" spans="1:15" ht="15" thickBot="1" x14ac:dyDescent="0.35">
      <c r="A18" s="23"/>
      <c r="B18" s="24">
        <v>43909</v>
      </c>
      <c r="C18" s="25">
        <v>1767</v>
      </c>
      <c r="D18" s="33" t="s">
        <v>39</v>
      </c>
      <c r="E18" s="27">
        <v>43909</v>
      </c>
      <c r="F18" s="28">
        <v>74875</v>
      </c>
      <c r="H18" s="29">
        <v>43909</v>
      </c>
      <c r="I18" s="34">
        <v>0</v>
      </c>
      <c r="J18" s="57"/>
      <c r="K18" s="59"/>
      <c r="L18" s="52"/>
      <c r="M18" s="31">
        <v>70484</v>
      </c>
      <c r="N18" s="32">
        <v>2624</v>
      </c>
      <c r="O18" s="91"/>
    </row>
    <row r="19" spans="1:15" ht="15" thickBot="1" x14ac:dyDescent="0.35">
      <c r="A19" s="23"/>
      <c r="B19" s="24">
        <v>43910</v>
      </c>
      <c r="C19" s="25">
        <v>24587</v>
      </c>
      <c r="D19" s="33" t="s">
        <v>148</v>
      </c>
      <c r="E19" s="27">
        <v>43910</v>
      </c>
      <c r="F19" s="28">
        <v>99486</v>
      </c>
      <c r="H19" s="29">
        <v>43910</v>
      </c>
      <c r="I19" s="34">
        <v>0</v>
      </c>
      <c r="J19" s="57"/>
      <c r="K19" s="60"/>
      <c r="L19" s="61"/>
      <c r="M19" s="31">
        <v>70171</v>
      </c>
      <c r="N19" s="32">
        <v>4728</v>
      </c>
      <c r="O19" s="91" t="s">
        <v>10</v>
      </c>
    </row>
    <row r="20" spans="1:15" ht="15" thickBot="1" x14ac:dyDescent="0.35">
      <c r="A20" s="23"/>
      <c r="B20" s="24">
        <v>43911</v>
      </c>
      <c r="C20" s="25">
        <v>2303</v>
      </c>
      <c r="D20" s="33" t="s">
        <v>149</v>
      </c>
      <c r="E20" s="27">
        <v>43911</v>
      </c>
      <c r="F20" s="28">
        <v>140852</v>
      </c>
      <c r="H20" s="29">
        <v>43911</v>
      </c>
      <c r="I20" s="34">
        <v>250</v>
      </c>
      <c r="J20" s="55"/>
      <c r="K20" s="62"/>
      <c r="L20" s="58"/>
      <c r="M20" s="31">
        <v>118978</v>
      </c>
      <c r="N20" s="32">
        <v>8260</v>
      </c>
      <c r="O20" s="91"/>
    </row>
    <row r="21" spans="1:15" ht="16.2" thickBot="1" x14ac:dyDescent="0.35">
      <c r="A21" s="23"/>
      <c r="B21" s="24">
        <v>43912</v>
      </c>
      <c r="C21" s="25">
        <v>4929</v>
      </c>
      <c r="D21" s="33" t="s">
        <v>150</v>
      </c>
      <c r="E21" s="27">
        <v>43912</v>
      </c>
      <c r="F21" s="28">
        <v>131316</v>
      </c>
      <c r="H21" s="29">
        <v>43912</v>
      </c>
      <c r="I21" s="34">
        <v>800</v>
      </c>
      <c r="J21" s="57"/>
      <c r="K21" s="63"/>
      <c r="L21" s="58"/>
      <c r="M21" s="31">
        <v>121395</v>
      </c>
      <c r="N21" s="32">
        <v>4192</v>
      </c>
      <c r="O21" s="91"/>
    </row>
    <row r="22" spans="1:15" ht="15" thickBot="1" x14ac:dyDescent="0.35">
      <c r="A22" s="23"/>
      <c r="B22" s="24">
        <v>43913</v>
      </c>
      <c r="C22" s="25">
        <v>15643</v>
      </c>
      <c r="D22" s="33" t="s">
        <v>151</v>
      </c>
      <c r="E22" s="27">
        <v>43913</v>
      </c>
      <c r="F22" s="28">
        <v>77087</v>
      </c>
      <c r="H22" s="29">
        <v>43913</v>
      </c>
      <c r="I22" s="34">
        <v>120</v>
      </c>
      <c r="J22" s="64">
        <v>43896</v>
      </c>
      <c r="K22" s="65" t="s">
        <v>152</v>
      </c>
      <c r="L22" s="66">
        <v>1195</v>
      </c>
      <c r="M22" s="31">
        <v>57526</v>
      </c>
      <c r="N22" s="32">
        <v>3798</v>
      </c>
      <c r="O22" s="91"/>
    </row>
    <row r="23" spans="1:15" ht="15" thickBot="1" x14ac:dyDescent="0.35">
      <c r="A23" s="23"/>
      <c r="B23" s="24">
        <v>43914</v>
      </c>
      <c r="C23" s="25">
        <v>2072</v>
      </c>
      <c r="D23" s="33" t="s">
        <v>153</v>
      </c>
      <c r="E23" s="27">
        <v>43914</v>
      </c>
      <c r="F23" s="28">
        <v>79388</v>
      </c>
      <c r="H23" s="29">
        <v>43914</v>
      </c>
      <c r="I23" s="34">
        <v>114</v>
      </c>
      <c r="J23" s="67"/>
      <c r="K23" s="68"/>
      <c r="L23" s="58"/>
      <c r="M23" s="31">
        <v>75294</v>
      </c>
      <c r="N23" s="32">
        <v>1908</v>
      </c>
      <c r="O23" s="91"/>
    </row>
    <row r="24" spans="1:15" ht="15" thickBot="1" x14ac:dyDescent="0.35">
      <c r="A24" s="23"/>
      <c r="B24" s="24">
        <v>43915</v>
      </c>
      <c r="C24" s="25">
        <v>19448.5</v>
      </c>
      <c r="D24" s="33" t="s">
        <v>148</v>
      </c>
      <c r="E24" s="27">
        <v>43915</v>
      </c>
      <c r="F24" s="28">
        <v>71607</v>
      </c>
      <c r="H24" s="29">
        <v>43915</v>
      </c>
      <c r="I24" s="34">
        <v>0</v>
      </c>
      <c r="J24" s="69"/>
      <c r="K24" s="70"/>
      <c r="L24" s="71"/>
      <c r="M24" s="31">
        <v>48563.5</v>
      </c>
      <c r="N24" s="32">
        <v>3595</v>
      </c>
      <c r="O24" s="91"/>
    </row>
    <row r="25" spans="1:15" ht="15" thickBot="1" x14ac:dyDescent="0.35">
      <c r="A25" s="23"/>
      <c r="B25" s="24">
        <v>43916</v>
      </c>
      <c r="C25" s="25">
        <v>3410</v>
      </c>
      <c r="D25" s="33" t="s">
        <v>154</v>
      </c>
      <c r="E25" s="27">
        <v>43916</v>
      </c>
      <c r="F25" s="28">
        <v>58924</v>
      </c>
      <c r="H25" s="29">
        <v>43916</v>
      </c>
      <c r="I25" s="34">
        <v>5010</v>
      </c>
      <c r="J25" s="72"/>
      <c r="K25" s="73"/>
      <c r="L25" s="74"/>
      <c r="M25" s="31">
        <f>45140+3485</f>
        <v>48625</v>
      </c>
      <c r="N25" s="32">
        <v>1879</v>
      </c>
      <c r="O25" s="91" t="s">
        <v>10</v>
      </c>
    </row>
    <row r="26" spans="1:15" ht="15" thickBot="1" x14ac:dyDescent="0.35">
      <c r="A26" s="23"/>
      <c r="B26" s="24">
        <v>43917</v>
      </c>
      <c r="C26" s="25">
        <v>3958</v>
      </c>
      <c r="D26" s="33" t="s">
        <v>155</v>
      </c>
      <c r="E26" s="27">
        <v>43917</v>
      </c>
      <c r="F26" s="28">
        <v>87194</v>
      </c>
      <c r="H26" s="29">
        <v>43917</v>
      </c>
      <c r="I26" s="34">
        <v>0</v>
      </c>
      <c r="J26" s="57"/>
      <c r="K26" s="75"/>
      <c r="L26" s="52"/>
      <c r="M26" s="31">
        <f>69835+10601</f>
        <v>80436</v>
      </c>
      <c r="N26" s="32">
        <v>2796</v>
      </c>
      <c r="O26" s="91"/>
    </row>
    <row r="27" spans="1:15" ht="15" thickBot="1" x14ac:dyDescent="0.35">
      <c r="A27" s="23"/>
      <c r="B27" s="24">
        <v>43918</v>
      </c>
      <c r="C27" s="25">
        <v>9980</v>
      </c>
      <c r="D27" s="33" t="s">
        <v>79</v>
      </c>
      <c r="E27" s="27">
        <v>43918</v>
      </c>
      <c r="F27" s="28">
        <v>132064</v>
      </c>
      <c r="H27" s="29">
        <v>43918</v>
      </c>
      <c r="I27" s="34">
        <v>15155</v>
      </c>
      <c r="J27" s="85" t="s">
        <v>156</v>
      </c>
      <c r="K27" s="86" t="s">
        <v>46</v>
      </c>
      <c r="L27" s="82">
        <v>1315.86</v>
      </c>
      <c r="M27" s="31">
        <v>92765</v>
      </c>
      <c r="N27" s="32">
        <v>4449</v>
      </c>
      <c r="O27" s="91"/>
    </row>
    <row r="28" spans="1:15" ht="16.2" thickBot="1" x14ac:dyDescent="0.35">
      <c r="A28" s="23"/>
      <c r="B28" s="24">
        <v>43919</v>
      </c>
      <c r="C28" s="189">
        <v>0</v>
      </c>
      <c r="D28" s="190" t="s">
        <v>157</v>
      </c>
      <c r="E28" s="27">
        <v>43919</v>
      </c>
      <c r="F28" s="191">
        <v>0</v>
      </c>
      <c r="H28" s="29">
        <v>43919</v>
      </c>
      <c r="I28" s="192">
        <v>0</v>
      </c>
      <c r="J28" s="85" t="s">
        <v>156</v>
      </c>
      <c r="K28" s="96" t="s">
        <v>158</v>
      </c>
      <c r="L28" s="82">
        <v>4753.2</v>
      </c>
      <c r="M28" s="193">
        <v>0</v>
      </c>
      <c r="N28" s="194">
        <v>0</v>
      </c>
      <c r="O28" s="91"/>
    </row>
    <row r="29" spans="1:15" ht="15" thickBot="1" x14ac:dyDescent="0.35">
      <c r="A29" s="23"/>
      <c r="B29" s="24">
        <v>43920</v>
      </c>
      <c r="C29" s="25">
        <v>6251</v>
      </c>
      <c r="D29" s="195" t="s">
        <v>159</v>
      </c>
      <c r="E29" s="196">
        <v>43920</v>
      </c>
      <c r="F29" s="28">
        <v>142734</v>
      </c>
      <c r="H29" s="29">
        <v>43920</v>
      </c>
      <c r="I29" s="34">
        <v>4200</v>
      </c>
      <c r="J29" s="85" t="s">
        <v>156</v>
      </c>
      <c r="K29" s="86" t="s">
        <v>160</v>
      </c>
      <c r="L29" s="82">
        <v>3636</v>
      </c>
      <c r="M29" s="31">
        <v>110000</v>
      </c>
      <c r="N29" s="32">
        <v>2298</v>
      </c>
      <c r="O29" s="91"/>
    </row>
    <row r="30" spans="1:15" ht="15" thickBot="1" x14ac:dyDescent="0.35">
      <c r="A30" s="23"/>
      <c r="B30" s="24">
        <v>43921</v>
      </c>
      <c r="C30" s="197">
        <v>15606</v>
      </c>
      <c r="D30" s="198" t="s">
        <v>148</v>
      </c>
      <c r="E30" s="196">
        <v>43921</v>
      </c>
      <c r="F30" s="28">
        <v>65762</v>
      </c>
      <c r="H30" s="29">
        <v>43921</v>
      </c>
      <c r="I30" s="199">
        <v>525</v>
      </c>
      <c r="J30" s="85" t="s">
        <v>156</v>
      </c>
      <c r="K30" s="200" t="s">
        <v>161</v>
      </c>
      <c r="L30" s="45">
        <v>2104.91</v>
      </c>
      <c r="M30" s="31">
        <v>44900</v>
      </c>
      <c r="N30" s="32">
        <v>4742</v>
      </c>
      <c r="O30" s="91"/>
    </row>
    <row r="31" spans="1:15" ht="15" thickBot="1" x14ac:dyDescent="0.35">
      <c r="A31" s="23"/>
      <c r="B31" s="24">
        <v>43922</v>
      </c>
      <c r="C31" s="201">
        <v>4289</v>
      </c>
      <c r="D31" s="198" t="s">
        <v>162</v>
      </c>
      <c r="E31" s="196">
        <v>43922</v>
      </c>
      <c r="F31" s="28">
        <v>64615</v>
      </c>
      <c r="H31" s="29">
        <v>43922</v>
      </c>
      <c r="I31" s="199">
        <v>4181</v>
      </c>
      <c r="J31" s="85" t="s">
        <v>156</v>
      </c>
      <c r="K31" s="96" t="s">
        <v>163</v>
      </c>
      <c r="L31" s="82">
        <v>3219.79</v>
      </c>
      <c r="M31" s="31">
        <v>53018</v>
      </c>
      <c r="N31" s="32">
        <v>3127</v>
      </c>
      <c r="O31" s="91"/>
    </row>
    <row r="32" spans="1:15" ht="15" thickBot="1" x14ac:dyDescent="0.35">
      <c r="A32" s="23"/>
      <c r="B32" s="24">
        <v>43923</v>
      </c>
      <c r="C32" s="201">
        <v>20009</v>
      </c>
      <c r="D32" s="198" t="s">
        <v>164</v>
      </c>
      <c r="E32" s="196">
        <v>43923</v>
      </c>
      <c r="F32" s="202">
        <v>66732</v>
      </c>
      <c r="H32" s="29">
        <v>43923</v>
      </c>
      <c r="I32" s="199">
        <v>0</v>
      </c>
      <c r="J32" s="85" t="s">
        <v>156</v>
      </c>
      <c r="K32" s="86" t="s">
        <v>165</v>
      </c>
      <c r="L32" s="82">
        <v>10000</v>
      </c>
      <c r="M32" s="203">
        <v>40576</v>
      </c>
      <c r="N32" s="32">
        <v>6147</v>
      </c>
      <c r="O32" s="204" t="s">
        <v>166</v>
      </c>
    </row>
    <row r="33" spans="1:15" ht="15" thickBot="1" x14ac:dyDescent="0.35">
      <c r="A33" s="23"/>
      <c r="B33" s="24">
        <v>43924</v>
      </c>
      <c r="C33" s="201">
        <v>11027.84</v>
      </c>
      <c r="D33" s="205" t="s">
        <v>167</v>
      </c>
      <c r="E33" s="206">
        <v>43924</v>
      </c>
      <c r="F33" s="97">
        <v>77182</v>
      </c>
      <c r="H33" s="29">
        <v>43924</v>
      </c>
      <c r="I33" s="199">
        <v>10020</v>
      </c>
      <c r="J33" s="85" t="s">
        <v>156</v>
      </c>
      <c r="K33" s="101" t="s">
        <v>168</v>
      </c>
      <c r="L33" s="82">
        <v>22305.960999999999</v>
      </c>
      <c r="M33" s="203">
        <v>50516</v>
      </c>
      <c r="N33" s="32">
        <v>5620</v>
      </c>
      <c r="O33" s="207" t="s">
        <v>166</v>
      </c>
    </row>
    <row r="34" spans="1:15" ht="15" thickBot="1" x14ac:dyDescent="0.35">
      <c r="A34" s="23"/>
      <c r="B34" s="24">
        <v>43925</v>
      </c>
      <c r="C34" s="201">
        <v>4502</v>
      </c>
      <c r="D34" s="208" t="s">
        <v>169</v>
      </c>
      <c r="E34" s="206">
        <v>43925</v>
      </c>
      <c r="F34" s="97">
        <v>106289</v>
      </c>
      <c r="H34" s="29">
        <v>43925</v>
      </c>
      <c r="I34" s="199">
        <v>0</v>
      </c>
      <c r="J34" s="85" t="s">
        <v>156</v>
      </c>
      <c r="K34" s="86" t="s">
        <v>170</v>
      </c>
      <c r="L34" s="82">
        <v>2506.1</v>
      </c>
      <c r="M34" s="203">
        <v>83206</v>
      </c>
      <c r="N34" s="32">
        <v>8011</v>
      </c>
      <c r="O34" s="207" t="s">
        <v>166</v>
      </c>
    </row>
    <row r="35" spans="1:15" ht="15" thickBot="1" x14ac:dyDescent="0.35">
      <c r="A35" s="23"/>
      <c r="B35" s="24">
        <v>43926</v>
      </c>
      <c r="C35" s="201">
        <v>1317</v>
      </c>
      <c r="D35" s="209" t="s">
        <v>19</v>
      </c>
      <c r="E35" s="206">
        <v>43926</v>
      </c>
      <c r="F35" s="97">
        <v>76644</v>
      </c>
      <c r="H35" s="29">
        <v>43926</v>
      </c>
      <c r="I35" s="199">
        <v>0</v>
      </c>
      <c r="J35" s="85" t="s">
        <v>156</v>
      </c>
      <c r="K35" s="96" t="s">
        <v>171</v>
      </c>
      <c r="L35" s="82">
        <v>555</v>
      </c>
      <c r="M35" s="31">
        <v>72614</v>
      </c>
      <c r="N35" s="32">
        <v>2713</v>
      </c>
      <c r="O35" s="207" t="s">
        <v>172</v>
      </c>
    </row>
    <row r="36" spans="1:15" ht="15" thickBot="1" x14ac:dyDescent="0.35">
      <c r="A36" s="23"/>
      <c r="B36" s="24">
        <v>43927</v>
      </c>
      <c r="C36" s="201">
        <v>18453.77</v>
      </c>
      <c r="D36" s="209" t="s">
        <v>173</v>
      </c>
      <c r="E36" s="206">
        <v>43927</v>
      </c>
      <c r="F36" s="97">
        <v>82500</v>
      </c>
      <c r="H36" s="29">
        <v>43927</v>
      </c>
      <c r="I36" s="199">
        <v>0</v>
      </c>
      <c r="J36" s="85" t="s">
        <v>156</v>
      </c>
      <c r="K36" s="96" t="s">
        <v>174</v>
      </c>
      <c r="L36" s="82">
        <v>6017.6</v>
      </c>
      <c r="M36" s="203">
        <v>60250</v>
      </c>
      <c r="N36" s="32">
        <v>3797</v>
      </c>
      <c r="O36" s="207" t="s">
        <v>166</v>
      </c>
    </row>
    <row r="37" spans="1:15" ht="15" thickBot="1" x14ac:dyDescent="0.35">
      <c r="A37" s="23"/>
      <c r="B37" s="24">
        <v>43928</v>
      </c>
      <c r="C37" s="201">
        <v>3573</v>
      </c>
      <c r="D37" s="209" t="s">
        <v>72</v>
      </c>
      <c r="E37" s="206">
        <v>43928</v>
      </c>
      <c r="F37" s="97">
        <v>81421</v>
      </c>
      <c r="H37" s="29">
        <v>43928</v>
      </c>
      <c r="I37" s="199">
        <v>271</v>
      </c>
      <c r="J37" s="85" t="s">
        <v>156</v>
      </c>
      <c r="K37" s="86" t="s">
        <v>175</v>
      </c>
      <c r="L37" s="82">
        <v>942.07</v>
      </c>
      <c r="M37" s="203">
        <v>74845</v>
      </c>
      <c r="N37" s="32">
        <v>2732</v>
      </c>
      <c r="O37" s="210" t="s">
        <v>166</v>
      </c>
    </row>
    <row r="38" spans="1:15" ht="15" thickBot="1" x14ac:dyDescent="0.35">
      <c r="A38" s="23"/>
      <c r="B38" s="211">
        <v>43896</v>
      </c>
      <c r="C38" s="212">
        <v>18259.599999999999</v>
      </c>
      <c r="D38" s="209" t="s">
        <v>41</v>
      </c>
      <c r="E38" s="90"/>
      <c r="F38" s="91"/>
      <c r="H38" s="29"/>
      <c r="I38" s="91"/>
      <c r="J38" s="85" t="s">
        <v>156</v>
      </c>
      <c r="K38" s="213" t="s">
        <v>176</v>
      </c>
      <c r="L38" s="66">
        <v>18525</v>
      </c>
      <c r="M38" s="31">
        <v>0</v>
      </c>
      <c r="N38" s="32">
        <v>0</v>
      </c>
      <c r="O38" s="207"/>
    </row>
    <row r="39" spans="1:15" ht="16.2" thickBot="1" x14ac:dyDescent="0.35">
      <c r="A39" s="102"/>
      <c r="B39" s="103"/>
      <c r="C39" s="104"/>
      <c r="D39" s="105"/>
      <c r="E39" s="106"/>
      <c r="F39" s="107"/>
      <c r="G39" s="108"/>
      <c r="H39" s="29">
        <v>43907</v>
      </c>
      <c r="I39" s="107"/>
      <c r="J39" s="85"/>
      <c r="K39" s="213"/>
      <c r="L39" s="66"/>
      <c r="M39" s="110">
        <f>SUM(M5:M38)</f>
        <v>2416178</v>
      </c>
      <c r="N39" s="111">
        <f>SUM(N5:N38)</f>
        <v>115565</v>
      </c>
      <c r="O39" s="181"/>
    </row>
    <row r="40" spans="1:15" ht="16.2" thickBot="1" x14ac:dyDescent="0.35">
      <c r="B40" s="112" t="s">
        <v>51</v>
      </c>
      <c r="C40" s="113">
        <f>SUM(C5:C39)</f>
        <v>270856.70999999996</v>
      </c>
      <c r="D40" s="114"/>
      <c r="E40" s="115" t="s">
        <v>51</v>
      </c>
      <c r="F40" s="116">
        <f>SUM(F5:F39)</f>
        <v>2910526</v>
      </c>
      <c r="G40" s="114"/>
      <c r="H40" s="117" t="s">
        <v>51</v>
      </c>
      <c r="I40" s="118">
        <f>SUM(I5:I39)</f>
        <v>70021.279999999999</v>
      </c>
      <c r="J40" s="119"/>
      <c r="K40" s="120" t="s">
        <v>51</v>
      </c>
      <c r="L40" s="121">
        <f>SUM(L6:L39)</f>
        <v>217065.77100000004</v>
      </c>
      <c r="O40" s="56"/>
    </row>
    <row r="41" spans="1:15" ht="19.2" thickTop="1" thickBot="1" x14ac:dyDescent="0.35">
      <c r="C41" s="5" t="s">
        <v>10</v>
      </c>
      <c r="M41" s="599">
        <f>N39+M39</f>
        <v>2531743</v>
      </c>
      <c r="N41" s="600"/>
      <c r="O41" s="182"/>
    </row>
    <row r="42" spans="1:15" ht="15.6" x14ac:dyDescent="0.3">
      <c r="A42" s="65"/>
      <c r="B42" s="122"/>
      <c r="C42" s="4"/>
      <c r="H42" s="601" t="s">
        <v>52</v>
      </c>
      <c r="I42" s="602"/>
      <c r="J42" s="123"/>
      <c r="K42" s="603">
        <f>I40+L40</f>
        <v>287087.05100000004</v>
      </c>
      <c r="L42" s="604"/>
    </row>
    <row r="43" spans="1:15" ht="15.6" x14ac:dyDescent="0.3">
      <c r="D43" s="606" t="s">
        <v>53</v>
      </c>
      <c r="E43" s="606"/>
      <c r="F43" s="124">
        <f>F40-K42-C40</f>
        <v>2352582.2390000001</v>
      </c>
      <c r="I43" s="125"/>
      <c r="J43" s="125"/>
    </row>
    <row r="44" spans="1:15" ht="18" x14ac:dyDescent="0.35">
      <c r="D44" s="607" t="s">
        <v>54</v>
      </c>
      <c r="E44" s="607"/>
      <c r="F44" s="126">
        <v>-2140783.8199999998</v>
      </c>
      <c r="I44" s="608" t="s">
        <v>55</v>
      </c>
      <c r="J44" s="609"/>
      <c r="K44" s="610">
        <f>F49</f>
        <v>471981.31900000025</v>
      </c>
      <c r="L44" s="611"/>
    </row>
    <row r="45" spans="1:15" ht="18.600000000000001" thickBot="1" x14ac:dyDescent="0.4">
      <c r="D45" s="127"/>
      <c r="E45" s="128"/>
      <c r="F45" s="129" t="s">
        <v>10</v>
      </c>
      <c r="I45" s="130"/>
      <c r="J45" s="130"/>
      <c r="K45" s="131"/>
      <c r="L45" s="131"/>
    </row>
    <row r="46" spans="1:15" ht="18.600000000000001" thickTop="1" x14ac:dyDescent="0.35">
      <c r="C46" s="13" t="s">
        <v>10</v>
      </c>
      <c r="E46" s="65" t="s">
        <v>56</v>
      </c>
      <c r="F46" s="126">
        <f>SUM(F43:F45)</f>
        <v>211798.41900000023</v>
      </c>
      <c r="H46" s="23"/>
      <c r="I46" s="132" t="s">
        <v>57</v>
      </c>
      <c r="J46" s="133"/>
      <c r="K46" s="612">
        <f>-C4</f>
        <v>-364365.66</v>
      </c>
      <c r="L46" s="613"/>
      <c r="M46" s="134"/>
    </row>
    <row r="47" spans="1:15" ht="16.2" thickBot="1" x14ac:dyDescent="0.35">
      <c r="D47" s="135" t="s">
        <v>58</v>
      </c>
      <c r="E47" s="65" t="s">
        <v>59</v>
      </c>
      <c r="F47" s="136">
        <v>17981</v>
      </c>
    </row>
    <row r="48" spans="1:15" ht="19.2" thickTop="1" thickBot="1" x14ac:dyDescent="0.4">
      <c r="C48" s="137">
        <v>43928</v>
      </c>
      <c r="D48" s="614" t="s">
        <v>60</v>
      </c>
      <c r="E48" s="615"/>
      <c r="F48" s="138">
        <v>242201.9</v>
      </c>
      <c r="I48" s="616" t="s">
        <v>61</v>
      </c>
      <c r="J48" s="617"/>
      <c r="K48" s="618">
        <f>K44+K46</f>
        <v>107615.65900000028</v>
      </c>
      <c r="L48" s="619"/>
    </row>
    <row r="49" spans="2:15" ht="18" x14ac:dyDescent="0.35">
      <c r="C49" s="139"/>
      <c r="D49" s="140"/>
      <c r="E49" s="141" t="s">
        <v>62</v>
      </c>
      <c r="F49" s="142">
        <f>F46+F47+F48</f>
        <v>471981.31900000025</v>
      </c>
      <c r="J49" s="6"/>
      <c r="M49" s="143"/>
    </row>
    <row r="51" spans="2:15" x14ac:dyDescent="0.3">
      <c r="B51"/>
      <c r="C51"/>
      <c r="D51" s="605"/>
      <c r="E51" s="605"/>
      <c r="M51" s="144"/>
      <c r="N51" s="65"/>
      <c r="O51" s="65"/>
    </row>
    <row r="52" spans="2:15" x14ac:dyDescent="0.3">
      <c r="B52"/>
      <c r="C52"/>
      <c r="M52" s="144"/>
      <c r="N52" s="65"/>
      <c r="O52" s="65"/>
    </row>
    <row r="53" spans="2:15" x14ac:dyDescent="0.3">
      <c r="B53"/>
      <c r="C53"/>
      <c r="N53" s="65"/>
      <c r="O53" s="65"/>
    </row>
    <row r="54" spans="2:15" x14ac:dyDescent="0.3">
      <c r="B54"/>
      <c r="C54"/>
      <c r="F54"/>
      <c r="I54"/>
      <c r="J54"/>
      <c r="M54"/>
      <c r="N54" s="65"/>
      <c r="O54" s="65"/>
    </row>
    <row r="55" spans="2:15" x14ac:dyDescent="0.3">
      <c r="B55"/>
      <c r="C55"/>
      <c r="F55" s="145"/>
      <c r="N55" s="65"/>
      <c r="O55" s="65"/>
    </row>
    <row r="56" spans="2:15" x14ac:dyDescent="0.3">
      <c r="F56" s="91"/>
      <c r="M56" s="4"/>
      <c r="N56" s="65"/>
      <c r="O56" s="65"/>
    </row>
    <row r="57" spans="2:15" x14ac:dyDescent="0.3">
      <c r="F57" s="91"/>
      <c r="M57" s="4"/>
      <c r="N57" s="65"/>
      <c r="O57" s="65"/>
    </row>
    <row r="58" spans="2:15" x14ac:dyDescent="0.3">
      <c r="F58" s="91"/>
      <c r="M58" s="4"/>
      <c r="N58" s="65"/>
      <c r="O58" s="65"/>
    </row>
    <row r="59" spans="2:15" x14ac:dyDescent="0.3">
      <c r="F59" s="91"/>
      <c r="M59" s="4"/>
      <c r="N59" s="65"/>
      <c r="O59" s="65"/>
    </row>
    <row r="60" spans="2:15" x14ac:dyDescent="0.3">
      <c r="F60" s="91"/>
      <c r="M60" s="4"/>
    </row>
    <row r="61" spans="2:15" x14ac:dyDescent="0.3">
      <c r="F61" s="91"/>
      <c r="M61" s="4"/>
    </row>
    <row r="62" spans="2:15" x14ac:dyDescent="0.3">
      <c r="F62" s="91"/>
      <c r="M62" s="4"/>
    </row>
    <row r="63" spans="2:15" x14ac:dyDescent="0.3">
      <c r="F63" s="91"/>
      <c r="M63" s="4"/>
    </row>
    <row r="64" spans="2:15" x14ac:dyDescent="0.3">
      <c r="F64" s="91"/>
      <c r="M64" s="4"/>
    </row>
    <row r="65" spans="6:13" x14ac:dyDescent="0.3">
      <c r="F65" s="145"/>
      <c r="M65" s="4"/>
    </row>
    <row r="66" spans="6:13" x14ac:dyDescent="0.3">
      <c r="M66" s="4"/>
    </row>
    <row r="67" spans="6:13" x14ac:dyDescent="0.3">
      <c r="M67" s="4"/>
    </row>
    <row r="68" spans="6:13" x14ac:dyDescent="0.3">
      <c r="M68" s="4"/>
    </row>
    <row r="69" spans="6:13" x14ac:dyDescent="0.3">
      <c r="M69" s="4"/>
    </row>
    <row r="70" spans="6:13" x14ac:dyDescent="0.3"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</sheetData>
  <mergeCells count="17">
    <mergeCell ref="K46:L46"/>
    <mergeCell ref="D48:E48"/>
    <mergeCell ref="I48:J48"/>
    <mergeCell ref="K48:L48"/>
    <mergeCell ref="D51:E51"/>
    <mergeCell ref="H42:I42"/>
    <mergeCell ref="K42:L42"/>
    <mergeCell ref="D43:E43"/>
    <mergeCell ref="D44:E44"/>
    <mergeCell ref="I44:J44"/>
    <mergeCell ref="K44:L44"/>
    <mergeCell ref="M41:N41"/>
    <mergeCell ref="C1:K1"/>
    <mergeCell ref="E2:F3"/>
    <mergeCell ref="B3:C3"/>
    <mergeCell ref="E4:F4"/>
    <mergeCell ref="H4:I4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A63-CA52-4F7F-BF53-EF40BECFA241}">
  <sheetPr>
    <tabColor rgb="FFFF00FF"/>
  </sheetPr>
  <dimension ref="A1:F87"/>
  <sheetViews>
    <sheetView workbookViewId="0">
      <selection activeCell="I52" sqref="I52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36.75" customHeight="1" x14ac:dyDescent="0.4">
      <c r="B1" s="146" t="s">
        <v>177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2">
        <v>43896</v>
      </c>
      <c r="B3" s="153">
        <v>7197</v>
      </c>
      <c r="C3" s="56">
        <v>107476.78</v>
      </c>
      <c r="D3" s="154"/>
      <c r="E3" s="56"/>
      <c r="F3" s="155">
        <f>C3-E3</f>
        <v>107476.78</v>
      </c>
    </row>
    <row r="4" spans="1:6" x14ac:dyDescent="0.3">
      <c r="A4" s="156">
        <v>43896</v>
      </c>
      <c r="B4" s="157">
        <v>7198</v>
      </c>
      <c r="C4" s="97">
        <v>2430</v>
      </c>
      <c r="D4" s="158"/>
      <c r="E4" s="97"/>
      <c r="F4" s="155">
        <f>F3+C4-E4</f>
        <v>109906.78</v>
      </c>
    </row>
    <row r="5" spans="1:6" x14ac:dyDescent="0.3">
      <c r="A5" s="158">
        <v>43897</v>
      </c>
      <c r="B5" s="157">
        <v>7282</v>
      </c>
      <c r="C5" s="97">
        <v>69850.490000000005</v>
      </c>
      <c r="D5" s="158"/>
      <c r="E5" s="97"/>
      <c r="F5" s="155">
        <f t="shared" ref="F5:F50" si="0">F4+C5-E5</f>
        <v>179757.27000000002</v>
      </c>
    </row>
    <row r="6" spans="1:6" x14ac:dyDescent="0.3">
      <c r="A6" s="158">
        <v>43898</v>
      </c>
      <c r="B6" s="157">
        <v>7375</v>
      </c>
      <c r="C6" s="97">
        <v>11373.8</v>
      </c>
      <c r="D6" s="158"/>
      <c r="E6" s="97"/>
      <c r="F6" s="155">
        <f t="shared" si="0"/>
        <v>191131.07</v>
      </c>
    </row>
    <row r="7" spans="1:6" x14ac:dyDescent="0.3">
      <c r="A7" s="158">
        <v>43899</v>
      </c>
      <c r="B7" s="157">
        <v>7452</v>
      </c>
      <c r="C7" s="97">
        <v>48853.36</v>
      </c>
      <c r="D7" s="158">
        <v>43900</v>
      </c>
      <c r="E7" s="97">
        <v>239984.43</v>
      </c>
      <c r="F7" s="155">
        <f t="shared" si="0"/>
        <v>0</v>
      </c>
    </row>
    <row r="8" spans="1:6" x14ac:dyDescent="0.3">
      <c r="A8" s="158">
        <v>43900</v>
      </c>
      <c r="B8" s="157">
        <v>7578</v>
      </c>
      <c r="C8" s="97">
        <v>70534.679999999993</v>
      </c>
      <c r="D8" s="158"/>
      <c r="E8" s="97"/>
      <c r="F8" s="155">
        <f t="shared" si="0"/>
        <v>70534.679999999993</v>
      </c>
    </row>
    <row r="9" spans="1:6" x14ac:dyDescent="0.3">
      <c r="A9" s="158">
        <v>43902</v>
      </c>
      <c r="B9" s="157">
        <v>7837</v>
      </c>
      <c r="C9" s="97">
        <v>122162.05</v>
      </c>
      <c r="D9" s="158"/>
      <c r="E9" s="97"/>
      <c r="F9" s="155">
        <f t="shared" si="0"/>
        <v>192696.72999999998</v>
      </c>
    </row>
    <row r="10" spans="1:6" x14ac:dyDescent="0.3">
      <c r="A10" s="158">
        <v>43902</v>
      </c>
      <c r="B10" s="157">
        <v>7838</v>
      </c>
      <c r="C10" s="97">
        <v>13112</v>
      </c>
      <c r="D10" s="158">
        <v>43904</v>
      </c>
      <c r="E10" s="97">
        <v>205808.73</v>
      </c>
      <c r="F10" s="155">
        <f t="shared" si="0"/>
        <v>0</v>
      </c>
    </row>
    <row r="11" spans="1:6" x14ac:dyDescent="0.3">
      <c r="A11" s="156">
        <v>43904</v>
      </c>
      <c r="B11" s="157">
        <v>8048</v>
      </c>
      <c r="C11" s="97">
        <v>2314.4</v>
      </c>
      <c r="D11" s="158"/>
      <c r="E11" s="97"/>
      <c r="F11" s="155">
        <f t="shared" si="0"/>
        <v>2314.4</v>
      </c>
    </row>
    <row r="12" spans="1:6" x14ac:dyDescent="0.3">
      <c r="A12" s="158">
        <v>43904</v>
      </c>
      <c r="B12" s="157">
        <v>8095</v>
      </c>
      <c r="C12" s="97">
        <v>220621.41</v>
      </c>
      <c r="D12" s="158"/>
      <c r="E12" s="97"/>
      <c r="F12" s="155">
        <f t="shared" si="0"/>
        <v>222935.81</v>
      </c>
    </row>
    <row r="13" spans="1:6" x14ac:dyDescent="0.3">
      <c r="A13" s="158">
        <v>43905</v>
      </c>
      <c r="B13" s="157">
        <v>8140</v>
      </c>
      <c r="C13" s="97">
        <v>48809.4</v>
      </c>
      <c r="D13" s="158"/>
      <c r="E13" s="97"/>
      <c r="F13" s="155">
        <f t="shared" si="0"/>
        <v>271745.21000000002</v>
      </c>
    </row>
    <row r="14" spans="1:6" x14ac:dyDescent="0.3">
      <c r="A14" s="158">
        <v>43905</v>
      </c>
      <c r="B14" s="157">
        <v>8143</v>
      </c>
      <c r="C14" s="97">
        <v>125</v>
      </c>
      <c r="D14" s="158"/>
      <c r="E14" s="97"/>
      <c r="F14" s="155">
        <f t="shared" si="0"/>
        <v>271870.21000000002</v>
      </c>
    </row>
    <row r="15" spans="1:6" x14ac:dyDescent="0.3">
      <c r="A15" s="158">
        <v>43906</v>
      </c>
      <c r="B15" s="157">
        <v>8272</v>
      </c>
      <c r="C15" s="97">
        <v>111259.1</v>
      </c>
      <c r="D15" s="158"/>
      <c r="E15" s="97"/>
      <c r="F15" s="155">
        <f t="shared" si="0"/>
        <v>383129.31000000006</v>
      </c>
    </row>
    <row r="16" spans="1:6" x14ac:dyDescent="0.3">
      <c r="A16" s="158">
        <v>43908</v>
      </c>
      <c r="B16" s="157">
        <v>8463</v>
      </c>
      <c r="C16" s="97">
        <v>64793.22</v>
      </c>
      <c r="D16" s="158"/>
      <c r="E16" s="97"/>
      <c r="F16" s="155">
        <f t="shared" si="0"/>
        <v>447922.53</v>
      </c>
    </row>
    <row r="17" spans="1:6" x14ac:dyDescent="0.3">
      <c r="A17" s="158">
        <v>43909</v>
      </c>
      <c r="B17" s="157">
        <v>8560</v>
      </c>
      <c r="C17" s="97">
        <v>1180</v>
      </c>
      <c r="D17" s="158">
        <v>43909</v>
      </c>
      <c r="E17" s="97">
        <v>449102.53</v>
      </c>
      <c r="F17" s="155">
        <f t="shared" si="0"/>
        <v>0</v>
      </c>
    </row>
    <row r="18" spans="1:6" x14ac:dyDescent="0.3">
      <c r="A18" s="158">
        <v>43910</v>
      </c>
      <c r="B18" s="157">
        <v>8652</v>
      </c>
      <c r="C18" s="97">
        <v>152548.12</v>
      </c>
      <c r="D18" s="158"/>
      <c r="E18" s="97"/>
      <c r="F18" s="155">
        <f t="shared" si="0"/>
        <v>152548.12</v>
      </c>
    </row>
    <row r="19" spans="1:6" x14ac:dyDescent="0.3">
      <c r="A19" s="158">
        <v>43910</v>
      </c>
      <c r="B19" s="157">
        <v>8688</v>
      </c>
      <c r="C19" s="97">
        <v>53618.85</v>
      </c>
      <c r="D19" s="158"/>
      <c r="E19" s="97"/>
      <c r="F19" s="155">
        <f t="shared" si="0"/>
        <v>206166.97</v>
      </c>
    </row>
    <row r="20" spans="1:6" x14ac:dyDescent="0.3">
      <c r="A20" s="158">
        <v>43911</v>
      </c>
      <c r="B20" s="157">
        <v>8793</v>
      </c>
      <c r="C20" s="97">
        <v>1443.3</v>
      </c>
      <c r="D20" s="158"/>
      <c r="E20" s="97"/>
      <c r="F20" s="155">
        <f t="shared" si="0"/>
        <v>207610.27</v>
      </c>
    </row>
    <row r="21" spans="1:6" x14ac:dyDescent="0.3">
      <c r="A21" s="158">
        <v>43911</v>
      </c>
      <c r="B21" s="157">
        <v>8811</v>
      </c>
      <c r="C21" s="97">
        <v>169567.84</v>
      </c>
      <c r="D21" s="158"/>
      <c r="E21" s="97"/>
      <c r="F21" s="155">
        <f t="shared" si="0"/>
        <v>377178.11</v>
      </c>
    </row>
    <row r="22" spans="1:6" x14ac:dyDescent="0.3">
      <c r="A22" s="158">
        <v>43911</v>
      </c>
      <c r="B22" s="157">
        <v>8869</v>
      </c>
      <c r="C22" s="97">
        <v>12504.8</v>
      </c>
      <c r="D22" s="158"/>
      <c r="E22" s="97"/>
      <c r="F22" s="155">
        <f t="shared" si="0"/>
        <v>389682.91</v>
      </c>
    </row>
    <row r="23" spans="1:6" x14ac:dyDescent="0.3">
      <c r="A23" s="158">
        <v>43912</v>
      </c>
      <c r="B23" s="157">
        <v>8926</v>
      </c>
      <c r="C23" s="97">
        <v>5334.5</v>
      </c>
      <c r="D23" s="158"/>
      <c r="E23" s="97"/>
      <c r="F23" s="155">
        <f t="shared" si="0"/>
        <v>395017.41</v>
      </c>
    </row>
    <row r="24" spans="1:6" x14ac:dyDescent="0.3">
      <c r="A24" s="158">
        <v>43913</v>
      </c>
      <c r="B24" s="157">
        <v>8959</v>
      </c>
      <c r="C24" s="97">
        <v>2700</v>
      </c>
      <c r="D24" s="158"/>
      <c r="E24" s="97"/>
      <c r="F24" s="155">
        <f t="shared" si="0"/>
        <v>397717.41</v>
      </c>
    </row>
    <row r="25" spans="1:6" x14ac:dyDescent="0.3">
      <c r="A25" s="158">
        <v>43914</v>
      </c>
      <c r="B25" s="157">
        <v>9087</v>
      </c>
      <c r="C25" s="97">
        <v>98444.92</v>
      </c>
      <c r="D25" s="158"/>
      <c r="E25" s="97"/>
      <c r="F25" s="155">
        <f t="shared" si="0"/>
        <v>496162.32999999996</v>
      </c>
    </row>
    <row r="26" spans="1:6" x14ac:dyDescent="0.3">
      <c r="A26" s="158">
        <v>43914</v>
      </c>
      <c r="B26" s="157">
        <v>9088</v>
      </c>
      <c r="C26" s="97">
        <v>12050.8</v>
      </c>
      <c r="D26" s="158"/>
      <c r="E26" s="97"/>
      <c r="F26" s="155">
        <f t="shared" si="0"/>
        <v>508213.12999999995</v>
      </c>
    </row>
    <row r="27" spans="1:6" x14ac:dyDescent="0.3">
      <c r="A27" s="158">
        <v>43915</v>
      </c>
      <c r="B27" s="157">
        <v>9231</v>
      </c>
      <c r="C27" s="97">
        <v>44204.800000000003</v>
      </c>
      <c r="D27" s="158">
        <v>43916</v>
      </c>
      <c r="E27" s="97">
        <v>552417.93000000005</v>
      </c>
      <c r="F27" s="155">
        <f t="shared" si="0"/>
        <v>0</v>
      </c>
    </row>
    <row r="28" spans="1:6" x14ac:dyDescent="0.3">
      <c r="A28" s="156">
        <v>43916</v>
      </c>
      <c r="B28" s="157">
        <v>9362</v>
      </c>
      <c r="C28" s="97">
        <v>35362.400000000001</v>
      </c>
      <c r="D28" s="158"/>
      <c r="E28" s="97"/>
      <c r="F28" s="155">
        <f t="shared" si="0"/>
        <v>35362.400000000001</v>
      </c>
    </row>
    <row r="29" spans="1:6" x14ac:dyDescent="0.3">
      <c r="A29" s="156">
        <v>43917</v>
      </c>
      <c r="B29" s="157">
        <v>9394</v>
      </c>
      <c r="C29" s="97">
        <v>67145.759999999995</v>
      </c>
      <c r="D29" s="158"/>
      <c r="E29" s="97"/>
      <c r="F29" s="155">
        <f t="shared" si="0"/>
        <v>102508.16</v>
      </c>
    </row>
    <row r="30" spans="1:6" x14ac:dyDescent="0.3">
      <c r="A30" s="156">
        <v>43917</v>
      </c>
      <c r="B30" s="157">
        <v>9407</v>
      </c>
      <c r="C30" s="97">
        <v>37214.74</v>
      </c>
      <c r="D30" s="158"/>
      <c r="E30" s="97"/>
      <c r="F30" s="155">
        <f t="shared" si="0"/>
        <v>139722.9</v>
      </c>
    </row>
    <row r="31" spans="1:6" x14ac:dyDescent="0.3">
      <c r="A31" s="156">
        <v>43918</v>
      </c>
      <c r="B31" s="157">
        <v>9543</v>
      </c>
      <c r="C31" s="97">
        <v>81554.399999999994</v>
      </c>
      <c r="D31" s="158"/>
      <c r="E31" s="97"/>
      <c r="F31" s="155">
        <f t="shared" si="0"/>
        <v>221277.3</v>
      </c>
    </row>
    <row r="32" spans="1:6" x14ac:dyDescent="0.3">
      <c r="A32" s="156">
        <v>43919</v>
      </c>
      <c r="B32" s="157">
        <v>9676</v>
      </c>
      <c r="C32" s="97">
        <v>32493.599999999999</v>
      </c>
      <c r="D32" s="158"/>
      <c r="E32" s="97"/>
      <c r="F32" s="155">
        <f t="shared" si="0"/>
        <v>253770.9</v>
      </c>
    </row>
    <row r="33" spans="1:6" x14ac:dyDescent="0.3">
      <c r="A33" s="156">
        <v>43919</v>
      </c>
      <c r="B33" s="157">
        <v>9687</v>
      </c>
      <c r="C33" s="97">
        <v>3709</v>
      </c>
      <c r="D33" s="158">
        <v>43920</v>
      </c>
      <c r="E33" s="97">
        <v>257479.9</v>
      </c>
      <c r="F33" s="155">
        <f t="shared" si="0"/>
        <v>0</v>
      </c>
    </row>
    <row r="34" spans="1:6" x14ac:dyDescent="0.3">
      <c r="A34" s="156">
        <v>43920</v>
      </c>
      <c r="B34" s="157">
        <v>9804</v>
      </c>
      <c r="C34" s="97">
        <v>37578.6</v>
      </c>
      <c r="D34" s="158"/>
      <c r="E34" s="97"/>
      <c r="F34" s="155">
        <f t="shared" si="0"/>
        <v>37578.6</v>
      </c>
    </row>
    <row r="35" spans="1:6" x14ac:dyDescent="0.3">
      <c r="A35" s="156">
        <v>43921</v>
      </c>
      <c r="B35" s="157">
        <v>9860</v>
      </c>
      <c r="C35" s="97">
        <v>1296</v>
      </c>
      <c r="D35" s="158"/>
      <c r="E35" s="97"/>
      <c r="F35" s="155">
        <f t="shared" si="0"/>
        <v>38874.6</v>
      </c>
    </row>
    <row r="36" spans="1:6" x14ac:dyDescent="0.3">
      <c r="A36" s="156">
        <v>43922</v>
      </c>
      <c r="B36" s="157">
        <v>9932</v>
      </c>
      <c r="C36" s="97">
        <v>77278.850000000006</v>
      </c>
      <c r="D36" s="158"/>
      <c r="E36" s="97"/>
      <c r="F36" s="155">
        <f t="shared" si="0"/>
        <v>116153.45000000001</v>
      </c>
    </row>
    <row r="37" spans="1:6" x14ac:dyDescent="0.3">
      <c r="A37" s="156">
        <v>43923</v>
      </c>
      <c r="B37" s="157">
        <v>10073</v>
      </c>
      <c r="C37" s="97">
        <v>29531.040000000001</v>
      </c>
      <c r="D37" s="158">
        <v>43925</v>
      </c>
      <c r="E37" s="97">
        <v>145684.49</v>
      </c>
      <c r="F37" s="155">
        <f t="shared" si="0"/>
        <v>0</v>
      </c>
    </row>
    <row r="38" spans="1:6" x14ac:dyDescent="0.3">
      <c r="A38" s="156">
        <v>43924</v>
      </c>
      <c r="B38" s="157">
        <v>10262</v>
      </c>
      <c r="C38" s="97">
        <v>152058.71</v>
      </c>
      <c r="D38" s="158"/>
      <c r="E38" s="97"/>
      <c r="F38" s="155">
        <f t="shared" si="0"/>
        <v>152058.71</v>
      </c>
    </row>
    <row r="39" spans="1:6" x14ac:dyDescent="0.3">
      <c r="A39" s="156">
        <v>43925</v>
      </c>
      <c r="B39" s="157">
        <v>10334</v>
      </c>
      <c r="C39" s="97">
        <v>78016.5</v>
      </c>
      <c r="D39" s="158"/>
      <c r="E39" s="97"/>
      <c r="F39" s="155">
        <f t="shared" si="0"/>
        <v>230075.21</v>
      </c>
    </row>
    <row r="40" spans="1:6" x14ac:dyDescent="0.3">
      <c r="A40" s="156">
        <v>43925</v>
      </c>
      <c r="B40" s="157">
        <v>10335</v>
      </c>
      <c r="C40" s="97">
        <v>386.4</v>
      </c>
      <c r="D40" s="158"/>
      <c r="E40" s="97"/>
      <c r="F40" s="155">
        <f t="shared" si="0"/>
        <v>230461.61</v>
      </c>
    </row>
    <row r="41" spans="1:6" x14ac:dyDescent="0.3">
      <c r="A41" s="156">
        <v>43928</v>
      </c>
      <c r="B41" s="157">
        <v>10635</v>
      </c>
      <c r="C41" s="97">
        <v>54300.3</v>
      </c>
      <c r="D41" s="158"/>
      <c r="E41" s="97"/>
      <c r="F41" s="155">
        <f t="shared" si="0"/>
        <v>284761.90999999997</v>
      </c>
    </row>
    <row r="42" spans="1:6" x14ac:dyDescent="0.3">
      <c r="A42" s="156">
        <v>43928</v>
      </c>
      <c r="B42" s="157">
        <v>10638</v>
      </c>
      <c r="C42" s="97">
        <v>5544</v>
      </c>
      <c r="D42" s="158"/>
      <c r="E42" s="97"/>
      <c r="F42" s="155">
        <f t="shared" si="0"/>
        <v>290305.90999999997</v>
      </c>
    </row>
    <row r="43" spans="1:6" x14ac:dyDescent="0.3">
      <c r="A43" s="214"/>
      <c r="B43" s="215"/>
      <c r="C43" s="97">
        <v>0</v>
      </c>
      <c r="D43" s="216"/>
      <c r="E43" s="97"/>
      <c r="F43" s="155">
        <f t="shared" si="0"/>
        <v>290305.90999999997</v>
      </c>
    </row>
    <row r="44" spans="1:6" x14ac:dyDescent="0.3">
      <c r="A44" s="156"/>
      <c r="B44" s="157"/>
      <c r="C44" s="97">
        <v>0</v>
      </c>
      <c r="D44" s="158"/>
      <c r="E44" s="97"/>
      <c r="F44" s="155">
        <f t="shared" si="0"/>
        <v>290305.90999999997</v>
      </c>
    </row>
    <row r="45" spans="1:6" x14ac:dyDescent="0.3">
      <c r="A45" s="156"/>
      <c r="B45" s="157"/>
      <c r="C45" s="97">
        <v>0</v>
      </c>
      <c r="D45" s="158"/>
      <c r="E45" s="97"/>
      <c r="F45" s="155">
        <f t="shared" si="0"/>
        <v>290305.90999999997</v>
      </c>
    </row>
    <row r="46" spans="1:6" x14ac:dyDescent="0.3">
      <c r="A46" s="156"/>
      <c r="B46" s="157"/>
      <c r="C46" s="97">
        <v>0</v>
      </c>
      <c r="D46" s="158"/>
      <c r="E46" s="97"/>
      <c r="F46" s="155">
        <f t="shared" si="0"/>
        <v>290305.90999999997</v>
      </c>
    </row>
    <row r="47" spans="1:6" x14ac:dyDescent="0.3">
      <c r="A47" s="156"/>
      <c r="B47" s="157"/>
      <c r="C47" s="97">
        <v>0</v>
      </c>
      <c r="D47" s="158"/>
      <c r="E47" s="97"/>
      <c r="F47" s="155">
        <f t="shared" si="0"/>
        <v>290305.90999999997</v>
      </c>
    </row>
    <row r="48" spans="1:6" x14ac:dyDescent="0.3">
      <c r="A48" s="156"/>
      <c r="B48" s="157"/>
      <c r="C48" s="97">
        <v>0</v>
      </c>
      <c r="D48" s="158"/>
      <c r="E48" s="97"/>
      <c r="F48" s="155">
        <f t="shared" si="0"/>
        <v>290305.90999999997</v>
      </c>
    </row>
    <row r="49" spans="1:6" x14ac:dyDescent="0.3">
      <c r="A49" s="156"/>
      <c r="B49" s="157"/>
      <c r="C49" s="97">
        <v>0</v>
      </c>
      <c r="D49" s="158"/>
      <c r="E49" s="97"/>
      <c r="F49" s="155">
        <f t="shared" si="0"/>
        <v>290305.90999999997</v>
      </c>
    </row>
    <row r="50" spans="1:6" ht="15" thickBot="1" x14ac:dyDescent="0.35">
      <c r="A50" s="159"/>
      <c r="B50" s="160"/>
      <c r="C50" s="161">
        <v>0</v>
      </c>
      <c r="D50" s="162"/>
      <c r="E50" s="161"/>
      <c r="F50" s="155">
        <f t="shared" si="0"/>
        <v>290305.90999999997</v>
      </c>
    </row>
    <row r="51" spans="1:6" ht="18.600000000000001" thickTop="1" x14ac:dyDescent="0.35">
      <c r="B51" s="65"/>
      <c r="C51" s="4">
        <f>SUM(C3:C50)</f>
        <v>2140783.92</v>
      </c>
      <c r="D51" s="1"/>
      <c r="E51" s="4">
        <f>SUM(E3:E50)</f>
        <v>1850478.01</v>
      </c>
      <c r="F51" s="163">
        <f>F50</f>
        <v>290305.90999999997</v>
      </c>
    </row>
    <row r="52" spans="1:6" x14ac:dyDescent="0.3">
      <c r="B52" s="65"/>
      <c r="C52" s="4"/>
      <c r="D52" s="1"/>
      <c r="E52" s="5"/>
      <c r="F52" s="4"/>
    </row>
    <row r="53" spans="1:6" x14ac:dyDescent="0.3">
      <c r="B53" s="65"/>
      <c r="C53" s="4"/>
      <c r="D53" s="1"/>
      <c r="E53" s="5"/>
      <c r="F53" s="4"/>
    </row>
    <row r="54" spans="1:6" x14ac:dyDescent="0.3">
      <c r="A54"/>
      <c r="B54" s="23"/>
      <c r="D54" s="23"/>
    </row>
    <row r="55" spans="1:6" x14ac:dyDescent="0.3">
      <c r="A55"/>
      <c r="B55" s="23"/>
      <c r="D55" s="23"/>
    </row>
    <row r="56" spans="1:6" x14ac:dyDescent="0.3">
      <c r="A56"/>
      <c r="B56" s="23"/>
      <c r="D56" s="23"/>
    </row>
    <row r="57" spans="1:6" x14ac:dyDescent="0.3">
      <c r="A57"/>
      <c r="B57" s="23"/>
      <c r="D57" s="23"/>
      <c r="F57"/>
    </row>
    <row r="58" spans="1:6" x14ac:dyDescent="0.3">
      <c r="A58"/>
      <c r="B58" s="23"/>
      <c r="D58" s="23"/>
      <c r="F58"/>
    </row>
    <row r="59" spans="1:6" x14ac:dyDescent="0.3">
      <c r="A59"/>
      <c r="B59" s="23"/>
      <c r="D59" s="23"/>
      <c r="F59"/>
    </row>
    <row r="60" spans="1:6" x14ac:dyDescent="0.3">
      <c r="A60"/>
      <c r="B60" s="23"/>
      <c r="D60" s="23"/>
      <c r="F60"/>
    </row>
    <row r="61" spans="1:6" x14ac:dyDescent="0.3">
      <c r="A61"/>
      <c r="B61" s="23"/>
      <c r="D61" s="23"/>
      <c r="F61"/>
    </row>
    <row r="62" spans="1:6" x14ac:dyDescent="0.3">
      <c r="A62"/>
      <c r="B62" s="23"/>
      <c r="D62" s="23"/>
      <c r="F62"/>
    </row>
    <row r="63" spans="1:6" x14ac:dyDescent="0.3">
      <c r="A63"/>
      <c r="B63" s="23"/>
      <c r="D63" s="23"/>
      <c r="F63"/>
    </row>
    <row r="64" spans="1:6" x14ac:dyDescent="0.3">
      <c r="A64"/>
      <c r="B64" s="23"/>
      <c r="D64" s="23"/>
      <c r="F64"/>
    </row>
    <row r="65" spans="1:6" x14ac:dyDescent="0.3">
      <c r="A65"/>
      <c r="B65" s="23"/>
      <c r="D65" s="23"/>
      <c r="F65"/>
    </row>
    <row r="66" spans="1:6" x14ac:dyDescent="0.3">
      <c r="A66"/>
      <c r="B66" s="23"/>
      <c r="D66" s="23"/>
      <c r="E66"/>
      <c r="F66"/>
    </row>
    <row r="67" spans="1:6" x14ac:dyDescent="0.3">
      <c r="A67"/>
      <c r="B67" s="23"/>
      <c r="D67" s="23"/>
      <c r="E67"/>
      <c r="F67"/>
    </row>
    <row r="68" spans="1:6" x14ac:dyDescent="0.3">
      <c r="A68"/>
      <c r="B68" s="23"/>
      <c r="D68" s="23"/>
      <c r="E68"/>
      <c r="F68"/>
    </row>
    <row r="69" spans="1:6" x14ac:dyDescent="0.3">
      <c r="A69"/>
      <c r="B69" s="23"/>
      <c r="D69" s="23"/>
      <c r="E69"/>
      <c r="F69"/>
    </row>
    <row r="70" spans="1:6" x14ac:dyDescent="0.3">
      <c r="A70"/>
      <c r="B70" s="23"/>
      <c r="D70" s="23"/>
      <c r="E70"/>
      <c r="F70"/>
    </row>
    <row r="71" spans="1:6" x14ac:dyDescent="0.3">
      <c r="A71"/>
      <c r="B71" s="23"/>
      <c r="D71" s="23"/>
      <c r="E71"/>
      <c r="F71"/>
    </row>
    <row r="72" spans="1:6" x14ac:dyDescent="0.3">
      <c r="B72" s="23"/>
      <c r="D72" s="23"/>
      <c r="E72"/>
    </row>
    <row r="73" spans="1:6" x14ac:dyDescent="0.3">
      <c r="B73" s="23"/>
      <c r="D73" s="23"/>
      <c r="E73"/>
    </row>
    <row r="74" spans="1:6" x14ac:dyDescent="0.3">
      <c r="B74" s="23"/>
      <c r="D74" s="23"/>
      <c r="E74"/>
    </row>
    <row r="75" spans="1:6" x14ac:dyDescent="0.3">
      <c r="B75" s="23"/>
      <c r="D75" s="23"/>
      <c r="E75"/>
    </row>
    <row r="76" spans="1:6" x14ac:dyDescent="0.3">
      <c r="B76" s="23"/>
      <c r="D76" s="23"/>
      <c r="E76"/>
    </row>
    <row r="77" spans="1:6" x14ac:dyDescent="0.3">
      <c r="B77" s="23"/>
      <c r="D77" s="23"/>
      <c r="E77"/>
    </row>
    <row r="78" spans="1:6" x14ac:dyDescent="0.3">
      <c r="B78" s="23"/>
      <c r="D78" s="23"/>
      <c r="E78"/>
    </row>
    <row r="79" spans="1:6" x14ac:dyDescent="0.3">
      <c r="B79" s="23"/>
      <c r="D79" s="23"/>
      <c r="E79"/>
    </row>
    <row r="80" spans="1:6" x14ac:dyDescent="0.3">
      <c r="B80" s="23"/>
      <c r="D80" s="23"/>
      <c r="E80"/>
    </row>
    <row r="81" spans="2:4" x14ac:dyDescent="0.3">
      <c r="B81" s="23"/>
    </row>
    <row r="82" spans="2:4" x14ac:dyDescent="0.3">
      <c r="B82" s="23"/>
    </row>
    <row r="83" spans="2:4" x14ac:dyDescent="0.3">
      <c r="B83" s="23"/>
      <c r="D83" s="23"/>
    </row>
    <row r="84" spans="2:4" x14ac:dyDescent="0.3">
      <c r="B84" s="23"/>
    </row>
    <row r="85" spans="2:4" x14ac:dyDescent="0.3">
      <c r="B85" s="23"/>
    </row>
    <row r="86" spans="2:4" x14ac:dyDescent="0.3">
      <c r="B86" s="23"/>
    </row>
    <row r="87" spans="2:4" ht="18" x14ac:dyDescent="0.35">
      <c r="C87" s="1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CFFE-E1E9-43F5-BC3F-768195BE7705}">
  <sheetPr>
    <tabColor theme="7" tint="-0.249977111117893"/>
  </sheetPr>
  <dimension ref="A1:O78"/>
  <sheetViews>
    <sheetView topLeftCell="A31" workbookViewId="0">
      <selection activeCell="J55" sqref="J55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2.109375" style="13" customWidth="1"/>
    <col min="10" max="10" width="11.6640625" style="13" customWidth="1"/>
    <col min="11" max="11" width="17.33203125" customWidth="1"/>
    <col min="12" max="12" width="14.5546875" customWidth="1"/>
    <col min="13" max="13" width="18.109375" style="13" customWidth="1"/>
    <col min="14" max="14" width="14.44140625" style="4" customWidth="1"/>
    <col min="15" max="15" width="8.44140625" style="4" customWidth="1"/>
  </cols>
  <sheetData>
    <row r="1" spans="1:15" ht="23.4" x14ac:dyDescent="0.45">
      <c r="C1" s="592" t="s">
        <v>178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8" x14ac:dyDescent="0.35">
      <c r="C2" s="5"/>
      <c r="E2" s="620" t="s">
        <v>135</v>
      </c>
      <c r="F2" s="620"/>
      <c r="H2" s="184" t="s">
        <v>1</v>
      </c>
      <c r="I2" s="3"/>
      <c r="J2" s="3"/>
      <c r="M2" s="3"/>
      <c r="N2" s="56"/>
      <c r="O2" s="56"/>
    </row>
    <row r="3" spans="1:15" ht="18.600000000000001" thickBot="1" x14ac:dyDescent="0.4">
      <c r="B3" s="593" t="s">
        <v>2</v>
      </c>
      <c r="C3" s="594"/>
      <c r="D3" s="12"/>
      <c r="E3" s="621"/>
      <c r="F3" s="621"/>
      <c r="I3" s="185" t="s">
        <v>3</v>
      </c>
      <c r="J3" s="186"/>
      <c r="K3" s="187" t="s">
        <v>136</v>
      </c>
      <c r="L3" s="187"/>
    </row>
    <row r="4" spans="1:15" ht="19.2" thickTop="1" thickBot="1" x14ac:dyDescent="0.4">
      <c r="A4" s="16" t="s">
        <v>5</v>
      </c>
      <c r="B4" s="17"/>
      <c r="C4" s="18">
        <v>242201.9</v>
      </c>
      <c r="D4" s="188">
        <v>43928</v>
      </c>
      <c r="E4" s="595" t="s">
        <v>6</v>
      </c>
      <c r="F4" s="596"/>
      <c r="H4" s="597" t="s">
        <v>7</v>
      </c>
      <c r="I4" s="598"/>
      <c r="J4" s="20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">
        <v>43929</v>
      </c>
      <c r="C5" s="25">
        <v>560</v>
      </c>
      <c r="D5" s="26" t="s">
        <v>82</v>
      </c>
      <c r="E5" s="27">
        <v>43929</v>
      </c>
      <c r="F5" s="28">
        <v>63283</v>
      </c>
      <c r="H5" s="29">
        <v>43929</v>
      </c>
      <c r="I5" s="30">
        <v>0</v>
      </c>
      <c r="M5" s="31">
        <v>57047</v>
      </c>
      <c r="N5" s="32">
        <v>4806</v>
      </c>
      <c r="O5" s="91"/>
    </row>
    <row r="6" spans="1:15" ht="15" thickBot="1" x14ac:dyDescent="0.35">
      <c r="A6" s="23"/>
      <c r="B6" s="24">
        <v>43930</v>
      </c>
      <c r="C6" s="25">
        <v>31868.65</v>
      </c>
      <c r="D6" s="33" t="s">
        <v>179</v>
      </c>
      <c r="E6" s="27">
        <v>43930</v>
      </c>
      <c r="F6" s="28">
        <v>81621</v>
      </c>
      <c r="H6" s="29">
        <v>43930</v>
      </c>
      <c r="I6" s="34">
        <v>0</v>
      </c>
      <c r="J6" s="35"/>
      <c r="K6" s="36"/>
      <c r="L6" s="37"/>
      <c r="M6" s="203">
        <v>49482</v>
      </c>
      <c r="N6" s="32">
        <v>2357</v>
      </c>
      <c r="O6" s="217" t="s">
        <v>166</v>
      </c>
    </row>
    <row r="7" spans="1:15" ht="16.2" thickBot="1" x14ac:dyDescent="0.35">
      <c r="A7" s="23"/>
      <c r="B7" s="24">
        <v>43931</v>
      </c>
      <c r="C7" s="189">
        <v>0</v>
      </c>
      <c r="D7" s="218" t="s">
        <v>180</v>
      </c>
      <c r="E7" s="27">
        <v>43931</v>
      </c>
      <c r="F7" s="191">
        <v>0</v>
      </c>
      <c r="H7" s="29">
        <v>43931</v>
      </c>
      <c r="I7" s="192">
        <v>0</v>
      </c>
      <c r="J7" s="39">
        <v>43938</v>
      </c>
      <c r="K7" s="40" t="s">
        <v>13</v>
      </c>
      <c r="L7" s="41">
        <v>1098</v>
      </c>
      <c r="M7" s="193">
        <v>0</v>
      </c>
      <c r="N7" s="194">
        <v>0</v>
      </c>
      <c r="O7" s="219"/>
    </row>
    <row r="8" spans="1:15" ht="16.2" thickBot="1" x14ac:dyDescent="0.35">
      <c r="A8" s="23"/>
      <c r="B8" s="24">
        <v>43932</v>
      </c>
      <c r="C8" s="25">
        <v>3252</v>
      </c>
      <c r="D8" s="42" t="s">
        <v>154</v>
      </c>
      <c r="E8" s="27">
        <v>43932</v>
      </c>
      <c r="F8" s="28">
        <v>153867</v>
      </c>
      <c r="H8" s="29">
        <v>43932</v>
      </c>
      <c r="I8" s="34">
        <v>10194</v>
      </c>
      <c r="J8" s="47"/>
      <c r="K8" s="44" t="s">
        <v>15</v>
      </c>
      <c r="L8" s="45">
        <v>0</v>
      </c>
      <c r="M8" s="203">
        <v>120014</v>
      </c>
      <c r="N8" s="32">
        <v>9501</v>
      </c>
      <c r="O8" s="217" t="s">
        <v>166</v>
      </c>
    </row>
    <row r="9" spans="1:15" ht="16.2" thickBot="1" x14ac:dyDescent="0.35">
      <c r="A9" s="23"/>
      <c r="B9" s="24">
        <v>43933</v>
      </c>
      <c r="C9" s="25">
        <v>1818</v>
      </c>
      <c r="D9" s="46" t="s">
        <v>73</v>
      </c>
      <c r="E9" s="27">
        <v>43933</v>
      </c>
      <c r="F9" s="28">
        <v>102527</v>
      </c>
      <c r="H9" s="29">
        <v>43933</v>
      </c>
      <c r="I9" s="34">
        <v>0</v>
      </c>
      <c r="J9" s="47">
        <v>43952</v>
      </c>
      <c r="K9" s="48" t="s">
        <v>17</v>
      </c>
      <c r="L9" s="49">
        <v>20000</v>
      </c>
      <c r="M9" s="203">
        <v>96965</v>
      </c>
      <c r="N9" s="32">
        <v>3744</v>
      </c>
      <c r="O9" s="217" t="s">
        <v>166</v>
      </c>
    </row>
    <row r="10" spans="1:15" ht="16.2" thickBot="1" x14ac:dyDescent="0.35">
      <c r="A10" s="23"/>
      <c r="B10" s="24">
        <v>43934</v>
      </c>
      <c r="C10" s="25">
        <v>12878.68</v>
      </c>
      <c r="D10" s="38" t="s">
        <v>181</v>
      </c>
      <c r="E10" s="27">
        <v>43934</v>
      </c>
      <c r="F10" s="28">
        <v>76290</v>
      </c>
      <c r="H10" s="29">
        <v>43934</v>
      </c>
      <c r="I10" s="34">
        <v>0</v>
      </c>
      <c r="J10" s="50"/>
      <c r="K10" s="51"/>
      <c r="L10" s="52"/>
      <c r="M10" s="31">
        <v>61215</v>
      </c>
      <c r="N10" s="32">
        <v>2196</v>
      </c>
      <c r="O10" s="219"/>
    </row>
    <row r="11" spans="1:15" ht="15" thickBot="1" x14ac:dyDescent="0.35">
      <c r="A11" s="23"/>
      <c r="B11" s="24">
        <v>43935</v>
      </c>
      <c r="C11" s="25">
        <v>473</v>
      </c>
      <c r="D11" s="33" t="s">
        <v>182</v>
      </c>
      <c r="E11" s="27">
        <v>43935</v>
      </c>
      <c r="F11" s="28">
        <v>63926</v>
      </c>
      <c r="H11" s="29">
        <v>43935</v>
      </c>
      <c r="I11" s="34">
        <v>0</v>
      </c>
      <c r="J11" s="53"/>
      <c r="K11" s="54"/>
      <c r="L11" s="52"/>
      <c r="M11" s="203">
        <v>59392</v>
      </c>
      <c r="N11" s="32">
        <v>4061</v>
      </c>
      <c r="O11" s="217" t="s">
        <v>166</v>
      </c>
    </row>
    <row r="12" spans="1:15" ht="15" thickBot="1" x14ac:dyDescent="0.35">
      <c r="A12" s="23"/>
      <c r="B12" s="24">
        <v>43936</v>
      </c>
      <c r="C12" s="25">
        <v>12114.74</v>
      </c>
      <c r="D12" s="33" t="s">
        <v>137</v>
      </c>
      <c r="E12" s="27">
        <v>43936</v>
      </c>
      <c r="F12" s="28">
        <v>126067</v>
      </c>
      <c r="H12" s="29">
        <v>43936</v>
      </c>
      <c r="I12" s="34">
        <v>4000</v>
      </c>
      <c r="J12" s="55">
        <v>43932</v>
      </c>
      <c r="K12" s="48" t="s">
        <v>183</v>
      </c>
      <c r="L12" s="52">
        <f>15384.61+4000+400</f>
        <v>19784.61</v>
      </c>
      <c r="M12" s="203">
        <f>29080+27660+200+49585</f>
        <v>106525</v>
      </c>
      <c r="N12" s="32">
        <v>3423</v>
      </c>
      <c r="O12" s="220" t="s">
        <v>184</v>
      </c>
    </row>
    <row r="13" spans="1:15" ht="15" thickBot="1" x14ac:dyDescent="0.35">
      <c r="A13" s="23"/>
      <c r="B13" s="24">
        <v>43937</v>
      </c>
      <c r="C13" s="25">
        <v>1266</v>
      </c>
      <c r="D13" s="42" t="s">
        <v>19</v>
      </c>
      <c r="E13" s="27">
        <v>43937</v>
      </c>
      <c r="F13" s="28">
        <v>71749</v>
      </c>
      <c r="H13" s="29">
        <v>43937</v>
      </c>
      <c r="I13" s="34">
        <v>0</v>
      </c>
      <c r="J13" s="55">
        <v>43939</v>
      </c>
      <c r="K13" s="48" t="s">
        <v>185</v>
      </c>
      <c r="L13" s="52">
        <f>16815.05+4000+400</f>
        <v>21215.05</v>
      </c>
      <c r="M13" s="203">
        <v>67386</v>
      </c>
      <c r="N13" s="32">
        <v>3097</v>
      </c>
      <c r="O13" s="217" t="s">
        <v>166</v>
      </c>
    </row>
    <row r="14" spans="1:15" ht="15" thickBot="1" x14ac:dyDescent="0.35">
      <c r="A14" s="23"/>
      <c r="B14" s="24">
        <v>43938</v>
      </c>
      <c r="C14" s="25">
        <v>12960</v>
      </c>
      <c r="D14" s="38" t="s">
        <v>148</v>
      </c>
      <c r="E14" s="27">
        <v>43938</v>
      </c>
      <c r="F14" s="28">
        <v>79540</v>
      </c>
      <c r="H14" s="29">
        <v>43938</v>
      </c>
      <c r="I14" s="34">
        <v>10180</v>
      </c>
      <c r="J14" s="55">
        <v>43946</v>
      </c>
      <c r="K14" s="48" t="s">
        <v>186</v>
      </c>
      <c r="L14" s="52">
        <f>15882.05+4000</f>
        <v>19882.05</v>
      </c>
      <c r="M14" s="203">
        <f>47071+16475</f>
        <v>63546</v>
      </c>
      <c r="N14" s="32">
        <v>5594</v>
      </c>
      <c r="O14" s="217" t="s">
        <v>166</v>
      </c>
    </row>
    <row r="15" spans="1:15" ht="15" thickBot="1" x14ac:dyDescent="0.35">
      <c r="A15" s="23"/>
      <c r="B15" s="24">
        <v>43939</v>
      </c>
      <c r="C15" s="25">
        <v>6441</v>
      </c>
      <c r="D15" s="33" t="s">
        <v>187</v>
      </c>
      <c r="E15" s="27">
        <v>43939</v>
      </c>
      <c r="F15" s="28">
        <v>110316</v>
      </c>
      <c r="H15" s="29">
        <v>43939</v>
      </c>
      <c r="I15" s="34">
        <v>0</v>
      </c>
      <c r="J15" s="55">
        <v>43947</v>
      </c>
      <c r="K15" s="48" t="s">
        <v>28</v>
      </c>
      <c r="L15" s="52">
        <v>400</v>
      </c>
      <c r="M15" s="203">
        <v>85248</v>
      </c>
      <c r="N15" s="32">
        <v>6257</v>
      </c>
      <c r="O15" s="217" t="s">
        <v>166</v>
      </c>
    </row>
    <row r="16" spans="1:15" ht="15" thickBot="1" x14ac:dyDescent="0.35">
      <c r="A16" s="23"/>
      <c r="B16" s="24">
        <v>43940</v>
      </c>
      <c r="C16" s="25">
        <v>8898</v>
      </c>
      <c r="D16" s="33" t="s">
        <v>30</v>
      </c>
      <c r="E16" s="27">
        <v>43940</v>
      </c>
      <c r="F16" s="28">
        <v>97344</v>
      </c>
      <c r="H16" s="29">
        <v>43940</v>
      </c>
      <c r="I16" s="34">
        <v>0</v>
      </c>
      <c r="J16" s="55">
        <v>43953</v>
      </c>
      <c r="K16" s="48" t="s">
        <v>188</v>
      </c>
      <c r="L16" s="56">
        <f>18329.34+4571.44+400</f>
        <v>23300.78</v>
      </c>
      <c r="M16" s="203">
        <v>84540</v>
      </c>
      <c r="N16" s="32">
        <v>3907</v>
      </c>
      <c r="O16" s="217" t="s">
        <v>189</v>
      </c>
    </row>
    <row r="17" spans="1:15" ht="15" thickBot="1" x14ac:dyDescent="0.35">
      <c r="A17" s="23"/>
      <c r="B17" s="24">
        <v>43941</v>
      </c>
      <c r="C17" s="25">
        <v>14089.54</v>
      </c>
      <c r="D17" s="42" t="s">
        <v>137</v>
      </c>
      <c r="E17" s="27">
        <v>43941</v>
      </c>
      <c r="F17" s="28">
        <v>64172</v>
      </c>
      <c r="H17" s="29">
        <v>43941</v>
      </c>
      <c r="I17" s="34">
        <v>0</v>
      </c>
      <c r="J17" s="57"/>
      <c r="K17" s="48" t="s">
        <v>190</v>
      </c>
      <c r="L17" s="58">
        <v>0</v>
      </c>
      <c r="M17" s="31">
        <v>47870</v>
      </c>
      <c r="N17" s="32">
        <v>2192</v>
      </c>
      <c r="O17" s="217"/>
    </row>
    <row r="18" spans="1:15" ht="15" thickBot="1" x14ac:dyDescent="0.35">
      <c r="A18" s="23"/>
      <c r="B18" s="24">
        <v>43942</v>
      </c>
      <c r="C18" s="25">
        <v>635</v>
      </c>
      <c r="D18" s="33" t="s">
        <v>154</v>
      </c>
      <c r="E18" s="27">
        <v>43942</v>
      </c>
      <c r="F18" s="28">
        <v>63892</v>
      </c>
      <c r="H18" s="29">
        <v>43942</v>
      </c>
      <c r="I18" s="34">
        <v>0</v>
      </c>
      <c r="J18" s="57"/>
      <c r="K18" s="59"/>
      <c r="L18" s="52"/>
      <c r="M18" s="203">
        <v>60271</v>
      </c>
      <c r="N18" s="32">
        <v>2985</v>
      </c>
      <c r="O18" s="217" t="s">
        <v>166</v>
      </c>
    </row>
    <row r="19" spans="1:15" ht="15" thickBot="1" x14ac:dyDescent="0.35">
      <c r="A19" s="23"/>
      <c r="B19" s="24">
        <v>43943</v>
      </c>
      <c r="C19" s="25">
        <v>2110</v>
      </c>
      <c r="D19" s="33" t="s">
        <v>12</v>
      </c>
      <c r="E19" s="27">
        <v>43943</v>
      </c>
      <c r="F19" s="28">
        <v>58260</v>
      </c>
      <c r="H19" s="29">
        <v>43943</v>
      </c>
      <c r="I19" s="34">
        <v>0</v>
      </c>
      <c r="J19" s="57"/>
      <c r="K19" s="60"/>
      <c r="L19" s="61"/>
      <c r="M19" s="31">
        <v>53161</v>
      </c>
      <c r="N19" s="32">
        <v>2989</v>
      </c>
      <c r="O19" s="217" t="s">
        <v>10</v>
      </c>
    </row>
    <row r="20" spans="1:15" ht="15" thickBot="1" x14ac:dyDescent="0.35">
      <c r="A20" s="23"/>
      <c r="B20" s="24">
        <v>43944</v>
      </c>
      <c r="C20" s="25">
        <v>20535.560000000001</v>
      </c>
      <c r="D20" s="33" t="s">
        <v>191</v>
      </c>
      <c r="E20" s="27">
        <v>43944</v>
      </c>
      <c r="F20" s="28">
        <v>78025</v>
      </c>
      <c r="H20" s="29">
        <v>43944</v>
      </c>
      <c r="I20" s="34">
        <v>0</v>
      </c>
      <c r="J20" s="55">
        <v>43929</v>
      </c>
      <c r="K20" s="62" t="s">
        <v>192</v>
      </c>
      <c r="L20" s="58">
        <v>870</v>
      </c>
      <c r="M20" s="31">
        <v>56258</v>
      </c>
      <c r="N20" s="32">
        <v>1251</v>
      </c>
      <c r="O20" s="217"/>
    </row>
    <row r="21" spans="1:15" ht="16.2" thickBot="1" x14ac:dyDescent="0.35">
      <c r="A21" s="23"/>
      <c r="B21" s="24">
        <v>43945</v>
      </c>
      <c r="C21" s="25">
        <v>4205</v>
      </c>
      <c r="D21" s="33" t="s">
        <v>193</v>
      </c>
      <c r="E21" s="27">
        <v>43945</v>
      </c>
      <c r="F21" s="28">
        <v>82500</v>
      </c>
      <c r="H21" s="29">
        <v>43945</v>
      </c>
      <c r="I21" s="34">
        <v>10020</v>
      </c>
      <c r="J21" s="57"/>
      <c r="K21" s="63"/>
      <c r="L21" s="58"/>
      <c r="M21" s="31">
        <v>65585</v>
      </c>
      <c r="N21" s="32">
        <v>2690</v>
      </c>
      <c r="O21" s="217"/>
    </row>
    <row r="22" spans="1:15" ht="15" thickBot="1" x14ac:dyDescent="0.35">
      <c r="A22" s="23"/>
      <c r="B22" s="24">
        <v>43946</v>
      </c>
      <c r="C22" s="25">
        <v>14765.8</v>
      </c>
      <c r="D22" s="33" t="s">
        <v>194</v>
      </c>
      <c r="E22" s="27">
        <v>43946</v>
      </c>
      <c r="F22" s="28">
        <v>124349</v>
      </c>
      <c r="H22" s="29">
        <v>43946</v>
      </c>
      <c r="I22" s="34">
        <v>284</v>
      </c>
      <c r="J22" s="64"/>
      <c r="K22" s="65"/>
      <c r="L22" s="66"/>
      <c r="M22" s="31">
        <v>93933</v>
      </c>
      <c r="N22" s="32">
        <v>4177</v>
      </c>
      <c r="O22" s="217"/>
    </row>
    <row r="23" spans="1:15" ht="15" thickBot="1" x14ac:dyDescent="0.35">
      <c r="A23" s="23"/>
      <c r="B23" s="24">
        <v>43947</v>
      </c>
      <c r="C23" s="25">
        <v>1278</v>
      </c>
      <c r="D23" s="33" t="s">
        <v>19</v>
      </c>
      <c r="E23" s="27">
        <v>43947</v>
      </c>
      <c r="F23" s="28">
        <v>113957</v>
      </c>
      <c r="H23" s="29">
        <v>43947</v>
      </c>
      <c r="I23" s="34">
        <v>0</v>
      </c>
      <c r="J23" s="221"/>
      <c r="K23" s="222"/>
      <c r="L23" s="223"/>
      <c r="M23" s="203">
        <v>109150</v>
      </c>
      <c r="N23" s="32">
        <v>3132</v>
      </c>
      <c r="O23" s="204" t="s">
        <v>189</v>
      </c>
    </row>
    <row r="24" spans="1:15" ht="15" thickBot="1" x14ac:dyDescent="0.35">
      <c r="A24" s="23"/>
      <c r="B24" s="24">
        <v>43948</v>
      </c>
      <c r="C24" s="25">
        <v>1780</v>
      </c>
      <c r="D24" s="33" t="s">
        <v>195</v>
      </c>
      <c r="E24" s="27">
        <v>43948</v>
      </c>
      <c r="F24" s="28">
        <v>106237</v>
      </c>
      <c r="H24" s="29">
        <v>43948</v>
      </c>
      <c r="I24" s="34">
        <v>0</v>
      </c>
      <c r="J24" s="224" t="s">
        <v>196</v>
      </c>
      <c r="K24" s="225" t="s">
        <v>197</v>
      </c>
      <c r="L24" s="226">
        <v>1315.86</v>
      </c>
      <c r="M24" s="31">
        <f>27405+74436</f>
        <v>101841</v>
      </c>
      <c r="N24" s="32">
        <v>2616</v>
      </c>
      <c r="O24" s="217"/>
    </row>
    <row r="25" spans="1:15" ht="15" thickBot="1" x14ac:dyDescent="0.35">
      <c r="A25" s="23"/>
      <c r="B25" s="24">
        <v>43949</v>
      </c>
      <c r="C25" s="25">
        <v>3562</v>
      </c>
      <c r="D25" s="33" t="s">
        <v>154</v>
      </c>
      <c r="E25" s="27">
        <v>43949</v>
      </c>
      <c r="F25" s="28">
        <v>59410</v>
      </c>
      <c r="H25" s="29">
        <v>43949</v>
      </c>
      <c r="I25" s="34">
        <v>76</v>
      </c>
      <c r="J25" s="227" t="s">
        <v>196</v>
      </c>
      <c r="K25" s="86" t="s">
        <v>198</v>
      </c>
      <c r="L25" s="178">
        <v>2207.4</v>
      </c>
      <c r="M25" s="31">
        <v>54725</v>
      </c>
      <c r="N25" s="32">
        <v>1047</v>
      </c>
      <c r="O25" s="217" t="s">
        <v>10</v>
      </c>
    </row>
    <row r="26" spans="1:15" ht="15" thickBot="1" x14ac:dyDescent="0.35">
      <c r="A26" s="23"/>
      <c r="B26" s="24">
        <v>43950</v>
      </c>
      <c r="C26" s="25">
        <v>8748</v>
      </c>
      <c r="D26" s="33" t="s">
        <v>199</v>
      </c>
      <c r="E26" s="27">
        <v>43950</v>
      </c>
      <c r="F26" s="28">
        <v>85109</v>
      </c>
      <c r="H26" s="29">
        <v>43950</v>
      </c>
      <c r="I26" s="34">
        <v>4000</v>
      </c>
      <c r="J26" s="57" t="s">
        <v>196</v>
      </c>
      <c r="K26" s="228" t="s">
        <v>200</v>
      </c>
      <c r="L26" s="223">
        <v>429</v>
      </c>
      <c r="M26" s="31">
        <f>5653+6596+55200</f>
        <v>67449</v>
      </c>
      <c r="N26" s="32">
        <v>4920</v>
      </c>
      <c r="O26" s="217"/>
    </row>
    <row r="27" spans="1:15" ht="15" thickBot="1" x14ac:dyDescent="0.35">
      <c r="A27" s="23"/>
      <c r="B27" s="24">
        <v>43951</v>
      </c>
      <c r="C27" s="25">
        <v>14995</v>
      </c>
      <c r="D27" s="33" t="s">
        <v>201</v>
      </c>
      <c r="E27" s="27">
        <v>43951</v>
      </c>
      <c r="F27" s="28">
        <v>91862</v>
      </c>
      <c r="H27" s="29">
        <v>43951</v>
      </c>
      <c r="I27" s="34">
        <v>450</v>
      </c>
      <c r="J27" s="176" t="s">
        <v>196</v>
      </c>
      <c r="K27" s="96" t="s">
        <v>202</v>
      </c>
      <c r="L27" s="178">
        <v>1703.14</v>
      </c>
      <c r="M27" s="203">
        <v>73112</v>
      </c>
      <c r="N27" s="32">
        <v>3277</v>
      </c>
      <c r="O27" s="217" t="s">
        <v>166</v>
      </c>
    </row>
    <row r="28" spans="1:15" ht="15" thickBot="1" x14ac:dyDescent="0.35">
      <c r="A28" s="23"/>
      <c r="B28" s="24">
        <v>43952</v>
      </c>
      <c r="C28" s="25">
        <v>15811</v>
      </c>
      <c r="D28" s="229" t="s">
        <v>79</v>
      </c>
      <c r="E28" s="27">
        <v>43952</v>
      </c>
      <c r="F28" s="28">
        <v>125150</v>
      </c>
      <c r="H28" s="29">
        <v>43952</v>
      </c>
      <c r="I28" s="34">
        <v>10020</v>
      </c>
      <c r="J28" s="176" t="s">
        <v>196</v>
      </c>
      <c r="K28" s="230" t="s">
        <v>203</v>
      </c>
      <c r="L28" s="178">
        <v>3571.86</v>
      </c>
      <c r="M28" s="203">
        <v>71601</v>
      </c>
      <c r="N28" s="32">
        <v>7718</v>
      </c>
      <c r="O28" s="217" t="s">
        <v>166</v>
      </c>
    </row>
    <row r="29" spans="1:15" ht="15" thickBot="1" x14ac:dyDescent="0.35">
      <c r="A29" s="23"/>
      <c r="B29" s="24">
        <v>43953</v>
      </c>
      <c r="C29" s="25">
        <v>5328</v>
      </c>
      <c r="D29" s="195" t="s">
        <v>204</v>
      </c>
      <c r="E29" s="27">
        <v>43953</v>
      </c>
      <c r="F29" s="28">
        <v>146487</v>
      </c>
      <c r="H29" s="29">
        <v>43953</v>
      </c>
      <c r="I29" s="34">
        <v>0</v>
      </c>
      <c r="J29" s="176" t="s">
        <v>196</v>
      </c>
      <c r="K29" s="86" t="s">
        <v>205</v>
      </c>
      <c r="L29" s="178">
        <v>2296.94</v>
      </c>
      <c r="M29" s="31">
        <v>121500</v>
      </c>
      <c r="N29" s="32">
        <v>5781</v>
      </c>
      <c r="O29" s="217" t="s">
        <v>10</v>
      </c>
    </row>
    <row r="30" spans="1:15" ht="15" thickBot="1" x14ac:dyDescent="0.35">
      <c r="A30" s="23"/>
      <c r="B30" s="24">
        <v>43954</v>
      </c>
      <c r="C30" s="197">
        <v>10542</v>
      </c>
      <c r="D30" s="198" t="s">
        <v>206</v>
      </c>
      <c r="E30" s="27">
        <v>43954</v>
      </c>
      <c r="F30" s="28">
        <v>85859</v>
      </c>
      <c r="H30" s="29">
        <v>43954</v>
      </c>
      <c r="I30" s="199">
        <v>0</v>
      </c>
      <c r="J30" s="176" t="s">
        <v>196</v>
      </c>
      <c r="K30" s="231" t="s">
        <v>207</v>
      </c>
      <c r="L30" s="232">
        <v>38875</v>
      </c>
      <c r="M30" s="31">
        <v>73022</v>
      </c>
      <c r="N30" s="32">
        <v>2288</v>
      </c>
      <c r="O30" s="217"/>
    </row>
    <row r="31" spans="1:15" ht="15" thickBot="1" x14ac:dyDescent="0.35">
      <c r="A31" s="23"/>
      <c r="B31" s="24">
        <v>43955</v>
      </c>
      <c r="C31" s="201">
        <v>14461.73</v>
      </c>
      <c r="D31" s="198" t="s">
        <v>208</v>
      </c>
      <c r="E31" s="27">
        <v>43955</v>
      </c>
      <c r="F31" s="28">
        <v>108521</v>
      </c>
      <c r="H31" s="29">
        <v>43955</v>
      </c>
      <c r="I31" s="199">
        <v>0</v>
      </c>
      <c r="J31" s="176" t="s">
        <v>196</v>
      </c>
      <c r="K31" s="86" t="s">
        <v>209</v>
      </c>
      <c r="L31" s="178">
        <v>8180.79</v>
      </c>
      <c r="M31" s="31">
        <v>91906</v>
      </c>
      <c r="N31" s="32">
        <v>2158</v>
      </c>
      <c r="O31" s="217"/>
    </row>
    <row r="32" spans="1:15" ht="15" thickBot="1" x14ac:dyDescent="0.35">
      <c r="A32" s="23"/>
      <c r="B32" s="24">
        <v>43956</v>
      </c>
      <c r="C32" s="201">
        <v>6353.8</v>
      </c>
      <c r="D32" s="198" t="s">
        <v>210</v>
      </c>
      <c r="E32" s="27">
        <v>43956</v>
      </c>
      <c r="F32" s="202">
        <v>64405</v>
      </c>
      <c r="H32" s="29">
        <v>43956</v>
      </c>
      <c r="I32" s="199">
        <v>421</v>
      </c>
      <c r="J32" s="176" t="s">
        <v>196</v>
      </c>
      <c r="K32" s="96" t="s">
        <v>211</v>
      </c>
      <c r="L32" s="178">
        <v>860</v>
      </c>
      <c r="M32" s="31">
        <f>3459+53074</f>
        <v>56533</v>
      </c>
      <c r="N32" s="32">
        <v>1153</v>
      </c>
      <c r="O32" s="217"/>
    </row>
    <row r="33" spans="1:15" ht="15" thickBot="1" x14ac:dyDescent="0.35">
      <c r="A33" s="23"/>
      <c r="B33" s="24">
        <v>43957</v>
      </c>
      <c r="C33" s="201">
        <v>2870</v>
      </c>
      <c r="D33" s="205" t="s">
        <v>212</v>
      </c>
      <c r="E33" s="27">
        <v>43957</v>
      </c>
      <c r="F33" s="97">
        <v>58998</v>
      </c>
      <c r="H33" s="29">
        <v>43957</v>
      </c>
      <c r="I33" s="199">
        <v>2039</v>
      </c>
      <c r="J33" s="176" t="s">
        <v>196</v>
      </c>
      <c r="K33" s="96" t="s">
        <v>213</v>
      </c>
      <c r="L33" s="178">
        <v>4862.45</v>
      </c>
      <c r="M33" s="31">
        <v>52365</v>
      </c>
      <c r="N33" s="32">
        <v>1724</v>
      </c>
      <c r="O33" s="217"/>
    </row>
    <row r="34" spans="1:15" ht="15" thickBot="1" x14ac:dyDescent="0.35">
      <c r="A34" s="23"/>
      <c r="B34" s="24"/>
      <c r="C34" s="201"/>
      <c r="D34" s="208"/>
      <c r="E34" s="206"/>
      <c r="F34" s="97">
        <v>0</v>
      </c>
      <c r="H34" s="29"/>
      <c r="I34" s="199"/>
      <c r="J34" s="176" t="s">
        <v>196</v>
      </c>
      <c r="K34" s="86" t="s">
        <v>214</v>
      </c>
      <c r="L34" s="178">
        <v>5382.4</v>
      </c>
      <c r="M34" s="31">
        <v>0</v>
      </c>
      <c r="N34" s="32">
        <v>0</v>
      </c>
      <c r="O34" s="217"/>
    </row>
    <row r="35" spans="1:15" ht="15" thickBot="1" x14ac:dyDescent="0.35">
      <c r="A35" s="23"/>
      <c r="B35" s="24"/>
      <c r="C35" s="201"/>
      <c r="D35" s="209"/>
      <c r="E35" s="206"/>
      <c r="F35" s="97">
        <v>0</v>
      </c>
      <c r="H35" s="29"/>
      <c r="I35" s="199"/>
      <c r="J35" s="176" t="s">
        <v>196</v>
      </c>
      <c r="K35" s="96" t="s">
        <v>215</v>
      </c>
      <c r="L35" s="233">
        <v>772</v>
      </c>
      <c r="M35" s="31">
        <v>0</v>
      </c>
      <c r="N35" s="32">
        <v>0</v>
      </c>
      <c r="O35" s="217"/>
    </row>
    <row r="36" spans="1:15" ht="15" thickBot="1" x14ac:dyDescent="0.35">
      <c r="A36" s="23"/>
      <c r="B36" s="24"/>
      <c r="C36" s="201"/>
      <c r="D36" s="209"/>
      <c r="E36" s="206"/>
      <c r="F36" s="97">
        <v>0</v>
      </c>
      <c r="H36" s="29"/>
      <c r="I36" s="199"/>
      <c r="J36" s="176" t="s">
        <v>196</v>
      </c>
      <c r="K36" s="86" t="s">
        <v>216</v>
      </c>
      <c r="L36" s="178">
        <v>19605</v>
      </c>
      <c r="M36" s="31">
        <v>0</v>
      </c>
      <c r="N36" s="32">
        <v>0</v>
      </c>
      <c r="O36" s="217"/>
    </row>
    <row r="37" spans="1:15" ht="15" thickBot="1" x14ac:dyDescent="0.35">
      <c r="A37" s="23"/>
      <c r="B37" s="24"/>
      <c r="C37" s="201"/>
      <c r="D37" s="209"/>
      <c r="E37" s="206"/>
      <c r="F37" s="97">
        <v>0</v>
      </c>
      <c r="H37" s="29"/>
      <c r="I37" s="199"/>
      <c r="J37" s="176" t="s">
        <v>196</v>
      </c>
      <c r="K37" s="86" t="s">
        <v>217</v>
      </c>
      <c r="L37" s="178">
        <v>538.42999999999995</v>
      </c>
      <c r="M37" s="31">
        <v>0</v>
      </c>
      <c r="N37" s="32">
        <v>0</v>
      </c>
      <c r="O37" s="217"/>
    </row>
    <row r="38" spans="1:15" ht="15" thickBot="1" x14ac:dyDescent="0.35">
      <c r="A38" s="23"/>
      <c r="B38" s="24"/>
      <c r="C38" s="234"/>
      <c r="D38" s="209"/>
      <c r="E38" s="206"/>
      <c r="F38" s="97">
        <v>0</v>
      </c>
      <c r="H38" s="29"/>
      <c r="I38" s="199"/>
      <c r="J38" s="176" t="s">
        <v>196</v>
      </c>
      <c r="K38" s="109" t="s">
        <v>218</v>
      </c>
      <c r="L38" s="235">
        <v>19605</v>
      </c>
      <c r="M38" s="31">
        <v>0</v>
      </c>
      <c r="N38" s="32">
        <v>0</v>
      </c>
      <c r="O38" s="217"/>
    </row>
    <row r="39" spans="1:15" ht="16.2" thickBot="1" x14ac:dyDescent="0.35">
      <c r="A39" s="102"/>
      <c r="B39" s="103"/>
      <c r="C39" s="104"/>
      <c r="D39" s="105"/>
      <c r="E39" s="106"/>
      <c r="F39" s="107">
        <v>0</v>
      </c>
      <c r="G39" s="108"/>
      <c r="H39" s="29"/>
      <c r="I39" s="107"/>
      <c r="J39" s="85"/>
      <c r="K39" s="213"/>
      <c r="L39" s="66"/>
      <c r="M39" s="110">
        <f>SUM(M5:M38)</f>
        <v>2101642</v>
      </c>
      <c r="N39" s="111">
        <f>SUM(N5:N38)</f>
        <v>101041</v>
      </c>
      <c r="O39" s="236"/>
    </row>
    <row r="40" spans="1:15" ht="16.2" thickBot="1" x14ac:dyDescent="0.35">
      <c r="B40" s="112" t="s">
        <v>51</v>
      </c>
      <c r="C40" s="113">
        <f>SUM(C5:C39)</f>
        <v>234600.5</v>
      </c>
      <c r="D40" s="114"/>
      <c r="E40" s="237" t="s">
        <v>51</v>
      </c>
      <c r="F40" s="238">
        <f>SUM(F5:F39)</f>
        <v>2543723</v>
      </c>
      <c r="G40" s="114"/>
      <c r="H40" s="117" t="s">
        <v>51</v>
      </c>
      <c r="I40" s="118">
        <f>SUM(I5:I39)</f>
        <v>51684</v>
      </c>
      <c r="J40" s="119"/>
      <c r="K40" s="120" t="s">
        <v>51</v>
      </c>
      <c r="L40" s="121">
        <f>SUM(L6:L39)</f>
        <v>216755.76</v>
      </c>
      <c r="O40" s="239"/>
    </row>
    <row r="41" spans="1:15" ht="19.2" thickTop="1" thickBot="1" x14ac:dyDescent="0.35">
      <c r="C41" s="5" t="s">
        <v>10</v>
      </c>
      <c r="M41" s="599">
        <f>N39+M39</f>
        <v>2202683</v>
      </c>
      <c r="N41" s="600"/>
      <c r="O41" s="240"/>
    </row>
    <row r="42" spans="1:15" ht="15.6" x14ac:dyDescent="0.3">
      <c r="A42" s="65"/>
      <c r="B42" s="122"/>
      <c r="C42" s="4"/>
      <c r="H42" s="601" t="s">
        <v>52</v>
      </c>
      <c r="I42" s="602"/>
      <c r="J42" s="164"/>
      <c r="K42" s="603">
        <f>I40+L40</f>
        <v>268439.76</v>
      </c>
      <c r="L42" s="604"/>
    </row>
    <row r="43" spans="1:15" ht="15.6" x14ac:dyDescent="0.3">
      <c r="D43" s="606" t="s">
        <v>53</v>
      </c>
      <c r="E43" s="606"/>
      <c r="F43" s="124">
        <f>F40-K42-C40</f>
        <v>2040682.7400000002</v>
      </c>
      <c r="I43" s="125"/>
      <c r="J43" s="125"/>
    </row>
    <row r="44" spans="1:15" ht="18" x14ac:dyDescent="0.35">
      <c r="D44" s="607" t="s">
        <v>54</v>
      </c>
      <c r="E44" s="607"/>
      <c r="F44" s="126">
        <v>-1908890.86</v>
      </c>
      <c r="I44" s="608" t="s">
        <v>55</v>
      </c>
      <c r="J44" s="609"/>
      <c r="K44" s="610">
        <f>F49</f>
        <v>384003.30000000016</v>
      </c>
      <c r="L44" s="611"/>
    </row>
    <row r="45" spans="1:15" ht="7.5" customHeight="1" thickBot="1" x14ac:dyDescent="0.4">
      <c r="D45" s="127"/>
      <c r="E45" s="128"/>
      <c r="F45" s="129" t="s">
        <v>10</v>
      </c>
      <c r="I45" s="130"/>
      <c r="J45" s="130"/>
      <c r="K45" s="131"/>
      <c r="L45" s="131"/>
    </row>
    <row r="46" spans="1:15" ht="18.600000000000001" thickTop="1" x14ac:dyDescent="0.35">
      <c r="C46" s="13" t="s">
        <v>10</v>
      </c>
      <c r="E46" s="65" t="s">
        <v>56</v>
      </c>
      <c r="F46" s="126">
        <f>SUM(F43:F45)</f>
        <v>131791.88000000012</v>
      </c>
      <c r="H46" s="23"/>
      <c r="I46" s="132" t="s">
        <v>57</v>
      </c>
      <c r="J46" s="133"/>
      <c r="K46" s="612">
        <f>-C4</f>
        <v>-242201.9</v>
      </c>
      <c r="L46" s="613"/>
      <c r="M46" s="134"/>
    </row>
    <row r="47" spans="1:15" ht="16.2" thickBot="1" x14ac:dyDescent="0.35">
      <c r="D47" s="135" t="s">
        <v>58</v>
      </c>
      <c r="E47" s="65" t="s">
        <v>59</v>
      </c>
      <c r="F47" s="136">
        <v>12791</v>
      </c>
    </row>
    <row r="48" spans="1:15" ht="19.2" thickTop="1" thickBot="1" x14ac:dyDescent="0.4">
      <c r="C48" s="137">
        <v>43957</v>
      </c>
      <c r="D48" s="614" t="s">
        <v>60</v>
      </c>
      <c r="E48" s="615"/>
      <c r="F48" s="138">
        <v>239420.42</v>
      </c>
      <c r="I48" s="616" t="s">
        <v>61</v>
      </c>
      <c r="J48" s="617"/>
      <c r="K48" s="618">
        <f>K44+K46</f>
        <v>141801.40000000017</v>
      </c>
      <c r="L48" s="619"/>
    </row>
    <row r="49" spans="2:15" ht="18" x14ac:dyDescent="0.35">
      <c r="C49" s="139"/>
      <c r="D49" s="140"/>
      <c r="E49" s="141" t="s">
        <v>62</v>
      </c>
      <c r="F49" s="142">
        <f>F46+F47+F48</f>
        <v>384003.30000000016</v>
      </c>
      <c r="J49" s="6"/>
      <c r="M49" s="143"/>
    </row>
    <row r="51" spans="2:15" x14ac:dyDescent="0.3">
      <c r="B51"/>
      <c r="C51"/>
      <c r="D51" s="605"/>
      <c r="E51" s="605"/>
      <c r="M51" s="144"/>
      <c r="N51" s="65"/>
      <c r="O51" s="65"/>
    </row>
    <row r="52" spans="2:15" x14ac:dyDescent="0.3">
      <c r="B52"/>
      <c r="C52"/>
      <c r="M52" s="144"/>
      <c r="N52" s="65"/>
      <c r="O52" s="65"/>
    </row>
    <row r="53" spans="2:15" x14ac:dyDescent="0.3">
      <c r="B53"/>
      <c r="C53"/>
      <c r="N53" s="65"/>
      <c r="O53" s="65"/>
    </row>
    <row r="54" spans="2:15" x14ac:dyDescent="0.3">
      <c r="B54"/>
      <c r="C54"/>
      <c r="F54"/>
      <c r="I54"/>
      <c r="J54"/>
      <c r="M54"/>
      <c r="N54" s="65"/>
      <c r="O54" s="65"/>
    </row>
    <row r="55" spans="2:15" x14ac:dyDescent="0.3">
      <c r="B55"/>
      <c r="C55"/>
      <c r="F55" s="145"/>
      <c r="N55" s="65"/>
      <c r="O55" s="65"/>
    </row>
    <row r="56" spans="2:15" x14ac:dyDescent="0.3">
      <c r="F56" s="91"/>
      <c r="M56" s="4"/>
      <c r="N56" s="65"/>
      <c r="O56" s="65"/>
    </row>
    <row r="57" spans="2:15" x14ac:dyDescent="0.3">
      <c r="F57" s="91"/>
      <c r="M57" s="4"/>
      <c r="N57" s="65"/>
      <c r="O57" s="65"/>
    </row>
    <row r="58" spans="2:15" x14ac:dyDescent="0.3">
      <c r="F58" s="91"/>
      <c r="M58" s="4"/>
      <c r="N58" s="65"/>
      <c r="O58" s="65"/>
    </row>
    <row r="59" spans="2:15" x14ac:dyDescent="0.3">
      <c r="F59" s="91"/>
      <c r="M59" s="4"/>
      <c r="N59" s="65"/>
      <c r="O59" s="65"/>
    </row>
    <row r="60" spans="2:15" x14ac:dyDescent="0.3">
      <c r="F60" s="91"/>
      <c r="M60" s="4"/>
    </row>
    <row r="61" spans="2:15" x14ac:dyDescent="0.3">
      <c r="F61" s="91"/>
      <c r="M61" s="4"/>
    </row>
    <row r="62" spans="2:15" x14ac:dyDescent="0.3">
      <c r="F62" s="91"/>
      <c r="M62" s="4"/>
    </row>
    <row r="63" spans="2:15" x14ac:dyDescent="0.3">
      <c r="F63" s="91"/>
      <c r="M63" s="4"/>
    </row>
    <row r="64" spans="2:15" x14ac:dyDescent="0.3">
      <c r="F64" s="91"/>
      <c r="M64" s="4"/>
    </row>
    <row r="65" spans="6:13" x14ac:dyDescent="0.3">
      <c r="F65" s="145"/>
      <c r="M65" s="4"/>
    </row>
    <row r="66" spans="6:13" x14ac:dyDescent="0.3">
      <c r="M66" s="4"/>
    </row>
    <row r="67" spans="6:13" x14ac:dyDescent="0.3">
      <c r="M67" s="4"/>
    </row>
    <row r="68" spans="6:13" x14ac:dyDescent="0.3">
      <c r="M68" s="4"/>
    </row>
    <row r="69" spans="6:13" x14ac:dyDescent="0.3">
      <c r="M69" s="4"/>
    </row>
    <row r="70" spans="6:13" x14ac:dyDescent="0.3"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</sheetData>
  <mergeCells count="17">
    <mergeCell ref="M41:N41"/>
    <mergeCell ref="C1:K1"/>
    <mergeCell ref="E2:F3"/>
    <mergeCell ref="B3:C3"/>
    <mergeCell ref="E4:F4"/>
    <mergeCell ref="H4:I4"/>
    <mergeCell ref="H42:I42"/>
    <mergeCell ref="K42:L42"/>
    <mergeCell ref="D43:E43"/>
    <mergeCell ref="D44:E44"/>
    <mergeCell ref="I44:J44"/>
    <mergeCell ref="K44:L44"/>
    <mergeCell ref="K46:L46"/>
    <mergeCell ref="D48:E48"/>
    <mergeCell ref="I48:J48"/>
    <mergeCell ref="K48:L48"/>
    <mergeCell ref="D51:E51"/>
  </mergeCells>
  <pageMargins left="0.31496062992125984" right="0.15748031496062992" top="0.27559055118110237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5B0D-A952-4F43-A9D6-B5B1D89EBF02}">
  <sheetPr>
    <tabColor theme="7" tint="-0.249977111117893"/>
  </sheetPr>
  <dimension ref="A1:F77"/>
  <sheetViews>
    <sheetView topLeftCell="A25" workbookViewId="0">
      <selection activeCell="H37" sqref="H37"/>
    </sheetView>
  </sheetViews>
  <sheetFormatPr baseColWidth="10" defaultRowHeight="14.4" x14ac:dyDescent="0.3"/>
  <cols>
    <col min="1" max="1" width="13.44140625" style="65" bestFit="1" customWidth="1"/>
    <col min="2" max="2" width="12.88671875" bestFit="1" customWidth="1"/>
    <col min="3" max="3" width="15.88671875" style="13" bestFit="1" customWidth="1"/>
    <col min="4" max="4" width="12.44140625" bestFit="1" customWidth="1"/>
    <col min="5" max="5" width="15.109375" style="13" bestFit="1" customWidth="1"/>
    <col min="6" max="6" width="19.5546875" style="13" bestFit="1" customWidth="1"/>
  </cols>
  <sheetData>
    <row r="1" spans="1:6" ht="21" x14ac:dyDescent="0.4">
      <c r="B1" s="146" t="s">
        <v>177</v>
      </c>
      <c r="C1" s="147"/>
      <c r="D1" s="148"/>
      <c r="E1" s="147"/>
      <c r="F1" s="149"/>
    </row>
    <row r="2" spans="1:6" ht="16.2" thickBot="1" x14ac:dyDescent="0.35">
      <c r="A2" s="150" t="s">
        <v>64</v>
      </c>
      <c r="B2" s="150" t="s">
        <v>65</v>
      </c>
      <c r="C2" s="151" t="s">
        <v>66</v>
      </c>
      <c r="D2" s="150" t="s">
        <v>67</v>
      </c>
      <c r="E2" s="151" t="s">
        <v>68</v>
      </c>
      <c r="F2" s="151" t="s">
        <v>66</v>
      </c>
    </row>
    <row r="3" spans="1:6" x14ac:dyDescent="0.3">
      <c r="A3" s="156">
        <v>43929</v>
      </c>
      <c r="B3" s="241">
        <v>10758</v>
      </c>
      <c r="C3" s="242">
        <v>147773.48000000001</v>
      </c>
      <c r="D3" s="154">
        <v>43929</v>
      </c>
      <c r="E3" s="56">
        <v>147773.48000000001</v>
      </c>
      <c r="F3" s="155">
        <f>C3-E3</f>
        <v>0</v>
      </c>
    </row>
    <row r="4" spans="1:6" x14ac:dyDescent="0.3">
      <c r="A4" s="156">
        <v>43930</v>
      </c>
      <c r="B4" s="157">
        <v>10898</v>
      </c>
      <c r="C4" s="97">
        <v>122882.46</v>
      </c>
      <c r="D4" s="158"/>
      <c r="E4" s="97"/>
      <c r="F4" s="155">
        <f>F3+C4-E4</f>
        <v>122882.46</v>
      </c>
    </row>
    <row r="5" spans="1:6" x14ac:dyDescent="0.3">
      <c r="A5" s="158">
        <v>43930</v>
      </c>
      <c r="B5" s="157">
        <v>10899</v>
      </c>
      <c r="C5" s="97">
        <v>8589.4</v>
      </c>
      <c r="D5" s="158"/>
      <c r="E5" s="97"/>
      <c r="F5" s="155">
        <f t="shared" ref="F5:F40" si="0">F4+C5-E5</f>
        <v>131471.86000000002</v>
      </c>
    </row>
    <row r="6" spans="1:6" x14ac:dyDescent="0.3">
      <c r="A6" s="158">
        <v>43932</v>
      </c>
      <c r="B6" s="157">
        <v>11052</v>
      </c>
      <c r="C6" s="97">
        <v>28110.28</v>
      </c>
      <c r="D6" s="158"/>
      <c r="E6" s="97"/>
      <c r="F6" s="155">
        <f t="shared" si="0"/>
        <v>159582.14000000001</v>
      </c>
    </row>
    <row r="7" spans="1:6" x14ac:dyDescent="0.3">
      <c r="A7" s="158">
        <v>43933</v>
      </c>
      <c r="B7" s="157">
        <v>11059</v>
      </c>
      <c r="C7" s="97">
        <v>2193.6</v>
      </c>
      <c r="D7" s="158"/>
      <c r="E7" s="97"/>
      <c r="F7" s="155">
        <f t="shared" si="0"/>
        <v>161775.74000000002</v>
      </c>
    </row>
    <row r="8" spans="1:6" x14ac:dyDescent="0.3">
      <c r="A8" s="158">
        <v>43933</v>
      </c>
      <c r="B8" s="157">
        <v>11141</v>
      </c>
      <c r="C8" s="97">
        <v>86400.960000000006</v>
      </c>
      <c r="D8" s="158"/>
      <c r="E8" s="97"/>
      <c r="F8" s="155">
        <f t="shared" si="0"/>
        <v>248176.7</v>
      </c>
    </row>
    <row r="9" spans="1:6" x14ac:dyDescent="0.3">
      <c r="A9" s="158">
        <v>43935</v>
      </c>
      <c r="B9" s="157">
        <v>11384</v>
      </c>
      <c r="C9" s="97">
        <v>4842.8</v>
      </c>
      <c r="D9" s="158"/>
      <c r="E9" s="97"/>
      <c r="F9" s="155">
        <f t="shared" si="0"/>
        <v>253019.5</v>
      </c>
    </row>
    <row r="10" spans="1:6" x14ac:dyDescent="0.3">
      <c r="A10" s="158">
        <v>43935</v>
      </c>
      <c r="B10" s="157">
        <v>11386</v>
      </c>
      <c r="C10" s="97">
        <v>81260.62</v>
      </c>
      <c r="D10" s="158"/>
      <c r="E10" s="97"/>
      <c r="F10" s="155">
        <f t="shared" si="0"/>
        <v>334280.12</v>
      </c>
    </row>
    <row r="11" spans="1:6" x14ac:dyDescent="0.3">
      <c r="A11" s="156">
        <v>43936</v>
      </c>
      <c r="B11" s="157">
        <v>11442</v>
      </c>
      <c r="C11" s="97">
        <v>1470.96</v>
      </c>
      <c r="D11" s="158"/>
      <c r="E11" s="97"/>
      <c r="F11" s="155">
        <f t="shared" si="0"/>
        <v>335751.08</v>
      </c>
    </row>
    <row r="12" spans="1:6" x14ac:dyDescent="0.3">
      <c r="A12" s="158">
        <v>43936</v>
      </c>
      <c r="B12" s="157">
        <v>11508</v>
      </c>
      <c r="C12" s="97">
        <v>159457.22</v>
      </c>
      <c r="D12" s="158">
        <v>43937</v>
      </c>
      <c r="E12" s="97">
        <v>495208.3</v>
      </c>
      <c r="F12" s="155">
        <f t="shared" si="0"/>
        <v>0</v>
      </c>
    </row>
    <row r="13" spans="1:6" x14ac:dyDescent="0.3">
      <c r="A13" s="158">
        <v>43938</v>
      </c>
      <c r="B13" s="157">
        <v>11813</v>
      </c>
      <c r="C13" s="97">
        <v>79313.100000000006</v>
      </c>
      <c r="D13" s="158"/>
      <c r="E13" s="97"/>
      <c r="F13" s="155">
        <f t="shared" si="0"/>
        <v>79313.100000000006</v>
      </c>
    </row>
    <row r="14" spans="1:6" x14ac:dyDescent="0.3">
      <c r="A14" s="158">
        <v>43939</v>
      </c>
      <c r="B14" s="157">
        <v>11943</v>
      </c>
      <c r="C14" s="97">
        <v>67061.34</v>
      </c>
      <c r="D14" s="158"/>
      <c r="E14" s="97"/>
      <c r="F14" s="155">
        <f t="shared" si="0"/>
        <v>146374.44</v>
      </c>
    </row>
    <row r="15" spans="1:6" x14ac:dyDescent="0.3">
      <c r="A15" s="158">
        <v>43940</v>
      </c>
      <c r="B15" s="157">
        <v>12016</v>
      </c>
      <c r="C15" s="97">
        <v>4828</v>
      </c>
      <c r="D15" s="158"/>
      <c r="E15" s="97"/>
      <c r="F15" s="155">
        <f t="shared" si="0"/>
        <v>151202.44</v>
      </c>
    </row>
    <row r="16" spans="1:6" x14ac:dyDescent="0.3">
      <c r="A16" s="158">
        <v>43940</v>
      </c>
      <c r="B16" s="157">
        <v>12043</v>
      </c>
      <c r="C16" s="97">
        <v>17605.8</v>
      </c>
      <c r="D16" s="158"/>
      <c r="E16" s="97"/>
      <c r="F16" s="155">
        <f t="shared" si="0"/>
        <v>168808.24</v>
      </c>
    </row>
    <row r="17" spans="1:6" x14ac:dyDescent="0.3">
      <c r="A17" s="158">
        <v>43941</v>
      </c>
      <c r="B17" s="157">
        <v>12180</v>
      </c>
      <c r="C17" s="97">
        <v>26827.3</v>
      </c>
      <c r="D17" s="158"/>
      <c r="E17" s="97"/>
      <c r="F17" s="155">
        <f t="shared" si="0"/>
        <v>195635.53999999998</v>
      </c>
    </row>
    <row r="18" spans="1:6" x14ac:dyDescent="0.3">
      <c r="A18" s="158">
        <v>43942</v>
      </c>
      <c r="B18" s="157">
        <v>12284</v>
      </c>
      <c r="C18" s="97">
        <v>95758.69</v>
      </c>
      <c r="D18" s="158"/>
      <c r="E18" s="97"/>
      <c r="F18" s="155">
        <f t="shared" si="0"/>
        <v>291394.23</v>
      </c>
    </row>
    <row r="19" spans="1:6" x14ac:dyDescent="0.3">
      <c r="A19" s="158">
        <v>43944</v>
      </c>
      <c r="B19" s="157">
        <v>12467</v>
      </c>
      <c r="C19" s="97">
        <v>94550.7</v>
      </c>
      <c r="D19" s="158"/>
      <c r="E19" s="97"/>
      <c r="F19" s="155">
        <f t="shared" si="0"/>
        <v>385944.93</v>
      </c>
    </row>
    <row r="20" spans="1:6" x14ac:dyDescent="0.3">
      <c r="A20" s="158">
        <v>43945</v>
      </c>
      <c r="B20" s="157">
        <v>12582</v>
      </c>
      <c r="C20" s="97">
        <v>856.8</v>
      </c>
      <c r="D20" s="158"/>
      <c r="E20" s="97"/>
      <c r="F20" s="155">
        <f t="shared" si="0"/>
        <v>386801.73</v>
      </c>
    </row>
    <row r="21" spans="1:6" x14ac:dyDescent="0.3">
      <c r="A21" s="158">
        <v>43946</v>
      </c>
      <c r="B21" s="157">
        <v>12722</v>
      </c>
      <c r="C21" s="97">
        <v>25527.599999999999</v>
      </c>
      <c r="D21" s="158"/>
      <c r="E21" s="97"/>
      <c r="F21" s="155">
        <f t="shared" si="0"/>
        <v>412329.32999999996</v>
      </c>
    </row>
    <row r="22" spans="1:6" x14ac:dyDescent="0.3">
      <c r="A22" s="158">
        <v>43946</v>
      </c>
      <c r="B22" s="157">
        <v>12724</v>
      </c>
      <c r="C22" s="97">
        <v>5544.5</v>
      </c>
      <c r="D22" s="158"/>
      <c r="E22" s="97"/>
      <c r="F22" s="155">
        <f t="shared" si="0"/>
        <v>417873.82999999996</v>
      </c>
    </row>
    <row r="23" spans="1:6" x14ac:dyDescent="0.3">
      <c r="A23" s="158">
        <v>43946</v>
      </c>
      <c r="B23" s="157">
        <v>12813</v>
      </c>
      <c r="C23" s="97">
        <v>104867.7</v>
      </c>
      <c r="D23" s="158"/>
      <c r="E23" s="97"/>
      <c r="F23" s="155">
        <f t="shared" si="0"/>
        <v>522741.52999999997</v>
      </c>
    </row>
    <row r="24" spans="1:6" x14ac:dyDescent="0.3">
      <c r="A24" s="158">
        <v>43946</v>
      </c>
      <c r="B24" s="157">
        <v>12836</v>
      </c>
      <c r="C24" s="97">
        <v>46384.56</v>
      </c>
      <c r="D24" s="158"/>
      <c r="E24" s="97"/>
      <c r="F24" s="155">
        <f t="shared" si="0"/>
        <v>569126.09</v>
      </c>
    </row>
    <row r="25" spans="1:6" x14ac:dyDescent="0.3">
      <c r="A25" s="158">
        <v>43947</v>
      </c>
      <c r="B25" s="157">
        <v>12857</v>
      </c>
      <c r="C25" s="97">
        <v>26491.5</v>
      </c>
      <c r="D25" s="158"/>
      <c r="E25" s="97"/>
      <c r="F25" s="155">
        <f t="shared" si="0"/>
        <v>595617.59</v>
      </c>
    </row>
    <row r="26" spans="1:6" x14ac:dyDescent="0.3">
      <c r="A26" s="158">
        <v>43948</v>
      </c>
      <c r="B26" s="157">
        <v>12950</v>
      </c>
      <c r="C26" s="97">
        <v>9954.25</v>
      </c>
      <c r="D26" s="158"/>
      <c r="E26" s="97"/>
      <c r="F26" s="155">
        <f t="shared" si="0"/>
        <v>605571.83999999997</v>
      </c>
    </row>
    <row r="27" spans="1:6" x14ac:dyDescent="0.3">
      <c r="A27" s="158">
        <v>43948</v>
      </c>
      <c r="B27" s="157">
        <v>13009</v>
      </c>
      <c r="C27" s="97">
        <v>109570.43</v>
      </c>
      <c r="D27" s="158"/>
      <c r="E27" s="97"/>
      <c r="F27" s="155">
        <f t="shared" si="0"/>
        <v>715142.27</v>
      </c>
    </row>
    <row r="28" spans="1:6" x14ac:dyDescent="0.3">
      <c r="A28" s="156">
        <v>43949</v>
      </c>
      <c r="B28" s="157">
        <v>13139</v>
      </c>
      <c r="C28" s="97">
        <v>116538.9</v>
      </c>
      <c r="D28" s="158"/>
      <c r="E28" s="97"/>
      <c r="F28" s="155">
        <f t="shared" si="0"/>
        <v>831681.17</v>
      </c>
    </row>
    <row r="29" spans="1:6" x14ac:dyDescent="0.3">
      <c r="A29" s="156">
        <v>43951</v>
      </c>
      <c r="B29" s="157">
        <v>13281</v>
      </c>
      <c r="C29" s="97">
        <v>91567.52</v>
      </c>
      <c r="D29" s="158"/>
      <c r="E29" s="97"/>
      <c r="F29" s="155">
        <f t="shared" si="0"/>
        <v>923248.69000000006</v>
      </c>
    </row>
    <row r="30" spans="1:6" x14ac:dyDescent="0.3">
      <c r="A30" s="156">
        <v>43951</v>
      </c>
      <c r="B30" s="157">
        <v>13309</v>
      </c>
      <c r="C30" s="97">
        <v>3642</v>
      </c>
      <c r="D30" s="158"/>
      <c r="E30" s="97"/>
      <c r="F30" s="155">
        <f t="shared" si="0"/>
        <v>926890.69000000006</v>
      </c>
    </row>
    <row r="31" spans="1:6" x14ac:dyDescent="0.3">
      <c r="A31" s="156">
        <v>43951</v>
      </c>
      <c r="B31" s="157">
        <v>13312</v>
      </c>
      <c r="C31" s="97">
        <v>6496.75</v>
      </c>
      <c r="D31" s="158"/>
      <c r="E31" s="97"/>
      <c r="F31" s="155">
        <f t="shared" si="0"/>
        <v>933387.44000000006</v>
      </c>
    </row>
    <row r="32" spans="1:6" x14ac:dyDescent="0.3">
      <c r="A32" s="156">
        <v>43951</v>
      </c>
      <c r="B32" s="157">
        <v>13376</v>
      </c>
      <c r="C32" s="97">
        <v>2304</v>
      </c>
      <c r="D32" s="158"/>
      <c r="E32" s="97"/>
      <c r="F32" s="155">
        <f t="shared" si="0"/>
        <v>935691.44000000006</v>
      </c>
    </row>
    <row r="33" spans="1:6" x14ac:dyDescent="0.3">
      <c r="A33" s="156">
        <v>43952</v>
      </c>
      <c r="B33" s="157">
        <v>13518</v>
      </c>
      <c r="C33" s="97">
        <v>48057.9</v>
      </c>
      <c r="D33" s="158"/>
      <c r="E33" s="97"/>
      <c r="F33" s="155">
        <f t="shared" si="0"/>
        <v>983749.34000000008</v>
      </c>
    </row>
    <row r="34" spans="1:6" x14ac:dyDescent="0.3">
      <c r="A34" s="156">
        <v>43953</v>
      </c>
      <c r="B34" s="157">
        <v>13565</v>
      </c>
      <c r="C34" s="97">
        <v>3217.5</v>
      </c>
      <c r="D34" s="158"/>
      <c r="E34" s="97"/>
      <c r="F34" s="155">
        <f t="shared" si="0"/>
        <v>986966.84000000008</v>
      </c>
    </row>
    <row r="35" spans="1:6" x14ac:dyDescent="0.3">
      <c r="A35" s="156">
        <v>43953</v>
      </c>
      <c r="B35" s="157">
        <v>13603</v>
      </c>
      <c r="C35" s="97">
        <v>178494.54</v>
      </c>
      <c r="D35" s="158"/>
      <c r="E35" s="97"/>
      <c r="F35" s="155">
        <f t="shared" si="0"/>
        <v>1165461.3800000001</v>
      </c>
    </row>
    <row r="36" spans="1:6" x14ac:dyDescent="0.3">
      <c r="A36" s="156">
        <v>43954</v>
      </c>
      <c r="B36" s="157">
        <v>13673</v>
      </c>
      <c r="C36" s="97">
        <v>4277</v>
      </c>
      <c r="D36" s="158"/>
      <c r="E36" s="97"/>
      <c r="F36" s="155">
        <f t="shared" si="0"/>
        <v>1169738.3800000001</v>
      </c>
    </row>
    <row r="37" spans="1:6" x14ac:dyDescent="0.3">
      <c r="A37" s="156">
        <v>43955</v>
      </c>
      <c r="B37" s="157">
        <v>13809</v>
      </c>
      <c r="C37" s="97">
        <v>96170.7</v>
      </c>
      <c r="D37" s="158">
        <v>43955</v>
      </c>
      <c r="E37" s="97">
        <v>1265909.08</v>
      </c>
      <c r="F37" s="155">
        <f t="shared" si="0"/>
        <v>0</v>
      </c>
    </row>
    <row r="38" spans="1:6" x14ac:dyDescent="0.3">
      <c r="A38" s="156"/>
      <c r="B38" s="157"/>
      <c r="C38" s="97">
        <v>0</v>
      </c>
      <c r="D38" s="158"/>
      <c r="E38" s="97"/>
      <c r="F38" s="155">
        <f t="shared" si="0"/>
        <v>0</v>
      </c>
    </row>
    <row r="39" spans="1:6" x14ac:dyDescent="0.3">
      <c r="A39" s="156"/>
      <c r="B39" s="157"/>
      <c r="C39" s="97">
        <v>0</v>
      </c>
      <c r="D39" s="158"/>
      <c r="E39" s="97"/>
      <c r="F39" s="155">
        <f t="shared" si="0"/>
        <v>0</v>
      </c>
    </row>
    <row r="40" spans="1:6" ht="15" thickBot="1" x14ac:dyDescent="0.35">
      <c r="A40" s="159"/>
      <c r="B40" s="160"/>
      <c r="C40" s="161">
        <v>0</v>
      </c>
      <c r="D40" s="162"/>
      <c r="E40" s="161"/>
      <c r="F40" s="155">
        <f t="shared" si="0"/>
        <v>0</v>
      </c>
    </row>
    <row r="41" spans="1:6" ht="18.600000000000001" thickTop="1" x14ac:dyDescent="0.35">
      <c r="B41" s="65"/>
      <c r="C41" s="4">
        <f>SUM(C3:C40)</f>
        <v>1908890.8599999999</v>
      </c>
      <c r="D41" s="1"/>
      <c r="E41" s="4">
        <f>SUM(E3:E40)</f>
        <v>1908890.86</v>
      </c>
      <c r="F41" s="163">
        <f>F40</f>
        <v>0</v>
      </c>
    </row>
    <row r="42" spans="1:6" x14ac:dyDescent="0.3">
      <c r="B42" s="65"/>
      <c r="C42" s="4"/>
      <c r="D42" s="1"/>
      <c r="E42" s="5"/>
      <c r="F42" s="4"/>
    </row>
    <row r="43" spans="1:6" x14ac:dyDescent="0.3">
      <c r="B43" s="65"/>
      <c r="C43" s="4"/>
      <c r="D43" s="1"/>
      <c r="E43" s="5"/>
      <c r="F43" s="4"/>
    </row>
    <row r="44" spans="1:6" x14ac:dyDescent="0.3">
      <c r="A44"/>
      <c r="B44" s="23"/>
      <c r="D44" s="23"/>
    </row>
    <row r="45" spans="1:6" x14ac:dyDescent="0.3">
      <c r="A45"/>
      <c r="B45" s="23"/>
      <c r="D45" s="23"/>
    </row>
    <row r="46" spans="1:6" x14ac:dyDescent="0.3">
      <c r="A46"/>
      <c r="B46" s="23"/>
      <c r="D46" s="23"/>
    </row>
    <row r="47" spans="1:6" x14ac:dyDescent="0.3">
      <c r="A47"/>
      <c r="B47" s="23"/>
      <c r="D47" s="23"/>
      <c r="F47"/>
    </row>
    <row r="48" spans="1:6" x14ac:dyDescent="0.3">
      <c r="A48"/>
      <c r="B48" s="23"/>
      <c r="D48" s="23"/>
      <c r="F48"/>
    </row>
    <row r="49" spans="1:6" x14ac:dyDescent="0.3">
      <c r="A49"/>
      <c r="B49" s="23"/>
      <c r="D49" s="23"/>
      <c r="F49"/>
    </row>
    <row r="50" spans="1:6" x14ac:dyDescent="0.3">
      <c r="A50"/>
      <c r="B50" s="23"/>
      <c r="D50" s="23"/>
      <c r="F50"/>
    </row>
    <row r="51" spans="1:6" x14ac:dyDescent="0.3">
      <c r="A51"/>
      <c r="B51" s="23"/>
      <c r="D51" s="23"/>
      <c r="F51"/>
    </row>
    <row r="52" spans="1:6" x14ac:dyDescent="0.3">
      <c r="A52"/>
      <c r="B52" s="23"/>
      <c r="D52" s="23"/>
      <c r="F52"/>
    </row>
    <row r="53" spans="1:6" x14ac:dyDescent="0.3">
      <c r="A53"/>
      <c r="B53" s="23"/>
      <c r="D53" s="23"/>
      <c r="F53"/>
    </row>
    <row r="54" spans="1:6" x14ac:dyDescent="0.3">
      <c r="A54"/>
      <c r="B54" s="23"/>
      <c r="D54" s="23"/>
      <c r="F54"/>
    </row>
    <row r="55" spans="1:6" x14ac:dyDescent="0.3">
      <c r="A55"/>
      <c r="B55" s="23"/>
      <c r="D55" s="23"/>
      <c r="F55"/>
    </row>
    <row r="56" spans="1:6" x14ac:dyDescent="0.3">
      <c r="A56"/>
      <c r="B56" s="23"/>
      <c r="D56" s="23"/>
      <c r="E56"/>
      <c r="F56"/>
    </row>
    <row r="57" spans="1:6" x14ac:dyDescent="0.3">
      <c r="A57"/>
      <c r="B57" s="23"/>
      <c r="D57" s="23"/>
      <c r="E57"/>
      <c r="F57"/>
    </row>
    <row r="58" spans="1:6" x14ac:dyDescent="0.3">
      <c r="A58"/>
      <c r="B58" s="23"/>
      <c r="D58" s="23"/>
      <c r="E58"/>
      <c r="F58"/>
    </row>
    <row r="59" spans="1:6" x14ac:dyDescent="0.3">
      <c r="A59"/>
      <c r="B59" s="23"/>
      <c r="D59" s="23"/>
      <c r="E59"/>
      <c r="F59"/>
    </row>
    <row r="60" spans="1:6" x14ac:dyDescent="0.3">
      <c r="A60"/>
      <c r="B60" s="23"/>
      <c r="D60" s="23"/>
      <c r="E60"/>
      <c r="F60"/>
    </row>
    <row r="61" spans="1:6" x14ac:dyDescent="0.3">
      <c r="A61"/>
      <c r="B61" s="23"/>
      <c r="D61" s="23"/>
      <c r="E61"/>
      <c r="F61"/>
    </row>
    <row r="62" spans="1:6" x14ac:dyDescent="0.3">
      <c r="B62" s="23"/>
      <c r="D62" s="23"/>
      <c r="E62"/>
    </row>
    <row r="63" spans="1:6" x14ac:dyDescent="0.3">
      <c r="B63" s="23"/>
      <c r="D63" s="23"/>
      <c r="E63"/>
    </row>
    <row r="64" spans="1:6" x14ac:dyDescent="0.3">
      <c r="B64" s="23"/>
      <c r="D64" s="23"/>
      <c r="E64"/>
    </row>
    <row r="65" spans="2:5" x14ac:dyDescent="0.3">
      <c r="B65" s="23"/>
      <c r="D65" s="23"/>
      <c r="E65"/>
    </row>
    <row r="66" spans="2:5" x14ac:dyDescent="0.3">
      <c r="B66" s="23"/>
      <c r="D66" s="23"/>
      <c r="E66"/>
    </row>
    <row r="67" spans="2:5" x14ac:dyDescent="0.3">
      <c r="B67" s="23"/>
      <c r="D67" s="23"/>
      <c r="E67"/>
    </row>
    <row r="68" spans="2:5" x14ac:dyDescent="0.3">
      <c r="B68" s="23"/>
      <c r="D68" s="23"/>
      <c r="E68"/>
    </row>
    <row r="69" spans="2:5" x14ac:dyDescent="0.3">
      <c r="B69" s="23"/>
      <c r="D69" s="23"/>
      <c r="E69"/>
    </row>
    <row r="70" spans="2:5" x14ac:dyDescent="0.3">
      <c r="B70" s="23"/>
      <c r="D70" s="23"/>
      <c r="E70"/>
    </row>
    <row r="71" spans="2:5" x14ac:dyDescent="0.3">
      <c r="B71" s="23"/>
    </row>
    <row r="72" spans="2:5" x14ac:dyDescent="0.3">
      <c r="B72" s="23"/>
    </row>
    <row r="73" spans="2:5" x14ac:dyDescent="0.3">
      <c r="B73" s="23"/>
      <c r="D73" s="23"/>
    </row>
    <row r="74" spans="2:5" x14ac:dyDescent="0.3">
      <c r="B74" s="23"/>
    </row>
    <row r="75" spans="2:5" x14ac:dyDescent="0.3">
      <c r="B75" s="23"/>
    </row>
    <row r="76" spans="2:5" x14ac:dyDescent="0.3">
      <c r="B76" s="23"/>
    </row>
    <row r="77" spans="2:5" ht="18" x14ac:dyDescent="0.35">
      <c r="C77" s="14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20F0-8C24-46EF-A5E6-844936920779}">
  <sheetPr>
    <tabColor theme="9" tint="-0.249977111117893"/>
  </sheetPr>
  <dimension ref="A1:O81"/>
  <sheetViews>
    <sheetView topLeftCell="A31" workbookViewId="0">
      <selection activeCell="F36" sqref="F36"/>
    </sheetView>
  </sheetViews>
  <sheetFormatPr baseColWidth="10" defaultRowHeight="14.4" x14ac:dyDescent="0.3"/>
  <cols>
    <col min="1" max="1" width="2.5546875" customWidth="1"/>
    <col min="2" max="2" width="12.44140625" style="1" customWidth="1"/>
    <col min="3" max="3" width="16.44140625" style="13" customWidth="1"/>
    <col min="4" max="4" width="15.33203125" customWidth="1"/>
    <col min="6" max="6" width="17.88671875" style="13" customWidth="1"/>
    <col min="7" max="7" width="2.88671875" customWidth="1"/>
    <col min="9" max="9" width="12.109375" style="13" customWidth="1"/>
    <col min="10" max="10" width="11.6640625" style="251" customWidth="1"/>
    <col min="11" max="11" width="17.33203125" customWidth="1"/>
    <col min="12" max="12" width="14.5546875" customWidth="1"/>
    <col min="13" max="13" width="18.109375" style="13" customWidth="1"/>
    <col min="14" max="14" width="14.44140625" style="4" customWidth="1"/>
    <col min="15" max="15" width="8.44140625" style="4" customWidth="1"/>
  </cols>
  <sheetData>
    <row r="1" spans="1:15" ht="23.4" x14ac:dyDescent="0.45">
      <c r="C1" s="592" t="s">
        <v>219</v>
      </c>
      <c r="D1" s="592"/>
      <c r="E1" s="592"/>
      <c r="F1" s="592"/>
      <c r="G1" s="592"/>
      <c r="H1" s="592"/>
      <c r="I1" s="592"/>
      <c r="J1" s="592"/>
      <c r="K1" s="592"/>
      <c r="L1" s="2"/>
      <c r="M1" s="3"/>
    </row>
    <row r="2" spans="1:15" ht="18" x14ac:dyDescent="0.35">
      <c r="C2" s="5"/>
      <c r="E2" s="620" t="s">
        <v>135</v>
      </c>
      <c r="F2" s="620"/>
      <c r="H2" s="184" t="s">
        <v>1</v>
      </c>
      <c r="I2" s="3"/>
      <c r="J2" s="243"/>
      <c r="M2" s="3"/>
      <c r="N2" s="56"/>
      <c r="O2" s="56"/>
    </row>
    <row r="3" spans="1:15" ht="18.600000000000001" thickBot="1" x14ac:dyDescent="0.4">
      <c r="B3" s="593" t="s">
        <v>2</v>
      </c>
      <c r="C3" s="594"/>
      <c r="D3" s="12"/>
      <c r="E3" s="621"/>
      <c r="F3" s="621"/>
      <c r="I3" s="185" t="s">
        <v>3</v>
      </c>
      <c r="J3" s="244"/>
      <c r="K3" s="187" t="s">
        <v>136</v>
      </c>
      <c r="L3" s="187"/>
    </row>
    <row r="4" spans="1:15" ht="19.2" thickTop="1" thickBot="1" x14ac:dyDescent="0.4">
      <c r="A4" s="16" t="s">
        <v>5</v>
      </c>
      <c r="B4" s="17"/>
      <c r="C4" s="245">
        <v>239420.42</v>
      </c>
      <c r="D4" s="246">
        <v>43957</v>
      </c>
      <c r="E4" s="595" t="s">
        <v>6</v>
      </c>
      <c r="F4" s="596"/>
      <c r="H4" s="597" t="s">
        <v>7</v>
      </c>
      <c r="I4" s="598"/>
      <c r="J4" s="247"/>
      <c r="K4" s="20"/>
      <c r="L4" s="20"/>
      <c r="M4" s="21" t="s">
        <v>8</v>
      </c>
      <c r="N4" s="22" t="s">
        <v>9</v>
      </c>
      <c r="O4" s="165"/>
    </row>
    <row r="5" spans="1:15" ht="15" thickBot="1" x14ac:dyDescent="0.35">
      <c r="A5" s="23" t="s">
        <v>10</v>
      </c>
      <c r="B5" s="248">
        <v>43958</v>
      </c>
      <c r="C5" s="249">
        <v>16258.95</v>
      </c>
      <c r="D5" s="250" t="s">
        <v>208</v>
      </c>
      <c r="E5" s="27">
        <v>43958</v>
      </c>
      <c r="F5" s="28">
        <v>58566</v>
      </c>
      <c r="H5" s="29">
        <v>43958</v>
      </c>
      <c r="I5" s="30">
        <v>144.5</v>
      </c>
      <c r="M5" s="31">
        <v>52888</v>
      </c>
      <c r="N5" s="32">
        <v>1155</v>
      </c>
      <c r="O5" s="91"/>
    </row>
    <row r="6" spans="1:15" ht="15" thickBot="1" x14ac:dyDescent="0.35">
      <c r="A6" s="23"/>
      <c r="B6" s="248">
        <v>43959</v>
      </c>
      <c r="C6" s="249">
        <v>16160</v>
      </c>
      <c r="D6" s="252" t="s">
        <v>148</v>
      </c>
      <c r="E6" s="27">
        <v>43959</v>
      </c>
      <c r="F6" s="28">
        <v>99175</v>
      </c>
      <c r="H6" s="29">
        <v>43959</v>
      </c>
      <c r="I6" s="34">
        <v>10020</v>
      </c>
      <c r="J6" s="55">
        <v>43959</v>
      </c>
      <c r="K6" s="48" t="s">
        <v>220</v>
      </c>
      <c r="L6" s="52">
        <v>6055</v>
      </c>
      <c r="M6" s="31">
        <v>62290</v>
      </c>
      <c r="N6" s="32">
        <v>4650</v>
      </c>
      <c r="O6" s="217"/>
    </row>
    <row r="7" spans="1:15" ht="16.2" thickBot="1" x14ac:dyDescent="0.35">
      <c r="A7" s="23"/>
      <c r="B7" s="248">
        <v>43960</v>
      </c>
      <c r="C7" s="249">
        <v>7496</v>
      </c>
      <c r="D7" s="253" t="s">
        <v>79</v>
      </c>
      <c r="E7" s="27">
        <v>43960</v>
      </c>
      <c r="F7" s="28">
        <v>131687</v>
      </c>
      <c r="H7" s="29">
        <v>43960</v>
      </c>
      <c r="I7" s="34">
        <v>280</v>
      </c>
      <c r="J7" s="254"/>
      <c r="K7" s="40" t="s">
        <v>13</v>
      </c>
      <c r="L7" s="41">
        <v>0</v>
      </c>
      <c r="M7" s="31">
        <v>105580</v>
      </c>
      <c r="N7" s="32">
        <v>6514</v>
      </c>
      <c r="O7" s="219" t="s">
        <v>10</v>
      </c>
    </row>
    <row r="8" spans="1:15" ht="16.2" thickBot="1" x14ac:dyDescent="0.35">
      <c r="A8" s="23"/>
      <c r="B8" s="248">
        <v>43961</v>
      </c>
      <c r="C8" s="249">
        <v>3967</v>
      </c>
      <c r="D8" s="255" t="s">
        <v>30</v>
      </c>
      <c r="E8" s="27">
        <v>43961</v>
      </c>
      <c r="F8" s="28">
        <v>137302</v>
      </c>
      <c r="H8" s="29">
        <v>43961</v>
      </c>
      <c r="I8" s="34">
        <v>0</v>
      </c>
      <c r="J8" s="256">
        <v>43982</v>
      </c>
      <c r="K8" s="44" t="s">
        <v>15</v>
      </c>
      <c r="L8" s="45">
        <v>27661</v>
      </c>
      <c r="M8" s="203">
        <v>126950</v>
      </c>
      <c r="N8" s="32">
        <v>6386</v>
      </c>
      <c r="O8" s="217" t="s">
        <v>166</v>
      </c>
    </row>
    <row r="9" spans="1:15" ht="16.2" thickBot="1" x14ac:dyDescent="0.35">
      <c r="A9" s="23"/>
      <c r="B9" s="248">
        <v>43962</v>
      </c>
      <c r="C9" s="249">
        <v>0</v>
      </c>
      <c r="D9" s="257"/>
      <c r="E9" s="27">
        <v>43962</v>
      </c>
      <c r="F9" s="28">
        <v>68101</v>
      </c>
      <c r="H9" s="29">
        <v>43962</v>
      </c>
      <c r="I9" s="34">
        <v>180</v>
      </c>
      <c r="J9" s="256">
        <v>43981</v>
      </c>
      <c r="K9" s="48" t="s">
        <v>17</v>
      </c>
      <c r="L9" s="49">
        <v>20000</v>
      </c>
      <c r="M9" s="31">
        <v>66800</v>
      </c>
      <c r="N9" s="32">
        <v>1124</v>
      </c>
      <c r="O9" s="217"/>
    </row>
    <row r="10" spans="1:15" ht="16.2" thickBot="1" x14ac:dyDescent="0.35">
      <c r="A10" s="23"/>
      <c r="B10" s="248">
        <v>43963</v>
      </c>
      <c r="C10" s="249">
        <v>1684</v>
      </c>
      <c r="D10" s="253" t="s">
        <v>72</v>
      </c>
      <c r="E10" s="27">
        <v>43963</v>
      </c>
      <c r="F10" s="28">
        <v>55590</v>
      </c>
      <c r="H10" s="29">
        <v>43963</v>
      </c>
      <c r="I10" s="34">
        <v>76</v>
      </c>
      <c r="J10" s="258"/>
      <c r="K10" s="51"/>
      <c r="L10" s="52"/>
      <c r="M10" s="31">
        <v>48306</v>
      </c>
      <c r="N10" s="32">
        <v>5524</v>
      </c>
      <c r="O10" s="219"/>
    </row>
    <row r="11" spans="1:15" ht="15" thickBot="1" x14ac:dyDescent="0.35">
      <c r="A11" s="23"/>
      <c r="B11" s="248">
        <v>43964</v>
      </c>
      <c r="C11" s="249">
        <v>1691</v>
      </c>
      <c r="D11" s="252" t="s">
        <v>221</v>
      </c>
      <c r="E11" s="27">
        <v>43964</v>
      </c>
      <c r="F11" s="28">
        <v>81336</v>
      </c>
      <c r="H11" s="29">
        <v>43964</v>
      </c>
      <c r="I11" s="34">
        <v>0</v>
      </c>
      <c r="J11" s="259"/>
      <c r="K11" s="54"/>
      <c r="L11" s="52"/>
      <c r="M11" s="31">
        <v>77190</v>
      </c>
      <c r="N11" s="32">
        <v>2455</v>
      </c>
      <c r="O11" s="217"/>
    </row>
    <row r="12" spans="1:15" ht="15" thickBot="1" x14ac:dyDescent="0.35">
      <c r="A12" s="23"/>
      <c r="B12" s="248">
        <v>43965</v>
      </c>
      <c r="C12" s="249">
        <v>5660</v>
      </c>
      <c r="D12" s="252" t="s">
        <v>222</v>
      </c>
      <c r="E12" s="27">
        <v>43965</v>
      </c>
      <c r="F12" s="28">
        <v>60000</v>
      </c>
      <c r="H12" s="29">
        <v>43965</v>
      </c>
      <c r="I12" s="34">
        <v>0</v>
      </c>
      <c r="J12" s="55">
        <v>43960</v>
      </c>
      <c r="K12" s="48" t="s">
        <v>223</v>
      </c>
      <c r="L12" s="52">
        <f>16062.88+4000+400</f>
        <v>20462.879999999997</v>
      </c>
      <c r="M12" s="31">
        <v>50100</v>
      </c>
      <c r="N12" s="32">
        <v>4244</v>
      </c>
      <c r="O12" s="220"/>
    </row>
    <row r="13" spans="1:15" ht="15" thickBot="1" x14ac:dyDescent="0.35">
      <c r="A13" s="23"/>
      <c r="B13" s="248">
        <v>43966</v>
      </c>
      <c r="C13" s="249">
        <v>1749</v>
      </c>
      <c r="D13" s="255" t="s">
        <v>18</v>
      </c>
      <c r="E13" s="27">
        <v>43966</v>
      </c>
      <c r="F13" s="28">
        <v>97199</v>
      </c>
      <c r="H13" s="29">
        <v>43966</v>
      </c>
      <c r="I13" s="34">
        <v>12090</v>
      </c>
      <c r="J13" s="55">
        <v>43967</v>
      </c>
      <c r="K13" s="48" t="s">
        <v>224</v>
      </c>
      <c r="L13" s="52">
        <f>400+14894.75+4000</f>
        <v>19294.75</v>
      </c>
      <c r="M13" s="31">
        <v>77194</v>
      </c>
      <c r="N13" s="32">
        <v>5499</v>
      </c>
      <c r="O13" s="217"/>
    </row>
    <row r="14" spans="1:15" ht="15" thickBot="1" x14ac:dyDescent="0.35">
      <c r="A14" s="23"/>
      <c r="B14" s="248">
        <v>43967</v>
      </c>
      <c r="C14" s="249">
        <v>1884</v>
      </c>
      <c r="D14" s="253" t="s">
        <v>12</v>
      </c>
      <c r="E14" s="27">
        <v>43967</v>
      </c>
      <c r="F14" s="28">
        <v>97099</v>
      </c>
      <c r="H14" s="29">
        <v>43967</v>
      </c>
      <c r="I14" s="34">
        <v>650</v>
      </c>
      <c r="J14" s="55">
        <v>43974</v>
      </c>
      <c r="K14" s="48" t="s">
        <v>225</v>
      </c>
      <c r="L14" s="52">
        <f>13733.35+400+4000</f>
        <v>18133.349999999999</v>
      </c>
      <c r="M14" s="203">
        <v>79236</v>
      </c>
      <c r="N14" s="32">
        <v>4879</v>
      </c>
      <c r="O14" s="217" t="s">
        <v>166</v>
      </c>
    </row>
    <row r="15" spans="1:15" ht="15" thickBot="1" x14ac:dyDescent="0.35">
      <c r="A15" s="23"/>
      <c r="B15" s="248">
        <v>43968</v>
      </c>
      <c r="C15" s="249">
        <v>7269</v>
      </c>
      <c r="D15" s="252" t="s">
        <v>226</v>
      </c>
      <c r="E15" s="27">
        <v>43968</v>
      </c>
      <c r="F15" s="28">
        <v>68209</v>
      </c>
      <c r="H15" s="29">
        <v>43968</v>
      </c>
      <c r="I15" s="34">
        <v>66</v>
      </c>
      <c r="J15" s="55">
        <v>43981</v>
      </c>
      <c r="K15" s="48" t="s">
        <v>227</v>
      </c>
      <c r="L15" s="52">
        <f>13951.89+4000+400</f>
        <v>18351.89</v>
      </c>
      <c r="M15" s="31">
        <v>56511</v>
      </c>
      <c r="N15" s="32">
        <v>4363</v>
      </c>
      <c r="O15" s="217"/>
    </row>
    <row r="16" spans="1:15" ht="15" thickBot="1" x14ac:dyDescent="0.35">
      <c r="A16" s="23"/>
      <c r="B16" s="248">
        <v>43969</v>
      </c>
      <c r="C16" s="249">
        <v>1337</v>
      </c>
      <c r="D16" s="252" t="s">
        <v>19</v>
      </c>
      <c r="E16" s="27">
        <v>43969</v>
      </c>
      <c r="F16" s="28">
        <v>63425</v>
      </c>
      <c r="H16" s="29">
        <v>43969</v>
      </c>
      <c r="I16" s="34">
        <v>0</v>
      </c>
      <c r="J16" s="55"/>
      <c r="K16" s="48" t="s">
        <v>28</v>
      </c>
      <c r="L16" s="56">
        <v>0</v>
      </c>
      <c r="M16" s="31">
        <v>59802</v>
      </c>
      <c r="N16" s="32">
        <v>2286</v>
      </c>
      <c r="O16" s="217"/>
    </row>
    <row r="17" spans="1:15" ht="15" thickBot="1" x14ac:dyDescent="0.35">
      <c r="A17" s="23"/>
      <c r="B17" s="248">
        <v>43970</v>
      </c>
      <c r="C17" s="249">
        <v>3783</v>
      </c>
      <c r="D17" s="255" t="s">
        <v>30</v>
      </c>
      <c r="E17" s="27">
        <v>43970</v>
      </c>
      <c r="F17" s="28">
        <v>66017</v>
      </c>
      <c r="H17" s="29">
        <v>43970</v>
      </c>
      <c r="I17" s="34">
        <v>326</v>
      </c>
      <c r="J17" s="57"/>
      <c r="K17" s="48" t="s">
        <v>228</v>
      </c>
      <c r="L17" s="58">
        <v>0</v>
      </c>
      <c r="M17" s="203">
        <v>58260</v>
      </c>
      <c r="N17" s="32">
        <v>3648</v>
      </c>
      <c r="O17" s="217" t="s">
        <v>166</v>
      </c>
    </row>
    <row r="18" spans="1:15" ht="15" thickBot="1" x14ac:dyDescent="0.35">
      <c r="A18" s="23"/>
      <c r="B18" s="248">
        <v>43971</v>
      </c>
      <c r="C18" s="249">
        <v>1352</v>
      </c>
      <c r="D18" s="252" t="s">
        <v>12</v>
      </c>
      <c r="E18" s="27">
        <v>43971</v>
      </c>
      <c r="F18" s="28">
        <v>54970</v>
      </c>
      <c r="H18" s="29">
        <v>43971</v>
      </c>
      <c r="I18" s="34">
        <v>0</v>
      </c>
      <c r="J18" s="57"/>
      <c r="K18" s="59"/>
      <c r="L18" s="52"/>
      <c r="M18" s="203">
        <v>51082</v>
      </c>
      <c r="N18" s="32">
        <v>2536</v>
      </c>
      <c r="O18" s="217" t="s">
        <v>166</v>
      </c>
    </row>
    <row r="19" spans="1:15" ht="15" thickBot="1" x14ac:dyDescent="0.35">
      <c r="A19" s="23"/>
      <c r="B19" s="248">
        <v>43972</v>
      </c>
      <c r="C19" s="249">
        <v>2429</v>
      </c>
      <c r="D19" s="252" t="s">
        <v>24</v>
      </c>
      <c r="E19" s="27">
        <v>43972</v>
      </c>
      <c r="F19" s="28">
        <v>54820</v>
      </c>
      <c r="H19" s="29">
        <v>43972</v>
      </c>
      <c r="I19" s="34">
        <v>0</v>
      </c>
      <c r="J19" s="57">
        <v>43966</v>
      </c>
      <c r="K19" s="60" t="s">
        <v>229</v>
      </c>
      <c r="L19" s="61">
        <v>667</v>
      </c>
      <c r="M19" s="31">
        <f>48971+3198</f>
        <v>52169</v>
      </c>
      <c r="N19" s="32">
        <v>1077</v>
      </c>
      <c r="O19" s="217"/>
    </row>
    <row r="20" spans="1:15" ht="15" thickBot="1" x14ac:dyDescent="0.35">
      <c r="A20" s="23"/>
      <c r="B20" s="248">
        <v>43973</v>
      </c>
      <c r="C20" s="249">
        <v>1037</v>
      </c>
      <c r="D20" s="252" t="s">
        <v>19</v>
      </c>
      <c r="E20" s="27">
        <v>43973</v>
      </c>
      <c r="F20" s="28">
        <v>91118</v>
      </c>
      <c r="H20" s="29">
        <v>43973</v>
      </c>
      <c r="I20" s="34">
        <v>12020</v>
      </c>
      <c r="J20" s="55">
        <v>43973</v>
      </c>
      <c r="K20" s="62" t="s">
        <v>230</v>
      </c>
      <c r="L20" s="58">
        <v>10000</v>
      </c>
      <c r="M20" s="31">
        <v>62807</v>
      </c>
      <c r="N20" s="32">
        <v>5254</v>
      </c>
      <c r="O20" s="217"/>
    </row>
    <row r="21" spans="1:15" ht="16.2" thickBot="1" x14ac:dyDescent="0.35">
      <c r="A21" s="23"/>
      <c r="B21" s="248">
        <v>43974</v>
      </c>
      <c r="C21" s="249">
        <v>4845</v>
      </c>
      <c r="D21" s="252" t="s">
        <v>231</v>
      </c>
      <c r="E21" s="27">
        <v>43974</v>
      </c>
      <c r="F21" s="28">
        <v>94169</v>
      </c>
      <c r="H21" s="29">
        <v>43974</v>
      </c>
      <c r="I21" s="34">
        <v>0</v>
      </c>
      <c r="J21" s="57"/>
      <c r="K21" s="63"/>
      <c r="L21" s="58"/>
      <c r="M21" s="31">
        <v>76741</v>
      </c>
      <c r="N21" s="32">
        <v>3143</v>
      </c>
      <c r="O21" s="217"/>
    </row>
    <row r="22" spans="1:15" ht="15" thickBot="1" x14ac:dyDescent="0.35">
      <c r="A22" s="23"/>
      <c r="B22" s="248">
        <v>43975</v>
      </c>
      <c r="C22" s="249">
        <v>1004</v>
      </c>
      <c r="D22" s="252" t="s">
        <v>19</v>
      </c>
      <c r="E22" s="27">
        <v>43975</v>
      </c>
      <c r="F22" s="28">
        <v>103977</v>
      </c>
      <c r="H22" s="29">
        <v>43975</v>
      </c>
      <c r="I22" s="34">
        <v>1240</v>
      </c>
      <c r="J22" s="64"/>
      <c r="K22" s="65"/>
      <c r="L22" s="66"/>
      <c r="M22" s="203">
        <v>97737</v>
      </c>
      <c r="N22" s="32">
        <v>3996</v>
      </c>
      <c r="O22" s="217" t="s">
        <v>166</v>
      </c>
    </row>
    <row r="23" spans="1:15" ht="15" thickBot="1" x14ac:dyDescent="0.35">
      <c r="A23" s="23"/>
      <c r="B23" s="248">
        <v>43976</v>
      </c>
      <c r="C23" s="249">
        <v>1195</v>
      </c>
      <c r="D23" s="252" t="s">
        <v>19</v>
      </c>
      <c r="E23" s="27">
        <v>43976</v>
      </c>
      <c r="F23" s="28">
        <v>57229</v>
      </c>
      <c r="H23" s="29">
        <v>43976</v>
      </c>
      <c r="I23" s="34">
        <v>0</v>
      </c>
      <c r="J23" s="221"/>
      <c r="K23" s="222"/>
      <c r="L23" s="223"/>
      <c r="M23" s="31">
        <v>54097</v>
      </c>
      <c r="N23" s="32">
        <v>1937</v>
      </c>
      <c r="O23" s="204"/>
    </row>
    <row r="24" spans="1:15" ht="15" thickBot="1" x14ac:dyDescent="0.35">
      <c r="A24" s="23"/>
      <c r="B24" s="248">
        <v>43977</v>
      </c>
      <c r="C24" s="249">
        <v>3689.5</v>
      </c>
      <c r="D24" s="252" t="s">
        <v>72</v>
      </c>
      <c r="E24" s="27">
        <v>43977</v>
      </c>
      <c r="F24" s="28">
        <v>51348</v>
      </c>
      <c r="H24" s="29">
        <v>43977</v>
      </c>
      <c r="I24" s="34">
        <v>76</v>
      </c>
      <c r="J24" s="224"/>
      <c r="K24" s="225"/>
      <c r="L24" s="226"/>
      <c r="M24" s="31">
        <v>46226.5</v>
      </c>
      <c r="N24" s="32">
        <v>1356</v>
      </c>
      <c r="O24" s="217"/>
    </row>
    <row r="25" spans="1:15" ht="15" thickBot="1" x14ac:dyDescent="0.35">
      <c r="A25" s="23"/>
      <c r="B25" s="248">
        <v>43978</v>
      </c>
      <c r="C25" s="249">
        <v>3928</v>
      </c>
      <c r="D25" s="252" t="s">
        <v>232</v>
      </c>
      <c r="E25" s="27">
        <v>43978</v>
      </c>
      <c r="F25" s="28">
        <v>52888</v>
      </c>
      <c r="H25" s="29">
        <v>43978</v>
      </c>
      <c r="I25" s="34">
        <v>2000</v>
      </c>
      <c r="J25" s="227"/>
      <c r="K25" s="86"/>
      <c r="L25" s="178" t="s">
        <v>10</v>
      </c>
      <c r="M25" s="31">
        <v>44791</v>
      </c>
      <c r="N25" s="32">
        <v>2169</v>
      </c>
      <c r="O25" s="217"/>
    </row>
    <row r="26" spans="1:15" ht="15" thickBot="1" x14ac:dyDescent="0.35">
      <c r="A26" s="23"/>
      <c r="B26" s="248">
        <v>43979</v>
      </c>
      <c r="C26" s="249">
        <v>1214</v>
      </c>
      <c r="D26" s="252" t="s">
        <v>19</v>
      </c>
      <c r="E26" s="27">
        <v>43979</v>
      </c>
      <c r="F26" s="28">
        <v>69439</v>
      </c>
      <c r="H26" s="29">
        <v>43979</v>
      </c>
      <c r="I26" s="34">
        <v>0</v>
      </c>
      <c r="J26" s="57"/>
      <c r="K26" s="228"/>
      <c r="L26" s="223"/>
      <c r="M26" s="31">
        <v>65617</v>
      </c>
      <c r="N26" s="32">
        <v>2608</v>
      </c>
      <c r="O26" s="217"/>
    </row>
    <row r="27" spans="1:15" ht="15" thickBot="1" x14ac:dyDescent="0.35">
      <c r="A27" s="23"/>
      <c r="B27" s="248">
        <v>43980</v>
      </c>
      <c r="C27" s="249">
        <v>1249</v>
      </c>
      <c r="D27" s="252" t="s">
        <v>19</v>
      </c>
      <c r="E27" s="27">
        <v>43980</v>
      </c>
      <c r="F27" s="28">
        <v>88939</v>
      </c>
      <c r="H27" s="29">
        <v>43980</v>
      </c>
      <c r="I27" s="34">
        <v>10020</v>
      </c>
      <c r="J27" s="176" t="s">
        <v>233</v>
      </c>
      <c r="K27" s="96" t="s">
        <v>165</v>
      </c>
      <c r="L27" s="178">
        <v>10000</v>
      </c>
      <c r="M27" s="31">
        <v>73096</v>
      </c>
      <c r="N27" s="32">
        <v>4574</v>
      </c>
      <c r="O27" s="217"/>
    </row>
    <row r="28" spans="1:15" ht="15" thickBot="1" x14ac:dyDescent="0.35">
      <c r="A28" s="23"/>
      <c r="B28" s="248">
        <v>43981</v>
      </c>
      <c r="C28" s="249">
        <v>3526</v>
      </c>
      <c r="D28" s="260" t="s">
        <v>234</v>
      </c>
      <c r="E28" s="27">
        <v>43981</v>
      </c>
      <c r="F28" s="28">
        <v>104048</v>
      </c>
      <c r="H28" s="29">
        <v>43981</v>
      </c>
      <c r="I28" s="34">
        <v>0</v>
      </c>
      <c r="J28" s="176" t="s">
        <v>233</v>
      </c>
      <c r="K28" s="230" t="s">
        <v>235</v>
      </c>
      <c r="L28" s="178">
        <f>9345+10260</f>
        <v>19605</v>
      </c>
      <c r="M28" s="203">
        <v>64686</v>
      </c>
      <c r="N28" s="32">
        <v>6329</v>
      </c>
      <c r="O28" s="217" t="s">
        <v>166</v>
      </c>
    </row>
    <row r="29" spans="1:15" ht="15" thickBot="1" x14ac:dyDescent="0.35">
      <c r="A29" s="23"/>
      <c r="B29" s="248">
        <v>43982</v>
      </c>
      <c r="C29" s="249">
        <v>10272</v>
      </c>
      <c r="D29" s="261" t="s">
        <v>236</v>
      </c>
      <c r="E29" s="27">
        <v>43982</v>
      </c>
      <c r="F29" s="28">
        <v>79829</v>
      </c>
      <c r="H29" s="29">
        <v>43982</v>
      </c>
      <c r="I29" s="34">
        <v>0</v>
      </c>
      <c r="J29" s="176" t="s">
        <v>233</v>
      </c>
      <c r="K29" s="86" t="s">
        <v>192</v>
      </c>
      <c r="L29" s="178">
        <v>1856</v>
      </c>
      <c r="M29" s="31">
        <v>65660</v>
      </c>
      <c r="N29" s="32">
        <v>3897</v>
      </c>
      <c r="O29" s="217"/>
    </row>
    <row r="30" spans="1:15" ht="15" thickBot="1" x14ac:dyDescent="0.35">
      <c r="A30" s="23"/>
      <c r="B30" s="248">
        <v>43983</v>
      </c>
      <c r="C30" s="249">
        <v>2838</v>
      </c>
      <c r="D30" s="261" t="s">
        <v>237</v>
      </c>
      <c r="E30" s="27">
        <v>43983</v>
      </c>
      <c r="F30" s="28">
        <v>64377</v>
      </c>
      <c r="H30" s="29">
        <v>43983</v>
      </c>
      <c r="I30" s="199">
        <v>0</v>
      </c>
      <c r="J30" s="176" t="s">
        <v>233</v>
      </c>
      <c r="K30" s="231" t="s">
        <v>238</v>
      </c>
      <c r="L30" s="232">
        <v>4162.8999999999996</v>
      </c>
      <c r="M30" s="31">
        <v>56729</v>
      </c>
      <c r="N30" s="32">
        <v>4810</v>
      </c>
      <c r="O30" s="217"/>
    </row>
    <row r="31" spans="1:15" ht="15" thickBot="1" x14ac:dyDescent="0.35">
      <c r="A31" s="23"/>
      <c r="B31" s="248">
        <v>43984</v>
      </c>
      <c r="C31" s="262">
        <v>1475.5</v>
      </c>
      <c r="D31" s="261" t="s">
        <v>154</v>
      </c>
      <c r="E31" s="27">
        <v>43984</v>
      </c>
      <c r="F31" s="28">
        <v>96728</v>
      </c>
      <c r="H31" s="29">
        <v>43984</v>
      </c>
      <c r="I31" s="199">
        <v>38</v>
      </c>
      <c r="J31" s="176" t="s">
        <v>233</v>
      </c>
      <c r="K31" s="86" t="s">
        <v>239</v>
      </c>
      <c r="L31" s="178">
        <v>21723.21</v>
      </c>
      <c r="M31" s="31">
        <f>66872+25735.5</f>
        <v>92607.5</v>
      </c>
      <c r="N31" s="32">
        <v>2608</v>
      </c>
      <c r="O31" s="217" t="s">
        <v>166</v>
      </c>
    </row>
    <row r="32" spans="1:15" ht="15" thickBot="1" x14ac:dyDescent="0.35">
      <c r="A32" s="23"/>
      <c r="B32" s="248">
        <v>43985</v>
      </c>
      <c r="C32" s="262">
        <v>4914</v>
      </c>
      <c r="D32" s="261" t="s">
        <v>240</v>
      </c>
      <c r="E32" s="27">
        <v>43985</v>
      </c>
      <c r="F32" s="202">
        <v>62983</v>
      </c>
      <c r="H32" s="29">
        <v>43985</v>
      </c>
      <c r="I32" s="199">
        <v>2140</v>
      </c>
      <c r="J32" s="176" t="s">
        <v>233</v>
      </c>
      <c r="K32" s="96" t="s">
        <v>241</v>
      </c>
      <c r="L32" s="178">
        <v>1276</v>
      </c>
      <c r="M32" s="31">
        <v>53120</v>
      </c>
      <c r="N32" s="32">
        <v>2809</v>
      </c>
      <c r="O32" s="217"/>
    </row>
    <row r="33" spans="1:15" ht="15" thickBot="1" x14ac:dyDescent="0.35">
      <c r="A33" s="23"/>
      <c r="B33" s="248"/>
      <c r="C33" s="262"/>
      <c r="D33" s="263"/>
      <c r="E33" s="27"/>
      <c r="F33" s="97"/>
      <c r="H33" s="29"/>
      <c r="I33" s="199"/>
      <c r="J33" s="176" t="s">
        <v>233</v>
      </c>
      <c r="K33" s="96" t="s">
        <v>242</v>
      </c>
      <c r="L33" s="178">
        <v>49250</v>
      </c>
      <c r="M33" s="31">
        <v>0</v>
      </c>
      <c r="N33" s="32">
        <v>0</v>
      </c>
      <c r="O33" s="217"/>
    </row>
    <row r="34" spans="1:15" ht="15" thickBot="1" x14ac:dyDescent="0.35">
      <c r="A34" s="23"/>
      <c r="B34" s="280">
        <v>43962</v>
      </c>
      <c r="C34" s="281">
        <v>4427.3599999999997</v>
      </c>
      <c r="D34" s="278" t="s">
        <v>247</v>
      </c>
      <c r="E34" s="27"/>
      <c r="F34" s="97"/>
      <c r="H34" s="29"/>
      <c r="I34" s="199"/>
      <c r="J34" s="176" t="s">
        <v>233</v>
      </c>
      <c r="K34" s="86" t="s">
        <v>46</v>
      </c>
      <c r="L34" s="178">
        <v>1315.86</v>
      </c>
      <c r="M34" s="31">
        <v>0</v>
      </c>
      <c r="N34" s="32">
        <v>0</v>
      </c>
      <c r="O34" s="217"/>
    </row>
    <row r="35" spans="1:15" ht="15" thickBot="1" x14ac:dyDescent="0.35">
      <c r="A35" s="23"/>
      <c r="B35" s="280">
        <v>43964</v>
      </c>
      <c r="C35" s="281">
        <v>14185.64</v>
      </c>
      <c r="D35" s="279" t="s">
        <v>247</v>
      </c>
      <c r="E35" s="27"/>
      <c r="F35" s="97"/>
      <c r="H35" s="29"/>
      <c r="I35" s="199"/>
      <c r="J35" s="176" t="s">
        <v>233</v>
      </c>
      <c r="K35" s="96" t="s">
        <v>243</v>
      </c>
      <c r="L35" s="233">
        <v>1700.75</v>
      </c>
      <c r="M35" s="31">
        <v>0</v>
      </c>
      <c r="N35" s="32">
        <v>0</v>
      </c>
      <c r="O35" s="217"/>
    </row>
    <row r="36" spans="1:15" ht="15" thickBot="1" x14ac:dyDescent="0.35">
      <c r="A36" s="23"/>
      <c r="B36" s="280">
        <v>43967</v>
      </c>
      <c r="C36" s="281">
        <v>19476.66</v>
      </c>
      <c r="D36" s="279" t="s">
        <v>247</v>
      </c>
      <c r="E36" s="27"/>
      <c r="F36" s="97"/>
      <c r="H36" s="29"/>
      <c r="I36" s="199"/>
      <c r="J36" s="176" t="s">
        <v>233</v>
      </c>
      <c r="K36" s="86" t="s">
        <v>244</v>
      </c>
      <c r="L36" s="178">
        <v>3432.6</v>
      </c>
      <c r="M36" s="31">
        <v>0</v>
      </c>
      <c r="N36" s="32">
        <v>0</v>
      </c>
      <c r="O36" s="217"/>
    </row>
    <row r="37" spans="1:15" ht="15" thickBot="1" x14ac:dyDescent="0.35">
      <c r="A37" s="23"/>
      <c r="B37" s="280">
        <v>43973</v>
      </c>
      <c r="C37" s="281">
        <v>12944.75</v>
      </c>
      <c r="D37" s="279" t="s">
        <v>247</v>
      </c>
      <c r="E37" s="27"/>
      <c r="F37" s="97"/>
      <c r="H37" s="29"/>
      <c r="I37" s="199"/>
      <c r="J37" s="176"/>
      <c r="K37" s="86"/>
      <c r="L37" s="178"/>
      <c r="M37" s="31">
        <v>0</v>
      </c>
      <c r="N37" s="32">
        <v>0</v>
      </c>
      <c r="O37" s="217"/>
    </row>
    <row r="38" spans="1:15" ht="15" thickBot="1" x14ac:dyDescent="0.35">
      <c r="A38" s="23"/>
      <c r="B38" s="280">
        <v>43974</v>
      </c>
      <c r="C38" s="282">
        <v>10687.84</v>
      </c>
      <c r="D38" s="279" t="s">
        <v>247</v>
      </c>
      <c r="E38" s="27"/>
      <c r="F38" s="97"/>
      <c r="H38" s="29"/>
      <c r="I38" s="199"/>
      <c r="J38" s="176"/>
      <c r="K38" s="86"/>
      <c r="L38" s="178"/>
      <c r="M38" s="277">
        <v>0</v>
      </c>
      <c r="N38" s="32">
        <v>0</v>
      </c>
      <c r="O38" s="217"/>
    </row>
    <row r="39" spans="1:15" ht="15" thickBot="1" x14ac:dyDescent="0.35">
      <c r="A39" s="23"/>
      <c r="B39" s="280">
        <v>43977</v>
      </c>
      <c r="C39" s="283">
        <v>14173.83</v>
      </c>
      <c r="D39" s="279" t="s">
        <v>247</v>
      </c>
      <c r="E39" s="27"/>
      <c r="F39" s="97"/>
      <c r="H39" s="29"/>
      <c r="I39" s="199"/>
      <c r="J39" s="176"/>
      <c r="K39" s="86"/>
      <c r="L39" s="178"/>
      <c r="M39" s="277">
        <v>0</v>
      </c>
      <c r="N39" s="32">
        <v>0</v>
      </c>
      <c r="O39" s="217"/>
    </row>
    <row r="40" spans="1:15" ht="15" thickBot="1" x14ac:dyDescent="0.35">
      <c r="A40" s="23"/>
      <c r="B40" s="280">
        <v>43979</v>
      </c>
      <c r="C40" s="283">
        <v>18454.64</v>
      </c>
      <c r="D40" s="279" t="s">
        <v>247</v>
      </c>
      <c r="E40" s="27"/>
      <c r="F40" s="97"/>
      <c r="H40" s="29"/>
      <c r="I40" s="199"/>
      <c r="J40" s="176"/>
      <c r="K40" s="86"/>
      <c r="L40" s="178"/>
      <c r="M40" s="277">
        <v>0</v>
      </c>
      <c r="N40" s="32"/>
      <c r="O40" s="217"/>
    </row>
    <row r="41" spans="1:15" ht="15" thickBot="1" x14ac:dyDescent="0.35">
      <c r="A41" s="23"/>
      <c r="B41" s="280">
        <v>43981</v>
      </c>
      <c r="C41" s="283">
        <v>11653.98</v>
      </c>
      <c r="D41" s="279" t="s">
        <v>247</v>
      </c>
      <c r="E41" s="27"/>
      <c r="F41" s="97"/>
      <c r="H41" s="29"/>
      <c r="I41" s="199"/>
      <c r="J41" s="176"/>
      <c r="K41" s="86"/>
      <c r="L41" s="178"/>
      <c r="M41" s="277">
        <v>0</v>
      </c>
      <c r="N41" s="32">
        <v>0</v>
      </c>
      <c r="O41" s="217"/>
    </row>
    <row r="42" spans="1:15" ht="16.2" thickBot="1" x14ac:dyDescent="0.35">
      <c r="A42" s="102"/>
      <c r="B42" s="248"/>
      <c r="C42" s="264"/>
      <c r="D42" s="105"/>
      <c r="E42" s="27"/>
      <c r="F42" s="107"/>
      <c r="G42" s="108"/>
      <c r="H42" s="29"/>
      <c r="I42" s="107"/>
      <c r="J42" s="85"/>
      <c r="K42" s="213"/>
      <c r="L42" s="66"/>
      <c r="M42" s="31">
        <f>SUM(M5:M41)</f>
        <v>1878273</v>
      </c>
      <c r="N42" s="32">
        <f>SUM(N5:N41)</f>
        <v>101830</v>
      </c>
      <c r="O42" s="236"/>
    </row>
    <row r="43" spans="1:15" ht="16.2" thickBot="1" x14ac:dyDescent="0.35">
      <c r="B43" s="112" t="s">
        <v>51</v>
      </c>
      <c r="C43" s="113">
        <f>SUM(C5:C42)</f>
        <v>219911.65</v>
      </c>
      <c r="D43" s="114"/>
      <c r="E43" s="237" t="s">
        <v>51</v>
      </c>
      <c r="F43" s="238">
        <f>SUM(F5:F42)</f>
        <v>2210568</v>
      </c>
      <c r="G43" s="114"/>
      <c r="H43" s="117" t="s">
        <v>245</v>
      </c>
      <c r="I43" s="118">
        <f>SUM(I5:I42)</f>
        <v>51366.5</v>
      </c>
      <c r="J43" s="265"/>
      <c r="K43" s="120" t="s">
        <v>246</v>
      </c>
      <c r="L43" s="121">
        <f>SUM(L6:L42)</f>
        <v>254948.18999999997</v>
      </c>
      <c r="O43" s="239"/>
    </row>
    <row r="44" spans="1:15" ht="19.2" thickTop="1" thickBot="1" x14ac:dyDescent="0.35">
      <c r="C44" s="5" t="s">
        <v>10</v>
      </c>
      <c r="M44" s="599">
        <f>N42+M42</f>
        <v>1980103</v>
      </c>
      <c r="N44" s="600"/>
      <c r="O44" s="240"/>
    </row>
    <row r="45" spans="1:15" ht="15.6" x14ac:dyDescent="0.3">
      <c r="A45" s="65"/>
      <c r="B45" s="122"/>
      <c r="C45" s="4"/>
      <c r="H45" s="601" t="s">
        <v>52</v>
      </c>
      <c r="I45" s="602"/>
      <c r="J45" s="266"/>
      <c r="K45" s="603">
        <f>I43+L43</f>
        <v>306314.68999999994</v>
      </c>
      <c r="L45" s="604"/>
    </row>
    <row r="46" spans="1:15" ht="15.6" x14ac:dyDescent="0.3">
      <c r="D46" s="606" t="s">
        <v>53</v>
      </c>
      <c r="E46" s="606"/>
      <c r="F46" s="124">
        <f>F43-K45-C43</f>
        <v>1684341.6600000001</v>
      </c>
      <c r="I46" s="125"/>
      <c r="J46" s="267"/>
    </row>
    <row r="47" spans="1:15" ht="18" x14ac:dyDescent="0.35">
      <c r="D47" s="607" t="s">
        <v>54</v>
      </c>
      <c r="E47" s="607"/>
      <c r="F47" s="126">
        <v>-1590870.08</v>
      </c>
      <c r="I47" s="608" t="s">
        <v>55</v>
      </c>
      <c r="J47" s="609"/>
      <c r="K47" s="610">
        <f>F52</f>
        <v>357966.56000000006</v>
      </c>
      <c r="L47" s="611"/>
    </row>
    <row r="48" spans="1:15" ht="18.600000000000001" thickBot="1" x14ac:dyDescent="0.4">
      <c r="D48" s="127"/>
      <c r="E48" s="128"/>
      <c r="F48" s="129">
        <v>0</v>
      </c>
      <c r="I48" s="130"/>
      <c r="J48" s="268"/>
      <c r="K48" s="131"/>
      <c r="L48" s="131"/>
    </row>
    <row r="49" spans="2:15" ht="18.600000000000001" thickTop="1" x14ac:dyDescent="0.35">
      <c r="C49" s="13" t="s">
        <v>10</v>
      </c>
      <c r="E49" s="65" t="s">
        <v>56</v>
      </c>
      <c r="F49" s="126">
        <f>SUM(F46:F48)</f>
        <v>93471.580000000075</v>
      </c>
      <c r="H49" s="23"/>
      <c r="I49" s="132" t="s">
        <v>57</v>
      </c>
      <c r="J49" s="269"/>
      <c r="K49" s="612">
        <f>-C4</f>
        <v>-239420.42</v>
      </c>
      <c r="L49" s="613"/>
      <c r="M49" s="134"/>
    </row>
    <row r="50" spans="2:15" ht="16.2" thickBot="1" x14ac:dyDescent="0.35">
      <c r="D50" s="135" t="s">
        <v>58</v>
      </c>
      <c r="E50" s="65" t="s">
        <v>59</v>
      </c>
      <c r="F50" s="136">
        <v>5592</v>
      </c>
    </row>
    <row r="51" spans="2:15" ht="19.2" thickTop="1" thickBot="1" x14ac:dyDescent="0.4">
      <c r="C51" s="137">
        <v>43985</v>
      </c>
      <c r="D51" s="614" t="s">
        <v>60</v>
      </c>
      <c r="E51" s="615"/>
      <c r="F51" s="138">
        <v>258902.98</v>
      </c>
      <c r="I51" s="616" t="s">
        <v>61</v>
      </c>
      <c r="J51" s="617"/>
      <c r="K51" s="618">
        <f>K47+K49</f>
        <v>118546.14000000004</v>
      </c>
      <c r="L51" s="619"/>
    </row>
    <row r="52" spans="2:15" ht="18" x14ac:dyDescent="0.35">
      <c r="C52" s="139"/>
      <c r="D52" s="140"/>
      <c r="E52" s="141" t="s">
        <v>62</v>
      </c>
      <c r="F52" s="142">
        <f>F49+F50+F51</f>
        <v>357966.56000000006</v>
      </c>
      <c r="J52" s="270"/>
      <c r="M52" s="143"/>
    </row>
    <row r="54" spans="2:15" x14ac:dyDescent="0.3">
      <c r="B54"/>
      <c r="C54"/>
      <c r="D54" s="605"/>
      <c r="E54" s="605"/>
      <c r="M54" s="144"/>
      <c r="N54" s="65"/>
      <c r="O54" s="65"/>
    </row>
    <row r="55" spans="2:15" x14ac:dyDescent="0.3">
      <c r="B55"/>
      <c r="C55"/>
      <c r="M55" s="144"/>
      <c r="N55" s="65"/>
      <c r="O55" s="65"/>
    </row>
    <row r="56" spans="2:15" x14ac:dyDescent="0.3">
      <c r="B56"/>
      <c r="C56"/>
      <c r="K56" s="272"/>
      <c r="L56" s="272"/>
      <c r="M56" s="145"/>
      <c r="N56" s="65"/>
      <c r="O56" s="65"/>
    </row>
    <row r="57" spans="2:15" x14ac:dyDescent="0.3">
      <c r="B57"/>
      <c r="C57"/>
      <c r="F57"/>
      <c r="I57"/>
      <c r="J57" s="271"/>
      <c r="K57" s="272"/>
      <c r="L57" s="273"/>
      <c r="M57" s="272"/>
      <c r="N57" s="65"/>
      <c r="O57" s="65"/>
    </row>
    <row r="58" spans="2:15" x14ac:dyDescent="0.3">
      <c r="B58"/>
      <c r="C58"/>
      <c r="F58" s="145"/>
      <c r="K58" s="272"/>
      <c r="L58" s="273"/>
      <c r="M58" s="145"/>
      <c r="N58" s="65"/>
      <c r="O58" s="65"/>
    </row>
    <row r="59" spans="2:15" x14ac:dyDescent="0.3">
      <c r="F59" s="91"/>
      <c r="K59" s="272"/>
      <c r="L59" s="273"/>
      <c r="M59" s="119"/>
      <c r="N59" s="65"/>
      <c r="O59" s="65"/>
    </row>
    <row r="60" spans="2:15" x14ac:dyDescent="0.3">
      <c r="F60" s="91"/>
      <c r="K60" s="272"/>
      <c r="L60" s="232"/>
      <c r="M60" s="119"/>
      <c r="N60" s="65"/>
      <c r="O60" s="65"/>
    </row>
    <row r="61" spans="2:15" x14ac:dyDescent="0.3">
      <c r="F61" s="91"/>
      <c r="K61" s="272"/>
      <c r="L61" s="273"/>
      <c r="M61" s="119"/>
      <c r="N61" s="65"/>
      <c r="O61" s="65"/>
    </row>
    <row r="62" spans="2:15" x14ac:dyDescent="0.3">
      <c r="F62" s="91"/>
      <c r="K62" s="272"/>
      <c r="L62" s="273"/>
      <c r="M62" s="119"/>
      <c r="N62" s="65"/>
      <c r="O62" s="65"/>
    </row>
    <row r="63" spans="2:15" x14ac:dyDescent="0.3">
      <c r="F63" s="91"/>
      <c r="K63" s="272"/>
      <c r="L63" s="273"/>
      <c r="M63" s="119"/>
    </row>
    <row r="64" spans="2:15" x14ac:dyDescent="0.3">
      <c r="F64" s="91"/>
      <c r="K64" s="272"/>
      <c r="L64" s="273"/>
      <c r="M64" s="119"/>
    </row>
    <row r="65" spans="6:13" x14ac:dyDescent="0.3">
      <c r="F65" s="91"/>
      <c r="K65" s="272"/>
      <c r="L65" s="274"/>
      <c r="M65" s="119"/>
    </row>
    <row r="66" spans="6:13" x14ac:dyDescent="0.3">
      <c r="F66" s="91"/>
      <c r="K66" s="272"/>
      <c r="L66" s="273"/>
      <c r="M66" s="119"/>
    </row>
    <row r="67" spans="6:13" x14ac:dyDescent="0.3">
      <c r="F67" s="91"/>
      <c r="K67" s="272"/>
      <c r="L67" s="275"/>
      <c r="M67" s="119"/>
    </row>
    <row r="68" spans="6:13" x14ac:dyDescent="0.3">
      <c r="F68" s="145"/>
      <c r="K68" s="272"/>
      <c r="L68" s="272"/>
      <c r="M68" s="119"/>
    </row>
    <row r="69" spans="6:13" x14ac:dyDescent="0.3">
      <c r="K69" s="272"/>
      <c r="L69" s="272"/>
      <c r="M69" s="119"/>
    </row>
    <row r="70" spans="6:13" x14ac:dyDescent="0.3">
      <c r="M70" s="4"/>
    </row>
    <row r="71" spans="6:13" x14ac:dyDescent="0.3">
      <c r="M71" s="4"/>
    </row>
    <row r="72" spans="6:13" x14ac:dyDescent="0.3">
      <c r="M72" s="4"/>
    </row>
    <row r="73" spans="6:13" x14ac:dyDescent="0.3">
      <c r="M73" s="4"/>
    </row>
    <row r="74" spans="6:13" x14ac:dyDescent="0.3">
      <c r="M74" s="4"/>
    </row>
    <row r="75" spans="6:13" x14ac:dyDescent="0.3">
      <c r="M75" s="4"/>
    </row>
    <row r="76" spans="6:13" x14ac:dyDescent="0.3">
      <c r="M76" s="4"/>
    </row>
    <row r="77" spans="6:13" x14ac:dyDescent="0.3">
      <c r="M77" s="4"/>
    </row>
    <row r="78" spans="6:13" x14ac:dyDescent="0.3">
      <c r="M78" s="4"/>
    </row>
    <row r="79" spans="6:13" x14ac:dyDescent="0.3">
      <c r="M79" s="4"/>
    </row>
    <row r="80" spans="6:13" x14ac:dyDescent="0.3">
      <c r="M80" s="4"/>
    </row>
    <row r="81" spans="13:13" x14ac:dyDescent="0.3">
      <c r="M81" s="4"/>
    </row>
  </sheetData>
  <mergeCells count="17">
    <mergeCell ref="M44:N44"/>
    <mergeCell ref="C1:K1"/>
    <mergeCell ref="E2:F3"/>
    <mergeCell ref="B3:C3"/>
    <mergeCell ref="E4:F4"/>
    <mergeCell ref="H4:I4"/>
    <mergeCell ref="H45:I45"/>
    <mergeCell ref="K45:L45"/>
    <mergeCell ref="D46:E46"/>
    <mergeCell ref="D47:E47"/>
    <mergeCell ref="I47:J47"/>
    <mergeCell ref="K47:L47"/>
    <mergeCell ref="K49:L49"/>
    <mergeCell ref="D51:E51"/>
    <mergeCell ref="I51:J51"/>
    <mergeCell ref="K51:L51"/>
    <mergeCell ref="D54:E54"/>
  </mergeCells>
  <pageMargins left="0.15748031496062992" right="0.15748031496062992" top="0.22" bottom="0.27559055118110237" header="0.31496062992125984" footer="0.23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E N E R O    2 0 2 0        </vt:lpstr>
      <vt:lpstr>REMISIONES  ENERO  2020  </vt:lpstr>
      <vt:lpstr>FEBRERO  2020 </vt:lpstr>
      <vt:lpstr>REMISIONES  FEBRERO 2020</vt:lpstr>
      <vt:lpstr>  M A R Z O     2 0 2 0        </vt:lpstr>
      <vt:lpstr>REMISIONES  MARZO  2020    </vt:lpstr>
      <vt:lpstr>    A B R I L       2020       </vt:lpstr>
      <vt:lpstr>  REMISIONES   ABRIL    2020   </vt:lpstr>
      <vt:lpstr>M A Y O     2 0 2 0        </vt:lpstr>
      <vt:lpstr>REMISIONES  MAYO  2020    </vt:lpstr>
      <vt:lpstr> J U N I O     2020   </vt:lpstr>
      <vt:lpstr>REMISIONES  J U N I O     2020 </vt:lpstr>
      <vt:lpstr>J U L I O    2020      </vt:lpstr>
      <vt:lpstr>REMISIONES   J U L I O   2020  </vt:lpstr>
      <vt:lpstr>ABASTO 4 CARNES  AGOSTO 2020   </vt:lpstr>
      <vt:lpstr>COMPRAS DE AGOSTO  2020  </vt:lpstr>
      <vt:lpstr>ABASTO  SEPTIEMBRE  2020   </vt:lpstr>
      <vt:lpstr>COMPRAS  SEPTIEMBRE   2020 </vt:lpstr>
      <vt:lpstr>ABASTOS  OCTUBRE 2020  </vt:lpstr>
      <vt:lpstr>COMPRAS OCTUBRE  2020  </vt:lpstr>
      <vt:lpstr>ABASTO NOVIEMBRE  2020   </vt:lpstr>
      <vt:lpstr>COMPRAS  NOVIEMBRE   2020    </vt:lpstr>
      <vt:lpstr>ABASTO DICIEMBRE  20200   </vt:lpstr>
      <vt:lpstr>COMPRAS DE DICIEMBRE  2020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2021-01-23T15:12:10Z</cp:lastPrinted>
  <dcterms:created xsi:type="dcterms:W3CDTF">2020-03-10T18:49:14Z</dcterms:created>
  <dcterms:modified xsi:type="dcterms:W3CDTF">2021-01-23T15:13:16Z</dcterms:modified>
</cp:coreProperties>
</file>