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15195" windowHeight="7935"/>
  </bookViews>
  <sheets>
    <sheet name="adeudos" sheetId="7" r:id="rId1"/>
    <sheet name="entradas dic09" sheetId="6" r:id="rId2"/>
    <sheet name="Inv Alm Gral dic 09" sheetId="5" r:id="rId3"/>
    <sheet name="Inv comparativo Alm Gral " sheetId="4" r:id="rId4"/>
    <sheet name="Inv 11 sur 020110" sheetId="8" r:id="rId5"/>
    <sheet name="11 sur 121209" sheetId="1" r:id="rId6"/>
    <sheet name="11 sur 191209" sheetId="2" r:id="rId7"/>
    <sheet name="11 sur 261209" sheetId="3" r:id="rId8"/>
  </sheets>
  <externalReferences>
    <externalReference r:id="rId9"/>
  </externalReferences>
  <calcPr calcId="124519"/>
</workbook>
</file>

<file path=xl/calcChain.xml><?xml version="1.0" encoding="utf-8"?>
<calcChain xmlns="http://schemas.openxmlformats.org/spreadsheetml/2006/main">
  <c r="J10" i="4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E33"/>
  <c r="J33"/>
  <c r="J34"/>
  <c r="J35"/>
  <c r="J36"/>
  <c r="J37"/>
  <c r="J38"/>
  <c r="J39"/>
  <c r="J40"/>
  <c r="J41"/>
  <c r="J42"/>
  <c r="J43"/>
  <c r="J44"/>
  <c r="E45"/>
  <c r="J45"/>
  <c r="J46"/>
  <c r="E47"/>
  <c r="J47"/>
  <c r="J48"/>
  <c r="J49"/>
  <c r="J50"/>
  <c r="J52"/>
  <c r="D10"/>
  <c r="H10"/>
  <c r="D11"/>
  <c r="H11"/>
  <c r="D12"/>
  <c r="H12"/>
  <c r="D13"/>
  <c r="H13"/>
  <c r="D14"/>
  <c r="H14"/>
  <c r="D15"/>
  <c r="H15"/>
  <c r="D16"/>
  <c r="H16"/>
  <c r="D17"/>
  <c r="H17"/>
  <c r="D18"/>
  <c r="H18"/>
  <c r="H19"/>
  <c r="D20"/>
  <c r="H20"/>
  <c r="D21"/>
  <c r="H21"/>
  <c r="D22"/>
  <c r="H22"/>
  <c r="D23"/>
  <c r="H23"/>
  <c r="D24"/>
  <c r="H24"/>
  <c r="D25"/>
  <c r="H25"/>
  <c r="D26"/>
  <c r="H26"/>
  <c r="D27"/>
  <c r="H27"/>
  <c r="D28"/>
  <c r="H28"/>
  <c r="D29"/>
  <c r="H29"/>
  <c r="D30"/>
  <c r="H30"/>
  <c r="D31"/>
  <c r="H31"/>
  <c r="D32"/>
  <c r="H32"/>
  <c r="F33"/>
  <c r="D33"/>
  <c r="H33"/>
  <c r="D34"/>
  <c r="H34"/>
  <c r="D35"/>
  <c r="H35"/>
  <c r="D36"/>
  <c r="H36"/>
  <c r="D37"/>
  <c r="H37"/>
  <c r="D38"/>
  <c r="H38"/>
  <c r="D39"/>
  <c r="H39"/>
  <c r="D40"/>
  <c r="H40"/>
  <c r="D41"/>
  <c r="H41"/>
  <c r="H42"/>
  <c r="D43"/>
  <c r="H43"/>
  <c r="D44"/>
  <c r="H44"/>
  <c r="F45"/>
  <c r="D45"/>
  <c r="H45"/>
  <c r="D46"/>
  <c r="H46"/>
  <c r="F47"/>
  <c r="D47"/>
  <c r="H47"/>
  <c r="D48"/>
  <c r="H48"/>
  <c r="D49"/>
  <c r="H49"/>
  <c r="H52"/>
  <c r="C10"/>
  <c r="G10"/>
  <c r="C11"/>
  <c r="G11"/>
  <c r="C12"/>
  <c r="G12"/>
  <c r="C13"/>
  <c r="G13"/>
  <c r="C14"/>
  <c r="G14"/>
  <c r="C15"/>
  <c r="G15"/>
  <c r="C16"/>
  <c r="G16"/>
  <c r="C17"/>
  <c r="G17"/>
  <c r="C18"/>
  <c r="G18"/>
  <c r="C19"/>
  <c r="G19"/>
  <c r="C20"/>
  <c r="G20"/>
  <c r="C21"/>
  <c r="G21"/>
  <c r="C22"/>
  <c r="G22"/>
  <c r="C23"/>
  <c r="G23"/>
  <c r="C24"/>
  <c r="G24"/>
  <c r="C25"/>
  <c r="G25"/>
  <c r="C26"/>
  <c r="G26"/>
  <c r="C27"/>
  <c r="G27"/>
  <c r="C28"/>
  <c r="G28"/>
  <c r="C29"/>
  <c r="G29"/>
  <c r="C30"/>
  <c r="G30"/>
  <c r="C31"/>
  <c r="G31"/>
  <c r="C32"/>
  <c r="G32"/>
  <c r="C33"/>
  <c r="G33"/>
  <c r="C34"/>
  <c r="G34"/>
  <c r="C35"/>
  <c r="G35"/>
  <c r="C36"/>
  <c r="G36"/>
  <c r="C37"/>
  <c r="G37"/>
  <c r="C38"/>
  <c r="G38"/>
  <c r="C39"/>
  <c r="G39"/>
  <c r="C40"/>
  <c r="G40"/>
  <c r="C41"/>
  <c r="G41"/>
  <c r="C42"/>
  <c r="G42"/>
  <c r="C43"/>
  <c r="G43"/>
  <c r="C44"/>
  <c r="G44"/>
  <c r="C45"/>
  <c r="G45"/>
  <c r="C46"/>
  <c r="G46"/>
  <c r="C47"/>
  <c r="G47"/>
  <c r="C48"/>
  <c r="G48"/>
  <c r="C49"/>
  <c r="G49"/>
  <c r="G52"/>
  <c r="F52"/>
  <c r="E52"/>
  <c r="D50"/>
  <c r="D52"/>
  <c r="C50"/>
  <c r="C52"/>
  <c r="K50"/>
  <c r="A50"/>
  <c r="K49"/>
  <c r="A49"/>
  <c r="K48"/>
  <c r="A48"/>
  <c r="K47"/>
  <c r="A47"/>
  <c r="K46"/>
  <c r="A46"/>
  <c r="K45"/>
  <c r="A45"/>
  <c r="K44"/>
  <c r="A44"/>
  <c r="K43"/>
  <c r="A43"/>
  <c r="K42"/>
  <c r="A42"/>
  <c r="K41"/>
  <c r="A41"/>
  <c r="K40"/>
  <c r="A40"/>
  <c r="K39"/>
  <c r="A39"/>
  <c r="K38"/>
  <c r="A38"/>
  <c r="K37"/>
  <c r="A37"/>
  <c r="K36"/>
  <c r="A36"/>
  <c r="K35"/>
  <c r="A35"/>
  <c r="K34"/>
  <c r="A34"/>
  <c r="K33"/>
  <c r="A33"/>
  <c r="K32"/>
  <c r="A32"/>
  <c r="K31"/>
  <c r="A31"/>
  <c r="K30"/>
  <c r="A30"/>
  <c r="K29"/>
  <c r="A29"/>
  <c r="K28"/>
  <c r="A28"/>
  <c r="K27"/>
  <c r="A27"/>
  <c r="K26"/>
  <c r="A26"/>
  <c r="K25"/>
  <c r="A25"/>
  <c r="K24"/>
  <c r="A24"/>
  <c r="K23"/>
  <c r="A23"/>
  <c r="K22"/>
  <c r="A22"/>
  <c r="A21"/>
  <c r="K20"/>
  <c r="A20"/>
  <c r="A19"/>
  <c r="A18"/>
  <c r="K17"/>
  <c r="A17"/>
  <c r="K16"/>
  <c r="A16"/>
  <c r="A15"/>
  <c r="K14"/>
  <c r="A14"/>
  <c r="K13"/>
  <c r="A13"/>
  <c r="K12"/>
  <c r="A12"/>
  <c r="K11"/>
  <c r="A11"/>
  <c r="K10"/>
  <c r="A10"/>
  <c r="C11" i="5"/>
  <c r="F11"/>
  <c r="F12"/>
  <c r="F13"/>
  <c r="C14"/>
  <c r="F14"/>
  <c r="C15"/>
  <c r="F15"/>
  <c r="C16"/>
  <c r="F16"/>
  <c r="D17"/>
  <c r="C17"/>
  <c r="F17"/>
  <c r="C18"/>
  <c r="F18"/>
  <c r="C19"/>
  <c r="F19"/>
  <c r="C20"/>
  <c r="F20"/>
  <c r="F21"/>
  <c r="C22"/>
  <c r="F22"/>
  <c r="C23"/>
  <c r="F23"/>
  <c r="F24"/>
  <c r="F25"/>
  <c r="F26"/>
  <c r="F27"/>
  <c r="F28"/>
  <c r="C29"/>
  <c r="F29"/>
  <c r="C30"/>
  <c r="F30"/>
  <c r="C31"/>
  <c r="F31"/>
  <c r="F33"/>
  <c r="F35"/>
  <c r="F36"/>
  <c r="F38"/>
  <c r="F42"/>
  <c r="D38"/>
  <c r="C38"/>
  <c r="D33"/>
  <c r="C33"/>
  <c r="G31"/>
  <c r="G30"/>
  <c r="G29"/>
  <c r="G25"/>
  <c r="G24"/>
  <c r="G23"/>
  <c r="G22"/>
  <c r="G17"/>
  <c r="G16"/>
  <c r="G14"/>
  <c r="G11"/>
  <c r="E6" i="8"/>
  <c r="E7"/>
  <c r="E8"/>
  <c r="E9"/>
  <c r="E10"/>
  <c r="E11"/>
  <c r="E12"/>
  <c r="E13"/>
  <c r="B14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E33"/>
  <c r="E34"/>
  <c r="E35"/>
  <c r="E36"/>
  <c r="E37"/>
  <c r="E38"/>
  <c r="E39"/>
  <c r="E40"/>
  <c r="E41"/>
  <c r="E42"/>
  <c r="E43"/>
  <c r="E44"/>
  <c r="E45"/>
  <c r="E46"/>
  <c r="E47"/>
  <c r="B48"/>
  <c r="E48"/>
  <c r="E49"/>
  <c r="E50"/>
  <c r="E51"/>
  <c r="E52"/>
  <c r="E55"/>
  <c r="E56"/>
  <c r="E59"/>
  <c r="B60"/>
  <c r="E60"/>
  <c r="B61"/>
  <c r="E61"/>
  <c r="E62"/>
  <c r="E63"/>
  <c r="E64"/>
  <c r="E65"/>
  <c r="E66"/>
  <c r="E67"/>
  <c r="E68"/>
  <c r="B69"/>
  <c r="E69"/>
  <c r="E70"/>
  <c r="E71"/>
  <c r="E72"/>
  <c r="E73"/>
  <c r="E74"/>
  <c r="E75"/>
  <c r="E76"/>
  <c r="E77"/>
  <c r="E78"/>
  <c r="E79"/>
  <c r="E80"/>
  <c r="E81"/>
  <c r="E82"/>
  <c r="E83"/>
  <c r="E85"/>
  <c r="B86"/>
  <c r="E86"/>
  <c r="E87"/>
  <c r="E88"/>
  <c r="E89"/>
  <c r="E90"/>
  <c r="B91"/>
  <c r="E91"/>
  <c r="E92"/>
  <c r="E93"/>
  <c r="E94"/>
  <c r="E95"/>
  <c r="E96"/>
  <c r="E97"/>
  <c r="E98"/>
  <c r="E99"/>
  <c r="E100"/>
  <c r="E101"/>
  <c r="E102"/>
  <c r="E103"/>
  <c r="E104"/>
  <c r="E105"/>
  <c r="E106"/>
  <c r="E107"/>
  <c r="E109"/>
  <c r="E110"/>
  <c r="E111"/>
  <c r="E112"/>
  <c r="E113"/>
  <c r="E114"/>
  <c r="E116"/>
  <c r="E119"/>
  <c r="B119"/>
  <c r="F56" i="6"/>
  <c r="U56"/>
  <c r="V56"/>
  <c r="H56"/>
  <c r="F55"/>
  <c r="U55"/>
  <c r="V55"/>
  <c r="H55"/>
  <c r="U54"/>
  <c r="F54"/>
  <c r="V54"/>
  <c r="H54"/>
  <c r="U53"/>
  <c r="F53"/>
  <c r="V53"/>
  <c r="H53"/>
  <c r="Q51"/>
  <c r="U51"/>
  <c r="V51"/>
  <c r="H51"/>
  <c r="U50"/>
  <c r="V50"/>
  <c r="H50"/>
  <c r="U49"/>
  <c r="V49"/>
  <c r="H49"/>
  <c r="U48"/>
  <c r="F48"/>
  <c r="V48"/>
  <c r="H48"/>
  <c r="U47"/>
  <c r="F47"/>
  <c r="V47"/>
  <c r="H47"/>
  <c r="U46"/>
  <c r="F46"/>
  <c r="V46"/>
  <c r="H46"/>
  <c r="U45"/>
  <c r="V45"/>
  <c r="H45"/>
  <c r="U44"/>
  <c r="V44"/>
  <c r="H44"/>
  <c r="U43"/>
  <c r="V43"/>
  <c r="H43"/>
  <c r="U42"/>
  <c r="V42"/>
  <c r="H42"/>
  <c r="U41"/>
  <c r="V41"/>
  <c r="H41"/>
  <c r="U40"/>
  <c r="V40"/>
  <c r="H40"/>
  <c r="F39"/>
  <c r="U39"/>
  <c r="V39"/>
  <c r="H39"/>
  <c r="U37"/>
  <c r="F37"/>
  <c r="V37"/>
  <c r="H37"/>
  <c r="U36"/>
  <c r="V36"/>
  <c r="H36"/>
  <c r="U35"/>
  <c r="V35"/>
  <c r="H35"/>
  <c r="U34"/>
  <c r="V34"/>
  <c r="H34"/>
  <c r="U33"/>
  <c r="F33"/>
  <c r="V33"/>
  <c r="H33"/>
  <c r="U32"/>
  <c r="F32"/>
  <c r="V32"/>
  <c r="H32"/>
  <c r="U31"/>
  <c r="V31"/>
  <c r="H31"/>
  <c r="F30"/>
  <c r="Q30"/>
  <c r="U30"/>
  <c r="V30"/>
  <c r="H30"/>
  <c r="U29"/>
  <c r="F29"/>
  <c r="V29"/>
  <c r="H29"/>
  <c r="U28"/>
  <c r="V28"/>
  <c r="H28"/>
  <c r="F27"/>
  <c r="U27"/>
  <c r="V27"/>
  <c r="H27"/>
  <c r="U26"/>
  <c r="F26"/>
  <c r="V26"/>
  <c r="H26"/>
  <c r="U25"/>
  <c r="V25"/>
  <c r="H25"/>
  <c r="F24"/>
  <c r="U24"/>
  <c r="V24"/>
  <c r="H24"/>
  <c r="F22"/>
  <c r="U22"/>
  <c r="V22"/>
  <c r="H22"/>
  <c r="U21"/>
  <c r="F21"/>
  <c r="V21"/>
  <c r="H21"/>
  <c r="U20"/>
  <c r="V20"/>
  <c r="H20"/>
  <c r="U19"/>
  <c r="F19"/>
  <c r="V19"/>
  <c r="H19"/>
  <c r="U18"/>
  <c r="F18"/>
  <c r="V18"/>
  <c r="H18"/>
  <c r="U17"/>
  <c r="F17"/>
  <c r="V17"/>
  <c r="H17"/>
  <c r="U16"/>
  <c r="F16"/>
  <c r="V16"/>
  <c r="H16"/>
  <c r="Q15"/>
  <c r="R15"/>
  <c r="U15"/>
  <c r="V15"/>
  <c r="H15"/>
  <c r="Q14"/>
  <c r="R14"/>
  <c r="U14"/>
  <c r="V14"/>
  <c r="H14"/>
  <c r="U13"/>
  <c r="F13"/>
  <c r="V13"/>
  <c r="G13"/>
  <c r="H13"/>
  <c r="U12"/>
  <c r="V12"/>
  <c r="H12"/>
  <c r="F11"/>
  <c r="U11"/>
  <c r="V11"/>
  <c r="H11"/>
  <c r="U9"/>
  <c r="F9"/>
  <c r="V9"/>
  <c r="H9"/>
  <c r="U8"/>
  <c r="V8"/>
  <c r="H8"/>
  <c r="U7"/>
  <c r="V7"/>
  <c r="H7"/>
  <c r="U6"/>
  <c r="V6"/>
  <c r="H6"/>
  <c r="U5"/>
  <c r="F5"/>
  <c r="V5"/>
  <c r="H5"/>
  <c r="D31" i="7"/>
  <c r="D34"/>
  <c r="D43"/>
  <c r="D41"/>
  <c r="D46"/>
  <c r="D38"/>
  <c r="D37"/>
  <c r="D36"/>
  <c r="D30"/>
  <c r="D29"/>
  <c r="D27"/>
  <c r="D26"/>
  <c r="D23"/>
  <c r="D22"/>
  <c r="D21"/>
  <c r="D20"/>
  <c r="D19"/>
  <c r="D18"/>
  <c r="D17"/>
  <c r="D16"/>
  <c r="D15"/>
  <c r="D12"/>
  <c r="D11"/>
  <c r="D10"/>
  <c r="D9"/>
  <c r="D8"/>
  <c r="D6"/>
  <c r="D5"/>
  <c r="D4"/>
  <c r="D3"/>
  <c r="E6" i="3"/>
  <c r="E7"/>
  <c r="E8"/>
  <c r="E9"/>
  <c r="E10"/>
  <c r="E11"/>
  <c r="E12"/>
  <c r="E13"/>
  <c r="B14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B46"/>
  <c r="E46"/>
  <c r="E47"/>
  <c r="B48"/>
  <c r="E48"/>
  <c r="E49"/>
  <c r="E50"/>
  <c r="E51"/>
  <c r="E52"/>
  <c r="E55"/>
  <c r="E56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5"/>
  <c r="B86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9"/>
  <c r="E110"/>
  <c r="E111"/>
  <c r="E112"/>
  <c r="E113"/>
  <c r="E114"/>
  <c r="E116"/>
  <c r="E119"/>
  <c r="B119"/>
  <c r="E6" i="2"/>
  <c r="E7"/>
  <c r="E8"/>
  <c r="E9"/>
  <c r="E10"/>
  <c r="E11"/>
  <c r="B12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B32"/>
  <c r="E32"/>
  <c r="B33"/>
  <c r="E33"/>
  <c r="E34"/>
  <c r="E35"/>
  <c r="E36"/>
  <c r="E37"/>
  <c r="E38"/>
  <c r="B39"/>
  <c r="E39"/>
  <c r="E40"/>
  <c r="E41"/>
  <c r="E42"/>
  <c r="E43"/>
  <c r="E44"/>
  <c r="E45"/>
  <c r="E46"/>
  <c r="E47"/>
  <c r="B48"/>
  <c r="E48"/>
  <c r="E49"/>
  <c r="E50"/>
  <c r="E51"/>
  <c r="E52"/>
  <c r="E55"/>
  <c r="E56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B106"/>
  <c r="E106"/>
  <c r="E108"/>
  <c r="E109"/>
  <c r="E110"/>
  <c r="E111"/>
  <c r="E112"/>
  <c r="E113"/>
  <c r="E115"/>
  <c r="E118"/>
  <c r="B118"/>
  <c r="E6" i="1"/>
  <c r="E7"/>
  <c r="E8"/>
  <c r="E9"/>
  <c r="E10"/>
  <c r="E11"/>
  <c r="B12"/>
  <c r="E12"/>
  <c r="B13"/>
  <c r="E13"/>
  <c r="B14"/>
  <c r="E14"/>
  <c r="E15"/>
  <c r="E16"/>
  <c r="E17"/>
  <c r="E18"/>
  <c r="E19"/>
  <c r="B20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B41"/>
  <c r="E41"/>
  <c r="E42"/>
  <c r="E43"/>
  <c r="E44"/>
  <c r="E45"/>
  <c r="E46"/>
  <c r="E47"/>
  <c r="E48"/>
  <c r="B49"/>
  <c r="E49"/>
  <c r="E50"/>
  <c r="E51"/>
  <c r="E54"/>
  <c r="E55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6"/>
  <c r="E107"/>
  <c r="E108"/>
  <c r="E109"/>
  <c r="E110"/>
  <c r="E111"/>
  <c r="E113"/>
  <c r="E116"/>
  <c r="B116"/>
  <c r="C41"/>
</calcChain>
</file>

<file path=xl/sharedStrings.xml><?xml version="1.0" encoding="utf-8"?>
<sst xmlns="http://schemas.openxmlformats.org/spreadsheetml/2006/main" count="1030" uniqueCount="393">
  <si>
    <t>INVENTARIO SUC 11 SUR</t>
  </si>
  <si>
    <t>fecha</t>
  </si>
  <si>
    <t>CARNES</t>
  </si>
  <si>
    <t>PRODUCTO</t>
  </si>
  <si>
    <t>Kg</t>
  </si>
  <si>
    <t>piezas</t>
  </si>
  <si>
    <t>$</t>
  </si>
  <si>
    <t>TOTAL $</t>
  </si>
  <si>
    <t>1/2 res</t>
  </si>
  <si>
    <t>Arrachera</t>
  </si>
  <si>
    <t>Cabeza de cerdo</t>
  </si>
  <si>
    <t>Cabeza de lomo</t>
  </si>
  <si>
    <t>Capotes</t>
  </si>
  <si>
    <t>Espaldilla de Carnero</t>
  </si>
  <si>
    <t>Carnero</t>
  </si>
  <si>
    <t>Codillo</t>
  </si>
  <si>
    <t xml:space="preserve">Contra </t>
  </si>
  <si>
    <t>Chuleta natural</t>
  </si>
  <si>
    <t>Corbata IBP</t>
  </si>
  <si>
    <t>Costilla de cerdo</t>
  </si>
  <si>
    <t>Cuero de pierna</t>
  </si>
  <si>
    <t>Cuero sin grasa</t>
  </si>
  <si>
    <t>Descarne de cerdo</t>
  </si>
  <si>
    <t>Delantero de res</t>
  </si>
  <si>
    <t>Espaldilla de cerdo</t>
  </si>
  <si>
    <t>Espaldilla con hueso cerdo</t>
  </si>
  <si>
    <t>Espaldilla con hueso de res</t>
  </si>
  <si>
    <t xml:space="preserve">Espinazo </t>
  </si>
  <si>
    <t>Espinazo entero</t>
  </si>
  <si>
    <t>Grasa</t>
  </si>
  <si>
    <t>Lomo de cerdo</t>
  </si>
  <si>
    <t>Maciza de cerdo</t>
  </si>
  <si>
    <t>Manteca</t>
  </si>
  <si>
    <t>Menudo</t>
  </si>
  <si>
    <t xml:space="preserve">Menudo  </t>
  </si>
  <si>
    <t>Molida economica</t>
  </si>
  <si>
    <t>Patitas</t>
  </si>
  <si>
    <t>Pecho de cerdo</t>
  </si>
  <si>
    <t>Pernil</t>
  </si>
  <si>
    <t>Pierna c/cuero en combo</t>
  </si>
  <si>
    <t>Pierna c/hueso</t>
  </si>
  <si>
    <t>Pierna con cuero</t>
  </si>
  <si>
    <t>pierna s/h con grasa</t>
  </si>
  <si>
    <t>Pierna sin hueso</t>
  </si>
  <si>
    <t>Planchas Cerdo</t>
  </si>
  <si>
    <t>Pulpa de res</t>
  </si>
  <si>
    <t>Pulpa de res sin limpiar</t>
  </si>
  <si>
    <t>Retazo c/hueso de cerdo</t>
  </si>
  <si>
    <t>Retazo c/hueso de res</t>
  </si>
  <si>
    <t>Sancocho</t>
  </si>
  <si>
    <t>Sesos de copa</t>
  </si>
  <si>
    <t>Sesos en copa sueltos</t>
  </si>
  <si>
    <t>POLLO</t>
  </si>
  <si>
    <t>Pechuga</t>
  </si>
  <si>
    <t>Pierna y muslo</t>
  </si>
  <si>
    <t>SALCHICHONERIA</t>
  </si>
  <si>
    <t>Carne Enchilada</t>
  </si>
  <si>
    <t>Chile p/carne enchilada</t>
  </si>
  <si>
    <t>Chorizo</t>
  </si>
  <si>
    <t>Chuleta ahumada</t>
  </si>
  <si>
    <t>Jamon Americano Fud</t>
  </si>
  <si>
    <t>Jamon Americano Ledo</t>
  </si>
  <si>
    <t>Jamon de lomo Ledo</t>
  </si>
  <si>
    <t>Jamon de pavo Hacienda</t>
  </si>
  <si>
    <t>Jamon de pavo Viva</t>
  </si>
  <si>
    <t>Jamon virginia de fud</t>
  </si>
  <si>
    <t>longaniza</t>
  </si>
  <si>
    <t>Mortadela</t>
  </si>
  <si>
    <t>Pata de res picada</t>
  </si>
  <si>
    <t>Pierna de pavo ahumada</t>
  </si>
  <si>
    <t>Queso de puerco Ledo</t>
  </si>
  <si>
    <t>Salchicha Acuario</t>
  </si>
  <si>
    <t>Salchicha Chero</t>
  </si>
  <si>
    <t>Salchicha Fud HD</t>
  </si>
  <si>
    <t>Salchicha Hacienda</t>
  </si>
  <si>
    <t>Salchicha Pavo Fud</t>
  </si>
  <si>
    <t>Salchicha viva</t>
  </si>
  <si>
    <t>Salchicha Z</t>
  </si>
  <si>
    <t>Tocino Winnis ahumado</t>
  </si>
  <si>
    <t>Tripa salada</t>
  </si>
  <si>
    <t>Chicharron</t>
  </si>
  <si>
    <t>Jamon de pavo Hda</t>
  </si>
  <si>
    <t>Jamon de Pavo Viva</t>
  </si>
  <si>
    <t>Jamon de pierna Ledo</t>
  </si>
  <si>
    <t>Jamon Fud americano</t>
  </si>
  <si>
    <t>Jamon Virginia Fud</t>
  </si>
  <si>
    <t>Queso de puerco campestre</t>
  </si>
  <si>
    <t>Queso manchego</t>
  </si>
  <si>
    <t>Recorte de jamon</t>
  </si>
  <si>
    <t>Salchicha Hda Viena</t>
  </si>
  <si>
    <t>Salchicha Viva</t>
  </si>
  <si>
    <t>Tortilla de harina La Tradicion</t>
  </si>
  <si>
    <t>Maiz pozolero Morelos</t>
  </si>
  <si>
    <t>Maiz pozolero La Poblana</t>
  </si>
  <si>
    <t>Salsa California 1 lt</t>
  </si>
  <si>
    <t>Salsa California 0.5 lt</t>
  </si>
  <si>
    <t>Salsa California 0.355 lt</t>
  </si>
  <si>
    <t>Bolsa</t>
  </si>
  <si>
    <t>TOTAL</t>
  </si>
  <si>
    <t>Sancocho ledo</t>
  </si>
  <si>
    <t>Pavo Ahumado</t>
  </si>
  <si>
    <t>Pavo Natural</t>
  </si>
  <si>
    <t>Corbata Curlys</t>
  </si>
  <si>
    <t>Pierna Ahumada</t>
  </si>
  <si>
    <t>DICIEMBRE</t>
  </si>
  <si>
    <t>L</t>
  </si>
  <si>
    <t>Sukarne 7/12/09</t>
  </si>
  <si>
    <t>fact 3388</t>
  </si>
  <si>
    <t>pernil Farmland</t>
  </si>
  <si>
    <t>38  /  2884</t>
  </si>
  <si>
    <t>Premium 19/12/09 nl09-111</t>
  </si>
  <si>
    <t>fact 93490372</t>
  </si>
  <si>
    <t>intercam $35,577.60</t>
  </si>
  <si>
    <t>38  /  2898</t>
  </si>
  <si>
    <t>Maple 19/12/09 10058061-1</t>
  </si>
  <si>
    <t>fact 80488</t>
  </si>
  <si>
    <t>intercam $35,228.94</t>
  </si>
  <si>
    <t>38  /  2897</t>
  </si>
  <si>
    <t>Maple 19/12/09 10057904-4 **</t>
  </si>
  <si>
    <t>fact 80503</t>
  </si>
  <si>
    <t>intercam $35,127.08</t>
  </si>
  <si>
    <t>bancomer  322</t>
  </si>
  <si>
    <t>Maple 19/12/09 10057904-3</t>
  </si>
  <si>
    <t>fact 80502</t>
  </si>
  <si>
    <t>intercam $34,118.74</t>
  </si>
  <si>
    <t>38  /  2903</t>
  </si>
  <si>
    <t>M</t>
  </si>
  <si>
    <t xml:space="preserve">Impeg 16/12/09  </t>
  </si>
  <si>
    <t>rem 25771</t>
  </si>
  <si>
    <t>Lengua de res y de cerdo</t>
  </si>
  <si>
    <t>Mi</t>
  </si>
  <si>
    <t>Premium 22/12/09  nl09-114</t>
  </si>
  <si>
    <t>fact 93491965</t>
  </si>
  <si>
    <t>intercam $35,219.75</t>
  </si>
  <si>
    <t>38  /  2905</t>
  </si>
  <si>
    <t>J</t>
  </si>
  <si>
    <t>Yarto 16/12/09</t>
  </si>
  <si>
    <t>fact 22276</t>
  </si>
  <si>
    <t>intercam $43,929.00</t>
  </si>
  <si>
    <t>bancomer  323</t>
  </si>
  <si>
    <t>Yarto 18/12/09</t>
  </si>
  <si>
    <t>fact 22298</t>
  </si>
  <si>
    <t>intercam $44,203.50</t>
  </si>
  <si>
    <t>38  /  2899</t>
  </si>
  <si>
    <t>Yarto 18/12/09  merma desc 50%</t>
  </si>
  <si>
    <t>fact 22324</t>
  </si>
  <si>
    <t>intercam $37,470.60</t>
  </si>
  <si>
    <t>merma 224 kg</t>
  </si>
  <si>
    <t>38  /   2902</t>
  </si>
  <si>
    <t>V</t>
  </si>
  <si>
    <t>Yarto 22/12/09  prest Alb&amp;cia</t>
  </si>
  <si>
    <t>fact 22342</t>
  </si>
  <si>
    <t>intercam $44,122.50</t>
  </si>
  <si>
    <t>38  /  2906</t>
  </si>
  <si>
    <t>S</t>
  </si>
  <si>
    <t>D</t>
  </si>
  <si>
    <t>Premium 24/12/09 nl09-115</t>
  </si>
  <si>
    <t>fact 93495094</t>
  </si>
  <si>
    <t>intercam $33,139.53</t>
  </si>
  <si>
    <t>hsbc 9552754</t>
  </si>
  <si>
    <t>Premium 24/12/09 nl09-116</t>
  </si>
  <si>
    <t>fact 93495095</t>
  </si>
  <si>
    <t>intercam $31,744.71</t>
  </si>
  <si>
    <t>38  /  2912</t>
  </si>
  <si>
    <t>Ryc 24/12/09</t>
  </si>
  <si>
    <t>fact FPL4818</t>
  </si>
  <si>
    <t>intercam $35,153.86</t>
  </si>
  <si>
    <t>38  /  2923</t>
  </si>
  <si>
    <t>Maple 23/12/09  57904-5</t>
  </si>
  <si>
    <t>fact 80524</t>
  </si>
  <si>
    <t>intercam $34,566.90</t>
  </si>
  <si>
    <t>38  /  2911</t>
  </si>
  <si>
    <t>Maple 23/12/09 58061-2 Alb&amp;cia</t>
  </si>
  <si>
    <t>fact 80629</t>
  </si>
  <si>
    <t>intercam $35,735.93</t>
  </si>
  <si>
    <t>bancomer  325</t>
  </si>
  <si>
    <t>Maple 23/12/09 58061-3 Alb&amp;cia</t>
  </si>
  <si>
    <t>fact 80630</t>
  </si>
  <si>
    <t>intercam $35,916.04</t>
  </si>
  <si>
    <t>bancomer 326</t>
  </si>
  <si>
    <t>Maple 23/12/09 57904-6</t>
  </si>
  <si>
    <t>fact 80580</t>
  </si>
  <si>
    <t>intercam $34,388.19</t>
  </si>
  <si>
    <t>38  /  2924</t>
  </si>
  <si>
    <t>Maple 23/12/09 57904-7</t>
  </si>
  <si>
    <t>fact 80634</t>
  </si>
  <si>
    <t>bancomer  324</t>
  </si>
  <si>
    <t>Premium 30/12/09 nl09-120</t>
  </si>
  <si>
    <t>fact 93497304</t>
  </si>
  <si>
    <t>intercam $29,537.99</t>
  </si>
  <si>
    <t>38  /  2928</t>
  </si>
  <si>
    <t>Sukarne  17/12/09</t>
  </si>
  <si>
    <t>fact 3451</t>
  </si>
  <si>
    <t>lengua de res y buche</t>
  </si>
  <si>
    <t>38  /  2934</t>
  </si>
  <si>
    <t>Yarto 23/12/09</t>
  </si>
  <si>
    <t>fact 22328</t>
  </si>
  <si>
    <t>intercam $44,112.60</t>
  </si>
  <si>
    <t>38  / 2922</t>
  </si>
  <si>
    <t xml:space="preserve">Yarto 24/12/09 </t>
  </si>
  <si>
    <t>fact  22373</t>
  </si>
  <si>
    <t>intercam $38,227.00</t>
  </si>
  <si>
    <t>38  /  2927</t>
  </si>
  <si>
    <t>Yarto 29/12/09</t>
  </si>
  <si>
    <t>fact 22400</t>
  </si>
  <si>
    <t>intercam $32,930.04</t>
  </si>
  <si>
    <t>38  /  2929</t>
  </si>
  <si>
    <t>Yarto  30/12/09</t>
  </si>
  <si>
    <t>fact 22409</t>
  </si>
  <si>
    <t>Intercam $34,625.76</t>
  </si>
  <si>
    <t>38  /  2933</t>
  </si>
  <si>
    <t>Farmland 31/12/09 nltf09-15</t>
  </si>
  <si>
    <t>fact 93497590</t>
  </si>
  <si>
    <t>intercam $50,040.00</t>
  </si>
  <si>
    <t xml:space="preserve">ADEUDO AL 31 DE DICIEMBRE DE 2009  </t>
  </si>
  <si>
    <t>ADEUDO EN DOLARES CALCULADOS A $13.5    FISCAL</t>
  </si>
  <si>
    <t>ADEUDO EN PESOS  FISCAL</t>
  </si>
  <si>
    <t>ADEUDO EN PESOS  NO FISCAL</t>
  </si>
  <si>
    <t>ADEUDO EN BANCOS   CREDITOS REVOLVENTES AL 31 DE DICIEMBRE DE 2009</t>
  </si>
  <si>
    <t>BBVA BANCOMER</t>
  </si>
  <si>
    <t>SANTANDER</t>
  </si>
  <si>
    <t>ADEUDO TOTAL</t>
  </si>
  <si>
    <t>PROGRAMA DE COMPRAS</t>
  </si>
  <si>
    <t>Producto</t>
  </si>
  <si>
    <t>Marca</t>
  </si>
  <si>
    <t>Proveedor</t>
  </si>
  <si>
    <t>unidades</t>
  </si>
  <si>
    <t>W total factura</t>
  </si>
  <si>
    <t>W recib real</t>
  </si>
  <si>
    <t>dif recepcion</t>
  </si>
  <si>
    <t>referencia</t>
  </si>
  <si>
    <t>transporte</t>
  </si>
  <si>
    <t>fecha frontera</t>
  </si>
  <si>
    <t>fecha arribo</t>
  </si>
  <si>
    <t>dia</t>
  </si>
  <si>
    <t>formula</t>
  </si>
  <si>
    <t>$ Puebla</t>
  </si>
  <si>
    <t>$ frontera</t>
  </si>
  <si>
    <t>flete</t>
  </si>
  <si>
    <t>$ aduanal</t>
  </si>
  <si>
    <t>tipo cambio</t>
  </si>
  <si>
    <t>com</t>
  </si>
  <si>
    <t>costo real</t>
  </si>
  <si>
    <t>$ carga total</t>
  </si>
  <si>
    <t>para pago</t>
  </si>
  <si>
    <t>Pernil con piel</t>
  </si>
  <si>
    <t>Seaboard</t>
  </si>
  <si>
    <t>Yarto</t>
  </si>
  <si>
    <t>24 combos</t>
  </si>
  <si>
    <t>fact 22097</t>
  </si>
  <si>
    <t>mi</t>
  </si>
  <si>
    <t>hoja+16 ju 26 nov</t>
  </si>
  <si>
    <t>Premium/farmland</t>
  </si>
  <si>
    <t>Farmland</t>
  </si>
  <si>
    <t>22 combos</t>
  </si>
  <si>
    <t>nl09-102</t>
  </si>
  <si>
    <t>Betos</t>
  </si>
  <si>
    <t>ma</t>
  </si>
  <si>
    <t>hoja+11 ju 26 nov</t>
  </si>
  <si>
    <t>Premium Iowa</t>
  </si>
  <si>
    <t>Desa</t>
  </si>
  <si>
    <t>granel</t>
  </si>
  <si>
    <t>fact 6833</t>
  </si>
  <si>
    <t>patitas</t>
  </si>
  <si>
    <t>147 cajas</t>
  </si>
  <si>
    <t>"      "</t>
  </si>
  <si>
    <t xml:space="preserve">  "   "</t>
  </si>
  <si>
    <t>fact 22120</t>
  </si>
  <si>
    <t>vi</t>
  </si>
  <si>
    <t>hoja+16 ju 27 nov</t>
  </si>
  <si>
    <t>21 combos</t>
  </si>
  <si>
    <t>nl09-104</t>
  </si>
  <si>
    <t>lu</t>
  </si>
  <si>
    <t>hoja+11 ma 1 dic</t>
  </si>
  <si>
    <t>Sukarne</t>
  </si>
  <si>
    <t>10 combos</t>
  </si>
  <si>
    <t>IBP</t>
  </si>
  <si>
    <t>Impeg</t>
  </si>
  <si>
    <t>rem 25671,684</t>
  </si>
  <si>
    <t>Caña de lomo</t>
  </si>
  <si>
    <t>Maple</t>
  </si>
  <si>
    <t>338 cajas</t>
  </si>
  <si>
    <t>352 cajas</t>
  </si>
  <si>
    <t>"    "</t>
  </si>
  <si>
    <t>fact 22167</t>
  </si>
  <si>
    <t>hoja+16 ju 3 dic</t>
  </si>
  <si>
    <t>fact 22166</t>
  </si>
  <si>
    <t>rem 25721,722,723</t>
  </si>
  <si>
    <t>ju</t>
  </si>
  <si>
    <t>rem 25724,725,726</t>
  </si>
  <si>
    <t>18 combos</t>
  </si>
  <si>
    <t>rem</t>
  </si>
  <si>
    <t>fact 22194</t>
  </si>
  <si>
    <t>hoja+16 vi 4 dic</t>
  </si>
  <si>
    <t>19 combos</t>
  </si>
  <si>
    <t>nl09-108</t>
  </si>
  <si>
    <t>hoja+11 lu 8 dic</t>
  </si>
  <si>
    <t>10057904-1</t>
  </si>
  <si>
    <t>sa</t>
  </si>
  <si>
    <t>hoja+10 vi 4 dic</t>
  </si>
  <si>
    <t>10057904-2</t>
  </si>
  <si>
    <t>hoja+10 ju 10 dic</t>
  </si>
  <si>
    <t>hoja+16 ju 10 dic</t>
  </si>
  <si>
    <t>decnl09-113r</t>
  </si>
  <si>
    <t>hoja+11 ju 10 dic</t>
  </si>
  <si>
    <t>Lengua de Puerco</t>
  </si>
  <si>
    <t>100 cajas</t>
  </si>
  <si>
    <t>Lengua de res</t>
  </si>
  <si>
    <t>Swift</t>
  </si>
  <si>
    <t>60 cajas</t>
  </si>
  <si>
    <t>Ryc</t>
  </si>
  <si>
    <t>fact  FPL4681</t>
  </si>
  <si>
    <t>hoja+15 ju 10 dic +$1.00</t>
  </si>
  <si>
    <t>National</t>
  </si>
  <si>
    <t>Buche</t>
  </si>
  <si>
    <t>220 cajas</t>
  </si>
  <si>
    <t>"   "</t>
  </si>
  <si>
    <t>hoja+16 vi 11 dic</t>
  </si>
  <si>
    <t>10058061-1</t>
  </si>
  <si>
    <t xml:space="preserve">hoja+12 vi 11 dic  </t>
  </si>
  <si>
    <t>10057904-3</t>
  </si>
  <si>
    <t>hoja+10 vi 11 dic</t>
  </si>
  <si>
    <t>10057904-4</t>
  </si>
  <si>
    <t>hoja+10 lu 14 dic  **</t>
  </si>
  <si>
    <t>20 combos</t>
  </si>
  <si>
    <t>nl09-111</t>
  </si>
  <si>
    <t>hoja+11 ma 15 dic</t>
  </si>
  <si>
    <t>10057904-5</t>
  </si>
  <si>
    <t>hoja+10 ma 15 dic</t>
  </si>
  <si>
    <t>10058061-2</t>
  </si>
  <si>
    <t>hoja+12 ju 17 dic</t>
  </si>
  <si>
    <t>10058061-3</t>
  </si>
  <si>
    <t>10057904-6</t>
  </si>
  <si>
    <t>hoja+10 mi 16 dic</t>
  </si>
  <si>
    <t>10057904-7</t>
  </si>
  <si>
    <t>hoja+10 ju 17 dic</t>
  </si>
  <si>
    <t>nl09-114</t>
  </si>
  <si>
    <t>hoja+11 ju 17 dic</t>
  </si>
  <si>
    <t>hoja+16 ju 17 dic</t>
  </si>
  <si>
    <t xml:space="preserve">fact 22373 </t>
  </si>
  <si>
    <t>nl09-115</t>
  </si>
  <si>
    <t>hoja+11 vi 18 dic</t>
  </si>
  <si>
    <t>nl09-116</t>
  </si>
  <si>
    <t>hoja+16 ju 24 dic</t>
  </si>
  <si>
    <t>nl09-120</t>
  </si>
  <si>
    <t>hoja+11 mi 23 dic</t>
  </si>
  <si>
    <t>3000 cajas</t>
  </si>
  <si>
    <t>nltf09-15</t>
  </si>
  <si>
    <t>Almacen Gral</t>
  </si>
  <si>
    <t>Pierna Ahumado</t>
  </si>
  <si>
    <t>Pollo ahumado</t>
  </si>
  <si>
    <t>ALMACEN CENTRAL CONGELADOS</t>
  </si>
  <si>
    <t xml:space="preserve">INVENTARIO GENERAL </t>
  </si>
  <si>
    <t>DIA</t>
  </si>
  <si>
    <t xml:space="preserve">CANTIDAD </t>
  </si>
  <si>
    <t>UD</t>
  </si>
  <si>
    <t>$ COMPRA</t>
  </si>
  <si>
    <t>precio</t>
  </si>
  <si>
    <t>traspaso</t>
  </si>
  <si>
    <t>BUCHE SEABOARD</t>
  </si>
  <si>
    <t>CAÑA DE LOMO MAPLE</t>
  </si>
  <si>
    <t>CONTRA (GOOSENECK) SWIFT</t>
  </si>
  <si>
    <t>CORBATA FARMLAND JBO</t>
  </si>
  <si>
    <t>CORBATA CURLYS</t>
  </si>
  <si>
    <t>COSTILLA RUPARI</t>
  </si>
  <si>
    <t>CUERO SIN GRASA FARMLAND</t>
  </si>
  <si>
    <t>mal estado</t>
  </si>
  <si>
    <t>CUERO SIN GRASA MAPLE</t>
  </si>
  <si>
    <t>LENGUA DE CERDO  IBP</t>
  </si>
  <si>
    <t xml:space="preserve">LENGUA DE RES </t>
  </si>
  <si>
    <t>MENUDO AURORA</t>
  </si>
  <si>
    <t>PATITAS  PREMIUM IOWA</t>
  </si>
  <si>
    <t>PERNIL C/PIEL EN COMBOS IBP</t>
  </si>
  <si>
    <t>PERNIL C/PIEL EN COMBOS PREMIUM</t>
  </si>
  <si>
    <t>PERNIL C/PIEL EN COMBOS SEABOARD</t>
  </si>
  <si>
    <t>PERNIL C/PIEL EN COMBOS MAPLE</t>
  </si>
  <si>
    <t>SESOS DE COPA FARMLAND</t>
  </si>
  <si>
    <t>dólar a $13.5</t>
  </si>
  <si>
    <t>SESOS DE MARQUETA JOHN MORRELL</t>
  </si>
  <si>
    <t>BOLSA EN ROLLO 25 x 35</t>
  </si>
  <si>
    <t>BOLSA EN ROLLO 30 x 40</t>
  </si>
  <si>
    <t xml:space="preserve">GRAN TOTAL </t>
  </si>
  <si>
    <t>||</t>
  </si>
  <si>
    <t>Teorico</t>
  </si>
  <si>
    <t>Real</t>
  </si>
  <si>
    <t>Diferencia</t>
  </si>
  <si>
    <t>$ traspaso</t>
  </si>
  <si>
    <t>Para todos</t>
  </si>
  <si>
    <t>33.5cic</t>
  </si>
  <si>
    <t>$ prom</t>
  </si>
  <si>
    <t>para todos</t>
  </si>
  <si>
    <t>14.5  CIC</t>
  </si>
  <si>
    <t>235.00/CIC</t>
  </si>
</sst>
</file>

<file path=xl/styles.xml><?xml version="1.0" encoding="utf-8"?>
<styleSheet xmlns="http://schemas.openxmlformats.org/spreadsheetml/2006/main">
  <numFmts count="7">
    <numFmt numFmtId="164" formatCode="_-&quot;$&quot;* #,##0.00_-;\-&quot;$&quot;* #,##0.00_-;_-&quot;$&quot;* &quot;-&quot;??_-;_-@_-"/>
    <numFmt numFmtId="165" formatCode="&quot;$&quot;#,##0.00"/>
    <numFmt numFmtId="166" formatCode="#,##0_ ;\-#,##0\ "/>
    <numFmt numFmtId="167" formatCode="_-&quot;$&quot;* #,##0.000_-;\-&quot;$&quot;* #,##0.000_-;_-&quot;$&quot;* &quot;-&quot;??_-;_-@_-"/>
    <numFmt numFmtId="168" formatCode="&quot;$&quot;#,##0.000"/>
    <numFmt numFmtId="169" formatCode="dd/mm/yyyy;@"/>
    <numFmt numFmtId="170" formatCode="#,##0.00_ ;[Red]\-#,##0.00\ "/>
  </numFmts>
  <fonts count="15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i/>
      <sz val="16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7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8">
    <xf numFmtId="0" fontId="0" fillId="0" borderId="0" xfId="0"/>
    <xf numFmtId="0" fontId="2" fillId="0" borderId="0" xfId="0" applyFont="1"/>
    <xf numFmtId="4" fontId="0" fillId="0" borderId="0" xfId="0" applyNumberFormat="1"/>
    <xf numFmtId="14" fontId="2" fillId="0" borderId="1" xfId="0" applyNumberFormat="1" applyFont="1" applyBorder="1" applyAlignment="1">
      <alignment horizontal="right"/>
    </xf>
    <xf numFmtId="164" fontId="0" fillId="0" borderId="0" xfId="1" applyFont="1" applyAlignment="1">
      <alignment horizontal="right"/>
    </xf>
    <xf numFmtId="164" fontId="0" fillId="0" borderId="0" xfId="1" applyFont="1"/>
    <xf numFmtId="14" fontId="2" fillId="0" borderId="0" xfId="0" quotePrefix="1" applyNumberFormat="1" applyFont="1"/>
    <xf numFmtId="165" fontId="0" fillId="0" borderId="0" xfId="0" applyNumberFormat="1"/>
    <xf numFmtId="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3" fillId="0" borderId="0" xfId="0" quotePrefix="1" applyFont="1"/>
    <xf numFmtId="4" fontId="0" fillId="0" borderId="1" xfId="0" applyNumberFormat="1" applyBorder="1"/>
    <xf numFmtId="0" fontId="0" fillId="0" borderId="1" xfId="0" applyBorder="1"/>
    <xf numFmtId="0" fontId="3" fillId="0" borderId="0" xfId="0" applyFont="1"/>
    <xf numFmtId="14" fontId="0" fillId="0" borderId="0" xfId="0" applyNumberFormat="1"/>
    <xf numFmtId="164" fontId="2" fillId="0" borderId="0" xfId="1" applyFont="1"/>
    <xf numFmtId="4" fontId="0" fillId="0" borderId="2" xfId="0" applyNumberFormat="1" applyBorder="1"/>
    <xf numFmtId="0" fontId="0" fillId="0" borderId="2" xfId="0" applyBorder="1"/>
    <xf numFmtId="4" fontId="0" fillId="0" borderId="0" xfId="0" applyNumberFormat="1" applyBorder="1"/>
    <xf numFmtId="0" fontId="0" fillId="0" borderId="0" xfId="0" applyBorder="1"/>
    <xf numFmtId="0" fontId="2" fillId="0" borderId="0" xfId="0" applyFont="1" applyAlignment="1">
      <alignment horizontal="right"/>
    </xf>
    <xf numFmtId="4" fontId="2" fillId="0" borderId="0" xfId="0" applyNumberFormat="1" applyFont="1"/>
    <xf numFmtId="165" fontId="2" fillId="0" borderId="0" xfId="0" applyNumberFormat="1" applyFont="1"/>
    <xf numFmtId="0" fontId="0" fillId="0" borderId="0" xfId="0" applyFill="1"/>
    <xf numFmtId="4" fontId="0" fillId="0" borderId="0" xfId="0" applyNumberFormat="1" applyFill="1"/>
    <xf numFmtId="164" fontId="0" fillId="0" borderId="0" xfId="1" applyFont="1" applyFill="1"/>
    <xf numFmtId="0" fontId="0" fillId="0" borderId="0" xfId="0" applyFill="1" applyBorder="1"/>
    <xf numFmtId="164" fontId="0" fillId="2" borderId="0" xfId="1" applyFont="1" applyFill="1"/>
    <xf numFmtId="166" fontId="0" fillId="2" borderId="0" xfId="1" applyNumberFormat="1" applyFont="1" applyFill="1"/>
    <xf numFmtId="14" fontId="0" fillId="2" borderId="0" xfId="1" applyNumberFormat="1" applyFont="1" applyFill="1"/>
    <xf numFmtId="167" fontId="0" fillId="2" borderId="0" xfId="1" applyNumberFormat="1" applyFont="1" applyFill="1"/>
    <xf numFmtId="166" fontId="0" fillId="0" borderId="0" xfId="1" applyNumberFormat="1" applyFont="1"/>
    <xf numFmtId="0" fontId="0" fillId="3" borderId="0" xfId="0" applyFill="1" applyBorder="1"/>
    <xf numFmtId="166" fontId="0" fillId="0" borderId="0" xfId="1" applyNumberFormat="1" applyFont="1" applyFill="1"/>
    <xf numFmtId="167" fontId="0" fillId="0" borderId="0" xfId="1" applyNumberFormat="1" applyFont="1" applyFill="1"/>
    <xf numFmtId="14" fontId="0" fillId="0" borderId="0" xfId="1" applyNumberFormat="1" applyFont="1"/>
    <xf numFmtId="167" fontId="0" fillId="4" borderId="0" xfId="1" applyNumberFormat="1" applyFont="1" applyFill="1"/>
    <xf numFmtId="164" fontId="5" fillId="0" borderId="0" xfId="1" applyFont="1"/>
    <xf numFmtId="17" fontId="0" fillId="0" borderId="0" xfId="0" applyNumberFormat="1" applyFill="1"/>
    <xf numFmtId="3" fontId="0" fillId="0" borderId="0" xfId="0" applyNumberFormat="1" applyFill="1"/>
    <xf numFmtId="15" fontId="0" fillId="0" borderId="0" xfId="0" applyNumberFormat="1" applyFill="1"/>
    <xf numFmtId="165" fontId="0" fillId="0" borderId="0" xfId="0" applyNumberFormat="1" applyFill="1"/>
    <xf numFmtId="168" fontId="0" fillId="0" borderId="0" xfId="0" applyNumberFormat="1" applyFill="1"/>
    <xf numFmtId="0" fontId="0" fillId="0" borderId="3" xfId="0" applyBorder="1"/>
    <xf numFmtId="0" fontId="0" fillId="0" borderId="3" xfId="0" applyFill="1" applyBorder="1"/>
    <xf numFmtId="4" fontId="0" fillId="0" borderId="3" xfId="0" applyNumberFormat="1" applyFill="1" applyBorder="1"/>
    <xf numFmtId="3" fontId="0" fillId="0" borderId="3" xfId="0" applyNumberFormat="1" applyFill="1" applyBorder="1"/>
    <xf numFmtId="15" fontId="0" fillId="0" borderId="3" xfId="0" applyNumberFormat="1" applyFill="1" applyBorder="1"/>
    <xf numFmtId="165" fontId="0" fillId="0" borderId="3" xfId="0" applyNumberFormat="1" applyFill="1" applyBorder="1"/>
    <xf numFmtId="168" fontId="0" fillId="0" borderId="3" xfId="0" applyNumberFormat="1" applyFill="1" applyBorder="1"/>
    <xf numFmtId="0" fontId="0" fillId="4" borderId="4" xfId="0" applyFill="1" applyBorder="1"/>
    <xf numFmtId="0" fontId="0" fillId="0" borderId="5" xfId="0" applyFill="1" applyBorder="1"/>
    <xf numFmtId="4" fontId="0" fillId="0" borderId="0" xfId="0" applyNumberFormat="1" applyFill="1" applyBorder="1"/>
    <xf numFmtId="15" fontId="0" fillId="0" borderId="0" xfId="0" applyNumberFormat="1" applyFill="1" applyBorder="1"/>
    <xf numFmtId="165" fontId="0" fillId="0" borderId="0" xfId="0" applyNumberFormat="1" applyFill="1" applyBorder="1"/>
    <xf numFmtId="168" fontId="0" fillId="0" borderId="0" xfId="0" applyNumberFormat="1" applyFill="1" applyBorder="1"/>
    <xf numFmtId="168" fontId="1" fillId="0" borderId="0" xfId="0" applyNumberFormat="1" applyFont="1" applyFill="1" applyBorder="1"/>
    <xf numFmtId="14" fontId="0" fillId="0" borderId="6" xfId="0" applyNumberFormat="1" applyFill="1" applyBorder="1"/>
    <xf numFmtId="4" fontId="3" fillId="0" borderId="0" xfId="0" applyNumberFormat="1" applyFont="1" applyFill="1" applyBorder="1"/>
    <xf numFmtId="0" fontId="0" fillId="5" borderId="0" xfId="0" applyFill="1" applyBorder="1"/>
    <xf numFmtId="0" fontId="0" fillId="4" borderId="6" xfId="0" applyFill="1" applyBorder="1" applyAlignment="1">
      <alignment horizontal="center" textRotation="255"/>
    </xf>
    <xf numFmtId="4" fontId="3" fillId="0" borderId="3" xfId="0" applyNumberFormat="1" applyFont="1" applyFill="1" applyBorder="1"/>
    <xf numFmtId="14" fontId="0" fillId="0" borderId="8" xfId="0" applyNumberFormat="1" applyFill="1" applyBorder="1"/>
    <xf numFmtId="4" fontId="0" fillId="0" borderId="9" xfId="0" applyNumberFormat="1" applyFill="1" applyBorder="1"/>
    <xf numFmtId="0" fontId="0" fillId="0" borderId="9" xfId="0" applyFill="1" applyBorder="1"/>
    <xf numFmtId="165" fontId="0" fillId="0" borderId="9" xfId="0" applyNumberFormat="1" applyFill="1" applyBorder="1"/>
    <xf numFmtId="4" fontId="0" fillId="7" borderId="0" xfId="0" applyNumberFormat="1" applyFill="1" applyBorder="1"/>
    <xf numFmtId="0" fontId="0" fillId="0" borderId="10" xfId="0" applyFill="1" applyBorder="1"/>
    <xf numFmtId="0" fontId="0" fillId="7" borderId="6" xfId="0" applyFill="1" applyBorder="1" applyAlignment="1">
      <alignment textRotation="255"/>
    </xf>
    <xf numFmtId="164" fontId="0" fillId="0" borderId="0" xfId="1" applyFont="1" applyFill="1" applyBorder="1"/>
    <xf numFmtId="0" fontId="0" fillId="8" borderId="0" xfId="0" applyFill="1" applyBorder="1"/>
    <xf numFmtId="168" fontId="0" fillId="8" borderId="0" xfId="0" applyNumberFormat="1" applyFill="1" applyBorder="1"/>
    <xf numFmtId="168" fontId="1" fillId="4" borderId="0" xfId="0" applyNumberFormat="1" applyFont="1" applyFill="1" applyBorder="1"/>
    <xf numFmtId="165" fontId="0" fillId="4" borderId="0" xfId="0" applyNumberFormat="1" applyFill="1" applyBorder="1"/>
    <xf numFmtId="15" fontId="6" fillId="0" borderId="0" xfId="0" applyNumberFormat="1" applyFont="1"/>
    <xf numFmtId="0" fontId="2" fillId="0" borderId="11" xfId="0" applyFont="1" applyBorder="1"/>
    <xf numFmtId="0" fontId="2" fillId="0" borderId="12" xfId="0" applyFont="1" applyBorder="1"/>
    <xf numFmtId="4" fontId="2" fillId="0" borderId="13" xfId="0" applyNumberFormat="1" applyFont="1" applyBorder="1"/>
    <xf numFmtId="0" fontId="2" fillId="0" borderId="13" xfId="0" applyFont="1" applyBorder="1"/>
    <xf numFmtId="0" fontId="2" fillId="0" borderId="0" xfId="0" applyFont="1" applyFill="1" applyBorder="1"/>
    <xf numFmtId="4" fontId="3" fillId="0" borderId="13" xfId="0" applyNumberFormat="1" applyFont="1" applyBorder="1"/>
    <xf numFmtId="0" fontId="3" fillId="0" borderId="13" xfId="0" applyFont="1" applyBorder="1"/>
    <xf numFmtId="164" fontId="0" fillId="0" borderId="13" xfId="1" applyFont="1" applyFill="1" applyBorder="1"/>
    <xf numFmtId="164" fontId="0" fillId="0" borderId="13" xfId="1" applyFont="1" applyBorder="1"/>
    <xf numFmtId="164" fontId="0" fillId="0" borderId="0" xfId="0" applyNumberFormat="1"/>
    <xf numFmtId="4" fontId="0" fillId="0" borderId="13" xfId="0" applyNumberFormat="1" applyBorder="1"/>
    <xf numFmtId="0" fontId="0" fillId="0" borderId="13" xfId="0" applyBorder="1"/>
    <xf numFmtId="0" fontId="0" fillId="0" borderId="0" xfId="0" quotePrefix="1"/>
    <xf numFmtId="0" fontId="2" fillId="0" borderId="14" xfId="0" applyFont="1" applyBorder="1"/>
    <xf numFmtId="4" fontId="0" fillId="0" borderId="14" xfId="0" applyNumberFormat="1" applyBorder="1"/>
    <xf numFmtId="0" fontId="0" fillId="0" borderId="14" xfId="0" applyBorder="1"/>
    <xf numFmtId="164" fontId="0" fillId="0" borderId="14" xfId="1" applyFont="1" applyFill="1" applyBorder="1"/>
    <xf numFmtId="164" fontId="0" fillId="0" borderId="14" xfId="1" applyFont="1" applyBorder="1"/>
    <xf numFmtId="0" fontId="2" fillId="0" borderId="0" xfId="0" applyFont="1" applyBorder="1"/>
    <xf numFmtId="164" fontId="0" fillId="0" borderId="0" xfId="1" applyFont="1" applyBorder="1"/>
    <xf numFmtId="164" fontId="0" fillId="0" borderId="0" xfId="0" applyNumberFormat="1" applyBorder="1"/>
    <xf numFmtId="164" fontId="2" fillId="0" borderId="0" xfId="0" applyNumberFormat="1" applyFont="1"/>
    <xf numFmtId="4" fontId="7" fillId="0" borderId="0" xfId="0" applyNumberFormat="1" applyFont="1"/>
    <xf numFmtId="0" fontId="8" fillId="0" borderId="0" xfId="0" applyFont="1"/>
    <xf numFmtId="0" fontId="9" fillId="0" borderId="0" xfId="0" applyFont="1"/>
    <xf numFmtId="0" fontId="5" fillId="0" borderId="0" xfId="0" applyFont="1"/>
    <xf numFmtId="169" fontId="5" fillId="0" borderId="0" xfId="0" applyNumberFormat="1" applyFont="1" applyBorder="1"/>
    <xf numFmtId="165" fontId="0" fillId="0" borderId="0" xfId="0" applyNumberFormat="1" applyBorder="1"/>
    <xf numFmtId="14" fontId="5" fillId="0" borderId="0" xfId="0" quotePrefix="1" applyNumberFormat="1" applyFont="1" applyBorder="1"/>
    <xf numFmtId="14" fontId="5" fillId="0" borderId="0" xfId="0" applyNumberFormat="1" applyFont="1" applyBorder="1"/>
    <xf numFmtId="0" fontId="5" fillId="0" borderId="15" xfId="0" applyFont="1" applyBorder="1"/>
    <xf numFmtId="0" fontId="5" fillId="0" borderId="16" xfId="0" applyFont="1" applyBorder="1"/>
    <xf numFmtId="0" fontId="5" fillId="0" borderId="12" xfId="0" applyFont="1" applyBorder="1"/>
    <xf numFmtId="0" fontId="5" fillId="0" borderId="13" xfId="0" applyFont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4" fontId="10" fillId="0" borderId="15" xfId="0" applyNumberFormat="1" applyFont="1" applyBorder="1"/>
    <xf numFmtId="0" fontId="10" fillId="0" borderId="16" xfId="0" applyFont="1" applyBorder="1"/>
    <xf numFmtId="4" fontId="10" fillId="0" borderId="12" xfId="0" applyNumberFormat="1" applyFont="1" applyBorder="1"/>
    <xf numFmtId="0" fontId="10" fillId="0" borderId="13" xfId="0" applyFont="1" applyBorder="1"/>
    <xf numFmtId="4" fontId="10" fillId="0" borderId="13" xfId="0" applyNumberFormat="1" applyFont="1" applyBorder="1"/>
    <xf numFmtId="165" fontId="10" fillId="0" borderId="13" xfId="0" applyNumberFormat="1" applyFont="1" applyBorder="1"/>
    <xf numFmtId="170" fontId="10" fillId="0" borderId="0" xfId="0" applyNumberFormat="1" applyFont="1" applyFill="1" applyBorder="1"/>
    <xf numFmtId="170" fontId="11" fillId="0" borderId="0" xfId="0" applyNumberFormat="1" applyFont="1" applyFill="1" applyBorder="1"/>
    <xf numFmtId="0" fontId="12" fillId="0" borderId="0" xfId="0" applyFont="1" applyFill="1"/>
    <xf numFmtId="0" fontId="10" fillId="0" borderId="13" xfId="0" applyNumberFormat="1" applyFont="1" applyBorder="1"/>
    <xf numFmtId="4" fontId="10" fillId="0" borderId="11" xfId="0" applyNumberFormat="1" applyFont="1" applyBorder="1"/>
    <xf numFmtId="0" fontId="10" fillId="0" borderId="12" xfId="0" applyFont="1" applyBorder="1"/>
    <xf numFmtId="4" fontId="10" fillId="0" borderId="17" xfId="0" applyNumberFormat="1" applyFont="1" applyBorder="1"/>
    <xf numFmtId="0" fontId="10" fillId="0" borderId="17" xfId="0" applyFont="1" applyBorder="1"/>
    <xf numFmtId="4" fontId="10" fillId="0" borderId="18" xfId="0" applyNumberFormat="1" applyFont="1" applyBorder="1"/>
    <xf numFmtId="0" fontId="10" fillId="0" borderId="18" xfId="0" applyFont="1" applyBorder="1"/>
    <xf numFmtId="0" fontId="11" fillId="0" borderId="0" xfId="0" applyFont="1" applyFill="1"/>
    <xf numFmtId="4" fontId="10" fillId="0" borderId="19" xfId="0" applyNumberFormat="1" applyFont="1" applyBorder="1"/>
    <xf numFmtId="0" fontId="10" fillId="0" borderId="19" xfId="0" applyFont="1" applyBorder="1"/>
    <xf numFmtId="0" fontId="13" fillId="0" borderId="0" xfId="0" applyFont="1"/>
    <xf numFmtId="0" fontId="12" fillId="0" borderId="0" xfId="0" applyFont="1"/>
    <xf numFmtId="3" fontId="10" fillId="0" borderId="13" xfId="0" applyNumberFormat="1" applyFont="1" applyBorder="1"/>
    <xf numFmtId="2" fontId="11" fillId="0" borderId="0" xfId="0" applyNumberFormat="1" applyFont="1" applyFill="1"/>
    <xf numFmtId="0" fontId="14" fillId="0" borderId="0" xfId="0" applyFont="1"/>
    <xf numFmtId="4" fontId="10" fillId="0" borderId="20" xfId="0" applyNumberFormat="1" applyFont="1" applyBorder="1"/>
    <xf numFmtId="3" fontId="10" fillId="0" borderId="18" xfId="0" applyNumberFormat="1" applyFont="1" applyBorder="1"/>
    <xf numFmtId="165" fontId="10" fillId="0" borderId="18" xfId="0" applyNumberFormat="1" applyFont="1" applyBorder="1"/>
    <xf numFmtId="0" fontId="5" fillId="0" borderId="0" xfId="0" applyFont="1" applyAlignment="1">
      <alignment horizontal="right"/>
    </xf>
    <xf numFmtId="4" fontId="5" fillId="0" borderId="13" xfId="0" applyNumberFormat="1" applyFont="1" applyBorder="1"/>
    <xf numFmtId="165" fontId="5" fillId="0" borderId="13" xfId="0" applyNumberFormat="1" applyFont="1" applyBorder="1"/>
    <xf numFmtId="4" fontId="5" fillId="0" borderId="0" xfId="0" applyNumberFormat="1" applyFont="1" applyFill="1" applyBorder="1"/>
    <xf numFmtId="0" fontId="0" fillId="4" borderId="7" xfId="0" applyFill="1" applyBorder="1" applyAlignment="1">
      <alignment horizontal="center" textRotation="255"/>
    </xf>
    <xf numFmtId="0" fontId="0" fillId="6" borderId="0" xfId="0" applyFill="1" applyAlignment="1">
      <alignment horizontal="center" textRotation="255"/>
    </xf>
    <xf numFmtId="0" fontId="0" fillId="9" borderId="0" xfId="0" applyFill="1" applyAlignment="1">
      <alignment horizontal="center" textRotation="255"/>
    </xf>
    <xf numFmtId="0" fontId="0" fillId="10" borderId="0" xfId="0" applyFill="1" applyAlignment="1">
      <alignment horizontal="center" textRotation="255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0</xdr:col>
      <xdr:colOff>1304925</xdr:colOff>
      <xdr:row>7</xdr:row>
      <xdr:rowOff>85725</xdr:rowOff>
    </xdr:to>
    <xdr:pic>
      <xdr:nvPicPr>
        <xdr:cNvPr id="1025" name="Picture 1" descr="logo_cicodelpa_final_BR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0"/>
          <a:ext cx="1295400" cy="12192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47625</xdr:rowOff>
    </xdr:from>
    <xdr:to>
      <xdr:col>0</xdr:col>
      <xdr:colOff>1104900</xdr:colOff>
      <xdr:row>6</xdr:row>
      <xdr:rowOff>85725</xdr:rowOff>
    </xdr:to>
    <xdr:pic>
      <xdr:nvPicPr>
        <xdr:cNvPr id="2049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209550"/>
          <a:ext cx="1019175" cy="1009650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osy\Configuraci&#243;n%20local\Archivos%20temporales%20de%20Internet\Content.IE5\PPJ8DVQJ\Kardex\20009\KACdic09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eneral"/>
      <sheetName val="Bolsa 25X35"/>
      <sheetName val="Bolsa 30X40"/>
      <sheetName val="Bolsa 35X45"/>
      <sheetName val="BUCHE "/>
      <sheetName val="Bolsa 40X60"/>
      <sheetName val="CABEZA DE LOMO MAPLE"/>
      <sheetName val="Cabeza de Lomo"/>
      <sheetName val="CABEZA DE LOMO COMBOS"/>
      <sheetName val="CAÑA DE L.MAPLE"/>
      <sheetName val="Cabeza Puerco Premium"/>
      <sheetName val="CARNERO"/>
      <sheetName val="CONTRA SWIFT"/>
      <sheetName val="Contra Excel"/>
      <sheetName val="CONTRA IBP"/>
      <sheetName val="Corbata Curlys"/>
      <sheetName val="CORBATA Farmland"/>
      <sheetName val="Corbata IBP"/>
      <sheetName val="costilla Rupari"/>
      <sheetName val="CUERO SIN GRASA MAPLE"/>
      <sheetName val="CUERO CAB DE LOMO FARMLAD"/>
      <sheetName val="CUERO PAPEL BELLY"/>
      <sheetName val="Cuero SM"/>
      <sheetName val="Espaldilla de Carnero"/>
      <sheetName val="ESPALDILLA DE CORDERO "/>
      <sheetName val="Filete de pescado"/>
      <sheetName val="Filete pescado BASA"/>
      <sheetName val="GRASA DE PUERCO"/>
      <sheetName val="LENGUA DE CERDO "/>
      <sheetName val="Lengua de Res"/>
      <sheetName val="Manteca"/>
      <sheetName val="Marrana en Combo"/>
      <sheetName val="Menudo Aurora"/>
      <sheetName val="MENUDO EXCEL 86M"/>
      <sheetName val="Menudo IBP"/>
      <sheetName val="NANA "/>
      <sheetName val="PATITAS"/>
      <sheetName val="Pavo Crudo"/>
      <sheetName val="PERNIL CON PIEL"/>
      <sheetName val="Pulpa Negra"/>
      <sheetName val="SESOS EN COPA "/>
      <sheetName val="Sesos marqueta"/>
      <sheetName val="Trompa Farmland"/>
      <sheetName val="Tocino IBP"/>
    </sheetNames>
    <sheetDataSet>
      <sheetData sheetId="0"/>
      <sheetData sheetId="1">
        <row r="5">
          <cell r="C5" t="str">
            <v>BOLSA 25X35</v>
          </cell>
        </row>
        <row r="208">
          <cell r="G208">
            <v>46.11</v>
          </cell>
          <cell r="H208">
            <v>2</v>
          </cell>
        </row>
      </sheetData>
      <sheetData sheetId="2">
        <row r="5">
          <cell r="C5" t="str">
            <v>BOLSA 30X40</v>
          </cell>
        </row>
        <row r="207">
          <cell r="G207">
            <v>72.399999999999991</v>
          </cell>
          <cell r="H207">
            <v>5</v>
          </cell>
        </row>
      </sheetData>
      <sheetData sheetId="3">
        <row r="5">
          <cell r="C5" t="str">
            <v>BOLSA 35X45</v>
          </cell>
        </row>
        <row r="208">
          <cell r="G208">
            <v>0</v>
          </cell>
          <cell r="H208">
            <v>0</v>
          </cell>
        </row>
      </sheetData>
      <sheetData sheetId="4">
        <row r="5">
          <cell r="C5" t="str">
            <v xml:space="preserve">BUCHE </v>
          </cell>
        </row>
        <row r="212">
          <cell r="G212">
            <v>421.9099999999998</v>
          </cell>
          <cell r="H212">
            <v>31</v>
          </cell>
        </row>
      </sheetData>
      <sheetData sheetId="5">
        <row r="5">
          <cell r="C5" t="str">
            <v>BOLSA 40X60</v>
          </cell>
        </row>
        <row r="208">
          <cell r="G208">
            <v>0</v>
          </cell>
          <cell r="H208">
            <v>0</v>
          </cell>
        </row>
      </sheetData>
      <sheetData sheetId="6">
        <row r="5">
          <cell r="C5" t="str">
            <v>CABEZA DE LOMO MAPLE</v>
          </cell>
        </row>
        <row r="211">
          <cell r="G211">
            <v>-5.6799999999996089</v>
          </cell>
          <cell r="H211">
            <v>0</v>
          </cell>
        </row>
      </sheetData>
      <sheetData sheetId="7">
        <row r="5">
          <cell r="C5" t="str">
            <v>CABEZA DE LOMO SASA</v>
          </cell>
        </row>
        <row r="207">
          <cell r="G207">
            <v>0</v>
          </cell>
          <cell r="H207">
            <v>0</v>
          </cell>
        </row>
      </sheetData>
      <sheetData sheetId="8"/>
      <sheetData sheetId="9">
        <row r="1">
          <cell r="C1" t="str">
            <v>CAÑA DE LOMO MAPLE</v>
          </cell>
        </row>
        <row r="73">
          <cell r="G73">
            <v>75.750000000001592</v>
          </cell>
        </row>
      </sheetData>
      <sheetData sheetId="10">
        <row r="5">
          <cell r="C5" t="str">
            <v>CABEZA PUERCO PREMIUM</v>
          </cell>
        </row>
        <row r="208">
          <cell r="G208">
            <v>-8.6686213762732223E-13</v>
          </cell>
          <cell r="H208">
            <v>0</v>
          </cell>
        </row>
      </sheetData>
      <sheetData sheetId="11">
        <row r="5">
          <cell r="C5" t="str">
            <v>CARNERO</v>
          </cell>
        </row>
        <row r="208">
          <cell r="G208">
            <v>2.2599999999998204</v>
          </cell>
          <cell r="H208">
            <v>0</v>
          </cell>
        </row>
      </sheetData>
      <sheetData sheetId="12">
        <row r="5">
          <cell r="C5" t="str">
            <v>CONTRA (GOOSENECK) SWIFT</v>
          </cell>
        </row>
        <row r="198">
          <cell r="G198">
            <v>12757.29999999999</v>
          </cell>
          <cell r="H198">
            <v>437</v>
          </cell>
        </row>
      </sheetData>
      <sheetData sheetId="13">
        <row r="5">
          <cell r="C5" t="str">
            <v>CONTRA EXCEL</v>
          </cell>
        </row>
        <row r="208">
          <cell r="G208">
            <v>0</v>
          </cell>
          <cell r="H208">
            <v>0</v>
          </cell>
        </row>
      </sheetData>
      <sheetData sheetId="14">
        <row r="5">
          <cell r="C5" t="str">
            <v>CONTRA (GOOSENECK) IBP</v>
          </cell>
        </row>
        <row r="196">
          <cell r="G196">
            <v>0</v>
          </cell>
          <cell r="H196">
            <v>0</v>
          </cell>
        </row>
      </sheetData>
      <sheetData sheetId="15">
        <row r="5">
          <cell r="C5" t="str">
            <v>CORBATA CURLY'S</v>
          </cell>
        </row>
        <row r="209">
          <cell r="G209">
            <v>68.050000000000139</v>
          </cell>
          <cell r="H209">
            <v>5</v>
          </cell>
        </row>
      </sheetData>
      <sheetData sheetId="16">
        <row r="5">
          <cell r="C5" t="str">
            <v>CORBATA  FARMLAND</v>
          </cell>
        </row>
        <row r="209">
          <cell r="G209">
            <v>7670</v>
          </cell>
          <cell r="H209">
            <v>590</v>
          </cell>
        </row>
      </sheetData>
      <sheetData sheetId="17">
        <row r="5">
          <cell r="C5" t="str">
            <v>CORBATA IBP</v>
          </cell>
        </row>
        <row r="206">
          <cell r="G206">
            <v>0</v>
          </cell>
          <cell r="H206">
            <v>0</v>
          </cell>
        </row>
      </sheetData>
      <sheetData sheetId="18">
        <row r="5">
          <cell r="C5" t="str">
            <v>COSTILLA RUPARI</v>
          </cell>
        </row>
        <row r="208">
          <cell r="G208">
            <v>3445.86</v>
          </cell>
          <cell r="H208">
            <v>759</v>
          </cell>
        </row>
      </sheetData>
      <sheetData sheetId="19">
        <row r="1">
          <cell r="C1" t="str">
            <v>CUERO SIN GRASA MAPLE</v>
          </cell>
        </row>
        <row r="6">
          <cell r="G6">
            <v>9581.5</v>
          </cell>
          <cell r="H6">
            <v>352</v>
          </cell>
        </row>
      </sheetData>
      <sheetData sheetId="20">
        <row r="5">
          <cell r="C5" t="str">
            <v>CUERO DE CABEZA DE LOMO</v>
          </cell>
        </row>
        <row r="210">
          <cell r="G210">
            <v>0</v>
          </cell>
          <cell r="H210">
            <v>0</v>
          </cell>
        </row>
      </sheetData>
      <sheetData sheetId="21">
        <row r="5">
          <cell r="C5" t="str">
            <v>CUERO PAPEL BELLY FARMLAND</v>
          </cell>
        </row>
        <row r="216">
          <cell r="G216">
            <v>11432.400000000011</v>
          </cell>
          <cell r="H216">
            <v>420</v>
          </cell>
        </row>
      </sheetData>
      <sheetData sheetId="22">
        <row r="5">
          <cell r="C5" t="str">
            <v>CUERO BELLY SAN MATEO</v>
          </cell>
        </row>
        <row r="208">
          <cell r="G208">
            <v>0</v>
          </cell>
          <cell r="H208">
            <v>0</v>
          </cell>
        </row>
      </sheetData>
      <sheetData sheetId="23">
        <row r="5">
          <cell r="C5" t="str">
            <v>ESPALDILLA DE CARNERO</v>
          </cell>
        </row>
        <row r="207">
          <cell r="G207">
            <v>0</v>
          </cell>
          <cell r="H207">
            <v>0</v>
          </cell>
        </row>
      </sheetData>
      <sheetData sheetId="24">
        <row r="5">
          <cell r="C5" t="str">
            <v>ESPALDILLA DE CORDERO ALLIANZ</v>
          </cell>
        </row>
        <row r="207">
          <cell r="G207">
            <v>0</v>
          </cell>
          <cell r="H207">
            <v>0</v>
          </cell>
        </row>
      </sheetData>
      <sheetData sheetId="25">
        <row r="5">
          <cell r="C5" t="str">
            <v>FILETE DE PESCADO</v>
          </cell>
        </row>
        <row r="207">
          <cell r="G207">
            <v>0</v>
          </cell>
          <cell r="H207">
            <v>0</v>
          </cell>
        </row>
      </sheetData>
      <sheetData sheetId="26">
        <row r="5">
          <cell r="C5" t="str">
            <v>FILETE DE PESCADO BASA</v>
          </cell>
        </row>
        <row r="207">
          <cell r="G207">
            <v>0</v>
          </cell>
          <cell r="H207">
            <v>0</v>
          </cell>
        </row>
      </sheetData>
      <sheetData sheetId="27"/>
      <sheetData sheetId="28">
        <row r="5">
          <cell r="C5" t="str">
            <v xml:space="preserve">LENGUA DE CERDO </v>
          </cell>
        </row>
        <row r="214">
          <cell r="G214">
            <v>1156.8500000000001</v>
          </cell>
          <cell r="H214">
            <v>85</v>
          </cell>
        </row>
      </sheetData>
      <sheetData sheetId="29">
        <row r="5">
          <cell r="C5" t="str">
            <v xml:space="preserve">LENGUA DE RES </v>
          </cell>
        </row>
        <row r="211">
          <cell r="G211">
            <v>1654.74</v>
          </cell>
          <cell r="H211">
            <v>125</v>
          </cell>
        </row>
      </sheetData>
      <sheetData sheetId="30">
        <row r="5">
          <cell r="C5" t="str">
            <v>MANTECA</v>
          </cell>
        </row>
        <row r="208">
          <cell r="G208">
            <v>0</v>
          </cell>
          <cell r="H208">
            <v>0</v>
          </cell>
        </row>
      </sheetData>
      <sheetData sheetId="31">
        <row r="5">
          <cell r="C5" t="str">
            <v>MARRANA EN COMBO</v>
          </cell>
        </row>
        <row r="207">
          <cell r="G207">
            <v>0</v>
          </cell>
          <cell r="H207">
            <v>0</v>
          </cell>
        </row>
      </sheetData>
      <sheetData sheetId="32">
        <row r="5">
          <cell r="C5" t="str">
            <v>MENUDO AURORA</v>
          </cell>
        </row>
        <row r="207">
          <cell r="G207">
            <v>9303.16</v>
          </cell>
          <cell r="H207">
            <v>293</v>
          </cell>
        </row>
      </sheetData>
      <sheetData sheetId="33">
        <row r="5">
          <cell r="C5" t="str">
            <v>MENUDO EXCEL</v>
          </cell>
        </row>
        <row r="211">
          <cell r="G211">
            <v>1.2420287021086551E-11</v>
          </cell>
          <cell r="H211">
            <v>0</v>
          </cell>
        </row>
      </sheetData>
      <sheetData sheetId="34">
        <row r="5">
          <cell r="C5" t="str">
            <v>MENUDO IBP</v>
          </cell>
        </row>
        <row r="207">
          <cell r="G207">
            <v>0</v>
          </cell>
          <cell r="H207">
            <v>0</v>
          </cell>
        </row>
      </sheetData>
      <sheetData sheetId="35">
        <row r="5">
          <cell r="C5" t="str">
            <v xml:space="preserve">NANA </v>
          </cell>
        </row>
        <row r="208">
          <cell r="G208">
            <v>4.5474735088646412E-13</v>
          </cell>
        </row>
      </sheetData>
      <sheetData sheetId="36">
        <row r="5">
          <cell r="C5" t="str">
            <v xml:space="preserve">PATITAS DE CERDO </v>
          </cell>
        </row>
        <row r="208">
          <cell r="G208">
            <v>1837.3500000000001</v>
          </cell>
          <cell r="H208">
            <v>135</v>
          </cell>
        </row>
      </sheetData>
      <sheetData sheetId="37">
        <row r="5">
          <cell r="C5" t="str">
            <v>PAVO CRUDO</v>
          </cell>
        </row>
        <row r="207">
          <cell r="G207">
            <v>-4.2632564145606011E-13</v>
          </cell>
          <cell r="H207">
            <v>0</v>
          </cell>
        </row>
      </sheetData>
      <sheetData sheetId="38">
        <row r="5">
          <cell r="C5" t="str">
            <v>PERNIL CON PIEL</v>
          </cell>
        </row>
        <row r="1305">
          <cell r="G1305">
            <v>75237.780000000028</v>
          </cell>
          <cell r="H1305">
            <v>83</v>
          </cell>
        </row>
      </sheetData>
      <sheetData sheetId="39">
        <row r="5">
          <cell r="C5" t="str">
            <v>PULPA NEGRA</v>
          </cell>
        </row>
        <row r="207">
          <cell r="G207">
            <v>0</v>
          </cell>
          <cell r="H207">
            <v>0</v>
          </cell>
        </row>
      </sheetData>
      <sheetData sheetId="40">
        <row r="5">
          <cell r="C5" t="str">
            <v>SESOS EN COPA FARMLAND</v>
          </cell>
        </row>
        <row r="212">
          <cell r="G212">
            <v>19596.189999999999</v>
          </cell>
          <cell r="H212">
            <v>3601</v>
          </cell>
        </row>
      </sheetData>
      <sheetData sheetId="41">
        <row r="5">
          <cell r="C5" t="str">
            <v>SESOS MARQUETA</v>
          </cell>
        </row>
        <row r="208">
          <cell r="G208">
            <v>5906.7400000000016</v>
          </cell>
          <cell r="H208">
            <v>434</v>
          </cell>
        </row>
      </sheetData>
      <sheetData sheetId="42">
        <row r="5">
          <cell r="C5" t="str">
            <v>TROMPA FARMLAND</v>
          </cell>
        </row>
        <row r="207">
          <cell r="G207">
            <v>0</v>
          </cell>
          <cell r="H207">
            <v>0</v>
          </cell>
        </row>
      </sheetData>
      <sheetData sheetId="43">
        <row r="5">
          <cell r="C5" t="str">
            <v>TOCINO IBP</v>
          </cell>
        </row>
        <row r="207">
          <cell r="G207">
            <v>0</v>
          </cell>
          <cell r="H20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47"/>
  <sheetViews>
    <sheetView tabSelected="1" workbookViewId="0">
      <selection activeCell="A6" sqref="A6"/>
    </sheetView>
  </sheetViews>
  <sheetFormatPr baseColWidth="10" defaultRowHeight="12.75"/>
  <cols>
    <col min="1" max="1" width="6.140625" customWidth="1"/>
    <col min="2" max="2" width="4" customWidth="1"/>
    <col min="3" max="3" width="7.7109375" customWidth="1"/>
    <col min="4" max="4" width="17.28515625" customWidth="1"/>
    <col min="7" max="7" width="21.85546875" customWidth="1"/>
    <col min="9" max="9" width="12.28515625" customWidth="1"/>
    <col min="10" max="10" width="13.5703125" customWidth="1"/>
  </cols>
  <sheetData>
    <row r="1" spans="2:11">
      <c r="B1" s="25" t="s">
        <v>104</v>
      </c>
      <c r="C1" s="25"/>
      <c r="D1" s="25"/>
      <c r="E1" s="26"/>
      <c r="F1" s="27"/>
      <c r="G1" s="27"/>
      <c r="H1" s="25"/>
      <c r="I1" s="25"/>
      <c r="J1" s="25"/>
      <c r="K1" s="25"/>
    </row>
    <row r="2" spans="2:11">
      <c r="B2" s="28" t="s">
        <v>105</v>
      </c>
      <c r="C2">
        <v>21</v>
      </c>
      <c r="D2" s="29">
        <v>222751.63</v>
      </c>
      <c r="E2" s="29" t="s">
        <v>106</v>
      </c>
      <c r="F2" s="30" t="s">
        <v>107</v>
      </c>
      <c r="G2" s="29" t="s">
        <v>108</v>
      </c>
      <c r="H2" s="31">
        <v>40160</v>
      </c>
      <c r="I2" s="29" t="s">
        <v>109</v>
      </c>
      <c r="J2" s="5"/>
      <c r="K2" s="5"/>
    </row>
    <row r="3" spans="2:11">
      <c r="B3" s="28"/>
      <c r="C3">
        <v>21</v>
      </c>
      <c r="D3" s="29">
        <f>35577.6*H3</f>
        <v>462046.29119999998</v>
      </c>
      <c r="E3" s="29" t="s">
        <v>110</v>
      </c>
      <c r="F3" s="30" t="s">
        <v>111</v>
      </c>
      <c r="G3" s="29" t="s">
        <v>112</v>
      </c>
      <c r="H3" s="32">
        <v>12.987</v>
      </c>
      <c r="I3" s="29" t="s">
        <v>113</v>
      </c>
      <c r="J3" s="5"/>
      <c r="K3" s="5"/>
    </row>
    <row r="4" spans="2:11">
      <c r="B4" s="28"/>
      <c r="C4">
        <v>21</v>
      </c>
      <c r="D4" s="29">
        <f>35228.94*H4</f>
        <v>457518.24378000002</v>
      </c>
      <c r="E4" s="29" t="s">
        <v>114</v>
      </c>
      <c r="F4" s="30" t="s">
        <v>115</v>
      </c>
      <c r="G4" s="29" t="s">
        <v>116</v>
      </c>
      <c r="H4" s="32">
        <v>12.987</v>
      </c>
      <c r="I4" s="29" t="s">
        <v>117</v>
      </c>
      <c r="J4" s="5"/>
      <c r="K4" s="5"/>
    </row>
    <row r="5" spans="2:11">
      <c r="B5" s="28"/>
      <c r="C5">
        <v>21</v>
      </c>
      <c r="D5" s="29">
        <f>35127.08*H5</f>
        <v>451769.37588000007</v>
      </c>
      <c r="E5" s="29" t="s">
        <v>118</v>
      </c>
      <c r="F5" s="30" t="s">
        <v>119</v>
      </c>
      <c r="G5" s="29" t="s">
        <v>120</v>
      </c>
      <c r="H5" s="32">
        <v>12.861000000000001</v>
      </c>
      <c r="I5" s="31">
        <v>40168</v>
      </c>
      <c r="J5" s="29" t="s">
        <v>121</v>
      </c>
      <c r="K5" s="5"/>
    </row>
    <row r="6" spans="2:11">
      <c r="B6" s="28"/>
      <c r="C6">
        <v>21</v>
      </c>
      <c r="D6" s="29">
        <f>34118.74*H6</f>
        <v>441291.78315999993</v>
      </c>
      <c r="E6" s="29" t="s">
        <v>122</v>
      </c>
      <c r="F6" s="30" t="s">
        <v>123</v>
      </c>
      <c r="G6" s="29" t="s">
        <v>124</v>
      </c>
      <c r="H6" s="32">
        <v>12.933999999999999</v>
      </c>
      <c r="I6" s="31">
        <v>40170</v>
      </c>
      <c r="J6" s="29" t="s">
        <v>125</v>
      </c>
      <c r="K6" s="5"/>
    </row>
    <row r="7" spans="2:11">
      <c r="B7" s="28" t="s">
        <v>126</v>
      </c>
      <c r="C7">
        <v>22</v>
      </c>
      <c r="D7" s="5">
        <v>106899.11</v>
      </c>
      <c r="E7" s="5" t="s">
        <v>127</v>
      </c>
      <c r="F7" s="33" t="s">
        <v>128</v>
      </c>
      <c r="G7" s="5" t="s">
        <v>129</v>
      </c>
      <c r="H7" s="5"/>
      <c r="I7" s="5"/>
      <c r="J7" s="5"/>
      <c r="K7" s="5"/>
    </row>
    <row r="8" spans="2:11">
      <c r="B8" s="28" t="s">
        <v>130</v>
      </c>
      <c r="C8">
        <v>23</v>
      </c>
      <c r="D8" s="29">
        <f>35219.75*H8</f>
        <v>455637.90574999998</v>
      </c>
      <c r="E8" s="29" t="s">
        <v>131</v>
      </c>
      <c r="F8" s="30" t="s">
        <v>132</v>
      </c>
      <c r="G8" s="29" t="s">
        <v>133</v>
      </c>
      <c r="H8" s="32">
        <v>12.936999999999999</v>
      </c>
      <c r="I8" s="31">
        <v>40171</v>
      </c>
      <c r="J8" s="29" t="s">
        <v>134</v>
      </c>
      <c r="K8" s="5"/>
    </row>
    <row r="9" spans="2:11">
      <c r="B9" s="28" t="s">
        <v>135</v>
      </c>
      <c r="C9">
        <v>24</v>
      </c>
      <c r="D9" s="29">
        <f>43929*H9</f>
        <v>570505.92299999995</v>
      </c>
      <c r="E9" s="29" t="s">
        <v>136</v>
      </c>
      <c r="F9" s="30" t="s">
        <v>137</v>
      </c>
      <c r="G9" s="29" t="s">
        <v>138</v>
      </c>
      <c r="H9" s="32">
        <v>12.987</v>
      </c>
      <c r="I9" s="29" t="s">
        <v>139</v>
      </c>
      <c r="J9" s="5"/>
      <c r="K9" s="5"/>
    </row>
    <row r="10" spans="2:11">
      <c r="B10" s="28" t="s">
        <v>135</v>
      </c>
      <c r="C10">
        <v>24</v>
      </c>
      <c r="D10" s="29">
        <f>44203.5*H10</f>
        <v>574070.85450000002</v>
      </c>
      <c r="E10" s="29" t="s">
        <v>140</v>
      </c>
      <c r="F10" s="30" t="s">
        <v>141</v>
      </c>
      <c r="G10" s="29" t="s">
        <v>142</v>
      </c>
      <c r="H10" s="32">
        <v>12.987</v>
      </c>
      <c r="I10" s="29" t="s">
        <v>143</v>
      </c>
      <c r="J10" s="5"/>
      <c r="K10" s="5"/>
    </row>
    <row r="11" spans="2:11">
      <c r="B11" s="28" t="s">
        <v>135</v>
      </c>
      <c r="C11">
        <v>24</v>
      </c>
      <c r="D11" s="29">
        <f>37470.6*H11</f>
        <v>484644.74039999995</v>
      </c>
      <c r="E11" s="29" t="s">
        <v>144</v>
      </c>
      <c r="F11" s="30" t="s">
        <v>145</v>
      </c>
      <c r="G11" s="29" t="s">
        <v>146</v>
      </c>
      <c r="H11" s="32">
        <v>12.933999999999999</v>
      </c>
      <c r="I11" s="29" t="s">
        <v>147</v>
      </c>
      <c r="J11" s="31">
        <v>40170</v>
      </c>
      <c r="K11" s="29" t="s">
        <v>148</v>
      </c>
    </row>
    <row r="12" spans="2:11">
      <c r="B12" s="28" t="s">
        <v>149</v>
      </c>
      <c r="C12">
        <v>25</v>
      </c>
      <c r="D12" s="29">
        <f>44122.5*H12</f>
        <v>570812.78249999997</v>
      </c>
      <c r="E12" s="29" t="s">
        <v>150</v>
      </c>
      <c r="F12" s="30" t="s">
        <v>151</v>
      </c>
      <c r="G12" s="29" t="s">
        <v>152</v>
      </c>
      <c r="H12" s="32">
        <v>12.936999999999999</v>
      </c>
      <c r="I12" s="31">
        <v>40171</v>
      </c>
      <c r="J12" s="29" t="s">
        <v>153</v>
      </c>
      <c r="K12" s="5"/>
    </row>
    <row r="13" spans="2:11">
      <c r="B13" s="28" t="s">
        <v>154</v>
      </c>
      <c r="C13">
        <v>26</v>
      </c>
      <c r="D13" s="5"/>
      <c r="E13" s="5"/>
      <c r="F13" s="33"/>
      <c r="G13" s="5"/>
      <c r="H13" s="5"/>
      <c r="I13" s="5"/>
      <c r="J13" s="5"/>
      <c r="K13" s="5"/>
    </row>
    <row r="14" spans="2:11">
      <c r="B14" s="34" t="s">
        <v>155</v>
      </c>
      <c r="C14">
        <v>27</v>
      </c>
      <c r="D14" s="5"/>
      <c r="E14" s="5"/>
      <c r="F14" s="33"/>
      <c r="G14" s="5"/>
      <c r="H14" s="5"/>
      <c r="I14" s="5"/>
      <c r="J14" s="5"/>
      <c r="K14" s="5"/>
    </row>
    <row r="15" spans="2:11">
      <c r="B15" s="28" t="s">
        <v>105</v>
      </c>
      <c r="C15">
        <v>28</v>
      </c>
      <c r="D15" s="29">
        <f>33139.53*H15</f>
        <v>429952.26221999998</v>
      </c>
      <c r="E15" s="29" t="s">
        <v>156</v>
      </c>
      <c r="F15" s="30" t="s">
        <v>157</v>
      </c>
      <c r="G15" s="29" t="s">
        <v>158</v>
      </c>
      <c r="H15" s="32">
        <v>12.974</v>
      </c>
      <c r="I15" s="31">
        <v>40175</v>
      </c>
      <c r="J15" s="29" t="s">
        <v>159</v>
      </c>
      <c r="K15" s="5"/>
    </row>
    <row r="16" spans="2:11">
      <c r="B16" s="28"/>
      <c r="C16">
        <v>28</v>
      </c>
      <c r="D16" s="29">
        <f>31744.71*H16</f>
        <v>411855.86754000001</v>
      </c>
      <c r="E16" s="29" t="s">
        <v>160</v>
      </c>
      <c r="F16" s="30" t="s">
        <v>161</v>
      </c>
      <c r="G16" s="29" t="s">
        <v>162</v>
      </c>
      <c r="H16" s="32">
        <v>12.974</v>
      </c>
      <c r="I16" s="31">
        <v>40175</v>
      </c>
      <c r="J16" s="29" t="s">
        <v>163</v>
      </c>
      <c r="K16" s="5"/>
    </row>
    <row r="17" spans="2:11">
      <c r="B17" s="28"/>
      <c r="C17">
        <v>28</v>
      </c>
      <c r="D17" s="29">
        <f>35153.86*H17</f>
        <v>460058.56582000002</v>
      </c>
      <c r="E17" s="29" t="s">
        <v>164</v>
      </c>
      <c r="F17" s="30" t="s">
        <v>165</v>
      </c>
      <c r="G17" s="29" t="s">
        <v>166</v>
      </c>
      <c r="H17" s="32">
        <v>13.087</v>
      </c>
      <c r="I17" s="31">
        <v>40176</v>
      </c>
      <c r="J17" s="29" t="s">
        <v>167</v>
      </c>
      <c r="K17" s="5"/>
    </row>
    <row r="18" spans="2:11">
      <c r="B18" s="28" t="s">
        <v>126</v>
      </c>
      <c r="C18">
        <v>29</v>
      </c>
      <c r="D18" s="29">
        <f>34566.9*H18</f>
        <v>448470.96060000005</v>
      </c>
      <c r="E18" s="29" t="s">
        <v>168</v>
      </c>
      <c r="F18" s="30" t="s">
        <v>169</v>
      </c>
      <c r="G18" s="29" t="s">
        <v>170</v>
      </c>
      <c r="H18" s="32">
        <v>12.974</v>
      </c>
      <c r="I18" s="31">
        <v>40175</v>
      </c>
      <c r="J18" s="29" t="s">
        <v>171</v>
      </c>
      <c r="K18" s="5"/>
    </row>
    <row r="19" spans="2:11">
      <c r="B19" s="28"/>
      <c r="C19">
        <v>29</v>
      </c>
      <c r="D19" s="29">
        <f>35735.93*H19</f>
        <v>467997.73927999998</v>
      </c>
      <c r="E19" s="29" t="s">
        <v>172</v>
      </c>
      <c r="F19" s="30" t="s">
        <v>173</v>
      </c>
      <c r="G19" s="29" t="s">
        <v>174</v>
      </c>
      <c r="H19" s="32">
        <v>13.096</v>
      </c>
      <c r="I19" s="31">
        <v>40177</v>
      </c>
      <c r="J19" s="29" t="s">
        <v>175</v>
      </c>
      <c r="K19" s="5"/>
    </row>
    <row r="20" spans="2:11">
      <c r="B20" s="28"/>
      <c r="C20">
        <v>29</v>
      </c>
      <c r="D20" s="29">
        <f>35916.04*H20</f>
        <v>470356.45984000002</v>
      </c>
      <c r="E20" s="29" t="s">
        <v>176</v>
      </c>
      <c r="F20" s="30" t="s">
        <v>177</v>
      </c>
      <c r="G20" s="29" t="s">
        <v>178</v>
      </c>
      <c r="H20" s="32">
        <v>13.096</v>
      </c>
      <c r="I20" s="31">
        <v>40178</v>
      </c>
      <c r="J20" s="29" t="s">
        <v>179</v>
      </c>
      <c r="K20" s="5"/>
    </row>
    <row r="21" spans="2:11">
      <c r="B21" s="28"/>
      <c r="C21">
        <v>29</v>
      </c>
      <c r="D21" s="29">
        <f>34388.19*H21</f>
        <v>450382.12443000003</v>
      </c>
      <c r="E21" s="29" t="s">
        <v>180</v>
      </c>
      <c r="F21" s="30" t="s">
        <v>181</v>
      </c>
      <c r="G21" s="29" t="s">
        <v>182</v>
      </c>
      <c r="H21" s="32">
        <v>13.097</v>
      </c>
      <c r="I21" s="31">
        <v>40177</v>
      </c>
      <c r="J21" s="29" t="s">
        <v>183</v>
      </c>
      <c r="K21" s="5"/>
    </row>
    <row r="22" spans="2:11">
      <c r="B22" s="28"/>
      <c r="C22">
        <v>29</v>
      </c>
      <c r="D22" s="29">
        <f>35127.08*H22</f>
        <v>460059.36676</v>
      </c>
      <c r="E22" s="29" t="s">
        <v>184</v>
      </c>
      <c r="F22" s="30" t="s">
        <v>185</v>
      </c>
      <c r="G22" s="29" t="s">
        <v>120</v>
      </c>
      <c r="H22" s="32">
        <v>13.097</v>
      </c>
      <c r="I22" s="31">
        <v>40177</v>
      </c>
      <c r="J22" s="29" t="s">
        <v>186</v>
      </c>
      <c r="K22" s="5"/>
    </row>
    <row r="23" spans="2:11">
      <c r="B23" s="28"/>
      <c r="C23">
        <v>29</v>
      </c>
      <c r="D23" s="29">
        <f>29537.99*H23</f>
        <v>387183.97292000003</v>
      </c>
      <c r="E23" s="29" t="s">
        <v>187</v>
      </c>
      <c r="F23" s="30" t="s">
        <v>188</v>
      </c>
      <c r="G23" s="29" t="s">
        <v>189</v>
      </c>
      <c r="H23" s="32">
        <v>13.108000000000001</v>
      </c>
      <c r="I23" s="31">
        <v>40178</v>
      </c>
      <c r="J23" s="29" t="s">
        <v>190</v>
      </c>
      <c r="K23" s="5"/>
    </row>
    <row r="24" spans="2:11">
      <c r="B24" s="28" t="s">
        <v>130</v>
      </c>
      <c r="C24">
        <v>30</v>
      </c>
      <c r="D24" s="27"/>
      <c r="E24" s="27"/>
      <c r="F24" s="35"/>
      <c r="G24" s="27"/>
      <c r="H24" s="36"/>
      <c r="I24" s="5"/>
      <c r="J24" s="5"/>
      <c r="K24" s="5"/>
    </row>
    <row r="25" spans="2:11">
      <c r="B25" s="28" t="s">
        <v>135</v>
      </c>
      <c r="C25">
        <v>31</v>
      </c>
      <c r="D25" s="5">
        <v>168593.88</v>
      </c>
      <c r="E25" s="5" t="s">
        <v>191</v>
      </c>
      <c r="F25" s="33" t="s">
        <v>192</v>
      </c>
      <c r="G25" s="5" t="s">
        <v>193</v>
      </c>
      <c r="H25" s="36"/>
      <c r="I25" s="37"/>
      <c r="J25" s="5" t="s">
        <v>194</v>
      </c>
      <c r="K25" s="5"/>
    </row>
    <row r="26" spans="2:11">
      <c r="C26">
        <v>31</v>
      </c>
      <c r="D26" s="29">
        <f>44112.6*H26</f>
        <v>577301.59619999991</v>
      </c>
      <c r="E26" s="29" t="s">
        <v>195</v>
      </c>
      <c r="F26" s="30" t="s">
        <v>196</v>
      </c>
      <c r="G26" s="29" t="s">
        <v>197</v>
      </c>
      <c r="H26" s="32">
        <v>13.087</v>
      </c>
      <c r="I26" s="31">
        <v>40176</v>
      </c>
      <c r="J26" s="29" t="s">
        <v>198</v>
      </c>
      <c r="K26" s="5"/>
    </row>
    <row r="27" spans="2:11">
      <c r="C27">
        <v>31</v>
      </c>
      <c r="D27" s="29">
        <f>38227*H27</f>
        <v>500620.79200000002</v>
      </c>
      <c r="E27" s="29" t="s">
        <v>199</v>
      </c>
      <c r="F27" s="30" t="s">
        <v>200</v>
      </c>
      <c r="G27" s="29" t="s">
        <v>201</v>
      </c>
      <c r="H27" s="32">
        <v>13.096</v>
      </c>
      <c r="I27" s="31">
        <v>40178</v>
      </c>
      <c r="J27" s="29" t="s">
        <v>202</v>
      </c>
      <c r="K27" s="5"/>
    </row>
    <row r="28" spans="2:11">
      <c r="C28">
        <v>31</v>
      </c>
      <c r="D28" s="5"/>
      <c r="E28" s="5"/>
      <c r="F28" s="33"/>
      <c r="G28" s="5"/>
      <c r="H28" s="5"/>
      <c r="I28" s="5"/>
      <c r="J28" s="5"/>
      <c r="K28" s="5"/>
    </row>
    <row r="29" spans="2:11">
      <c r="C29">
        <v>31</v>
      </c>
      <c r="D29" s="29">
        <f>32930.04*H29</f>
        <v>431646.96432000003</v>
      </c>
      <c r="E29" s="29" t="s">
        <v>203</v>
      </c>
      <c r="F29" s="30" t="s">
        <v>204</v>
      </c>
      <c r="G29" s="29" t="s">
        <v>205</v>
      </c>
      <c r="H29" s="32">
        <v>13.108000000000001</v>
      </c>
      <c r="I29" s="31">
        <v>40178</v>
      </c>
      <c r="J29" s="29" t="s">
        <v>206</v>
      </c>
      <c r="K29" s="5"/>
    </row>
    <row r="30" spans="2:11">
      <c r="C30">
        <v>31</v>
      </c>
      <c r="D30" s="29">
        <f>34625.76*H30</f>
        <v>453874.46208000003</v>
      </c>
      <c r="E30" s="29" t="s">
        <v>207</v>
      </c>
      <c r="F30" s="30" t="s">
        <v>208</v>
      </c>
      <c r="G30" s="29" t="s">
        <v>209</v>
      </c>
      <c r="H30" s="32">
        <v>13.108000000000001</v>
      </c>
      <c r="I30" s="31">
        <v>40178</v>
      </c>
      <c r="J30" s="29" t="s">
        <v>210</v>
      </c>
      <c r="K30" s="5"/>
    </row>
    <row r="31" spans="2:11">
      <c r="C31">
        <v>31</v>
      </c>
      <c r="D31" s="5">
        <f>50040*H31</f>
        <v>675540</v>
      </c>
      <c r="E31" s="5" t="s">
        <v>211</v>
      </c>
      <c r="F31" s="33" t="s">
        <v>212</v>
      </c>
      <c r="G31" s="5" t="s">
        <v>213</v>
      </c>
      <c r="H31" s="38">
        <v>13.5</v>
      </c>
      <c r="I31" s="5"/>
      <c r="J31" s="5"/>
      <c r="K31" s="5"/>
    </row>
    <row r="32" spans="2:11">
      <c r="D32" s="5"/>
      <c r="E32" s="5"/>
      <c r="F32" s="33"/>
      <c r="G32" s="5"/>
      <c r="H32" s="5"/>
      <c r="I32" s="5"/>
      <c r="J32" s="5"/>
      <c r="K32" s="5"/>
    </row>
    <row r="33" spans="4:11">
      <c r="D33" s="5"/>
      <c r="E33" s="5"/>
      <c r="F33" s="33"/>
      <c r="G33" s="5"/>
      <c r="H33" s="5"/>
      <c r="I33" s="5"/>
      <c r="J33" s="5"/>
      <c r="K33" s="5"/>
    </row>
    <row r="34" spans="4:11" ht="15.75">
      <c r="D34" s="39">
        <f>D31+D25+D7</f>
        <v>951032.99</v>
      </c>
      <c r="E34" s="39" t="s">
        <v>214</v>
      </c>
      <c r="F34" s="33"/>
      <c r="G34" s="5"/>
      <c r="H34" s="5"/>
      <c r="I34" s="5"/>
      <c r="J34" s="5"/>
      <c r="K34" s="5"/>
    </row>
    <row r="35" spans="4:11">
      <c r="D35" s="17"/>
      <c r="E35" s="17"/>
      <c r="F35" s="33"/>
      <c r="G35" s="5"/>
      <c r="H35" s="5"/>
      <c r="I35" s="5"/>
      <c r="J35" s="5"/>
      <c r="K35" s="5"/>
    </row>
    <row r="36" spans="4:11">
      <c r="D36" s="17">
        <f>D31</f>
        <v>675540</v>
      </c>
      <c r="E36" s="17" t="s">
        <v>215</v>
      </c>
      <c r="F36" s="33"/>
      <c r="G36" s="5"/>
      <c r="H36" s="5"/>
      <c r="I36" s="5"/>
      <c r="J36" s="5"/>
      <c r="K36" s="5"/>
    </row>
    <row r="37" spans="4:11">
      <c r="D37" s="17">
        <f>D25</f>
        <v>168593.88</v>
      </c>
      <c r="E37" s="17" t="s">
        <v>216</v>
      </c>
      <c r="F37" s="33"/>
      <c r="G37" s="5"/>
      <c r="H37" s="5"/>
      <c r="I37" s="5"/>
      <c r="J37" s="5"/>
      <c r="K37" s="5"/>
    </row>
    <row r="38" spans="4:11">
      <c r="D38" s="17">
        <f>D7</f>
        <v>106899.11</v>
      </c>
      <c r="E38" s="17" t="s">
        <v>217</v>
      </c>
      <c r="F38" s="33"/>
      <c r="G38" s="5"/>
      <c r="H38" s="5"/>
      <c r="I38" s="5"/>
      <c r="J38" s="5"/>
      <c r="K38" s="5"/>
    </row>
    <row r="39" spans="4:11">
      <c r="D39" s="5"/>
      <c r="E39" s="5"/>
      <c r="F39" s="33"/>
      <c r="G39" s="5"/>
      <c r="H39" s="5"/>
      <c r="I39" s="5"/>
      <c r="J39" s="5"/>
      <c r="K39" s="5"/>
    </row>
    <row r="40" spans="4:11">
      <c r="D40" s="5"/>
      <c r="E40" s="5"/>
      <c r="F40" s="33"/>
      <c r="G40" s="5"/>
      <c r="H40" s="5"/>
      <c r="I40" s="5"/>
      <c r="J40" s="5"/>
      <c r="K40" s="5"/>
    </row>
    <row r="41" spans="4:11" ht="15.75">
      <c r="D41" s="39">
        <f>D42+D43</f>
        <v>785569.22</v>
      </c>
      <c r="E41" s="39" t="s">
        <v>218</v>
      </c>
      <c r="F41" s="33"/>
      <c r="G41" s="5"/>
      <c r="H41" s="5"/>
      <c r="I41" s="5"/>
      <c r="J41" s="5"/>
      <c r="K41" s="5"/>
    </row>
    <row r="42" spans="4:11">
      <c r="D42" s="17">
        <v>500000</v>
      </c>
      <c r="E42" s="17" t="s">
        <v>219</v>
      </c>
      <c r="F42" s="33"/>
      <c r="G42" s="5"/>
      <c r="H42" s="5"/>
      <c r="I42" s="5"/>
      <c r="J42" s="5"/>
      <c r="K42" s="5"/>
    </row>
    <row r="43" spans="4:11">
      <c r="D43" s="17">
        <f>280000+5569.22</f>
        <v>285569.21999999997</v>
      </c>
      <c r="E43" s="17" t="s">
        <v>220</v>
      </c>
      <c r="F43" s="33"/>
      <c r="G43" s="5"/>
      <c r="H43" s="5"/>
      <c r="I43" s="5"/>
      <c r="J43" s="5"/>
      <c r="K43" s="5"/>
    </row>
    <row r="44" spans="4:11">
      <c r="D44" s="5"/>
      <c r="E44" s="5"/>
      <c r="F44" s="33"/>
      <c r="G44" s="5"/>
      <c r="H44" s="5"/>
      <c r="I44" s="5"/>
      <c r="J44" s="5"/>
      <c r="K44" s="5"/>
    </row>
    <row r="45" spans="4:11">
      <c r="D45" s="5"/>
      <c r="E45" s="5"/>
      <c r="F45" s="33"/>
      <c r="G45" s="5"/>
      <c r="H45" s="5"/>
      <c r="I45" s="5"/>
      <c r="J45" s="5"/>
      <c r="K45" s="5"/>
    </row>
    <row r="46" spans="4:11" ht="15.75">
      <c r="D46" s="39">
        <f>D34+D41</f>
        <v>1736602.21</v>
      </c>
      <c r="E46" s="39" t="s">
        <v>221</v>
      </c>
      <c r="F46" s="33"/>
      <c r="G46" s="5"/>
      <c r="H46" s="5"/>
      <c r="I46" s="5"/>
      <c r="J46" s="5"/>
      <c r="K46" s="5"/>
    </row>
    <row r="47" spans="4:11">
      <c r="D47" s="5"/>
      <c r="E47" s="5"/>
      <c r="F47" s="33"/>
      <c r="G47" s="5"/>
      <c r="H47" s="5"/>
      <c r="I47" s="5"/>
      <c r="J47" s="5"/>
      <c r="K47" s="5"/>
    </row>
  </sheetData>
  <phoneticPr fontId="4" type="noConversion"/>
  <printOptions gridLines="1"/>
  <pageMargins left="0.55118110236220474" right="1.299212598425197" top="0.4" bottom="0.19685039370078741" header="0" footer="0"/>
  <pageSetup paperSize="9" scale="9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8"/>
  <sheetViews>
    <sheetView zoomScale="75" workbookViewId="0">
      <selection activeCell="K19" sqref="K19"/>
    </sheetView>
  </sheetViews>
  <sheetFormatPr baseColWidth="10" defaultRowHeight="12.75"/>
  <cols>
    <col min="1" max="1" width="3.5703125" customWidth="1"/>
    <col min="2" max="2" width="15.85546875" customWidth="1"/>
    <col min="3" max="3" width="15.42578125" customWidth="1"/>
    <col min="13" max="13" width="4.42578125" customWidth="1"/>
    <col min="14" max="14" width="4.5703125" customWidth="1"/>
    <col min="16" max="16" width="8" customWidth="1"/>
    <col min="17" max="17" width="10.28515625" customWidth="1"/>
    <col min="18" max="18" width="9.85546875" customWidth="1"/>
    <col min="20" max="20" width="7.42578125" customWidth="1"/>
  </cols>
  <sheetData>
    <row r="1" spans="1:23">
      <c r="B1" s="2"/>
      <c r="D1" s="2"/>
      <c r="F1" s="2"/>
      <c r="M1" s="7"/>
      <c r="N1" s="7"/>
      <c r="O1" s="7"/>
      <c r="P1" s="7"/>
    </row>
    <row r="2" spans="1:23">
      <c r="B2" s="25" t="s">
        <v>222</v>
      </c>
      <c r="C2" s="25"/>
      <c r="D2" s="40"/>
      <c r="E2" s="40">
        <v>40148</v>
      </c>
      <c r="F2" s="26"/>
      <c r="G2" s="26"/>
      <c r="H2" s="26"/>
      <c r="I2" s="41"/>
      <c r="J2" s="25"/>
      <c r="K2" s="42"/>
      <c r="L2" s="42"/>
      <c r="M2" s="25"/>
      <c r="N2" s="25"/>
      <c r="O2" s="43"/>
      <c r="P2" s="44"/>
      <c r="Q2" s="43"/>
      <c r="R2" s="43"/>
      <c r="S2" s="43"/>
      <c r="T2" s="43"/>
      <c r="U2" s="43"/>
      <c r="V2" s="43"/>
      <c r="W2" s="43"/>
    </row>
    <row r="3" spans="1:23">
      <c r="B3" s="25"/>
      <c r="C3" s="25"/>
      <c r="D3" s="25"/>
      <c r="E3" s="25"/>
      <c r="F3" s="26"/>
      <c r="G3" s="26"/>
      <c r="H3" s="26"/>
      <c r="I3" s="41"/>
      <c r="J3" s="25"/>
      <c r="K3" s="42"/>
      <c r="L3" s="42"/>
      <c r="M3" s="25"/>
      <c r="N3" s="25"/>
      <c r="O3" s="43"/>
      <c r="P3" s="44"/>
      <c r="Q3" s="43"/>
      <c r="R3" s="43"/>
      <c r="S3" s="43"/>
      <c r="T3" s="43"/>
      <c r="U3" s="43"/>
      <c r="V3" s="43"/>
      <c r="W3" s="43"/>
    </row>
    <row r="4" spans="1:23" ht="13.5" thickBot="1">
      <c r="A4" s="45"/>
      <c r="B4" s="46" t="s">
        <v>223</v>
      </c>
      <c r="C4" s="46" t="s">
        <v>224</v>
      </c>
      <c r="D4" s="46" t="s">
        <v>225</v>
      </c>
      <c r="E4" s="46" t="s">
        <v>226</v>
      </c>
      <c r="F4" s="47" t="s">
        <v>227</v>
      </c>
      <c r="G4" s="47" t="s">
        <v>228</v>
      </c>
      <c r="H4" s="47" t="s">
        <v>229</v>
      </c>
      <c r="I4" s="48" t="s">
        <v>230</v>
      </c>
      <c r="J4" s="46" t="s">
        <v>231</v>
      </c>
      <c r="K4" s="49" t="s">
        <v>232</v>
      </c>
      <c r="L4" s="49" t="s">
        <v>233</v>
      </c>
      <c r="M4" s="46" t="s">
        <v>234</v>
      </c>
      <c r="N4" s="46" t="s">
        <v>235</v>
      </c>
      <c r="O4" s="50" t="s">
        <v>236</v>
      </c>
      <c r="P4" s="51" t="s">
        <v>237</v>
      </c>
      <c r="Q4" s="50" t="s">
        <v>238</v>
      </c>
      <c r="R4" s="50" t="s">
        <v>239</v>
      </c>
      <c r="S4" s="50" t="s">
        <v>240</v>
      </c>
      <c r="T4" s="50" t="s">
        <v>241</v>
      </c>
      <c r="U4" s="50" t="s">
        <v>242</v>
      </c>
      <c r="V4" s="50" t="s">
        <v>243</v>
      </c>
      <c r="W4" s="50" t="s">
        <v>244</v>
      </c>
    </row>
    <row r="5" spans="1:23">
      <c r="A5" s="52"/>
      <c r="B5" s="53" t="s">
        <v>245</v>
      </c>
      <c r="C5" s="28" t="s">
        <v>246</v>
      </c>
      <c r="D5" s="54" t="s">
        <v>247</v>
      </c>
      <c r="E5" s="28" t="s">
        <v>248</v>
      </c>
      <c r="F5" s="54">
        <f>49151*0.4536</f>
        <v>22294.893599999999</v>
      </c>
      <c r="G5" s="54">
        <v>22227.7</v>
      </c>
      <c r="H5" s="54">
        <f>G5-F5</f>
        <v>-67.193599999998696</v>
      </c>
      <c r="I5" s="25" t="s">
        <v>249</v>
      </c>
      <c r="J5" s="28"/>
      <c r="K5" s="55">
        <v>40147</v>
      </c>
      <c r="L5" s="55">
        <v>40149</v>
      </c>
      <c r="M5" s="28" t="s">
        <v>250</v>
      </c>
      <c r="N5" s="28" t="s">
        <v>251</v>
      </c>
      <c r="O5" s="56"/>
      <c r="P5" s="57">
        <v>0.82</v>
      </c>
      <c r="Q5" s="57"/>
      <c r="R5" s="56"/>
      <c r="S5" s="58">
        <v>13.05</v>
      </c>
      <c r="T5" s="56"/>
      <c r="U5" s="56">
        <f>P5/0.4536*S5</f>
        <v>23.591269841269842</v>
      </c>
      <c r="V5" s="56">
        <f>U5*F5</f>
        <v>525964.85100000002</v>
      </c>
      <c r="W5" s="59">
        <v>40157</v>
      </c>
    </row>
    <row r="6" spans="1:23">
      <c r="A6" s="144"/>
      <c r="B6" s="53" t="s">
        <v>245</v>
      </c>
      <c r="C6" s="28" t="s">
        <v>252</v>
      </c>
      <c r="D6" s="28" t="s">
        <v>253</v>
      </c>
      <c r="E6" s="28" t="s">
        <v>254</v>
      </c>
      <c r="F6" s="60">
        <v>18850.7</v>
      </c>
      <c r="G6" s="54">
        <v>18779.39</v>
      </c>
      <c r="H6" s="54">
        <f>G6-F6</f>
        <v>-71.31000000000131</v>
      </c>
      <c r="I6" s="28" t="s">
        <v>255</v>
      </c>
      <c r="J6" s="61" t="s">
        <v>256</v>
      </c>
      <c r="K6" s="55">
        <v>40147</v>
      </c>
      <c r="L6" s="55">
        <v>40148</v>
      </c>
      <c r="M6" s="28" t="s">
        <v>257</v>
      </c>
      <c r="N6" s="28" t="s">
        <v>258</v>
      </c>
      <c r="O6" s="56"/>
      <c r="P6" s="57">
        <v>0.77</v>
      </c>
      <c r="Q6" s="56">
        <v>18400</v>
      </c>
      <c r="R6" s="56">
        <v>6987.5</v>
      </c>
      <c r="S6" s="58">
        <v>12.63</v>
      </c>
      <c r="T6" s="56">
        <v>0.1</v>
      </c>
      <c r="U6" s="56">
        <f>IF(O6&gt;0,O6,((P6*2.2046*S6)+(Q6+R6)/F6)+T6)</f>
        <v>22.886722423561039</v>
      </c>
      <c r="V6" s="56">
        <f>U6*F6</f>
        <v>431430.73838982207</v>
      </c>
      <c r="W6" s="59">
        <v>40149</v>
      </c>
    </row>
    <row r="7" spans="1:23">
      <c r="A7" s="144"/>
      <c r="B7" s="53" t="s">
        <v>10</v>
      </c>
      <c r="C7" s="28" t="s">
        <v>259</v>
      </c>
      <c r="D7" s="28" t="s">
        <v>260</v>
      </c>
      <c r="E7" s="28" t="s">
        <v>261</v>
      </c>
      <c r="F7" s="60">
        <v>5724.4</v>
      </c>
      <c r="G7" s="54">
        <v>5724.4</v>
      </c>
      <c r="H7" s="54">
        <f>G7-F7</f>
        <v>0</v>
      </c>
      <c r="I7" s="28" t="s">
        <v>262</v>
      </c>
      <c r="J7" s="28"/>
      <c r="K7" s="55"/>
      <c r="L7" s="55">
        <v>40149</v>
      </c>
      <c r="M7" s="28" t="s">
        <v>250</v>
      </c>
      <c r="N7" s="28"/>
      <c r="O7" s="56">
        <v>12.5</v>
      </c>
      <c r="P7" s="57"/>
      <c r="Q7" s="56"/>
      <c r="R7" s="56"/>
      <c r="S7" s="58"/>
      <c r="T7" s="56"/>
      <c r="U7" s="56">
        <f>IF(O7&gt;0,O7,((P7*2.2046*S7)+(Q7+R7)/F7)+T7)</f>
        <v>12.5</v>
      </c>
      <c r="V7" s="56">
        <f>U7*F7</f>
        <v>71555</v>
      </c>
      <c r="W7" s="59">
        <v>40156</v>
      </c>
    </row>
    <row r="8" spans="1:23">
      <c r="A8" s="144"/>
      <c r="B8" s="53" t="s">
        <v>263</v>
      </c>
      <c r="C8" s="28" t="s">
        <v>259</v>
      </c>
      <c r="D8" s="54" t="s">
        <v>260</v>
      </c>
      <c r="E8" s="28" t="s">
        <v>264</v>
      </c>
      <c r="F8" s="60">
        <v>2000.67</v>
      </c>
      <c r="G8" s="54">
        <v>2000.67</v>
      </c>
      <c r="H8" s="54">
        <f>G8-F8</f>
        <v>0</v>
      </c>
      <c r="I8" s="28" t="s">
        <v>265</v>
      </c>
      <c r="J8" s="28"/>
      <c r="K8" s="55"/>
      <c r="L8" s="55">
        <v>40149</v>
      </c>
      <c r="M8" s="28" t="s">
        <v>250</v>
      </c>
      <c r="N8" s="28"/>
      <c r="O8" s="56">
        <v>13.2</v>
      </c>
      <c r="P8" s="57"/>
      <c r="Q8" s="56"/>
      <c r="R8" s="56"/>
      <c r="S8" s="58"/>
      <c r="T8" s="56"/>
      <c r="U8" s="56">
        <f>IF(O8&gt;0,O8,((P8*2.2046*S8)+(Q8+R8)/F8)+T8)</f>
        <v>13.2</v>
      </c>
      <c r="V8" s="56">
        <f>U8*F8</f>
        <v>26408.844000000001</v>
      </c>
      <c r="W8" s="59" t="s">
        <v>266</v>
      </c>
    </row>
    <row r="9" spans="1:23">
      <c r="A9" s="144"/>
      <c r="B9" s="53" t="s">
        <v>245</v>
      </c>
      <c r="C9" s="28" t="s">
        <v>246</v>
      </c>
      <c r="D9" s="54" t="s">
        <v>247</v>
      </c>
      <c r="E9" s="28" t="s">
        <v>248</v>
      </c>
      <c r="F9" s="60">
        <f>49067*0.4536</f>
        <v>22256.7912</v>
      </c>
      <c r="G9" s="54">
        <v>22151.439999999999</v>
      </c>
      <c r="H9" s="54">
        <f>G9-F9</f>
        <v>-105.35120000000097</v>
      </c>
      <c r="I9" s="25" t="s">
        <v>267</v>
      </c>
      <c r="J9" s="28"/>
      <c r="K9" s="55">
        <v>40149</v>
      </c>
      <c r="L9" s="55">
        <v>40151</v>
      </c>
      <c r="M9" s="28" t="s">
        <v>268</v>
      </c>
      <c r="N9" s="28" t="s">
        <v>269</v>
      </c>
      <c r="O9" s="56"/>
      <c r="P9" s="57">
        <v>0.82</v>
      </c>
      <c r="Q9" s="56"/>
      <c r="R9" s="56"/>
      <c r="S9" s="58">
        <v>12.972</v>
      </c>
      <c r="T9" s="57"/>
      <c r="U9" s="56">
        <f>P9/0.4536*S9</f>
        <v>23.450264550264546</v>
      </c>
      <c r="V9" s="56">
        <f>U9*F9</f>
        <v>521927.64167999988</v>
      </c>
      <c r="W9" s="59">
        <v>40158</v>
      </c>
    </row>
    <row r="10" spans="1:23" ht="13.5" thickBot="1">
      <c r="A10" s="62"/>
      <c r="B10" s="46"/>
      <c r="C10" s="46"/>
      <c r="D10" s="46"/>
      <c r="E10" s="46"/>
      <c r="F10" s="63"/>
      <c r="G10" s="47"/>
      <c r="H10" s="54"/>
      <c r="I10" s="48"/>
      <c r="J10" s="46"/>
      <c r="K10" s="49"/>
      <c r="L10" s="49"/>
      <c r="M10" s="46"/>
      <c r="N10" s="46"/>
      <c r="O10" s="50"/>
      <c r="P10" s="51"/>
      <c r="Q10" s="50"/>
      <c r="R10" s="50"/>
      <c r="S10" s="50"/>
      <c r="T10" s="50"/>
      <c r="U10" s="50"/>
      <c r="V10" s="56"/>
      <c r="W10" s="64"/>
    </row>
    <row r="11" spans="1:23">
      <c r="A11" s="145"/>
      <c r="B11" s="53" t="s">
        <v>245</v>
      </c>
      <c r="C11" s="28" t="s">
        <v>252</v>
      </c>
      <c r="D11" s="28" t="s">
        <v>253</v>
      </c>
      <c r="E11" s="28" t="s">
        <v>270</v>
      </c>
      <c r="F11" s="60">
        <f>40069*0.4536</f>
        <v>18175.2984</v>
      </c>
      <c r="G11" s="65">
        <v>18181.12</v>
      </c>
      <c r="H11" s="65">
        <f t="shared" ref="H11:H51" si="0">G11-F11</f>
        <v>5.8215999999993073</v>
      </c>
      <c r="I11" s="28" t="s">
        <v>271</v>
      </c>
      <c r="J11" s="61" t="s">
        <v>256</v>
      </c>
      <c r="K11" s="55">
        <v>40151</v>
      </c>
      <c r="L11" s="55">
        <v>40154</v>
      </c>
      <c r="M11" s="66" t="s">
        <v>272</v>
      </c>
      <c r="N11" s="28" t="s">
        <v>273</v>
      </c>
      <c r="O11" s="67"/>
      <c r="P11" s="57">
        <v>0.77</v>
      </c>
      <c r="Q11" s="56">
        <v>18400</v>
      </c>
      <c r="R11" s="56">
        <v>6948.5</v>
      </c>
      <c r="S11" s="58">
        <v>12.718</v>
      </c>
      <c r="T11" s="56">
        <v>0.1</v>
      </c>
      <c r="U11" s="56">
        <f>IF(O11&gt;0,O11,((P11*2.2046*S11)+(Q11+R11)/F11)+T11)</f>
        <v>23.084006767069322</v>
      </c>
      <c r="V11" s="67">
        <f t="shared" ref="V11:V22" si="1">U11*F11</f>
        <v>419558.7112591042</v>
      </c>
      <c r="W11" s="59">
        <v>40154</v>
      </c>
    </row>
    <row r="12" spans="1:23">
      <c r="A12" s="145"/>
      <c r="B12" s="53" t="s">
        <v>245</v>
      </c>
      <c r="C12" s="28" t="s">
        <v>253</v>
      </c>
      <c r="D12" s="28" t="s">
        <v>274</v>
      </c>
      <c r="E12" s="28" t="s">
        <v>275</v>
      </c>
      <c r="F12" s="60">
        <v>8910.0650000000005</v>
      </c>
      <c r="G12" s="54">
        <v>8858.51</v>
      </c>
      <c r="H12" s="54">
        <f t="shared" si="0"/>
        <v>-51.555000000000291</v>
      </c>
      <c r="I12" s="28" t="s">
        <v>107</v>
      </c>
      <c r="J12" s="28"/>
      <c r="K12" s="55"/>
      <c r="L12" s="55">
        <v>40154</v>
      </c>
      <c r="M12" s="28" t="s">
        <v>272</v>
      </c>
      <c r="N12" s="28"/>
      <c r="O12" s="56">
        <v>25</v>
      </c>
      <c r="P12" s="57"/>
      <c r="Q12" s="56"/>
      <c r="R12" s="56"/>
      <c r="S12" s="58"/>
      <c r="T12" s="56"/>
      <c r="U12" s="56">
        <f>IF(O12&gt;0,O12,((P12*2.2046*S12)+(Q12+R12)/F12)+T12)</f>
        <v>25</v>
      </c>
      <c r="V12" s="56">
        <f>U12*F12</f>
        <v>222751.625</v>
      </c>
      <c r="W12" s="59">
        <v>40168</v>
      </c>
    </row>
    <row r="13" spans="1:23">
      <c r="A13" s="145"/>
      <c r="B13" s="53" t="s">
        <v>245</v>
      </c>
      <c r="C13" s="28" t="s">
        <v>276</v>
      </c>
      <c r="D13" s="28" t="s">
        <v>277</v>
      </c>
      <c r="E13" s="28" t="s">
        <v>275</v>
      </c>
      <c r="F13" s="60">
        <f>5749.81+3880.53</f>
        <v>9630.34</v>
      </c>
      <c r="G13" s="54">
        <f>5676.06+3873.53</f>
        <v>9549.59</v>
      </c>
      <c r="H13" s="54">
        <f t="shared" si="0"/>
        <v>-80.75</v>
      </c>
      <c r="I13" s="28" t="s">
        <v>278</v>
      </c>
      <c r="J13" s="28"/>
      <c r="K13" s="55"/>
      <c r="L13" s="55">
        <v>40154</v>
      </c>
      <c r="M13" s="28" t="s">
        <v>272</v>
      </c>
      <c r="N13" s="28"/>
      <c r="O13" s="56">
        <v>24.5</v>
      </c>
      <c r="P13" s="57"/>
      <c r="Q13" s="56"/>
      <c r="R13" s="56"/>
      <c r="S13" s="58"/>
      <c r="T13" s="56"/>
      <c r="U13" s="56">
        <f>IF(O13&gt;0,O13,((P13*2.2046*S13)+(Q13+R13)/F13)+T13)</f>
        <v>24.5</v>
      </c>
      <c r="V13" s="56">
        <f t="shared" si="1"/>
        <v>235943.33000000002</v>
      </c>
      <c r="W13" s="59">
        <v>40157</v>
      </c>
    </row>
    <row r="14" spans="1:23">
      <c r="A14" s="145"/>
      <c r="B14" s="53" t="s">
        <v>279</v>
      </c>
      <c r="C14" s="28" t="s">
        <v>280</v>
      </c>
      <c r="D14" s="28" t="s">
        <v>280</v>
      </c>
      <c r="E14" s="28" t="s">
        <v>281</v>
      </c>
      <c r="F14" s="54">
        <v>8929.9500000000007</v>
      </c>
      <c r="G14" s="54">
        <v>8929.9500000000007</v>
      </c>
      <c r="H14" s="54">
        <f t="shared" si="0"/>
        <v>0</v>
      </c>
      <c r="I14" s="28">
        <v>10057888</v>
      </c>
      <c r="J14" s="61" t="s">
        <v>256</v>
      </c>
      <c r="K14" s="55">
        <v>40161</v>
      </c>
      <c r="L14" s="55">
        <v>40163</v>
      </c>
      <c r="M14" s="28" t="s">
        <v>250</v>
      </c>
      <c r="N14" s="28"/>
      <c r="O14" s="56"/>
      <c r="P14" s="57">
        <v>1.35</v>
      </c>
      <c r="Q14" s="56">
        <f>18400*(F14/(F14+F15))</f>
        <v>8876.1863603337388</v>
      </c>
      <c r="R14" s="56">
        <f>6729.2*(F14/(F14+F15))</f>
        <v>3246.175720432489</v>
      </c>
      <c r="S14" s="57">
        <v>12.98</v>
      </c>
      <c r="T14" s="56">
        <v>0.1</v>
      </c>
      <c r="U14" s="56">
        <f>IF(O14&gt;0,O14,((P14*2.2046*S14)+(Q14+R14)/F14)+T14)</f>
        <v>40.088700755824654</v>
      </c>
      <c r="V14" s="56">
        <f t="shared" si="1"/>
        <v>357990.09331447637</v>
      </c>
      <c r="W14" s="59">
        <v>40158</v>
      </c>
    </row>
    <row r="15" spans="1:23">
      <c r="A15" s="145"/>
      <c r="B15" s="53" t="s">
        <v>21</v>
      </c>
      <c r="C15" s="28" t="s">
        <v>280</v>
      </c>
      <c r="D15" s="28" t="s">
        <v>280</v>
      </c>
      <c r="E15" s="28" t="s">
        <v>282</v>
      </c>
      <c r="F15" s="54">
        <v>9581.5</v>
      </c>
      <c r="G15" s="54">
        <v>9581.5</v>
      </c>
      <c r="H15" s="54">
        <f t="shared" si="0"/>
        <v>0</v>
      </c>
      <c r="I15" s="28" t="s">
        <v>266</v>
      </c>
      <c r="J15" s="28"/>
      <c r="K15" s="55"/>
      <c r="L15" s="55"/>
      <c r="M15" s="28"/>
      <c r="N15" s="28"/>
      <c r="O15" s="56"/>
      <c r="P15" s="57">
        <v>0.48</v>
      </c>
      <c r="Q15" s="56">
        <f>18400*(F15/(F15+F14))</f>
        <v>9523.8136396662612</v>
      </c>
      <c r="R15" s="56">
        <f>6729.2*(F15/(F15+F14))</f>
        <v>3483.0242795675108</v>
      </c>
      <c r="S15" s="57">
        <v>12.98</v>
      </c>
      <c r="T15" s="56">
        <v>0.1</v>
      </c>
      <c r="U15" s="56">
        <f>IF(O15&gt;0,O15,((P15*2.2046*S15)+(Q15+R15)/F15)+T15)</f>
        <v>15.193034795824639</v>
      </c>
      <c r="V15" s="56">
        <f t="shared" si="1"/>
        <v>145572.06289619379</v>
      </c>
      <c r="W15" s="59" t="s">
        <v>283</v>
      </c>
    </row>
    <row r="16" spans="1:23">
      <c r="A16" s="145"/>
      <c r="B16" s="53" t="s">
        <v>245</v>
      </c>
      <c r="C16" s="28" t="s">
        <v>246</v>
      </c>
      <c r="D16" s="54" t="s">
        <v>247</v>
      </c>
      <c r="E16" s="28" t="s">
        <v>254</v>
      </c>
      <c r="F16" s="60">
        <f>44572*0.4536</f>
        <v>20217.859199999999</v>
      </c>
      <c r="G16" s="54">
        <v>20158.12</v>
      </c>
      <c r="H16" s="54">
        <f t="shared" si="0"/>
        <v>-59.739199999999983</v>
      </c>
      <c r="I16" s="28" t="s">
        <v>284</v>
      </c>
      <c r="J16" s="28"/>
      <c r="K16" s="55">
        <v>40154</v>
      </c>
      <c r="L16" s="55">
        <v>40155</v>
      </c>
      <c r="M16" s="28" t="s">
        <v>257</v>
      </c>
      <c r="N16" s="28" t="s">
        <v>285</v>
      </c>
      <c r="O16" s="56"/>
      <c r="P16" s="57">
        <v>0.84</v>
      </c>
      <c r="Q16" s="56"/>
      <c r="R16" s="56"/>
      <c r="S16" s="58">
        <v>12.972</v>
      </c>
      <c r="T16" s="56"/>
      <c r="U16" s="56">
        <f>P16/0.4536*S16</f>
        <v>24.022222222222222</v>
      </c>
      <c r="V16" s="56">
        <f t="shared" si="1"/>
        <v>485677.90655999997</v>
      </c>
      <c r="W16" s="59">
        <v>40164</v>
      </c>
    </row>
    <row r="17" spans="1:23">
      <c r="A17" s="145"/>
      <c r="B17" s="53" t="s">
        <v>245</v>
      </c>
      <c r="C17" s="28" t="s">
        <v>246</v>
      </c>
      <c r="D17" s="54" t="s">
        <v>247</v>
      </c>
      <c r="E17" s="28" t="s">
        <v>254</v>
      </c>
      <c r="F17" s="60">
        <f>44967*0.4536</f>
        <v>20397.031200000001</v>
      </c>
      <c r="G17" s="54">
        <v>20092.11</v>
      </c>
      <c r="H17" s="68">
        <f t="shared" si="0"/>
        <v>-304.92120000000068</v>
      </c>
      <c r="I17" s="28" t="s">
        <v>286</v>
      </c>
      <c r="J17" s="28"/>
      <c r="K17" s="55">
        <v>40154</v>
      </c>
      <c r="L17" s="55">
        <v>40156</v>
      </c>
      <c r="M17" s="28" t="s">
        <v>250</v>
      </c>
      <c r="N17" s="28" t="s">
        <v>285</v>
      </c>
      <c r="O17" s="56"/>
      <c r="P17" s="57">
        <v>0.84</v>
      </c>
      <c r="Q17" s="56"/>
      <c r="R17" s="56"/>
      <c r="S17" s="58">
        <v>12.98</v>
      </c>
      <c r="T17" s="56"/>
      <c r="U17" s="56">
        <f>P17/0.4536*S17</f>
        <v>24.037037037037038</v>
      </c>
      <c r="V17" s="56">
        <f t="shared" si="1"/>
        <v>490284.19440000004</v>
      </c>
      <c r="W17" s="59">
        <v>40165</v>
      </c>
    </row>
    <row r="18" spans="1:23">
      <c r="A18" s="145"/>
      <c r="B18" s="53" t="s">
        <v>245</v>
      </c>
      <c r="C18" s="28" t="s">
        <v>280</v>
      </c>
      <c r="D18" s="54" t="s">
        <v>277</v>
      </c>
      <c r="E18" s="28" t="s">
        <v>275</v>
      </c>
      <c r="F18" s="60">
        <f>2686.35+3581.8+3581.8</f>
        <v>9849.9500000000007</v>
      </c>
      <c r="G18" s="54">
        <v>9815</v>
      </c>
      <c r="H18" s="54">
        <f t="shared" si="0"/>
        <v>-34.950000000000728</v>
      </c>
      <c r="I18" s="28" t="s">
        <v>287</v>
      </c>
      <c r="J18" s="28"/>
      <c r="K18" s="55"/>
      <c r="L18" s="55">
        <v>40157</v>
      </c>
      <c r="M18" s="28" t="s">
        <v>288</v>
      </c>
      <c r="N18" s="28"/>
      <c r="O18" s="56">
        <v>24.5</v>
      </c>
      <c r="P18" s="57"/>
      <c r="Q18" s="56"/>
      <c r="R18" s="56"/>
      <c r="S18" s="58"/>
      <c r="T18" s="56"/>
      <c r="U18" s="56">
        <f>IF(O18&gt;0,O18,((P18*2.2046*S18)+(Q18+R18)/F18)+T18)</f>
        <v>24.5</v>
      </c>
      <c r="V18" s="56">
        <f>U18*F18</f>
        <v>241323.77500000002</v>
      </c>
      <c r="W18" s="59">
        <v>40161</v>
      </c>
    </row>
    <row r="19" spans="1:23">
      <c r="A19" s="145"/>
      <c r="B19" s="53" t="s">
        <v>245</v>
      </c>
      <c r="C19" s="28" t="s">
        <v>280</v>
      </c>
      <c r="D19" s="54" t="s">
        <v>277</v>
      </c>
      <c r="E19" s="28" t="s">
        <v>275</v>
      </c>
      <c r="F19" s="60">
        <f>1790.95+3581.8+3581.8</f>
        <v>8954.5499999999993</v>
      </c>
      <c r="G19" s="54">
        <v>8921</v>
      </c>
      <c r="H19" s="54">
        <f t="shared" si="0"/>
        <v>-33.549999999999272</v>
      </c>
      <c r="I19" s="28" t="s">
        <v>289</v>
      </c>
      <c r="J19" s="28"/>
      <c r="K19" s="55"/>
      <c r="L19" s="55">
        <v>40157</v>
      </c>
      <c r="M19" s="28" t="s">
        <v>288</v>
      </c>
      <c r="N19" s="28"/>
      <c r="O19" s="56">
        <v>25</v>
      </c>
      <c r="P19" s="57"/>
      <c r="Q19" s="56"/>
      <c r="R19" s="56"/>
      <c r="S19" s="58"/>
      <c r="T19" s="56"/>
      <c r="U19" s="56">
        <f>IF(O19&gt;0,O19,((P19*2.2046*S19)+(Q19+R19)/F19)+T19)</f>
        <v>25</v>
      </c>
      <c r="V19" s="56">
        <f>U19*F19</f>
        <v>223863.74999999997</v>
      </c>
      <c r="W19" s="59">
        <v>40161</v>
      </c>
    </row>
    <row r="20" spans="1:23">
      <c r="A20" s="145"/>
      <c r="B20" s="53" t="s">
        <v>245</v>
      </c>
      <c r="C20" s="28" t="s">
        <v>276</v>
      </c>
      <c r="D20" s="54" t="s">
        <v>277</v>
      </c>
      <c r="E20" s="28" t="s">
        <v>290</v>
      </c>
      <c r="F20" s="60">
        <v>17234.009999999998</v>
      </c>
      <c r="G20" s="54">
        <v>17168.11</v>
      </c>
      <c r="H20" s="54">
        <f t="shared" si="0"/>
        <v>-65.899999999997817</v>
      </c>
      <c r="I20" s="28" t="s">
        <v>291</v>
      </c>
      <c r="J20" s="28"/>
      <c r="K20" s="55"/>
      <c r="L20" s="55">
        <v>40158</v>
      </c>
      <c r="M20" s="28" t="s">
        <v>268</v>
      </c>
      <c r="N20" s="28"/>
      <c r="O20" s="56">
        <v>25</v>
      </c>
      <c r="P20" s="57"/>
      <c r="Q20" s="56"/>
      <c r="R20" s="56"/>
      <c r="S20" s="58"/>
      <c r="T20" s="56"/>
      <c r="U20" s="56">
        <f>IF(O20&gt;0,O20,((P20*2.2046*S20)+(Q20+R20)/F20)+T20)</f>
        <v>25</v>
      </c>
      <c r="V20" s="56">
        <f>U20*F20</f>
        <v>430850.24999999994</v>
      </c>
      <c r="W20" s="59">
        <v>40162</v>
      </c>
    </row>
    <row r="21" spans="1:23">
      <c r="A21" s="145"/>
      <c r="B21" s="53" t="s">
        <v>245</v>
      </c>
      <c r="C21" s="28" t="s">
        <v>246</v>
      </c>
      <c r="D21" s="54" t="s">
        <v>247</v>
      </c>
      <c r="E21" s="28" t="s">
        <v>254</v>
      </c>
      <c r="F21" s="54">
        <f>44444*0.4536</f>
        <v>20159.7984</v>
      </c>
      <c r="G21" s="54">
        <v>20138.57</v>
      </c>
      <c r="H21" s="54">
        <f t="shared" si="0"/>
        <v>-21.228399999999965</v>
      </c>
      <c r="I21" s="25" t="s">
        <v>292</v>
      </c>
      <c r="J21" s="28"/>
      <c r="K21" s="55">
        <v>40156</v>
      </c>
      <c r="L21" s="55">
        <v>40158</v>
      </c>
      <c r="M21" s="28" t="s">
        <v>268</v>
      </c>
      <c r="N21" s="28" t="s">
        <v>293</v>
      </c>
      <c r="O21" s="56"/>
      <c r="P21" s="57">
        <v>0.88</v>
      </c>
      <c r="Q21" s="56"/>
      <c r="R21" s="56"/>
      <c r="S21" s="58">
        <v>12.94</v>
      </c>
      <c r="T21" s="56"/>
      <c r="U21" s="56">
        <f>P21/0.4536*S21</f>
        <v>25.104056437389769</v>
      </c>
      <c r="V21" s="56">
        <f t="shared" si="1"/>
        <v>506092.71679999994</v>
      </c>
      <c r="W21" s="59">
        <v>40165</v>
      </c>
    </row>
    <row r="22" spans="1:23">
      <c r="A22" s="145"/>
      <c r="B22" s="53" t="s">
        <v>245</v>
      </c>
      <c r="C22" s="28" t="s">
        <v>252</v>
      </c>
      <c r="D22" s="28" t="s">
        <v>253</v>
      </c>
      <c r="E22" s="28" t="s">
        <v>294</v>
      </c>
      <c r="F22" s="54">
        <f>35816*0.4536</f>
        <v>16246.1376</v>
      </c>
      <c r="G22" s="54">
        <v>16227.33</v>
      </c>
      <c r="H22" s="54">
        <f>G22-F22</f>
        <v>-18.807600000000093</v>
      </c>
      <c r="I22" s="28" t="s">
        <v>295</v>
      </c>
      <c r="J22" s="61" t="s">
        <v>256</v>
      </c>
      <c r="K22" s="55">
        <v>40157</v>
      </c>
      <c r="L22" s="55">
        <v>40158</v>
      </c>
      <c r="M22" s="28" t="s">
        <v>268</v>
      </c>
      <c r="N22" s="28" t="s">
        <v>296</v>
      </c>
      <c r="O22" s="56"/>
      <c r="P22" s="57">
        <v>0.85</v>
      </c>
      <c r="Q22" s="56">
        <v>18400</v>
      </c>
      <c r="R22" s="56">
        <v>7139</v>
      </c>
      <c r="S22" s="58">
        <v>12.82</v>
      </c>
      <c r="T22" s="56">
        <v>0.1</v>
      </c>
      <c r="U22" s="56">
        <f>IF(O22&gt;0,O22,((P22*2.2046*S22)+(Q22+R22)/F22)+T22)</f>
        <v>25.695530612913505</v>
      </c>
      <c r="V22" s="56">
        <f t="shared" si="1"/>
        <v>417453.12604240514</v>
      </c>
      <c r="W22" s="59">
        <v>40161</v>
      </c>
    </row>
    <row r="23" spans="1:23" ht="13.5" thickBot="1">
      <c r="A23" s="145"/>
      <c r="B23" s="69"/>
      <c r="C23" s="46"/>
      <c r="D23" s="46"/>
      <c r="E23" s="46"/>
      <c r="F23" s="47"/>
      <c r="G23" s="47"/>
      <c r="H23" s="47"/>
      <c r="I23" s="48"/>
      <c r="J23" s="46"/>
      <c r="K23" s="49"/>
      <c r="L23" s="49"/>
      <c r="M23" s="49"/>
      <c r="N23" s="46"/>
      <c r="O23" s="50"/>
      <c r="P23" s="51"/>
      <c r="Q23" s="50"/>
      <c r="R23" s="50"/>
      <c r="S23" s="50"/>
      <c r="T23" s="50"/>
      <c r="U23" s="50"/>
      <c r="V23" s="50"/>
      <c r="W23" s="64"/>
    </row>
    <row r="24" spans="1:23">
      <c r="A24" s="70"/>
      <c r="B24" s="53" t="s">
        <v>245</v>
      </c>
      <c r="C24" s="28" t="s">
        <v>280</v>
      </c>
      <c r="D24" s="54" t="s">
        <v>280</v>
      </c>
      <c r="E24" s="28" t="s">
        <v>270</v>
      </c>
      <c r="F24" s="54">
        <f>41708.83*0.4536</f>
        <v>18919.125287999999</v>
      </c>
      <c r="G24" s="54">
        <v>18890.02</v>
      </c>
      <c r="H24" s="54">
        <f>G24-F24</f>
        <v>-29.105287999998836</v>
      </c>
      <c r="I24" s="28" t="s">
        <v>297</v>
      </c>
      <c r="J24" s="61" t="s">
        <v>256</v>
      </c>
      <c r="K24" s="55">
        <v>40158</v>
      </c>
      <c r="L24" s="55">
        <v>40159</v>
      </c>
      <c r="M24" s="28" t="s">
        <v>298</v>
      </c>
      <c r="N24" s="28" t="s">
        <v>299</v>
      </c>
      <c r="O24" s="56"/>
      <c r="P24" s="57">
        <v>0.82</v>
      </c>
      <c r="Q24" s="56">
        <v>18400</v>
      </c>
      <c r="R24" s="56">
        <v>7631</v>
      </c>
      <c r="S24" s="58">
        <v>12.78</v>
      </c>
      <c r="T24" s="56">
        <v>0.1</v>
      </c>
      <c r="U24" s="56">
        <f>IF(O24&gt;0,O24,((P24*2.2046*S24)+(Q24+R24)/F24)+T24)</f>
        <v>24.579235437185815</v>
      </c>
      <c r="V24" s="56">
        <f t="shared" ref="V24:V36" si="2">U24*F24</f>
        <v>465017.6347193679</v>
      </c>
      <c r="W24" s="59">
        <v>40161</v>
      </c>
    </row>
    <row r="25" spans="1:23">
      <c r="A25" s="70"/>
      <c r="B25" s="53" t="s">
        <v>245</v>
      </c>
      <c r="C25" s="28" t="s">
        <v>280</v>
      </c>
      <c r="D25" s="28" t="s">
        <v>280</v>
      </c>
      <c r="E25" s="28" t="s">
        <v>254</v>
      </c>
      <c r="F25" s="60">
        <v>18742.5</v>
      </c>
      <c r="G25" s="54">
        <v>18750.02</v>
      </c>
      <c r="H25" s="54">
        <f t="shared" si="0"/>
        <v>7.5200000000004366</v>
      </c>
      <c r="I25" s="28" t="s">
        <v>300</v>
      </c>
      <c r="J25" s="61" t="s">
        <v>256</v>
      </c>
      <c r="K25" s="55">
        <v>40161</v>
      </c>
      <c r="L25" s="55">
        <v>40163</v>
      </c>
      <c r="M25" s="28" t="s">
        <v>250</v>
      </c>
      <c r="N25" s="28" t="s">
        <v>301</v>
      </c>
      <c r="O25" s="56"/>
      <c r="P25" s="57">
        <v>0.84</v>
      </c>
      <c r="Q25" s="56">
        <v>18400</v>
      </c>
      <c r="R25" s="56">
        <v>7622</v>
      </c>
      <c r="S25" s="58">
        <v>12.861000000000001</v>
      </c>
      <c r="T25" s="56">
        <v>0.1</v>
      </c>
      <c r="U25" s="56">
        <f>IF(O25&gt;0,O25,((P25*2.2046*S25)+(Q25+R25)/F25)+T25)</f>
        <v>25.30521826214326</v>
      </c>
      <c r="V25" s="56">
        <f t="shared" si="2"/>
        <v>474283.05327822006</v>
      </c>
      <c r="W25" s="59">
        <v>40163</v>
      </c>
    </row>
    <row r="26" spans="1:23">
      <c r="A26" s="70"/>
      <c r="B26" s="53" t="s">
        <v>245</v>
      </c>
      <c r="C26" s="28" t="s">
        <v>246</v>
      </c>
      <c r="D26" s="28" t="s">
        <v>247</v>
      </c>
      <c r="E26" s="28" t="s">
        <v>248</v>
      </c>
      <c r="F26" s="60">
        <f>48810*0.4536</f>
        <v>22140.216</v>
      </c>
      <c r="G26" s="54">
        <v>22063.58</v>
      </c>
      <c r="H26" s="54">
        <f t="shared" si="0"/>
        <v>-76.635999999998603</v>
      </c>
      <c r="I26" t="s">
        <v>137</v>
      </c>
      <c r="J26" s="28"/>
      <c r="K26" s="55">
        <v>40161</v>
      </c>
      <c r="L26" s="55">
        <v>40163</v>
      </c>
      <c r="M26" s="28" t="s">
        <v>250</v>
      </c>
      <c r="N26" s="28" t="s">
        <v>302</v>
      </c>
      <c r="O26" s="71"/>
      <c r="P26" s="57">
        <v>0.9</v>
      </c>
      <c r="Q26" s="56"/>
      <c r="R26" s="56"/>
      <c r="S26" s="58">
        <v>12.987</v>
      </c>
      <c r="T26" s="56"/>
      <c r="U26" s="56">
        <f>P26/0.4536*S26</f>
        <v>25.767857142857142</v>
      </c>
      <c r="V26" s="56">
        <f t="shared" si="2"/>
        <v>570505.92299999995</v>
      </c>
      <c r="W26" s="59">
        <v>40171</v>
      </c>
    </row>
    <row r="27" spans="1:23">
      <c r="A27" s="70"/>
      <c r="B27" s="53" t="s">
        <v>245</v>
      </c>
      <c r="C27" s="28" t="s">
        <v>252</v>
      </c>
      <c r="D27" s="28" t="s">
        <v>253</v>
      </c>
      <c r="E27" s="28" t="s">
        <v>254</v>
      </c>
      <c r="F27" s="54">
        <f>42061*0.4536</f>
        <v>19078.869600000002</v>
      </c>
      <c r="G27" s="54">
        <v>19060.28</v>
      </c>
      <c r="H27" s="54">
        <f t="shared" si="0"/>
        <v>-18.589600000002974</v>
      </c>
      <c r="I27" s="28" t="s">
        <v>303</v>
      </c>
      <c r="J27" s="61" t="s">
        <v>256</v>
      </c>
      <c r="K27" s="55">
        <v>40161</v>
      </c>
      <c r="L27" s="55">
        <v>40163</v>
      </c>
      <c r="M27" s="28" t="s">
        <v>250</v>
      </c>
      <c r="N27" s="28" t="s">
        <v>304</v>
      </c>
      <c r="O27" s="56"/>
      <c r="P27" s="57">
        <v>0.85</v>
      </c>
      <c r="Q27" s="56">
        <v>18400</v>
      </c>
      <c r="R27" s="56">
        <v>6974.5</v>
      </c>
      <c r="S27" s="58">
        <v>12.94</v>
      </c>
      <c r="T27" s="56">
        <v>0.1</v>
      </c>
      <c r="U27" s="56">
        <f t="shared" ref="U27:U32" si="3">IF(O27&gt;0,O27,((P27*2.2046*S27)+(Q27+R27)/F27)+T27)</f>
        <v>25.678374614282173</v>
      </c>
      <c r="V27" s="56">
        <f t="shared" si="2"/>
        <v>489914.36080583994</v>
      </c>
      <c r="W27" s="59">
        <v>40163</v>
      </c>
    </row>
    <row r="28" spans="1:23">
      <c r="A28" s="70"/>
      <c r="B28" s="53" t="s">
        <v>305</v>
      </c>
      <c r="C28" s="28" t="s">
        <v>276</v>
      </c>
      <c r="D28" s="28" t="s">
        <v>277</v>
      </c>
      <c r="E28" s="28" t="s">
        <v>306</v>
      </c>
      <c r="F28" s="54">
        <v>1361</v>
      </c>
      <c r="G28" s="54">
        <v>1361</v>
      </c>
      <c r="H28" s="54">
        <f t="shared" si="0"/>
        <v>0</v>
      </c>
      <c r="I28" s="28" t="s">
        <v>128</v>
      </c>
      <c r="J28" s="28"/>
      <c r="K28" s="55"/>
      <c r="L28" s="55">
        <v>40163</v>
      </c>
      <c r="M28" s="28" t="s">
        <v>250</v>
      </c>
      <c r="N28" s="28"/>
      <c r="O28" s="56">
        <v>46</v>
      </c>
      <c r="P28" s="57"/>
      <c r="Q28" s="56"/>
      <c r="R28" s="56"/>
      <c r="S28" s="58"/>
      <c r="T28" s="56"/>
      <c r="U28" s="56">
        <f t="shared" si="3"/>
        <v>46</v>
      </c>
      <c r="V28" s="56">
        <f>U28*F28</f>
        <v>62606</v>
      </c>
      <c r="W28" s="59">
        <v>40169</v>
      </c>
    </row>
    <row r="29" spans="1:23">
      <c r="A29" s="70"/>
      <c r="B29" s="53" t="s">
        <v>307</v>
      </c>
      <c r="C29" s="28" t="s">
        <v>308</v>
      </c>
      <c r="D29" s="28" t="s">
        <v>277</v>
      </c>
      <c r="E29" s="28" t="s">
        <v>309</v>
      </c>
      <c r="F29" s="54">
        <f>900.76+12.5</f>
        <v>913.26</v>
      </c>
      <c r="G29" s="54">
        <v>913.26</v>
      </c>
      <c r="H29" s="54">
        <f t="shared" si="0"/>
        <v>0</v>
      </c>
      <c r="I29" s="28" t="s">
        <v>283</v>
      </c>
      <c r="J29" s="28"/>
      <c r="K29" s="55"/>
      <c r="L29" s="55">
        <v>40163</v>
      </c>
      <c r="M29" s="28" t="s">
        <v>250</v>
      </c>
      <c r="N29" s="28"/>
      <c r="O29" s="56">
        <v>48.5</v>
      </c>
      <c r="P29" s="57"/>
      <c r="Q29" s="56"/>
      <c r="R29" s="56"/>
      <c r="S29" s="58"/>
      <c r="T29" s="56"/>
      <c r="U29" s="56">
        <f t="shared" si="3"/>
        <v>48.5</v>
      </c>
      <c r="V29" s="56">
        <f>U29*F29</f>
        <v>44293.11</v>
      </c>
      <c r="W29" s="59" t="s">
        <v>283</v>
      </c>
    </row>
    <row r="30" spans="1:23">
      <c r="A30" s="70"/>
      <c r="B30" s="53" t="s">
        <v>245</v>
      </c>
      <c r="C30" s="28" t="s">
        <v>280</v>
      </c>
      <c r="D30" s="28" t="s">
        <v>310</v>
      </c>
      <c r="E30" s="28" t="s">
        <v>254</v>
      </c>
      <c r="F30" s="54">
        <f>41157*0.4536</f>
        <v>18668.815200000001</v>
      </c>
      <c r="G30" s="54">
        <v>18720.02</v>
      </c>
      <c r="H30" s="54">
        <f t="shared" si="0"/>
        <v>51.204799999999523</v>
      </c>
      <c r="I30" s="28" t="s">
        <v>311</v>
      </c>
      <c r="J30" s="28"/>
      <c r="K30" s="55"/>
      <c r="L30" s="55">
        <v>40164</v>
      </c>
      <c r="M30" s="28" t="s">
        <v>288</v>
      </c>
      <c r="N30" s="28" t="s">
        <v>312</v>
      </c>
      <c r="O30" s="56"/>
      <c r="P30" s="57">
        <v>0.89</v>
      </c>
      <c r="Q30" s="56">
        <f>1*F30</f>
        <v>18668.815200000001</v>
      </c>
      <c r="R30" s="56"/>
      <c r="S30" s="58">
        <v>12.98</v>
      </c>
      <c r="T30" s="56"/>
      <c r="U30" s="56">
        <f t="shared" si="3"/>
        <v>26.467980120000004</v>
      </c>
      <c r="V30" s="56">
        <f t="shared" si="2"/>
        <v>494125.8295775539</v>
      </c>
      <c r="W30" s="59">
        <v>40165</v>
      </c>
    </row>
    <row r="31" spans="1:23">
      <c r="A31" s="70"/>
      <c r="B31" s="53" t="s">
        <v>307</v>
      </c>
      <c r="C31" s="28" t="s">
        <v>313</v>
      </c>
      <c r="D31" s="28" t="s">
        <v>274</v>
      </c>
      <c r="E31" s="28" t="s">
        <v>306</v>
      </c>
      <c r="F31" s="54">
        <v>1284.5899999999999</v>
      </c>
      <c r="G31" s="54">
        <v>1284.5899999999999</v>
      </c>
      <c r="H31" s="54">
        <f t="shared" si="0"/>
        <v>0</v>
      </c>
      <c r="I31" s="28" t="s">
        <v>192</v>
      </c>
      <c r="J31" s="28"/>
      <c r="K31" s="55"/>
      <c r="L31" s="55">
        <v>40164</v>
      </c>
      <c r="M31" s="28"/>
      <c r="N31" s="28"/>
      <c r="O31" s="56">
        <v>48.5</v>
      </c>
      <c r="P31" s="57"/>
      <c r="Q31" s="56"/>
      <c r="R31" s="56"/>
      <c r="S31" s="58"/>
      <c r="T31" s="56"/>
      <c r="U31" s="56">
        <f t="shared" si="3"/>
        <v>48.5</v>
      </c>
      <c r="V31" s="56">
        <f>U31*F31</f>
        <v>62302.614999999998</v>
      </c>
      <c r="W31" s="59">
        <v>40178</v>
      </c>
    </row>
    <row r="32" spans="1:23">
      <c r="A32" s="70"/>
      <c r="B32" s="53" t="s">
        <v>314</v>
      </c>
      <c r="C32" s="28" t="s">
        <v>246</v>
      </c>
      <c r="D32" s="28" t="s">
        <v>274</v>
      </c>
      <c r="E32" s="28" t="s">
        <v>315</v>
      </c>
      <c r="F32" s="54">
        <f>27.22+2858.1+108.8</f>
        <v>2994.12</v>
      </c>
      <c r="G32" s="54">
        <v>2994.12</v>
      </c>
      <c r="H32" s="54">
        <f t="shared" si="0"/>
        <v>0</v>
      </c>
      <c r="I32" s="28" t="s">
        <v>316</v>
      </c>
      <c r="J32" s="28"/>
      <c r="K32" s="55"/>
      <c r="L32" s="55">
        <v>40164</v>
      </c>
      <c r="M32" s="28"/>
      <c r="N32" s="28"/>
      <c r="O32" s="56">
        <v>35.5</v>
      </c>
      <c r="P32" s="57"/>
      <c r="Q32" s="56"/>
      <c r="R32" s="56"/>
      <c r="S32" s="58"/>
      <c r="T32" s="56"/>
      <c r="U32" s="56">
        <f t="shared" si="3"/>
        <v>35.5</v>
      </c>
      <c r="V32" s="56">
        <f>U32*F32</f>
        <v>106291.26</v>
      </c>
      <c r="W32" s="59" t="s">
        <v>283</v>
      </c>
    </row>
    <row r="33" spans="1:23">
      <c r="A33" s="70"/>
      <c r="B33" s="53" t="s">
        <v>245</v>
      </c>
      <c r="C33" s="28" t="s">
        <v>246</v>
      </c>
      <c r="D33" s="28" t="s">
        <v>247</v>
      </c>
      <c r="E33" s="28" t="s">
        <v>248</v>
      </c>
      <c r="F33" s="60">
        <f>49115*0.4536</f>
        <v>22278.563999999998</v>
      </c>
      <c r="G33" s="54">
        <v>22260.42</v>
      </c>
      <c r="H33" s="54">
        <f t="shared" si="0"/>
        <v>-18.144000000000233</v>
      </c>
      <c r="I33" t="s">
        <v>141</v>
      </c>
      <c r="J33" s="28"/>
      <c r="K33" s="55">
        <v>40163</v>
      </c>
      <c r="L33" s="55">
        <v>40166</v>
      </c>
      <c r="M33" s="28" t="s">
        <v>298</v>
      </c>
      <c r="N33" s="28" t="s">
        <v>317</v>
      </c>
      <c r="O33" s="56"/>
      <c r="P33" s="57">
        <v>0.9</v>
      </c>
      <c r="Q33" s="56"/>
      <c r="R33" s="56"/>
      <c r="S33" s="58">
        <v>12.987</v>
      </c>
      <c r="T33" s="56"/>
      <c r="U33" s="56">
        <f>P33/0.4536*S33</f>
        <v>25.767857142857142</v>
      </c>
      <c r="V33" s="56">
        <f t="shared" si="2"/>
        <v>574070.8544999999</v>
      </c>
      <c r="W33" s="59">
        <v>40172</v>
      </c>
    </row>
    <row r="34" spans="1:23">
      <c r="A34" s="70"/>
      <c r="B34" s="53" t="s">
        <v>245</v>
      </c>
      <c r="C34" s="28" t="s">
        <v>280</v>
      </c>
      <c r="D34" s="28" t="s">
        <v>280</v>
      </c>
      <c r="E34" s="28" t="s">
        <v>254</v>
      </c>
      <c r="F34" s="60">
        <v>19023.5</v>
      </c>
      <c r="G34" s="54">
        <v>19020.02</v>
      </c>
      <c r="H34" s="54">
        <f t="shared" si="0"/>
        <v>-3.4799999999995634</v>
      </c>
      <c r="I34" s="28" t="s">
        <v>318</v>
      </c>
      <c r="J34" s="61" t="s">
        <v>256</v>
      </c>
      <c r="K34" s="55">
        <v>40164</v>
      </c>
      <c r="L34" s="55">
        <v>40165</v>
      </c>
      <c r="M34" s="28" t="s">
        <v>268</v>
      </c>
      <c r="N34" s="72" t="s">
        <v>319</v>
      </c>
      <c r="O34" s="56"/>
      <c r="P34" s="73">
        <v>0.84</v>
      </c>
      <c r="Q34" s="56">
        <v>18400</v>
      </c>
      <c r="R34" s="56">
        <v>7640</v>
      </c>
      <c r="S34" s="58">
        <v>12.987</v>
      </c>
      <c r="T34" s="56">
        <v>0.1</v>
      </c>
      <c r="U34" s="56">
        <f>IF(O34&gt;0,O34,((P34*2.2046*S34)+(Q34+R34)/F34)+T34)</f>
        <v>25.518991053147317</v>
      </c>
      <c r="V34" s="56">
        <f>U34*F34</f>
        <v>485460.52629954799</v>
      </c>
      <c r="W34" s="59">
        <v>40168</v>
      </c>
    </row>
    <row r="35" spans="1:23">
      <c r="A35" s="70"/>
      <c r="B35" s="53" t="s">
        <v>245</v>
      </c>
      <c r="C35" s="28" t="s">
        <v>280</v>
      </c>
      <c r="D35" s="28" t="s">
        <v>280</v>
      </c>
      <c r="E35" s="28" t="s">
        <v>270</v>
      </c>
      <c r="F35" s="60">
        <v>18424</v>
      </c>
      <c r="G35" s="54">
        <v>18420.02</v>
      </c>
      <c r="H35" s="54">
        <f t="shared" si="0"/>
        <v>-3.9799999999995634</v>
      </c>
      <c r="I35" s="28" t="s">
        <v>320</v>
      </c>
      <c r="J35" s="61" t="s">
        <v>256</v>
      </c>
      <c r="K35" s="55">
        <v>40164</v>
      </c>
      <c r="L35" s="55">
        <v>40166</v>
      </c>
      <c r="M35" s="28" t="s">
        <v>298</v>
      </c>
      <c r="N35" s="28" t="s">
        <v>321</v>
      </c>
      <c r="O35" s="56"/>
      <c r="P35" s="57">
        <v>0.84</v>
      </c>
      <c r="Q35" s="56">
        <v>18400</v>
      </c>
      <c r="R35" s="56">
        <v>7797.6</v>
      </c>
      <c r="S35" s="58">
        <v>12.933999999999999</v>
      </c>
      <c r="T35" s="56">
        <v>0.1</v>
      </c>
      <c r="U35" s="56">
        <f>IF(O35&gt;0,O35,((P35*2.2046*S35)+(Q35+R35)/F35)+T35)</f>
        <v>25.473936896104213</v>
      </c>
      <c r="V35" s="56">
        <f t="shared" si="2"/>
        <v>469331.813373824</v>
      </c>
      <c r="W35" s="59">
        <v>40168</v>
      </c>
    </row>
    <row r="36" spans="1:23">
      <c r="A36" s="70"/>
      <c r="B36" s="53" t="s">
        <v>245</v>
      </c>
      <c r="C36" s="28" t="s">
        <v>280</v>
      </c>
      <c r="D36" s="28" t="s">
        <v>280</v>
      </c>
      <c r="E36" s="28" t="s">
        <v>254</v>
      </c>
      <c r="F36" s="60">
        <v>18968.5</v>
      </c>
      <c r="G36" s="54">
        <v>18968.5</v>
      </c>
      <c r="H36" s="54">
        <f t="shared" si="0"/>
        <v>0</v>
      </c>
      <c r="I36" s="72" t="s">
        <v>322</v>
      </c>
      <c r="J36" s="61" t="s">
        <v>256</v>
      </c>
      <c r="K36" s="55">
        <v>40165</v>
      </c>
      <c r="L36" s="55">
        <v>40166</v>
      </c>
      <c r="M36" s="28" t="s">
        <v>298</v>
      </c>
      <c r="N36" s="28" t="s">
        <v>323</v>
      </c>
      <c r="O36" s="56"/>
      <c r="P36" s="57">
        <v>0.84</v>
      </c>
      <c r="Q36" s="56">
        <v>18400</v>
      </c>
      <c r="R36" s="56">
        <v>7797.6</v>
      </c>
      <c r="S36" s="58">
        <v>12.861000000000001</v>
      </c>
      <c r="T36" s="56">
        <v>0.1</v>
      </c>
      <c r="U36" s="56">
        <f>IF(O36&gt;0,O36,((P36*2.2046*S36)+(Q36+R36)/F36)+T36)</f>
        <v>25.297933692939562</v>
      </c>
      <c r="V36" s="56">
        <f t="shared" si="2"/>
        <v>479863.8552545241</v>
      </c>
      <c r="W36" s="59">
        <v>40168</v>
      </c>
    </row>
    <row r="37" spans="1:23">
      <c r="A37" s="70"/>
      <c r="B37" s="53" t="s">
        <v>245</v>
      </c>
      <c r="C37" s="28" t="s">
        <v>308</v>
      </c>
      <c r="D37" s="28" t="s">
        <v>247</v>
      </c>
      <c r="E37" s="28" t="s">
        <v>324</v>
      </c>
      <c r="F37" s="60">
        <f>41881*0.4536</f>
        <v>18997.221600000001</v>
      </c>
      <c r="G37" s="54">
        <v>18772.419999999998</v>
      </c>
      <c r="H37" s="68">
        <f>G37-F37</f>
        <v>-224.80160000000251</v>
      </c>
      <c r="I37" s="25" t="s">
        <v>145</v>
      </c>
      <c r="J37" s="28"/>
      <c r="K37" s="55">
        <v>40163</v>
      </c>
      <c r="L37" s="55">
        <v>40168</v>
      </c>
      <c r="M37" s="28" t="s">
        <v>272</v>
      </c>
      <c r="N37" s="28" t="s">
        <v>317</v>
      </c>
      <c r="O37" s="56"/>
      <c r="P37" s="57">
        <v>0.9</v>
      </c>
      <c r="Q37" s="56"/>
      <c r="R37" s="56"/>
      <c r="S37" s="58">
        <v>12.933999999999999</v>
      </c>
      <c r="T37" s="56"/>
      <c r="U37" s="56">
        <f>P37/0.4536*S37</f>
        <v>25.662698412698411</v>
      </c>
      <c r="V37" s="56">
        <f>U37*F37</f>
        <v>487519.96859999996</v>
      </c>
      <c r="W37" s="59">
        <v>40172</v>
      </c>
    </row>
    <row r="38" spans="1:23" ht="13.5" thickBot="1">
      <c r="A38" s="70"/>
      <c r="B38" s="69"/>
      <c r="C38" s="46"/>
      <c r="D38" s="46"/>
      <c r="E38" s="46"/>
      <c r="F38" s="47"/>
      <c r="G38" s="47"/>
      <c r="H38" s="47"/>
      <c r="I38" s="47"/>
      <c r="J38" s="46"/>
      <c r="K38" s="49"/>
      <c r="L38" s="49"/>
      <c r="M38" s="46"/>
      <c r="N38" s="46"/>
      <c r="O38" s="50"/>
      <c r="P38" s="51"/>
      <c r="Q38" s="50"/>
      <c r="R38" s="50"/>
      <c r="S38" s="50"/>
      <c r="T38" s="50"/>
      <c r="U38" s="50"/>
      <c r="V38" s="50"/>
      <c r="W38" s="64"/>
    </row>
    <row r="39" spans="1:23">
      <c r="A39" s="146"/>
      <c r="B39" s="53" t="s">
        <v>245</v>
      </c>
      <c r="C39" s="28" t="s">
        <v>252</v>
      </c>
      <c r="D39" s="28" t="s">
        <v>253</v>
      </c>
      <c r="E39" s="28" t="s">
        <v>254</v>
      </c>
      <c r="F39" s="54">
        <f>41856*0.4536</f>
        <v>18985.881600000001</v>
      </c>
      <c r="G39" s="65">
        <v>18967.05</v>
      </c>
      <c r="H39" s="65">
        <f t="shared" si="0"/>
        <v>-18.831600000001345</v>
      </c>
      <c r="I39" s="28" t="s">
        <v>325</v>
      </c>
      <c r="J39" s="61" t="s">
        <v>256</v>
      </c>
      <c r="K39" s="55">
        <v>40165</v>
      </c>
      <c r="L39" s="55">
        <v>40166</v>
      </c>
      <c r="M39" s="66" t="s">
        <v>298</v>
      </c>
      <c r="N39" s="28" t="s">
        <v>326</v>
      </c>
      <c r="O39" s="56"/>
      <c r="P39" s="57">
        <v>0.85</v>
      </c>
      <c r="Q39" s="56">
        <v>18400</v>
      </c>
      <c r="R39" s="56">
        <v>7141.6</v>
      </c>
      <c r="S39" s="58">
        <v>12.987</v>
      </c>
      <c r="T39" s="56">
        <v>0.1</v>
      </c>
      <c r="U39" s="56">
        <f t="shared" ref="U39:U45" si="4">IF(O39&gt;0,O39,((P39*2.2046*S39)+(Q39+R39)/F39)+T39)</f>
        <v>25.781763559700611</v>
      </c>
      <c r="V39" s="67">
        <f t="shared" ref="V39:V56" si="5">U39*F39</f>
        <v>489489.51038367033</v>
      </c>
      <c r="W39" s="59">
        <v>40168</v>
      </c>
    </row>
    <row r="40" spans="1:23">
      <c r="A40" s="146"/>
      <c r="B40" s="53" t="s">
        <v>245</v>
      </c>
      <c r="C40" s="28" t="s">
        <v>280</v>
      </c>
      <c r="D40" s="28" t="s">
        <v>280</v>
      </c>
      <c r="E40" s="28" t="s">
        <v>254</v>
      </c>
      <c r="F40" s="60">
        <v>18666</v>
      </c>
      <c r="G40" s="54">
        <v>18815.02</v>
      </c>
      <c r="H40" s="54">
        <f t="shared" si="0"/>
        <v>149.02000000000044</v>
      </c>
      <c r="I40" s="28" t="s">
        <v>327</v>
      </c>
      <c r="J40" s="61" t="s">
        <v>256</v>
      </c>
      <c r="K40" s="55">
        <v>40168</v>
      </c>
      <c r="L40" s="55">
        <v>40170</v>
      </c>
      <c r="M40" s="28" t="s">
        <v>250</v>
      </c>
      <c r="N40" s="28" t="s">
        <v>328</v>
      </c>
      <c r="O40" s="56"/>
      <c r="P40" s="57">
        <v>0.84</v>
      </c>
      <c r="Q40" s="56">
        <v>18400</v>
      </c>
      <c r="R40" s="56">
        <v>7629.2</v>
      </c>
      <c r="S40" s="58">
        <v>12.874000000000001</v>
      </c>
      <c r="T40" s="56">
        <v>0.1</v>
      </c>
      <c r="U40" s="56">
        <f t="shared" si="4"/>
        <v>25.335368367115397</v>
      </c>
      <c r="V40" s="56">
        <f t="shared" si="5"/>
        <v>472909.98594057601</v>
      </c>
      <c r="W40" s="59">
        <v>40176</v>
      </c>
    </row>
    <row r="41" spans="1:23">
      <c r="A41" s="146"/>
      <c r="B41" s="53" t="s">
        <v>245</v>
      </c>
      <c r="C41" s="28" t="s">
        <v>280</v>
      </c>
      <c r="D41" s="28" t="s">
        <v>280</v>
      </c>
      <c r="E41" s="28" t="s">
        <v>254</v>
      </c>
      <c r="F41" s="60">
        <v>18848.5</v>
      </c>
      <c r="G41" s="54">
        <v>18848.5</v>
      </c>
      <c r="H41" s="54">
        <f t="shared" si="0"/>
        <v>0</v>
      </c>
      <c r="I41" s="72" t="s">
        <v>329</v>
      </c>
      <c r="J41" s="61" t="s">
        <v>256</v>
      </c>
      <c r="K41" s="55">
        <v>40168</v>
      </c>
      <c r="L41" s="55">
        <v>40170</v>
      </c>
      <c r="M41" s="28" t="s">
        <v>250</v>
      </c>
      <c r="N41" s="28" t="s">
        <v>330</v>
      </c>
      <c r="O41" s="56"/>
      <c r="P41" s="57">
        <v>0.86</v>
      </c>
      <c r="Q41" s="56">
        <v>18400</v>
      </c>
      <c r="R41" s="56">
        <v>7629.2</v>
      </c>
      <c r="S41" s="58">
        <v>13.096</v>
      </c>
      <c r="T41" s="56">
        <v>0.1</v>
      </c>
      <c r="U41" s="56">
        <f t="shared" si="4"/>
        <v>26.310409083902488</v>
      </c>
      <c r="V41" s="56">
        <f>U41*F41</f>
        <v>495911.74561793607</v>
      </c>
      <c r="W41" s="59">
        <v>40176</v>
      </c>
    </row>
    <row r="42" spans="1:23">
      <c r="A42" s="146"/>
      <c r="B42" s="53" t="s">
        <v>245</v>
      </c>
      <c r="C42" s="28" t="s">
        <v>280</v>
      </c>
      <c r="D42" s="28" t="s">
        <v>280</v>
      </c>
      <c r="E42" s="28" t="s">
        <v>254</v>
      </c>
      <c r="F42" s="60">
        <v>18943.5</v>
      </c>
      <c r="G42" s="54">
        <v>18943.5</v>
      </c>
      <c r="H42" s="54">
        <f t="shared" si="0"/>
        <v>0</v>
      </c>
      <c r="I42" s="72" t="s">
        <v>331</v>
      </c>
      <c r="J42" s="61" t="s">
        <v>256</v>
      </c>
      <c r="K42" s="55">
        <v>40168</v>
      </c>
      <c r="L42" s="55">
        <v>40170</v>
      </c>
      <c r="M42" s="28" t="s">
        <v>250</v>
      </c>
      <c r="N42" s="28" t="s">
        <v>330</v>
      </c>
      <c r="O42" s="56"/>
      <c r="P42" s="57">
        <v>0.86</v>
      </c>
      <c r="Q42" s="56">
        <v>18400</v>
      </c>
      <c r="R42" s="56">
        <v>7629.2</v>
      </c>
      <c r="S42" s="58">
        <v>13.096</v>
      </c>
      <c r="T42" s="56">
        <v>0.1</v>
      </c>
      <c r="U42" s="56">
        <f t="shared" si="4"/>
        <v>26.303483643289574</v>
      </c>
      <c r="V42" s="56">
        <f>U42*F42</f>
        <v>498280.04239665606</v>
      </c>
      <c r="W42" s="59">
        <v>40176</v>
      </c>
    </row>
    <row r="43" spans="1:23">
      <c r="A43" s="146"/>
      <c r="B43" s="53" t="s">
        <v>245</v>
      </c>
      <c r="C43" s="28" t="s">
        <v>280</v>
      </c>
      <c r="D43" s="28" t="s">
        <v>280</v>
      </c>
      <c r="E43" s="28" t="s">
        <v>254</v>
      </c>
      <c r="F43" s="60">
        <v>18569.5</v>
      </c>
      <c r="G43" s="54">
        <v>18560.02</v>
      </c>
      <c r="H43" s="54">
        <f>G43-F43</f>
        <v>-9.4799999999995634</v>
      </c>
      <c r="I43" s="28" t="s">
        <v>332</v>
      </c>
      <c r="J43" s="61" t="s">
        <v>256</v>
      </c>
      <c r="K43" s="55">
        <v>40168</v>
      </c>
      <c r="L43" s="55">
        <v>40170</v>
      </c>
      <c r="M43" s="28" t="s">
        <v>250</v>
      </c>
      <c r="N43" s="28" t="s">
        <v>333</v>
      </c>
      <c r="O43" s="56"/>
      <c r="P43" s="57">
        <v>0.84</v>
      </c>
      <c r="Q43" s="56">
        <v>18400</v>
      </c>
      <c r="R43" s="56">
        <v>7794</v>
      </c>
      <c r="S43" s="58">
        <v>13.093999999999999</v>
      </c>
      <c r="T43" s="56">
        <v>0.1</v>
      </c>
      <c r="U43" s="56">
        <f t="shared" si="4"/>
        <v>25.7588998544663</v>
      </c>
      <c r="V43" s="56">
        <f>U43*F43</f>
        <v>478329.89084751194</v>
      </c>
      <c r="W43" s="59">
        <v>40176</v>
      </c>
    </row>
    <row r="44" spans="1:23">
      <c r="A44" s="146"/>
      <c r="B44" s="53" t="s">
        <v>245</v>
      </c>
      <c r="C44" s="28" t="s">
        <v>280</v>
      </c>
      <c r="D44" s="28" t="s">
        <v>280</v>
      </c>
      <c r="E44" s="28" t="s">
        <v>254</v>
      </c>
      <c r="F44" s="60">
        <v>18968.5</v>
      </c>
      <c r="G44" s="54">
        <v>18980.02</v>
      </c>
      <c r="H44" s="54">
        <f>G44-F44</f>
        <v>11.520000000000437</v>
      </c>
      <c r="I44" s="28" t="s">
        <v>334</v>
      </c>
      <c r="J44" s="61" t="s">
        <v>256</v>
      </c>
      <c r="K44" s="55">
        <v>40168</v>
      </c>
      <c r="L44" s="55">
        <v>40170</v>
      </c>
      <c r="M44" s="28" t="s">
        <v>250</v>
      </c>
      <c r="N44" s="28" t="s">
        <v>335</v>
      </c>
      <c r="O44" s="56"/>
      <c r="P44" s="57">
        <v>0.84</v>
      </c>
      <c r="Q44" s="56">
        <v>18400</v>
      </c>
      <c r="R44" s="56">
        <v>7794</v>
      </c>
      <c r="S44" s="58">
        <v>13.093999999999999</v>
      </c>
      <c r="T44" s="56">
        <v>0.1</v>
      </c>
      <c r="U44" s="56">
        <f t="shared" si="4"/>
        <v>25.729228216606266</v>
      </c>
      <c r="V44" s="56">
        <f>U44*F44</f>
        <v>488044.86542669596</v>
      </c>
      <c r="W44" s="59">
        <v>40176</v>
      </c>
    </row>
    <row r="45" spans="1:23">
      <c r="A45" s="146"/>
      <c r="B45" s="53" t="s">
        <v>245</v>
      </c>
      <c r="C45" s="28" t="s">
        <v>252</v>
      </c>
      <c r="D45" s="28" t="s">
        <v>253</v>
      </c>
      <c r="E45" s="28" t="s">
        <v>254</v>
      </c>
      <c r="F45" s="54">
        <v>18791.37</v>
      </c>
      <c r="G45" s="54">
        <v>18830.73</v>
      </c>
      <c r="H45" s="54">
        <f t="shared" si="0"/>
        <v>39.360000000000582</v>
      </c>
      <c r="I45" s="28" t="s">
        <v>336</v>
      </c>
      <c r="J45" s="61" t="s">
        <v>256</v>
      </c>
      <c r="K45" s="55">
        <v>40168</v>
      </c>
      <c r="L45" s="55">
        <v>40170</v>
      </c>
      <c r="M45" s="28" t="s">
        <v>250</v>
      </c>
      <c r="N45" s="28" t="s">
        <v>337</v>
      </c>
      <c r="O45" s="56"/>
      <c r="P45" s="57">
        <v>0.85</v>
      </c>
      <c r="Q45" s="56">
        <v>18400</v>
      </c>
      <c r="R45" s="56">
        <v>6979.7</v>
      </c>
      <c r="S45" s="58">
        <v>12.936999999999999</v>
      </c>
      <c r="T45" s="56">
        <v>0.1</v>
      </c>
      <c r="U45" s="56">
        <f t="shared" si="4"/>
        <v>25.693377697274222</v>
      </c>
      <c r="V45" s="56">
        <f t="shared" si="5"/>
        <v>482813.76685922785</v>
      </c>
      <c r="W45" s="59">
        <v>40170</v>
      </c>
    </row>
    <row r="46" spans="1:23">
      <c r="A46" s="146"/>
      <c r="B46" s="53" t="s">
        <v>245</v>
      </c>
      <c r="C46" s="28" t="s">
        <v>246</v>
      </c>
      <c r="D46" s="28" t="s">
        <v>247</v>
      </c>
      <c r="E46" s="28" t="s">
        <v>248</v>
      </c>
      <c r="F46" s="54">
        <f>49025*0.4536</f>
        <v>22237.74</v>
      </c>
      <c r="G46" s="54">
        <v>22187.68</v>
      </c>
      <c r="H46" s="54">
        <f t="shared" si="0"/>
        <v>-50.06000000000131</v>
      </c>
      <c r="I46" t="s">
        <v>151</v>
      </c>
      <c r="J46" s="28"/>
      <c r="K46" s="55">
        <v>40168</v>
      </c>
      <c r="L46" s="55">
        <v>40169</v>
      </c>
      <c r="M46" s="28" t="s">
        <v>257</v>
      </c>
      <c r="N46" s="28" t="s">
        <v>338</v>
      </c>
      <c r="O46" s="56"/>
      <c r="P46" s="57">
        <v>0.9</v>
      </c>
      <c r="Q46" s="56"/>
      <c r="R46" s="56"/>
      <c r="S46" s="58">
        <v>12.936999999999999</v>
      </c>
      <c r="T46" s="56"/>
      <c r="U46" s="56">
        <f>P46/0.4536*S46</f>
        <v>25.668650793650794</v>
      </c>
      <c r="V46" s="56">
        <f t="shared" si="5"/>
        <v>570812.78250000009</v>
      </c>
      <c r="W46" s="59">
        <v>40171</v>
      </c>
    </row>
    <row r="47" spans="1:23">
      <c r="A47" s="146"/>
      <c r="B47" s="53" t="s">
        <v>245</v>
      </c>
      <c r="C47" s="28" t="s">
        <v>246</v>
      </c>
      <c r="D47" s="28" t="s">
        <v>247</v>
      </c>
      <c r="E47" s="28" t="s">
        <v>248</v>
      </c>
      <c r="F47" s="54">
        <f>49014*0.4536</f>
        <v>22232.750400000001</v>
      </c>
      <c r="G47" s="54">
        <v>22160.38</v>
      </c>
      <c r="H47" s="54">
        <f t="shared" si="0"/>
        <v>-72.37039999999979</v>
      </c>
      <c r="I47" t="s">
        <v>196</v>
      </c>
      <c r="J47" s="28"/>
      <c r="K47" s="55">
        <v>40168</v>
      </c>
      <c r="L47" s="55">
        <v>40170</v>
      </c>
      <c r="M47" s="28" t="s">
        <v>250</v>
      </c>
      <c r="N47" s="28" t="s">
        <v>338</v>
      </c>
      <c r="O47" s="56"/>
      <c r="P47" s="57">
        <v>0.9</v>
      </c>
      <c r="Q47" s="56"/>
      <c r="R47" s="56"/>
      <c r="S47" s="58">
        <v>13.087</v>
      </c>
      <c r="T47" s="56"/>
      <c r="U47" s="56">
        <f>P47/0.4536*S47</f>
        <v>25.966269841269842</v>
      </c>
      <c r="V47" s="56">
        <f t="shared" si="5"/>
        <v>577301.59620000003</v>
      </c>
      <c r="W47" s="59">
        <v>40178</v>
      </c>
    </row>
    <row r="48" spans="1:23">
      <c r="A48" s="146"/>
      <c r="B48" s="53" t="s">
        <v>245</v>
      </c>
      <c r="C48" s="28" t="s">
        <v>246</v>
      </c>
      <c r="D48" s="28" t="s">
        <v>247</v>
      </c>
      <c r="E48" s="28" t="s">
        <v>254</v>
      </c>
      <c r="F48" s="54">
        <f>44450*0.4536</f>
        <v>20162.52</v>
      </c>
      <c r="G48" s="54">
        <v>20115.759999999998</v>
      </c>
      <c r="H48" s="54">
        <f t="shared" si="0"/>
        <v>-46.760000000002037</v>
      </c>
      <c r="I48" s="28" t="s">
        <v>339</v>
      </c>
      <c r="J48" s="28"/>
      <c r="K48" s="55">
        <v>40168</v>
      </c>
      <c r="L48" s="55">
        <v>40171</v>
      </c>
      <c r="M48" s="28" t="s">
        <v>288</v>
      </c>
      <c r="N48" s="28" t="s">
        <v>338</v>
      </c>
      <c r="O48" s="56"/>
      <c r="P48" s="57">
        <v>0.86</v>
      </c>
      <c r="Q48" s="56"/>
      <c r="R48" s="56"/>
      <c r="S48" s="58">
        <v>13.096</v>
      </c>
      <c r="T48" s="56"/>
      <c r="U48" s="56">
        <f>P48/0.4536*S48</f>
        <v>24.829276895943561</v>
      </c>
      <c r="V48" s="56">
        <f t="shared" si="5"/>
        <v>500620.79199999996</v>
      </c>
      <c r="W48" s="59">
        <v>40176</v>
      </c>
    </row>
    <row r="49" spans="1:23">
      <c r="A49" s="146"/>
      <c r="B49" s="53" t="s">
        <v>245</v>
      </c>
      <c r="C49" s="28" t="s">
        <v>252</v>
      </c>
      <c r="D49" s="28" t="s">
        <v>253</v>
      </c>
      <c r="E49" s="28" t="s">
        <v>254</v>
      </c>
      <c r="F49" s="54">
        <v>18554.66</v>
      </c>
      <c r="G49" s="54">
        <v>18503.43</v>
      </c>
      <c r="H49" s="54">
        <f t="shared" si="0"/>
        <v>-51.229999999999563</v>
      </c>
      <c r="I49" s="28" t="s">
        <v>340</v>
      </c>
      <c r="J49" s="61" t="s">
        <v>256</v>
      </c>
      <c r="K49" s="55">
        <v>40170</v>
      </c>
      <c r="L49" s="55">
        <v>40171</v>
      </c>
      <c r="M49" s="28" t="s">
        <v>288</v>
      </c>
      <c r="N49" s="28" t="s">
        <v>341</v>
      </c>
      <c r="O49" s="56"/>
      <c r="P49" s="57">
        <v>0.81</v>
      </c>
      <c r="Q49" s="56">
        <v>18400</v>
      </c>
      <c r="R49" s="56">
        <v>7132.5</v>
      </c>
      <c r="S49" s="58">
        <v>12.974</v>
      </c>
      <c r="T49" s="56">
        <v>0.1</v>
      </c>
      <c r="U49" s="56">
        <f>IF(O49&gt;0,O49,((P49*2.2046*S49)+(Q49+R49)/F49)+T49)</f>
        <v>24.644078531900767</v>
      </c>
      <c r="V49" s="56">
        <f t="shared" si="5"/>
        <v>457262.49817271787</v>
      </c>
      <c r="W49" s="59">
        <v>40177</v>
      </c>
    </row>
    <row r="50" spans="1:23">
      <c r="A50" s="146"/>
      <c r="B50" s="53" t="s">
        <v>245</v>
      </c>
      <c r="C50" s="28" t="s">
        <v>252</v>
      </c>
      <c r="D50" s="28" t="s">
        <v>253</v>
      </c>
      <c r="E50" s="28" t="s">
        <v>254</v>
      </c>
      <c r="F50" s="54">
        <v>17773.7</v>
      </c>
      <c r="G50" s="54">
        <v>17726.98</v>
      </c>
      <c r="H50" s="54">
        <f t="shared" si="0"/>
        <v>-46.720000000001164</v>
      </c>
      <c r="I50" s="28" t="s">
        <v>342</v>
      </c>
      <c r="J50" s="61" t="s">
        <v>256</v>
      </c>
      <c r="K50" s="55">
        <v>40170</v>
      </c>
      <c r="L50" s="55">
        <v>40171</v>
      </c>
      <c r="M50" s="28" t="s">
        <v>288</v>
      </c>
      <c r="N50" s="28" t="s">
        <v>341</v>
      </c>
      <c r="O50" s="56"/>
      <c r="P50" s="57">
        <v>0.81</v>
      </c>
      <c r="Q50" s="56">
        <v>18400</v>
      </c>
      <c r="R50" s="56">
        <v>7132.5</v>
      </c>
      <c r="S50" s="58">
        <v>12.974</v>
      </c>
      <c r="T50" s="56">
        <v>0.1</v>
      </c>
      <c r="U50" s="56">
        <f>IF(O50&gt;0,O50,((P50*2.2046*S50)+(Q50+R50)/F50)+T50)</f>
        <v>24.704541753671933</v>
      </c>
      <c r="V50" s="56">
        <f t="shared" si="5"/>
        <v>439091.11376723886</v>
      </c>
      <c r="W50" s="59">
        <v>40175</v>
      </c>
    </row>
    <row r="51" spans="1:23">
      <c r="A51" s="146"/>
      <c r="B51" s="53" t="s">
        <v>245</v>
      </c>
      <c r="C51" s="28" t="s">
        <v>280</v>
      </c>
      <c r="D51" s="54" t="s">
        <v>310</v>
      </c>
      <c r="E51" s="28" t="s">
        <v>324</v>
      </c>
      <c r="F51" s="60">
        <v>17916.5</v>
      </c>
      <c r="G51" s="54">
        <v>17900.02</v>
      </c>
      <c r="H51" s="54">
        <f t="shared" si="0"/>
        <v>-16.479999999999563</v>
      </c>
      <c r="I51" s="28" t="s">
        <v>165</v>
      </c>
      <c r="J51" s="28"/>
      <c r="K51" s="55"/>
      <c r="L51" s="55">
        <v>40171</v>
      </c>
      <c r="M51" s="28" t="s">
        <v>288</v>
      </c>
      <c r="N51" s="28"/>
      <c r="O51" s="56"/>
      <c r="P51" s="57">
        <v>0.89</v>
      </c>
      <c r="Q51" s="56">
        <f>1*F51</f>
        <v>17916.5</v>
      </c>
      <c r="R51" s="56"/>
      <c r="S51" s="58">
        <v>13.087</v>
      </c>
      <c r="T51" s="56"/>
      <c r="U51" s="56">
        <f>IF(O51&gt;0,O51,((P51*2.2046*S51)+(Q51+R51)/F51)+T51)</f>
        <v>26.677924178000001</v>
      </c>
      <c r="V51" s="56">
        <f t="shared" si="5"/>
        <v>477975.02853513701</v>
      </c>
      <c r="W51" s="59">
        <v>40175</v>
      </c>
    </row>
    <row r="52" spans="1:23" ht="13.5" thickBot="1">
      <c r="A52" s="146"/>
      <c r="B52" s="69"/>
      <c r="C52" s="46"/>
      <c r="D52" s="46"/>
      <c r="E52" s="46"/>
      <c r="F52" s="47"/>
      <c r="G52" s="47"/>
      <c r="H52" s="47"/>
      <c r="I52" s="48"/>
      <c r="J52" s="46"/>
      <c r="K52" s="49"/>
      <c r="L52" s="49"/>
      <c r="M52" s="46"/>
      <c r="N52" s="46"/>
      <c r="O52" s="50"/>
      <c r="P52" s="51"/>
      <c r="Q52" s="50"/>
      <c r="R52" s="50"/>
      <c r="S52" s="50"/>
      <c r="T52" s="50"/>
      <c r="U52" s="50"/>
      <c r="V52" s="50"/>
      <c r="W52" s="64"/>
    </row>
    <row r="53" spans="1:23">
      <c r="A53" s="147"/>
      <c r="B53" s="53" t="s">
        <v>245</v>
      </c>
      <c r="C53" s="28" t="s">
        <v>276</v>
      </c>
      <c r="D53" s="28" t="s">
        <v>247</v>
      </c>
      <c r="E53" s="28" t="s">
        <v>324</v>
      </c>
      <c r="F53" s="54">
        <f>42218*0.4536</f>
        <v>19150.084800000001</v>
      </c>
      <c r="G53" s="54">
        <v>19073.740000000002</v>
      </c>
      <c r="H53" s="54">
        <f>G53-F53</f>
        <v>-76.344799999998941</v>
      </c>
      <c r="I53" s="28" t="s">
        <v>204</v>
      </c>
      <c r="J53" s="28"/>
      <c r="K53" s="55">
        <v>40175</v>
      </c>
      <c r="L53" s="55">
        <v>40177</v>
      </c>
      <c r="M53" s="28" t="s">
        <v>250</v>
      </c>
      <c r="N53" s="28" t="s">
        <v>343</v>
      </c>
      <c r="O53" s="56"/>
      <c r="P53" s="57">
        <v>0.78</v>
      </c>
      <c r="Q53" s="56"/>
      <c r="R53" s="56"/>
      <c r="S53" s="58">
        <v>13.108000000000001</v>
      </c>
      <c r="T53" s="56"/>
      <c r="U53" s="56">
        <f>P53/0.4536*S53</f>
        <v>22.540211640211641</v>
      </c>
      <c r="V53" s="56">
        <f t="shared" si="5"/>
        <v>431646.96432000003</v>
      </c>
      <c r="W53" s="59">
        <v>40178</v>
      </c>
    </row>
    <row r="54" spans="1:23">
      <c r="A54" s="147"/>
      <c r="B54" s="53" t="s">
        <v>245</v>
      </c>
      <c r="C54" s="28" t="s">
        <v>246</v>
      </c>
      <c r="D54" s="28" t="s">
        <v>247</v>
      </c>
      <c r="E54" s="28" t="s">
        <v>254</v>
      </c>
      <c r="F54" s="54">
        <f>44392*0.4536</f>
        <v>20136.211200000002</v>
      </c>
      <c r="G54" s="54">
        <v>20069.43</v>
      </c>
      <c r="H54" s="54">
        <f>G54-F54</f>
        <v>-66.781200000001263</v>
      </c>
      <c r="I54" s="28" t="s">
        <v>208</v>
      </c>
      <c r="J54" s="28"/>
      <c r="K54" s="55">
        <v>40175</v>
      </c>
      <c r="L54" s="55">
        <v>40177</v>
      </c>
      <c r="M54" s="28" t="s">
        <v>250</v>
      </c>
      <c r="N54" s="28" t="s">
        <v>343</v>
      </c>
      <c r="O54" s="56"/>
      <c r="P54" s="57">
        <v>0.78</v>
      </c>
      <c r="Q54" s="56"/>
      <c r="R54" s="56"/>
      <c r="S54" s="58">
        <v>13.108000000000001</v>
      </c>
      <c r="T54" s="56"/>
      <c r="U54" s="56">
        <f>P54/0.4536*S54</f>
        <v>22.540211640211641</v>
      </c>
      <c r="V54" s="56">
        <f t="shared" si="5"/>
        <v>453874.46208000008</v>
      </c>
      <c r="W54" s="59">
        <v>40178</v>
      </c>
    </row>
    <row r="55" spans="1:23">
      <c r="A55" s="147"/>
      <c r="B55" s="53" t="s">
        <v>245</v>
      </c>
      <c r="C55" s="28" t="s">
        <v>252</v>
      </c>
      <c r="D55" s="28" t="s">
        <v>253</v>
      </c>
      <c r="E55" s="28" t="s">
        <v>254</v>
      </c>
      <c r="F55" s="54">
        <f>40463*0.4536</f>
        <v>18354.016800000001</v>
      </c>
      <c r="G55" s="54">
        <v>18361.54</v>
      </c>
      <c r="H55" s="54">
        <f>G55-F55</f>
        <v>7.5231999999996333</v>
      </c>
      <c r="I55" s="28" t="s">
        <v>344</v>
      </c>
      <c r="J55" s="61" t="s">
        <v>256</v>
      </c>
      <c r="K55" s="55">
        <v>40175</v>
      </c>
      <c r="L55" s="55">
        <v>40177</v>
      </c>
      <c r="M55" s="28" t="s">
        <v>250</v>
      </c>
      <c r="N55" s="28" t="s">
        <v>345</v>
      </c>
      <c r="O55" s="56"/>
      <c r="P55" s="57">
        <v>0.73</v>
      </c>
      <c r="Q55" s="56">
        <v>18400</v>
      </c>
      <c r="R55" s="56">
        <v>7132.5</v>
      </c>
      <c r="S55" s="58">
        <v>13.108000000000001</v>
      </c>
      <c r="T55" s="56">
        <v>0.1</v>
      </c>
      <c r="U55" s="56">
        <f>IF(O55&gt;0,O55,((P55*2.2046*S55)+(Q55+R55)/F55)+T55)</f>
        <v>22.58657704437006</v>
      </c>
      <c r="V55" s="56">
        <f>U55*F55</f>
        <v>414554.41452686244</v>
      </c>
      <c r="W55" s="59">
        <v>40176</v>
      </c>
    </row>
    <row r="56" spans="1:23">
      <c r="A56" s="147"/>
      <c r="B56" s="53" t="s">
        <v>50</v>
      </c>
      <c r="C56" s="28" t="s">
        <v>253</v>
      </c>
      <c r="D56" s="54" t="s">
        <v>253</v>
      </c>
      <c r="E56" s="28" t="s">
        <v>346</v>
      </c>
      <c r="F56" s="54">
        <f>36000*0.4536</f>
        <v>16329.6</v>
      </c>
      <c r="G56" s="54">
        <v>16329.6</v>
      </c>
      <c r="H56" s="54">
        <f>G56-F56</f>
        <v>0</v>
      </c>
      <c r="I56" s="25" t="s">
        <v>347</v>
      </c>
      <c r="J56" s="61" t="s">
        <v>256</v>
      </c>
      <c r="K56" s="55">
        <v>40177</v>
      </c>
      <c r="L56" s="55">
        <v>40178</v>
      </c>
      <c r="M56" s="28" t="s">
        <v>288</v>
      </c>
      <c r="N56" s="28"/>
      <c r="O56" s="56"/>
      <c r="P56" s="57">
        <v>1.39</v>
      </c>
      <c r="Q56" s="56">
        <v>18400</v>
      </c>
      <c r="R56" s="56">
        <v>6100.5</v>
      </c>
      <c r="S56" s="74">
        <v>13.5</v>
      </c>
      <c r="T56" s="56">
        <v>0.1</v>
      </c>
      <c r="U56" s="75">
        <f>IF(O56&gt;0,O56,((P56*2.2046*S56)+(Q56+R56)/F56)+T56)</f>
        <v>42.969692554771711</v>
      </c>
      <c r="V56" s="56">
        <f t="shared" si="5"/>
        <v>701677.89154240012</v>
      </c>
      <c r="W56" s="59">
        <v>40178</v>
      </c>
    </row>
    <row r="57" spans="1:23" ht="13.5" thickBot="1">
      <c r="A57" s="147"/>
      <c r="B57" s="69"/>
      <c r="C57" s="46"/>
      <c r="D57" s="46"/>
      <c r="E57" s="46"/>
      <c r="F57" s="47"/>
      <c r="G57" s="47"/>
      <c r="H57" s="47"/>
      <c r="I57" s="48"/>
      <c r="J57" s="46"/>
      <c r="K57" s="49"/>
      <c r="L57" s="49"/>
      <c r="M57" s="46"/>
      <c r="N57" s="46"/>
      <c r="O57" s="50"/>
      <c r="P57" s="51"/>
      <c r="Q57" s="50"/>
      <c r="R57" s="50"/>
      <c r="S57" s="50"/>
      <c r="T57" s="50"/>
      <c r="U57" s="50"/>
      <c r="V57" s="50"/>
      <c r="W57" s="64"/>
    </row>
    <row r="58" spans="1:23">
      <c r="B58" s="2"/>
      <c r="D58" s="2"/>
      <c r="F58" s="2"/>
      <c r="I58" s="25"/>
      <c r="J58" s="25"/>
      <c r="K58" s="25"/>
      <c r="L58" s="25"/>
      <c r="M58" s="43"/>
      <c r="N58" s="7"/>
      <c r="O58" s="43"/>
      <c r="P58" s="43"/>
      <c r="Q58" s="25"/>
      <c r="R58" s="25"/>
      <c r="S58" s="25"/>
      <c r="T58" s="25"/>
    </row>
  </sheetData>
  <mergeCells count="4">
    <mergeCell ref="A6:A9"/>
    <mergeCell ref="A11:A23"/>
    <mergeCell ref="A39:A52"/>
    <mergeCell ref="A53:A57"/>
  </mergeCells>
  <phoneticPr fontId="4" type="noConversion"/>
  <pageMargins left="0.47" right="0.15748031496062992" top="0.31496062992125984" bottom="0.35433070866141736" header="0" footer="0"/>
  <pageSetup paperSize="5" scale="72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:I42"/>
  <sheetViews>
    <sheetView workbookViewId="0">
      <selection activeCell="C5" sqref="C5"/>
    </sheetView>
  </sheetViews>
  <sheetFormatPr baseColWidth="10" defaultRowHeight="12.75"/>
  <cols>
    <col min="1" max="1" width="26.140625" customWidth="1"/>
    <col min="4" max="4" width="9.5703125" customWidth="1"/>
    <col min="6" max="6" width="14.7109375" customWidth="1"/>
    <col min="7" max="7" width="0" hidden="1" customWidth="1"/>
  </cols>
  <sheetData>
    <row r="2" spans="1:8">
      <c r="B2" s="1" t="s">
        <v>351</v>
      </c>
      <c r="C2" s="23"/>
      <c r="D2" s="1"/>
    </row>
    <row r="3" spans="1:8">
      <c r="B3" s="1"/>
      <c r="C3" s="23"/>
      <c r="D3" s="1"/>
    </row>
    <row r="4" spans="1:8">
      <c r="B4" s="1"/>
      <c r="C4" s="23"/>
      <c r="D4" s="1"/>
    </row>
    <row r="5" spans="1:8">
      <c r="B5" s="1" t="s">
        <v>352</v>
      </c>
      <c r="C5" s="23"/>
      <c r="D5" s="1"/>
    </row>
    <row r="6" spans="1:8">
      <c r="B6" s="1"/>
      <c r="C6" s="23"/>
      <c r="D6" s="1"/>
    </row>
    <row r="7" spans="1:8">
      <c r="B7" s="76"/>
      <c r="C7" s="23" t="s">
        <v>353</v>
      </c>
      <c r="D7" s="76">
        <v>40178</v>
      </c>
    </row>
    <row r="9" spans="1:8">
      <c r="A9" s="77" t="s">
        <v>3</v>
      </c>
      <c r="B9" s="78"/>
      <c r="C9" s="79" t="s">
        <v>354</v>
      </c>
      <c r="D9" s="80" t="s">
        <v>355</v>
      </c>
      <c r="E9" s="80" t="s">
        <v>356</v>
      </c>
      <c r="F9" s="80" t="s">
        <v>98</v>
      </c>
      <c r="G9" s="81" t="s">
        <v>357</v>
      </c>
    </row>
    <row r="10" spans="1:8">
      <c r="A10" s="77"/>
      <c r="B10" s="78"/>
      <c r="C10" s="79"/>
      <c r="D10" s="80"/>
      <c r="E10" s="80"/>
      <c r="F10" s="80"/>
      <c r="G10" s="1" t="s">
        <v>358</v>
      </c>
    </row>
    <row r="11" spans="1:8">
      <c r="A11" s="77" t="s">
        <v>359</v>
      </c>
      <c r="B11" s="78"/>
      <c r="C11" s="82">
        <f>13.61*D11</f>
        <v>421.90999999999997</v>
      </c>
      <c r="D11" s="83">
        <v>31</v>
      </c>
      <c r="E11" s="84">
        <v>35.5</v>
      </c>
      <c r="F11" s="85">
        <f t="shared" ref="F11:F31" si="0">E11*C11</f>
        <v>14977.804999999998</v>
      </c>
      <c r="G11" s="86">
        <f>E11+0.5</f>
        <v>36</v>
      </c>
    </row>
    <row r="12" spans="1:8">
      <c r="A12" s="77" t="s">
        <v>360</v>
      </c>
      <c r="B12" s="78"/>
      <c r="C12" s="87">
        <v>81.19</v>
      </c>
      <c r="D12" s="88">
        <v>3</v>
      </c>
      <c r="E12" s="84">
        <v>40.090000000000003</v>
      </c>
      <c r="F12" s="85">
        <f t="shared" si="0"/>
        <v>3254.9071000000004</v>
      </c>
      <c r="G12" s="86"/>
    </row>
    <row r="13" spans="1:8">
      <c r="A13" s="77" t="s">
        <v>361</v>
      </c>
      <c r="B13" s="78"/>
      <c r="C13" s="87">
        <v>12783.4</v>
      </c>
      <c r="D13" s="88">
        <v>437</v>
      </c>
      <c r="E13" s="84">
        <v>46.2</v>
      </c>
      <c r="F13" s="85">
        <f t="shared" si="0"/>
        <v>590593.08000000007</v>
      </c>
      <c r="G13" s="86"/>
      <c r="H13" s="89"/>
    </row>
    <row r="14" spans="1:8">
      <c r="A14" s="77" t="s">
        <v>362</v>
      </c>
      <c r="B14" s="78"/>
      <c r="C14" s="87">
        <f>13*D14</f>
        <v>7670</v>
      </c>
      <c r="D14" s="88">
        <v>590</v>
      </c>
      <c r="E14" s="84">
        <v>25</v>
      </c>
      <c r="F14" s="85">
        <f t="shared" si="0"/>
        <v>191750</v>
      </c>
      <c r="G14" s="86">
        <f t="shared" ref="G14:G31" si="1">E14+0.5</f>
        <v>25.5</v>
      </c>
    </row>
    <row r="15" spans="1:8">
      <c r="A15" s="77" t="s">
        <v>363</v>
      </c>
      <c r="B15" s="78"/>
      <c r="C15" s="87">
        <f>13.61*D15</f>
        <v>68.05</v>
      </c>
      <c r="D15" s="88">
        <v>5</v>
      </c>
      <c r="E15" s="84">
        <v>30.2</v>
      </c>
      <c r="F15" s="85">
        <f t="shared" si="0"/>
        <v>2055.1099999999997</v>
      </c>
      <c r="G15" s="86"/>
    </row>
    <row r="16" spans="1:8">
      <c r="A16" s="77" t="s">
        <v>364</v>
      </c>
      <c r="B16" s="78"/>
      <c r="C16" s="87">
        <f>4.54*D16</f>
        <v>3445.86</v>
      </c>
      <c r="D16" s="88">
        <v>759</v>
      </c>
      <c r="E16" s="84">
        <v>10.89</v>
      </c>
      <c r="F16" s="85">
        <f t="shared" si="0"/>
        <v>37525.415400000005</v>
      </c>
      <c r="G16" s="86">
        <f t="shared" si="1"/>
        <v>11.39</v>
      </c>
    </row>
    <row r="17" spans="1:8">
      <c r="A17" s="77" t="s">
        <v>365</v>
      </c>
      <c r="B17" s="78"/>
      <c r="C17" s="87">
        <f>27.22*D17</f>
        <v>9336.4599999999991</v>
      </c>
      <c r="D17" s="88">
        <f>420-77</f>
        <v>343</v>
      </c>
      <c r="E17" s="84">
        <v>14.05</v>
      </c>
      <c r="F17" s="85">
        <f t="shared" si="0"/>
        <v>131177.26300000001</v>
      </c>
      <c r="G17" s="86">
        <f t="shared" si="1"/>
        <v>14.55</v>
      </c>
    </row>
    <row r="18" spans="1:8">
      <c r="A18" s="77" t="s">
        <v>365</v>
      </c>
      <c r="B18" s="78"/>
      <c r="C18" s="87">
        <f>27.22*D18</f>
        <v>2095.94</v>
      </c>
      <c r="D18" s="88">
        <v>77</v>
      </c>
      <c r="E18" s="84">
        <v>0</v>
      </c>
      <c r="F18" s="85">
        <f t="shared" si="0"/>
        <v>0</v>
      </c>
      <c r="G18" s="86"/>
      <c r="H18" t="s">
        <v>366</v>
      </c>
    </row>
    <row r="19" spans="1:8">
      <c r="A19" s="77" t="s">
        <v>367</v>
      </c>
      <c r="B19" s="78"/>
      <c r="C19" s="87">
        <f>27.22*D19</f>
        <v>9581.4399999999987</v>
      </c>
      <c r="D19" s="88">
        <v>352</v>
      </c>
      <c r="E19" s="84">
        <v>15.19</v>
      </c>
      <c r="F19" s="85">
        <f t="shared" si="0"/>
        <v>145542.07359999997</v>
      </c>
      <c r="G19" s="86"/>
    </row>
    <row r="20" spans="1:8">
      <c r="A20" s="77" t="s">
        <v>368</v>
      </c>
      <c r="B20" s="78"/>
      <c r="C20" s="87">
        <f>13.61*D20</f>
        <v>1156.8499999999999</v>
      </c>
      <c r="D20" s="88">
        <v>85</v>
      </c>
      <c r="E20" s="84">
        <v>46</v>
      </c>
      <c r="F20" s="85">
        <f t="shared" si="0"/>
        <v>53215.1</v>
      </c>
      <c r="G20" s="86"/>
    </row>
    <row r="21" spans="1:8">
      <c r="A21" s="77" t="s">
        <v>369</v>
      </c>
      <c r="B21" s="78"/>
      <c r="C21" s="87">
        <v>1654.74</v>
      </c>
      <c r="D21" s="88">
        <v>125</v>
      </c>
      <c r="E21" s="84">
        <v>48.5</v>
      </c>
      <c r="F21" s="85">
        <f t="shared" si="0"/>
        <v>80254.89</v>
      </c>
      <c r="G21" s="86"/>
    </row>
    <row r="22" spans="1:8">
      <c r="A22" s="77" t="s">
        <v>370</v>
      </c>
      <c r="B22" s="78"/>
      <c r="C22" s="87">
        <f>31.752*D22</f>
        <v>9303.3359999999993</v>
      </c>
      <c r="D22" s="88">
        <v>293</v>
      </c>
      <c r="E22" s="84">
        <v>15</v>
      </c>
      <c r="F22" s="85">
        <f t="shared" si="0"/>
        <v>139550.03999999998</v>
      </c>
      <c r="G22" s="86">
        <f t="shared" si="1"/>
        <v>15.5</v>
      </c>
    </row>
    <row r="23" spans="1:8">
      <c r="A23" s="77" t="s">
        <v>371</v>
      </c>
      <c r="B23" s="78"/>
      <c r="C23" s="87">
        <f>13.61*D23</f>
        <v>1837.35</v>
      </c>
      <c r="D23" s="88">
        <v>135</v>
      </c>
      <c r="E23" s="84">
        <v>13.2</v>
      </c>
      <c r="F23" s="85">
        <f t="shared" si="0"/>
        <v>24253.019999999997</v>
      </c>
      <c r="G23" s="86">
        <f t="shared" si="1"/>
        <v>13.7</v>
      </c>
    </row>
    <row r="24" spans="1:8">
      <c r="A24" s="77" t="s">
        <v>372</v>
      </c>
      <c r="B24" s="78"/>
      <c r="C24" s="87">
        <v>19150.009999999998</v>
      </c>
      <c r="D24" s="88">
        <v>20</v>
      </c>
      <c r="E24" s="84">
        <v>22.54</v>
      </c>
      <c r="F24" s="85">
        <f t="shared" si="0"/>
        <v>431641.22539999994</v>
      </c>
      <c r="G24" s="86">
        <f t="shared" si="1"/>
        <v>23.04</v>
      </c>
    </row>
    <row r="25" spans="1:8">
      <c r="A25" s="77" t="s">
        <v>373</v>
      </c>
      <c r="B25" s="78"/>
      <c r="C25" s="87">
        <v>14291.17</v>
      </c>
      <c r="D25" s="88">
        <v>17</v>
      </c>
      <c r="E25" s="84">
        <v>22.54</v>
      </c>
      <c r="F25" s="85">
        <f t="shared" si="0"/>
        <v>322122.9718</v>
      </c>
      <c r="G25" s="86">
        <f t="shared" si="1"/>
        <v>23.04</v>
      </c>
    </row>
    <row r="26" spans="1:8">
      <c r="A26" s="77" t="s">
        <v>374</v>
      </c>
      <c r="B26" s="78"/>
      <c r="C26" s="87">
        <v>20215</v>
      </c>
      <c r="D26" s="88">
        <v>22</v>
      </c>
      <c r="E26" s="84">
        <v>22.54</v>
      </c>
      <c r="F26" s="85">
        <f t="shared" si="0"/>
        <v>455646.1</v>
      </c>
      <c r="G26" s="86"/>
    </row>
    <row r="27" spans="1:8">
      <c r="A27" s="77" t="s">
        <v>374</v>
      </c>
      <c r="B27" s="78"/>
      <c r="C27" s="87">
        <v>7376.8</v>
      </c>
      <c r="D27" s="88">
        <v>8</v>
      </c>
      <c r="E27" s="84">
        <v>24.83</v>
      </c>
      <c r="F27" s="85">
        <f t="shared" si="0"/>
        <v>183165.94399999999</v>
      </c>
      <c r="G27" s="86"/>
    </row>
    <row r="28" spans="1:8">
      <c r="A28" s="77" t="s">
        <v>375</v>
      </c>
      <c r="B28" s="78"/>
      <c r="C28" s="87">
        <v>14204.8</v>
      </c>
      <c r="D28" s="88">
        <v>16</v>
      </c>
      <c r="E28" s="84">
        <v>25.73</v>
      </c>
      <c r="F28" s="85">
        <f t="shared" si="0"/>
        <v>365489.50400000002</v>
      </c>
      <c r="G28" s="86"/>
    </row>
    <row r="29" spans="1:8">
      <c r="A29" s="77" t="s">
        <v>376</v>
      </c>
      <c r="B29" s="78"/>
      <c r="C29" s="87">
        <f>5.4432*D29</f>
        <v>3271.3632000000002</v>
      </c>
      <c r="D29" s="88">
        <v>601</v>
      </c>
      <c r="E29" s="84">
        <v>41.2</v>
      </c>
      <c r="F29" s="85">
        <f t="shared" si="0"/>
        <v>134780.16384000002</v>
      </c>
      <c r="G29" s="86">
        <f t="shared" si="1"/>
        <v>41.7</v>
      </c>
    </row>
    <row r="30" spans="1:8">
      <c r="A30" s="77" t="s">
        <v>376</v>
      </c>
      <c r="B30" s="78"/>
      <c r="C30" s="87">
        <f>5.4432*D30</f>
        <v>16329.6</v>
      </c>
      <c r="D30" s="88">
        <v>3000</v>
      </c>
      <c r="E30" s="84">
        <v>42.97</v>
      </c>
      <c r="F30" s="85">
        <f t="shared" si="0"/>
        <v>701682.91200000001</v>
      </c>
      <c r="G30" s="86">
        <f t="shared" si="1"/>
        <v>43.47</v>
      </c>
      <c r="H30" t="s">
        <v>377</v>
      </c>
    </row>
    <row r="31" spans="1:8">
      <c r="A31" s="77" t="s">
        <v>378</v>
      </c>
      <c r="B31" s="78"/>
      <c r="C31" s="87">
        <f>13.61*D31</f>
        <v>5906.74</v>
      </c>
      <c r="D31" s="88">
        <v>434</v>
      </c>
      <c r="E31" s="84">
        <v>27.08</v>
      </c>
      <c r="F31" s="85">
        <f t="shared" si="0"/>
        <v>159954.51919999998</v>
      </c>
      <c r="G31" s="86">
        <f t="shared" si="1"/>
        <v>27.58</v>
      </c>
    </row>
    <row r="32" spans="1:8">
      <c r="A32" s="90"/>
      <c r="B32" s="90"/>
      <c r="C32" s="91"/>
      <c r="D32" s="92"/>
      <c r="E32" s="93"/>
      <c r="F32" s="94"/>
      <c r="G32" s="86"/>
    </row>
    <row r="33" spans="1:9">
      <c r="A33" s="95"/>
      <c r="B33" s="1" t="s">
        <v>98</v>
      </c>
      <c r="C33" s="23">
        <f>SUM(C10:C32)</f>
        <v>160182.00919999997</v>
      </c>
      <c r="D33" s="1">
        <f>SUM(D10:D32)</f>
        <v>7353</v>
      </c>
      <c r="E33" s="27"/>
      <c r="F33" s="17">
        <f>SUM(F10:F32)</f>
        <v>4168632.0443400005</v>
      </c>
      <c r="G33" s="86"/>
    </row>
    <row r="34" spans="1:9" s="21" customFormat="1">
      <c r="A34" s="95"/>
      <c r="B34" s="95"/>
      <c r="C34" s="20"/>
      <c r="E34" s="71"/>
      <c r="F34" s="96"/>
      <c r="G34" s="97"/>
    </row>
    <row r="35" spans="1:9" s="21" customFormat="1">
      <c r="A35" s="77" t="s">
        <v>379</v>
      </c>
      <c r="B35" s="78"/>
      <c r="C35" s="87">
        <v>46.11</v>
      </c>
      <c r="D35" s="88">
        <v>2</v>
      </c>
      <c r="E35" s="84">
        <v>22</v>
      </c>
      <c r="F35" s="85">
        <f>E35*C35</f>
        <v>1014.42</v>
      </c>
      <c r="G35" s="97"/>
    </row>
    <row r="36" spans="1:9">
      <c r="A36" s="77" t="s">
        <v>380</v>
      </c>
      <c r="B36" s="78"/>
      <c r="C36" s="87">
        <v>72.400000000000006</v>
      </c>
      <c r="D36" s="88">
        <v>5</v>
      </c>
      <c r="E36" s="84">
        <v>22</v>
      </c>
      <c r="F36" s="85">
        <f>E36*C36</f>
        <v>1592.8000000000002</v>
      </c>
      <c r="G36" s="86"/>
      <c r="H36" s="21"/>
      <c r="I36" s="21"/>
    </row>
    <row r="37" spans="1:9">
      <c r="C37" s="2"/>
      <c r="E37" s="27"/>
      <c r="F37" s="5"/>
    </row>
    <row r="38" spans="1:9">
      <c r="B38" s="1" t="s">
        <v>98</v>
      </c>
      <c r="C38" s="23">
        <f>SUM(C35:C37)</f>
        <v>118.51</v>
      </c>
      <c r="D38" s="23">
        <f>SUM(D35:D37)</f>
        <v>7</v>
      </c>
      <c r="E38" s="27"/>
      <c r="F38" s="17">
        <f>SUM(F35:F37)</f>
        <v>2607.2200000000003</v>
      </c>
    </row>
    <row r="39" spans="1:9">
      <c r="E39" s="25"/>
    </row>
    <row r="42" spans="1:9">
      <c r="D42" s="1" t="s">
        <v>381</v>
      </c>
      <c r="E42" s="1"/>
      <c r="F42" s="98">
        <f>F33+F38</f>
        <v>4171239.2643400007</v>
      </c>
    </row>
  </sheetData>
  <phoneticPr fontId="4" type="noConversion"/>
  <pageMargins left="0.74803149606299213" right="0.74803149606299213" top="0.41" bottom="0.42" header="0" footer="0"/>
  <pageSetup orientation="landscape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8"/>
  <sheetViews>
    <sheetView zoomScale="75" workbookViewId="0">
      <selection activeCell="G4" sqref="G4"/>
    </sheetView>
  </sheetViews>
  <sheetFormatPr baseColWidth="10" defaultRowHeight="12.75"/>
  <cols>
    <col min="1" max="1" width="17.5703125" customWidth="1"/>
    <col min="2" max="2" width="28.28515625" customWidth="1"/>
    <col min="3" max="3" width="13.42578125" customWidth="1"/>
    <col min="4" max="8" width="15.140625" customWidth="1"/>
    <col min="9" max="9" width="14" style="7" customWidth="1"/>
    <col min="10" max="10" width="18.28515625" style="7" customWidth="1"/>
    <col min="11" max="11" width="15.7109375" hidden="1" customWidth="1"/>
    <col min="12" max="12" width="0" hidden="1" customWidth="1"/>
    <col min="13" max="13" width="12.7109375" hidden="1" customWidth="1"/>
    <col min="14" max="14" width="0" hidden="1" customWidth="1"/>
  </cols>
  <sheetData>
    <row r="1" spans="1:13">
      <c r="C1" s="2"/>
    </row>
    <row r="2" spans="1:13" ht="20.25">
      <c r="A2" t="s">
        <v>382</v>
      </c>
      <c r="B2" s="99" t="s">
        <v>351</v>
      </c>
    </row>
    <row r="3" spans="1:13">
      <c r="A3" s="100"/>
      <c r="C3" s="2"/>
    </row>
    <row r="4" spans="1:13">
      <c r="A4" s="100"/>
      <c r="C4" s="2"/>
    </row>
    <row r="5" spans="1:13" ht="18">
      <c r="B5" s="101" t="s">
        <v>352</v>
      </c>
    </row>
    <row r="7" spans="1:13" ht="15.75">
      <c r="B7" s="21"/>
      <c r="C7" s="102" t="s">
        <v>353</v>
      </c>
      <c r="D7" s="103">
        <v>40178</v>
      </c>
      <c r="E7" s="103"/>
      <c r="F7" s="103"/>
      <c r="G7" s="103"/>
      <c r="H7" s="103"/>
      <c r="I7" s="104"/>
    </row>
    <row r="8" spans="1:13" ht="15.75">
      <c r="B8" s="21"/>
      <c r="C8" s="102" t="s">
        <v>383</v>
      </c>
      <c r="D8" s="105"/>
      <c r="E8" s="106" t="s">
        <v>384</v>
      </c>
      <c r="F8" s="105"/>
      <c r="G8" s="106" t="s">
        <v>385</v>
      </c>
      <c r="H8" s="105"/>
      <c r="I8" s="104"/>
    </row>
    <row r="9" spans="1:13" ht="15.75">
      <c r="A9" s="107" t="s">
        <v>3</v>
      </c>
      <c r="B9" s="108"/>
      <c r="C9" s="109" t="s">
        <v>354</v>
      </c>
      <c r="D9" s="110" t="s">
        <v>355</v>
      </c>
      <c r="E9" s="109" t="s">
        <v>354</v>
      </c>
      <c r="F9" s="110" t="s">
        <v>355</v>
      </c>
      <c r="G9" s="109" t="s">
        <v>354</v>
      </c>
      <c r="H9" s="110" t="s">
        <v>355</v>
      </c>
      <c r="I9" s="110" t="s">
        <v>356</v>
      </c>
      <c r="J9" s="110" t="s">
        <v>98</v>
      </c>
      <c r="K9" s="111" t="s">
        <v>386</v>
      </c>
      <c r="L9" s="112"/>
      <c r="M9" s="25"/>
    </row>
    <row r="10" spans="1:13" ht="15">
      <c r="A10" s="113" t="str">
        <f>'[1]Bolsa 25X35'!$C$5</f>
        <v>BOLSA 25X35</v>
      </c>
      <c r="B10" s="114"/>
      <c r="C10" s="115">
        <f>'[1]Bolsa 25X35'!$G$208</f>
        <v>46.11</v>
      </c>
      <c r="D10" s="116">
        <f>'[1]Bolsa 25X35'!$H$208</f>
        <v>2</v>
      </c>
      <c r="E10" s="117">
        <v>46.11</v>
      </c>
      <c r="F10" s="116">
        <v>2</v>
      </c>
      <c r="G10" s="117">
        <f>E10-C10</f>
        <v>0</v>
      </c>
      <c r="H10" s="116">
        <f>F10-D10</f>
        <v>0</v>
      </c>
      <c r="I10" s="118">
        <v>22</v>
      </c>
      <c r="J10" s="118">
        <f>I10*E10</f>
        <v>1014.42</v>
      </c>
      <c r="K10" s="119">
        <f t="shared" ref="K10:K17" si="0">I10+0.5</f>
        <v>22.5</v>
      </c>
      <c r="L10" s="120">
        <v>23</v>
      </c>
      <c r="M10" s="121" t="s">
        <v>387</v>
      </c>
    </row>
    <row r="11" spans="1:13" ht="15">
      <c r="A11" s="113" t="str">
        <f>'[1]Bolsa 30X40'!C5</f>
        <v>BOLSA 30X40</v>
      </c>
      <c r="B11" s="114"/>
      <c r="C11" s="115">
        <f>'[1]Bolsa 30X40'!G207</f>
        <v>72.399999999999991</v>
      </c>
      <c r="D11" s="122">
        <f>'[1]Bolsa 30X40'!H207</f>
        <v>5</v>
      </c>
      <c r="E11" s="117">
        <v>72.400000000000006</v>
      </c>
      <c r="F11" s="122">
        <v>5</v>
      </c>
      <c r="G11" s="117">
        <f t="shared" ref="G11:H49" si="1">E11-C11</f>
        <v>0</v>
      </c>
      <c r="H11" s="116">
        <f t="shared" si="1"/>
        <v>0</v>
      </c>
      <c r="I11" s="118">
        <v>22</v>
      </c>
      <c r="J11" s="118">
        <f t="shared" ref="J11:J50" si="2">I11*E11</f>
        <v>1592.8000000000002</v>
      </c>
      <c r="K11" s="119">
        <f t="shared" si="0"/>
        <v>22.5</v>
      </c>
      <c r="L11" s="120">
        <v>23</v>
      </c>
      <c r="M11" s="121" t="s">
        <v>387</v>
      </c>
    </row>
    <row r="12" spans="1:13" ht="15" hidden="1">
      <c r="A12" s="123" t="str">
        <f>'[1]Bolsa 35X45'!$C$5</f>
        <v>BOLSA 35X45</v>
      </c>
      <c r="B12" s="124"/>
      <c r="C12" s="115">
        <f>'[1]Bolsa 35X45'!$G$208</f>
        <v>0</v>
      </c>
      <c r="D12" s="116">
        <f>'[1]Bolsa 35X45'!$H$208</f>
        <v>0</v>
      </c>
      <c r="E12" s="117"/>
      <c r="F12" s="116"/>
      <c r="G12" s="117">
        <f t="shared" si="1"/>
        <v>0</v>
      </c>
      <c r="H12" s="116">
        <f t="shared" si="1"/>
        <v>0</v>
      </c>
      <c r="I12" s="118">
        <v>22</v>
      </c>
      <c r="J12" s="118">
        <f t="shared" si="2"/>
        <v>0</v>
      </c>
      <c r="K12" s="119">
        <f t="shared" si="0"/>
        <v>22.5</v>
      </c>
      <c r="L12" s="120">
        <v>23</v>
      </c>
      <c r="M12" s="121" t="s">
        <v>387</v>
      </c>
    </row>
    <row r="13" spans="1:13" ht="18.75" hidden="1" customHeight="1">
      <c r="A13" s="125" t="str">
        <f>'[1]Bolsa 40X60'!$C$5</f>
        <v>BOLSA 40X60</v>
      </c>
      <c r="B13" s="126"/>
      <c r="C13" s="117">
        <f>'[1]Bolsa 40X60'!$G$208</f>
        <v>0</v>
      </c>
      <c r="D13" s="116">
        <f>'[1]Bolsa 40X60'!$H$208</f>
        <v>0</v>
      </c>
      <c r="E13" s="117"/>
      <c r="F13" s="116"/>
      <c r="G13" s="117">
        <f t="shared" si="1"/>
        <v>0</v>
      </c>
      <c r="H13" s="116">
        <f t="shared" si="1"/>
        <v>0</v>
      </c>
      <c r="I13" s="118">
        <v>22</v>
      </c>
      <c r="J13" s="118">
        <f t="shared" si="2"/>
        <v>0</v>
      </c>
      <c r="K13" s="119">
        <f t="shared" si="0"/>
        <v>22.5</v>
      </c>
      <c r="L13" s="120">
        <v>23</v>
      </c>
      <c r="M13" s="121" t="s">
        <v>387</v>
      </c>
    </row>
    <row r="14" spans="1:13" ht="15">
      <c r="A14" s="123" t="str">
        <f>'[1]BUCHE '!$C$5</f>
        <v xml:space="preserve">BUCHE </v>
      </c>
      <c r="B14" s="124"/>
      <c r="C14" s="115">
        <f>'[1]BUCHE '!$G$212</f>
        <v>421.9099999999998</v>
      </c>
      <c r="D14" s="116">
        <f>'[1]BUCHE '!$H$212</f>
        <v>31</v>
      </c>
      <c r="E14" s="117">
        <v>421.91</v>
      </c>
      <c r="F14" s="116">
        <v>31</v>
      </c>
      <c r="G14" s="117">
        <f t="shared" si="1"/>
        <v>0</v>
      </c>
      <c r="H14" s="116">
        <f t="shared" si="1"/>
        <v>0</v>
      </c>
      <c r="I14" s="118">
        <v>35.5</v>
      </c>
      <c r="J14" s="118">
        <f t="shared" si="2"/>
        <v>14977.805</v>
      </c>
      <c r="K14" s="119">
        <f t="shared" si="0"/>
        <v>36</v>
      </c>
      <c r="L14" s="120">
        <v>35</v>
      </c>
      <c r="M14" s="121" t="s">
        <v>388</v>
      </c>
    </row>
    <row r="15" spans="1:13" ht="15">
      <c r="A15" s="127" t="str">
        <f>'[1]CABEZA DE LOMO MAPLE'!$C$5</f>
        <v>CABEZA DE LOMO MAPLE</v>
      </c>
      <c r="B15" s="128"/>
      <c r="C15" s="117">
        <f>'[1]CABEZA DE LOMO MAPLE'!$G$211</f>
        <v>-5.6799999999996089</v>
      </c>
      <c r="D15" s="116">
        <f>'[1]CABEZA DE LOMO MAPLE'!$H$211</f>
        <v>0</v>
      </c>
      <c r="E15" s="117">
        <v>0</v>
      </c>
      <c r="F15" s="116">
        <v>0</v>
      </c>
      <c r="G15" s="117">
        <f t="shared" si="1"/>
        <v>5.6799999999996089</v>
      </c>
      <c r="H15" s="116">
        <f t="shared" si="1"/>
        <v>0</v>
      </c>
      <c r="I15" s="118">
        <v>23</v>
      </c>
      <c r="J15" s="118">
        <f t="shared" si="2"/>
        <v>0</v>
      </c>
      <c r="K15" s="119">
        <v>24</v>
      </c>
      <c r="L15" s="120">
        <v>29.5</v>
      </c>
      <c r="M15" s="121" t="s">
        <v>387</v>
      </c>
    </row>
    <row r="16" spans="1:13" ht="17.25" hidden="1" customHeight="1">
      <c r="A16" s="117" t="str">
        <f>'[1]Cabeza Puerco Premium'!$C$5</f>
        <v>CABEZA PUERCO PREMIUM</v>
      </c>
      <c r="B16" s="116"/>
      <c r="C16" s="117">
        <f>'[1]Cabeza Puerco Premium'!$G$208</f>
        <v>-8.6686213762732223E-13</v>
      </c>
      <c r="D16" s="116">
        <f>'[1]Cabeza Puerco Premium'!$H$208</f>
        <v>0</v>
      </c>
      <c r="E16" s="117"/>
      <c r="F16" s="116"/>
      <c r="G16" s="117">
        <f t="shared" si="1"/>
        <v>8.6686213762732223E-13</v>
      </c>
      <c r="H16" s="116">
        <f t="shared" si="1"/>
        <v>0</v>
      </c>
      <c r="I16" s="118">
        <v>13</v>
      </c>
      <c r="J16" s="118">
        <f t="shared" si="2"/>
        <v>0</v>
      </c>
      <c r="K16" s="119">
        <f t="shared" si="0"/>
        <v>13.5</v>
      </c>
      <c r="L16" s="120">
        <v>13.5</v>
      </c>
      <c r="M16" s="129" t="s">
        <v>387</v>
      </c>
    </row>
    <row r="17" spans="1:14" ht="15.75" hidden="1" customHeight="1">
      <c r="A17" s="117" t="str">
        <f>'[1]CONTRA IBP'!$C$5</f>
        <v>CONTRA (GOOSENECK) IBP</v>
      </c>
      <c r="B17" s="116"/>
      <c r="C17" s="117">
        <f>'[1]CONTRA IBP'!$G$196</f>
        <v>0</v>
      </c>
      <c r="D17" s="116">
        <f>'[1]CONTRA IBP'!$H$196</f>
        <v>0</v>
      </c>
      <c r="E17" s="117"/>
      <c r="F17" s="116"/>
      <c r="G17" s="117">
        <f t="shared" si="1"/>
        <v>0</v>
      </c>
      <c r="H17" s="116">
        <f t="shared" si="1"/>
        <v>0</v>
      </c>
      <c r="I17" s="118">
        <v>50.5</v>
      </c>
      <c r="J17" s="118">
        <f t="shared" si="2"/>
        <v>0</v>
      </c>
      <c r="K17" s="119">
        <f t="shared" si="0"/>
        <v>51</v>
      </c>
      <c r="L17" s="120"/>
      <c r="M17" s="25"/>
    </row>
    <row r="18" spans="1:14" ht="18" hidden="1" customHeight="1">
      <c r="A18" s="117" t="str">
        <f>'[1]Cabeza de Lomo'!$C$5</f>
        <v>CABEZA DE LOMO SASA</v>
      </c>
      <c r="B18" s="116"/>
      <c r="C18" s="117">
        <f>'[1]Cabeza de Lomo'!$G$207</f>
        <v>0</v>
      </c>
      <c r="D18" s="116">
        <f>'[1]Cabeza de Lomo'!$H$207</f>
        <v>0</v>
      </c>
      <c r="E18" s="117"/>
      <c r="F18" s="116"/>
      <c r="G18" s="117">
        <f t="shared" si="1"/>
        <v>0</v>
      </c>
      <c r="H18" s="116">
        <f t="shared" si="1"/>
        <v>0</v>
      </c>
      <c r="I18" s="118">
        <v>26</v>
      </c>
      <c r="J18" s="118">
        <f t="shared" si="2"/>
        <v>0</v>
      </c>
      <c r="K18" s="119">
        <v>27</v>
      </c>
      <c r="L18" s="120"/>
      <c r="M18" s="25"/>
    </row>
    <row r="19" spans="1:14" ht="18" customHeight="1">
      <c r="A19" s="130" t="str">
        <f>'[1]CAÑA DE L.MAPLE'!C1</f>
        <v>CAÑA DE LOMO MAPLE</v>
      </c>
      <c r="B19" s="131"/>
      <c r="C19" s="117">
        <f>'[1]CAÑA DE L.MAPLE'!G73</f>
        <v>75.750000000001592</v>
      </c>
      <c r="D19" s="116">
        <v>3</v>
      </c>
      <c r="E19" s="117">
        <v>81.19</v>
      </c>
      <c r="F19" s="116">
        <v>3</v>
      </c>
      <c r="G19" s="117">
        <f t="shared" si="1"/>
        <v>5.4399999999984061</v>
      </c>
      <c r="H19" s="116">
        <f t="shared" si="1"/>
        <v>0</v>
      </c>
      <c r="I19" s="118">
        <v>40.090000000000003</v>
      </c>
      <c r="J19" s="118">
        <f t="shared" si="2"/>
        <v>3254.9071000000004</v>
      </c>
      <c r="K19" s="119">
        <v>41.5</v>
      </c>
      <c r="L19" s="120">
        <v>43</v>
      </c>
      <c r="M19" s="129" t="s">
        <v>387</v>
      </c>
    </row>
    <row r="20" spans="1:14" ht="18.75" customHeight="1">
      <c r="A20" s="123" t="str">
        <f>[1]CARNERO!$C$5</f>
        <v>CARNERO</v>
      </c>
      <c r="B20" s="124"/>
      <c r="C20" s="115">
        <f>[1]CARNERO!$G$208</f>
        <v>2.2599999999998204</v>
      </c>
      <c r="D20" s="116">
        <f>[1]CARNERO!$H$208</f>
        <v>0</v>
      </c>
      <c r="E20" s="117">
        <v>0</v>
      </c>
      <c r="F20" s="116">
        <v>0</v>
      </c>
      <c r="G20" s="117">
        <f t="shared" si="1"/>
        <v>-2.2599999999998204</v>
      </c>
      <c r="H20" s="116">
        <f t="shared" si="1"/>
        <v>0</v>
      </c>
      <c r="I20" s="118">
        <v>49.5</v>
      </c>
      <c r="J20" s="118">
        <f t="shared" si="2"/>
        <v>0</v>
      </c>
      <c r="K20" s="119">
        <f>I20+0.5</f>
        <v>50</v>
      </c>
      <c r="L20" s="120">
        <v>51.5</v>
      </c>
      <c r="M20" s="121" t="s">
        <v>387</v>
      </c>
    </row>
    <row r="21" spans="1:14" ht="18.75" hidden="1" customHeight="1">
      <c r="A21" s="127" t="str">
        <f>'[1]Contra Excel'!C5</f>
        <v>CONTRA EXCEL</v>
      </c>
      <c r="B21" s="128"/>
      <c r="C21" s="122">
        <f>'[1]Contra Excel'!G208</f>
        <v>0</v>
      </c>
      <c r="D21" s="122">
        <f>'[1]Contra Excel'!H208</f>
        <v>0</v>
      </c>
      <c r="E21" s="117"/>
      <c r="F21" s="122"/>
      <c r="G21" s="117">
        <f t="shared" si="1"/>
        <v>0</v>
      </c>
      <c r="H21" s="116">
        <f t="shared" si="1"/>
        <v>0</v>
      </c>
      <c r="I21" s="118">
        <v>43</v>
      </c>
      <c r="J21" s="118">
        <f t="shared" si="2"/>
        <v>0</v>
      </c>
      <c r="K21" s="120"/>
      <c r="L21" s="120">
        <v>47</v>
      </c>
      <c r="M21" s="121" t="s">
        <v>387</v>
      </c>
    </row>
    <row r="22" spans="1:14" ht="18.75" customHeight="1">
      <c r="A22" s="117" t="str">
        <f>'[1]CONTRA SWIFT'!$C$5</f>
        <v>CONTRA (GOOSENECK) SWIFT</v>
      </c>
      <c r="B22" s="116"/>
      <c r="C22" s="117">
        <f>'[1]CONTRA SWIFT'!$G$198</f>
        <v>12757.29999999999</v>
      </c>
      <c r="D22" s="116">
        <f>'[1]CONTRA SWIFT'!$H$198</f>
        <v>437</v>
      </c>
      <c r="E22" s="117">
        <v>12783.4</v>
      </c>
      <c r="F22" s="116">
        <v>437</v>
      </c>
      <c r="G22" s="117">
        <f t="shared" si="1"/>
        <v>26.100000000009459</v>
      </c>
      <c r="H22" s="116">
        <f t="shared" si="1"/>
        <v>0</v>
      </c>
      <c r="I22" s="118">
        <v>46.2</v>
      </c>
      <c r="J22" s="118">
        <f t="shared" si="2"/>
        <v>590593.08000000007</v>
      </c>
      <c r="K22" s="119">
        <f t="shared" ref="K22:K50" si="3">I22+0.5</f>
        <v>46.7</v>
      </c>
      <c r="L22" s="120">
        <v>47</v>
      </c>
      <c r="M22" s="121" t="s">
        <v>387</v>
      </c>
      <c r="N22" s="132" t="s">
        <v>389</v>
      </c>
    </row>
    <row r="23" spans="1:14" ht="18.75" customHeight="1">
      <c r="A23" s="117" t="str">
        <f>'[1]CORBATA Farmland'!$C$5</f>
        <v>CORBATA  FARMLAND</v>
      </c>
      <c r="B23" s="116"/>
      <c r="C23" s="117">
        <f>'[1]CORBATA Farmland'!$G$209</f>
        <v>7670</v>
      </c>
      <c r="D23" s="116">
        <f>'[1]CORBATA Farmland'!$H$209</f>
        <v>590</v>
      </c>
      <c r="E23" s="117">
        <v>7670</v>
      </c>
      <c r="F23" s="116">
        <v>590</v>
      </c>
      <c r="G23" s="117">
        <f t="shared" si="1"/>
        <v>0</v>
      </c>
      <c r="H23" s="116">
        <f t="shared" si="1"/>
        <v>0</v>
      </c>
      <c r="I23" s="118">
        <v>25</v>
      </c>
      <c r="J23" s="118">
        <f t="shared" si="2"/>
        <v>191750</v>
      </c>
      <c r="K23" s="119">
        <f t="shared" si="3"/>
        <v>25.5</v>
      </c>
      <c r="L23" s="120">
        <v>30</v>
      </c>
      <c r="M23" s="129" t="s">
        <v>387</v>
      </c>
    </row>
    <row r="24" spans="1:14" ht="18.75" customHeight="1">
      <c r="A24" s="117" t="str">
        <f>'[1]Corbata Curlys'!$C$5</f>
        <v>CORBATA CURLY'S</v>
      </c>
      <c r="B24" s="116"/>
      <c r="C24" s="117">
        <f>'[1]Corbata Curlys'!$G$209</f>
        <v>68.050000000000139</v>
      </c>
      <c r="D24" s="116">
        <f>'[1]Corbata Curlys'!$H$209</f>
        <v>5</v>
      </c>
      <c r="E24" s="117">
        <v>68.05</v>
      </c>
      <c r="F24" s="116">
        <v>5</v>
      </c>
      <c r="G24" s="117">
        <f t="shared" si="1"/>
        <v>-1.4210854715202004E-13</v>
      </c>
      <c r="H24" s="116">
        <f t="shared" si="1"/>
        <v>0</v>
      </c>
      <c r="I24" s="118">
        <v>30.2</v>
      </c>
      <c r="J24" s="118">
        <f t="shared" si="2"/>
        <v>2055.1099999999997</v>
      </c>
      <c r="K24" s="119">
        <f t="shared" si="3"/>
        <v>30.7</v>
      </c>
      <c r="L24" s="120">
        <v>29.5</v>
      </c>
      <c r="M24" s="129" t="s">
        <v>387</v>
      </c>
      <c r="N24" s="133"/>
    </row>
    <row r="25" spans="1:14" ht="18.75" hidden="1" customHeight="1">
      <c r="A25" s="117" t="str">
        <f>'[1]Cuero SM'!$C$5</f>
        <v>CUERO BELLY SAN MATEO</v>
      </c>
      <c r="B25" s="116"/>
      <c r="C25" s="117">
        <f>'[1]Cuero SM'!$G$208</f>
        <v>0</v>
      </c>
      <c r="D25" s="116">
        <f>'[1]Cuero SM'!$H$208</f>
        <v>0</v>
      </c>
      <c r="E25" s="117"/>
      <c r="F25" s="116"/>
      <c r="G25" s="117">
        <f t="shared" si="1"/>
        <v>0</v>
      </c>
      <c r="H25" s="116">
        <f t="shared" si="1"/>
        <v>0</v>
      </c>
      <c r="I25" s="118">
        <v>14</v>
      </c>
      <c r="J25" s="118">
        <f t="shared" si="2"/>
        <v>0</v>
      </c>
      <c r="K25" s="119">
        <f t="shared" si="3"/>
        <v>14.5</v>
      </c>
      <c r="L25" s="120"/>
      <c r="M25" s="25"/>
    </row>
    <row r="26" spans="1:14" ht="18.75" hidden="1" customHeight="1">
      <c r="A26" s="117" t="str">
        <f>'[1]CUERO CAB DE LOMO FARMLAD'!$C$5</f>
        <v>CUERO DE CABEZA DE LOMO</v>
      </c>
      <c r="B26" s="116"/>
      <c r="C26" s="117">
        <f>'[1]CUERO CAB DE LOMO FARMLAD'!$G$210</f>
        <v>0</v>
      </c>
      <c r="D26" s="116">
        <f>'[1]CUERO CAB DE LOMO FARMLAD'!$H$210</f>
        <v>0</v>
      </c>
      <c r="E26" s="117"/>
      <c r="F26" s="116"/>
      <c r="G26" s="117">
        <f t="shared" si="1"/>
        <v>0</v>
      </c>
      <c r="H26" s="116">
        <f t="shared" si="1"/>
        <v>0</v>
      </c>
      <c r="I26" s="118">
        <v>10.85</v>
      </c>
      <c r="J26" s="118">
        <f t="shared" si="2"/>
        <v>0</v>
      </c>
      <c r="K26" s="119">
        <f t="shared" si="3"/>
        <v>11.35</v>
      </c>
      <c r="L26" s="120"/>
      <c r="M26" s="25"/>
    </row>
    <row r="27" spans="1:14" ht="18" hidden="1" customHeight="1">
      <c r="A27" s="117" t="str">
        <f>'[1]Corbata IBP'!$C$5</f>
        <v>CORBATA IBP</v>
      </c>
      <c r="B27" s="116"/>
      <c r="C27" s="117">
        <f>'[1]Corbata IBP'!$G$206</f>
        <v>0</v>
      </c>
      <c r="D27" s="116">
        <f>'[1]Corbata IBP'!$H$206</f>
        <v>0</v>
      </c>
      <c r="E27" s="117"/>
      <c r="F27" s="116"/>
      <c r="G27" s="117">
        <f t="shared" si="1"/>
        <v>0</v>
      </c>
      <c r="H27" s="116">
        <f t="shared" si="1"/>
        <v>0</v>
      </c>
      <c r="I27" s="118">
        <v>32.6</v>
      </c>
      <c r="J27" s="118">
        <f t="shared" si="2"/>
        <v>0</v>
      </c>
      <c r="K27" s="119">
        <f t="shared" si="3"/>
        <v>33.1</v>
      </c>
      <c r="L27" s="120">
        <v>36</v>
      </c>
      <c r="M27" s="129" t="s">
        <v>387</v>
      </c>
    </row>
    <row r="28" spans="1:14" ht="18" customHeight="1">
      <c r="A28" s="117" t="str">
        <f>'[1]costilla Rupari'!$C$5</f>
        <v>COSTILLA RUPARI</v>
      </c>
      <c r="B28" s="116"/>
      <c r="C28" s="117">
        <f>'[1]costilla Rupari'!$G$208</f>
        <v>3445.86</v>
      </c>
      <c r="D28" s="116">
        <f>'[1]costilla Rupari'!$H$208</f>
        <v>759</v>
      </c>
      <c r="E28" s="117">
        <v>3445.86</v>
      </c>
      <c r="F28" s="116">
        <v>759</v>
      </c>
      <c r="G28" s="117">
        <f t="shared" si="1"/>
        <v>0</v>
      </c>
      <c r="H28" s="116">
        <f t="shared" si="1"/>
        <v>0</v>
      </c>
      <c r="I28" s="118">
        <v>10.89</v>
      </c>
      <c r="J28" s="118">
        <f t="shared" si="2"/>
        <v>37525.415400000005</v>
      </c>
      <c r="K28" s="119">
        <f t="shared" si="3"/>
        <v>11.39</v>
      </c>
      <c r="L28" s="120">
        <v>10.199999999999999</v>
      </c>
      <c r="M28" s="129" t="s">
        <v>390</v>
      </c>
    </row>
    <row r="29" spans="1:14" ht="18.75" hidden="1" customHeight="1">
      <c r="A29" s="117" t="str">
        <f>'[1]ESPALDILLA DE CORDERO '!$C$5</f>
        <v>ESPALDILLA DE CORDERO ALLIANZ</v>
      </c>
      <c r="B29" s="116"/>
      <c r="C29" s="117">
        <f>'[1]ESPALDILLA DE CORDERO '!$G$207</f>
        <v>0</v>
      </c>
      <c r="D29" s="116">
        <f>'[1]ESPALDILLA DE CORDERO '!$H$207</f>
        <v>0</v>
      </c>
      <c r="E29" s="117"/>
      <c r="F29" s="116"/>
      <c r="G29" s="117">
        <f t="shared" si="1"/>
        <v>0</v>
      </c>
      <c r="H29" s="116">
        <f t="shared" si="1"/>
        <v>0</v>
      </c>
      <c r="I29" s="118">
        <v>38</v>
      </c>
      <c r="J29" s="118">
        <f t="shared" si="2"/>
        <v>0</v>
      </c>
      <c r="K29" s="119">
        <f t="shared" si="3"/>
        <v>38.5</v>
      </c>
      <c r="L29" s="119"/>
      <c r="M29" s="25"/>
    </row>
    <row r="30" spans="1:14" ht="18.75" hidden="1" customHeight="1">
      <c r="A30" s="117" t="str">
        <f>'[1]Filete de pescado'!C5</f>
        <v>FILETE DE PESCADO</v>
      </c>
      <c r="B30" s="116"/>
      <c r="C30" s="117">
        <f>'[1]Filete de pescado'!G207</f>
        <v>0</v>
      </c>
      <c r="D30" s="134">
        <f>'[1]Filete de pescado'!H207</f>
        <v>0</v>
      </c>
      <c r="E30" s="117"/>
      <c r="F30" s="134"/>
      <c r="G30" s="117">
        <f t="shared" si="1"/>
        <v>0</v>
      </c>
      <c r="H30" s="116">
        <f t="shared" si="1"/>
        <v>0</v>
      </c>
      <c r="I30" s="118">
        <v>23</v>
      </c>
      <c r="J30" s="118">
        <f t="shared" si="2"/>
        <v>0</v>
      </c>
      <c r="K30" s="119">
        <f t="shared" si="3"/>
        <v>23.5</v>
      </c>
      <c r="L30" s="119"/>
      <c r="M30" s="25"/>
    </row>
    <row r="31" spans="1:14" ht="18.75" hidden="1" customHeight="1">
      <c r="A31" s="117" t="str">
        <f>'[1]Filete pescado BASA'!$C$5</f>
        <v>FILETE DE PESCADO BASA</v>
      </c>
      <c r="B31" s="116"/>
      <c r="C31" s="117">
        <f>'[1]Filete pescado BASA'!$G$207</f>
        <v>0</v>
      </c>
      <c r="D31" s="116">
        <f>'[1]Filete pescado BASA'!$H$207</f>
        <v>0</v>
      </c>
      <c r="E31" s="117"/>
      <c r="F31" s="116"/>
      <c r="G31" s="117">
        <f t="shared" si="1"/>
        <v>0</v>
      </c>
      <c r="H31" s="116">
        <f t="shared" si="1"/>
        <v>0</v>
      </c>
      <c r="I31" s="118">
        <v>25</v>
      </c>
      <c r="J31" s="118">
        <f t="shared" si="2"/>
        <v>0</v>
      </c>
      <c r="K31" s="119">
        <f t="shared" si="3"/>
        <v>25.5</v>
      </c>
      <c r="L31" s="120">
        <v>26.5</v>
      </c>
      <c r="M31" s="129" t="s">
        <v>387</v>
      </c>
    </row>
    <row r="32" spans="1:14" ht="18.75" customHeight="1">
      <c r="A32" s="117" t="str">
        <f>'[1]CUERO SIN GRASA MAPLE'!C1</f>
        <v>CUERO SIN GRASA MAPLE</v>
      </c>
      <c r="B32" s="116"/>
      <c r="C32" s="117">
        <f>'[1]CUERO SIN GRASA MAPLE'!G6</f>
        <v>9581.5</v>
      </c>
      <c r="D32" s="116">
        <f>'[1]CUERO SIN GRASA MAPLE'!H6</f>
        <v>352</v>
      </c>
      <c r="E32" s="117">
        <v>9581.44</v>
      </c>
      <c r="F32" s="116">
        <v>352</v>
      </c>
      <c r="G32" s="117">
        <f t="shared" si="1"/>
        <v>-5.9999999999490683E-2</v>
      </c>
      <c r="H32" s="116">
        <f t="shared" si="1"/>
        <v>0</v>
      </c>
      <c r="I32" s="118">
        <v>15.19</v>
      </c>
      <c r="J32" s="118">
        <f t="shared" si="2"/>
        <v>145542.0736</v>
      </c>
      <c r="K32" s="119">
        <f t="shared" si="3"/>
        <v>15.69</v>
      </c>
      <c r="L32" s="120"/>
      <c r="M32" s="129"/>
    </row>
    <row r="33" spans="1:14" ht="18.75" customHeight="1">
      <c r="A33" s="117" t="str">
        <f>'[1]CUERO PAPEL BELLY'!$C$5</f>
        <v>CUERO PAPEL BELLY FARMLAND</v>
      </c>
      <c r="B33" s="116"/>
      <c r="C33" s="117">
        <f>'[1]CUERO PAPEL BELLY'!$G$216</f>
        <v>11432.400000000011</v>
      </c>
      <c r="D33" s="116">
        <f>'[1]CUERO PAPEL BELLY'!$H$216</f>
        <v>420</v>
      </c>
      <c r="E33" s="117">
        <f>9336.46+2095.94</f>
        <v>11432.4</v>
      </c>
      <c r="F33" s="116">
        <f>343+77</f>
        <v>420</v>
      </c>
      <c r="G33" s="117">
        <f t="shared" si="1"/>
        <v>0</v>
      </c>
      <c r="H33" s="116">
        <f t="shared" si="1"/>
        <v>0</v>
      </c>
      <c r="I33" s="118">
        <v>14.05</v>
      </c>
      <c r="J33" s="118">
        <f t="shared" si="2"/>
        <v>160625.22</v>
      </c>
      <c r="K33" s="119">
        <f t="shared" si="3"/>
        <v>14.55</v>
      </c>
      <c r="L33" s="120">
        <v>17</v>
      </c>
      <c r="M33" s="135" t="s">
        <v>391</v>
      </c>
    </row>
    <row r="34" spans="1:14" ht="18.75" hidden="1" customHeight="1">
      <c r="A34" s="117" t="str">
        <f>'[1]Espaldilla de Carnero'!C5</f>
        <v>ESPALDILLA DE CARNERO</v>
      </c>
      <c r="B34" s="116"/>
      <c r="C34" s="117">
        <f>'[1]Espaldilla de Carnero'!G207</f>
        <v>0</v>
      </c>
      <c r="D34" s="134">
        <f>'[1]Espaldilla de Carnero'!H207</f>
        <v>0</v>
      </c>
      <c r="E34" s="117"/>
      <c r="F34" s="134"/>
      <c r="G34" s="117">
        <f t="shared" si="1"/>
        <v>0</v>
      </c>
      <c r="H34" s="116">
        <f t="shared" si="1"/>
        <v>0</v>
      </c>
      <c r="I34" s="118">
        <v>47</v>
      </c>
      <c r="J34" s="118">
        <f t="shared" si="2"/>
        <v>0</v>
      </c>
      <c r="K34" s="119">
        <f t="shared" si="3"/>
        <v>47.5</v>
      </c>
      <c r="L34" s="120">
        <v>51.5</v>
      </c>
      <c r="M34" s="129" t="s">
        <v>387</v>
      </c>
    </row>
    <row r="35" spans="1:14" ht="18.75" customHeight="1">
      <c r="A35" s="117" t="str">
        <f>'[1]LENGUA DE CERDO '!$C$5</f>
        <v xml:space="preserve">LENGUA DE CERDO </v>
      </c>
      <c r="B35" s="116"/>
      <c r="C35" s="117">
        <f>'[1]LENGUA DE CERDO '!$G$214</f>
        <v>1156.8500000000001</v>
      </c>
      <c r="D35" s="116">
        <f>'[1]LENGUA DE CERDO '!$H$214</f>
        <v>85</v>
      </c>
      <c r="E35" s="117">
        <v>1156.8499999999999</v>
      </c>
      <c r="F35" s="116">
        <v>85</v>
      </c>
      <c r="G35" s="117">
        <f t="shared" si="1"/>
        <v>0</v>
      </c>
      <c r="H35" s="116">
        <f t="shared" si="1"/>
        <v>0</v>
      </c>
      <c r="I35" s="118">
        <v>46</v>
      </c>
      <c r="J35" s="118">
        <f t="shared" si="2"/>
        <v>53215.1</v>
      </c>
      <c r="K35" s="119">
        <f t="shared" si="3"/>
        <v>46.5</v>
      </c>
      <c r="L35" s="120">
        <v>47.5</v>
      </c>
      <c r="M35" s="129" t="s">
        <v>387</v>
      </c>
    </row>
    <row r="36" spans="1:14" ht="18" hidden="1" customHeight="1">
      <c r="A36" s="117" t="str">
        <f>'[1]Marrana en Combo'!$C$5</f>
        <v>MARRANA EN COMBO</v>
      </c>
      <c r="B36" s="116"/>
      <c r="C36" s="117">
        <f>'[1]Marrana en Combo'!$G$207</f>
        <v>0</v>
      </c>
      <c r="D36" s="116">
        <f>'[1]Marrana en Combo'!$H$207</f>
        <v>0</v>
      </c>
      <c r="E36" s="117"/>
      <c r="F36" s="116"/>
      <c r="G36" s="117">
        <f t="shared" si="1"/>
        <v>0</v>
      </c>
      <c r="H36" s="116">
        <f t="shared" si="1"/>
        <v>0</v>
      </c>
      <c r="I36" s="118">
        <v>19.2</v>
      </c>
      <c r="J36" s="118">
        <f t="shared" si="2"/>
        <v>0</v>
      </c>
      <c r="K36" s="119">
        <f t="shared" si="3"/>
        <v>19.7</v>
      </c>
      <c r="L36" s="119"/>
      <c r="M36" s="25"/>
    </row>
    <row r="37" spans="1:14" ht="17.25" hidden="1" customHeight="1">
      <c r="A37" s="117" t="str">
        <f>[1]Manteca!$C$5</f>
        <v>MANTECA</v>
      </c>
      <c r="B37" s="116"/>
      <c r="C37" s="117">
        <f>[1]Manteca!$G$208</f>
        <v>0</v>
      </c>
      <c r="D37" s="116">
        <f>[1]Manteca!$H$208</f>
        <v>0</v>
      </c>
      <c r="E37" s="117"/>
      <c r="F37" s="116"/>
      <c r="G37" s="117">
        <f t="shared" si="1"/>
        <v>0</v>
      </c>
      <c r="H37" s="116">
        <f t="shared" si="1"/>
        <v>0</v>
      </c>
      <c r="I37" s="118">
        <v>10.5</v>
      </c>
      <c r="J37" s="118">
        <f t="shared" si="2"/>
        <v>0</v>
      </c>
      <c r="K37" s="119">
        <f t="shared" si="3"/>
        <v>11</v>
      </c>
      <c r="L37" s="120">
        <v>11.5</v>
      </c>
      <c r="M37" s="129" t="s">
        <v>387</v>
      </c>
    </row>
    <row r="38" spans="1:14" ht="18" customHeight="1">
      <c r="A38" s="117" t="str">
        <f>'[1]Lengua de Res'!$C$5</f>
        <v xml:space="preserve">LENGUA DE RES </v>
      </c>
      <c r="B38" s="116"/>
      <c r="C38" s="117">
        <f>'[1]Lengua de Res'!$G$211</f>
        <v>1654.74</v>
      </c>
      <c r="D38" s="116">
        <f>'[1]Lengua de Res'!$H$211</f>
        <v>125</v>
      </c>
      <c r="E38" s="117">
        <v>1654.74</v>
      </c>
      <c r="F38" s="116">
        <v>125</v>
      </c>
      <c r="G38" s="117">
        <f t="shared" si="1"/>
        <v>0</v>
      </c>
      <c r="H38" s="116">
        <f t="shared" si="1"/>
        <v>0</v>
      </c>
      <c r="I38" s="118">
        <v>48.5</v>
      </c>
      <c r="J38" s="118">
        <f t="shared" si="2"/>
        <v>80254.89</v>
      </c>
      <c r="K38" s="119">
        <f t="shared" si="3"/>
        <v>49</v>
      </c>
      <c r="L38" s="120">
        <v>52</v>
      </c>
      <c r="M38" s="129" t="s">
        <v>387</v>
      </c>
      <c r="N38" s="136"/>
    </row>
    <row r="39" spans="1:14" ht="18" hidden="1" customHeight="1">
      <c r="A39" s="117" t="str">
        <f>'[1]Menudo IBP'!$C$5</f>
        <v>MENUDO IBP</v>
      </c>
      <c r="B39" s="116"/>
      <c r="C39" s="117">
        <f>'[1]Menudo IBP'!$G$207</f>
        <v>0</v>
      </c>
      <c r="D39" s="116">
        <f>'[1]Menudo IBP'!$H$207</f>
        <v>0</v>
      </c>
      <c r="E39" s="117"/>
      <c r="F39" s="116"/>
      <c r="G39" s="117">
        <f t="shared" si="1"/>
        <v>0</v>
      </c>
      <c r="H39" s="116">
        <f t="shared" si="1"/>
        <v>0</v>
      </c>
      <c r="I39" s="118">
        <v>16.8</v>
      </c>
      <c r="J39" s="118">
        <f t="shared" si="2"/>
        <v>0</v>
      </c>
      <c r="K39" s="119">
        <f t="shared" si="3"/>
        <v>17.3</v>
      </c>
      <c r="L39" s="120">
        <v>18.5</v>
      </c>
      <c r="M39" s="129" t="s">
        <v>387</v>
      </c>
    </row>
    <row r="40" spans="1:14" ht="18.75" customHeight="1">
      <c r="A40" s="117" t="str">
        <f>'[1]Menudo Aurora'!$C$5</f>
        <v>MENUDO AURORA</v>
      </c>
      <c r="B40" s="116"/>
      <c r="C40" s="117">
        <f>'[1]Menudo Aurora'!$G$207</f>
        <v>9303.16</v>
      </c>
      <c r="D40" s="116">
        <f>'[1]Menudo Aurora'!$H$207</f>
        <v>293</v>
      </c>
      <c r="E40" s="117">
        <v>9303.34</v>
      </c>
      <c r="F40" s="116">
        <v>293</v>
      </c>
      <c r="G40" s="117">
        <f t="shared" si="1"/>
        <v>0.18000000000029104</v>
      </c>
      <c r="H40" s="116">
        <f t="shared" si="1"/>
        <v>0</v>
      </c>
      <c r="I40" s="118">
        <v>15</v>
      </c>
      <c r="J40" s="118">
        <f t="shared" si="2"/>
        <v>139550.1</v>
      </c>
      <c r="K40" s="119">
        <f t="shared" si="3"/>
        <v>15.5</v>
      </c>
      <c r="L40" s="120">
        <v>18.5</v>
      </c>
      <c r="M40" s="129" t="s">
        <v>387</v>
      </c>
    </row>
    <row r="41" spans="1:14" ht="18.75" hidden="1" customHeight="1">
      <c r="A41" s="130" t="str">
        <f>'[1]MENUDO EXCEL 86M'!$C$5</f>
        <v>MENUDO EXCEL</v>
      </c>
      <c r="B41" s="131"/>
      <c r="C41" s="117">
        <f>'[1]MENUDO EXCEL 86M'!$G$211</f>
        <v>1.2420287021086551E-11</v>
      </c>
      <c r="D41" s="116">
        <f>'[1]MENUDO EXCEL 86M'!$H$211</f>
        <v>0</v>
      </c>
      <c r="E41" s="117"/>
      <c r="F41" s="116"/>
      <c r="G41" s="117">
        <f t="shared" si="1"/>
        <v>-1.2420287021086551E-11</v>
      </c>
      <c r="H41" s="116">
        <f t="shared" si="1"/>
        <v>0</v>
      </c>
      <c r="I41" s="118">
        <v>15.5</v>
      </c>
      <c r="J41" s="118">
        <f t="shared" si="2"/>
        <v>0</v>
      </c>
      <c r="K41" s="119">
        <f t="shared" si="3"/>
        <v>16</v>
      </c>
      <c r="L41" s="120">
        <v>18.5</v>
      </c>
      <c r="M41" s="129" t="s">
        <v>387</v>
      </c>
    </row>
    <row r="42" spans="1:14" ht="18.75" hidden="1" customHeight="1">
      <c r="A42" s="123" t="str">
        <f>'[1]NANA '!$C$5</f>
        <v xml:space="preserve">NANA </v>
      </c>
      <c r="B42" s="124"/>
      <c r="C42" s="115">
        <f>'[1]NANA '!$G$208</f>
        <v>4.5474735088646412E-13</v>
      </c>
      <c r="D42" s="116">
        <v>0</v>
      </c>
      <c r="E42" s="117"/>
      <c r="F42" s="116"/>
      <c r="G42" s="117">
        <f t="shared" si="1"/>
        <v>-4.5474735088646412E-13</v>
      </c>
      <c r="H42" s="116">
        <f t="shared" si="1"/>
        <v>0</v>
      </c>
      <c r="I42" s="118">
        <v>38.5</v>
      </c>
      <c r="J42" s="118">
        <f t="shared" si="2"/>
        <v>0</v>
      </c>
      <c r="K42" s="119">
        <f t="shared" si="3"/>
        <v>39</v>
      </c>
      <c r="L42" s="119"/>
      <c r="M42" s="25"/>
    </row>
    <row r="43" spans="1:14" ht="18.75" customHeight="1">
      <c r="A43" s="125" t="str">
        <f>[1]PATITAS!$C$5</f>
        <v xml:space="preserve">PATITAS DE CERDO </v>
      </c>
      <c r="B43" s="126"/>
      <c r="C43" s="117">
        <f>[1]PATITAS!$G$208</f>
        <v>1837.3500000000001</v>
      </c>
      <c r="D43" s="116">
        <f>[1]PATITAS!$H$208</f>
        <v>135</v>
      </c>
      <c r="E43" s="117">
        <v>1837.35</v>
      </c>
      <c r="F43" s="116">
        <v>135</v>
      </c>
      <c r="G43" s="117">
        <f t="shared" si="1"/>
        <v>0</v>
      </c>
      <c r="H43" s="116">
        <f t="shared" si="1"/>
        <v>0</v>
      </c>
      <c r="I43" s="118">
        <v>13.2</v>
      </c>
      <c r="J43" s="118">
        <f t="shared" si="2"/>
        <v>24253.019999999997</v>
      </c>
      <c r="K43" s="119">
        <f t="shared" si="3"/>
        <v>13.7</v>
      </c>
      <c r="L43" s="120">
        <v>15</v>
      </c>
      <c r="M43" s="129" t="s">
        <v>387</v>
      </c>
    </row>
    <row r="44" spans="1:14" ht="18.75" hidden="1" customHeight="1">
      <c r="A44" s="123" t="str">
        <f>'[1]Pavo Crudo'!C5</f>
        <v>PAVO CRUDO</v>
      </c>
      <c r="B44" s="124"/>
      <c r="C44" s="115">
        <f>'[1]Pavo Crudo'!G207</f>
        <v>-4.2632564145606011E-13</v>
      </c>
      <c r="D44" s="134">
        <f>'[1]Pavo Crudo'!H207</f>
        <v>0</v>
      </c>
      <c r="E44" s="117"/>
      <c r="F44" s="134"/>
      <c r="G44" s="117">
        <f t="shared" si="1"/>
        <v>4.2632564145606011E-13</v>
      </c>
      <c r="H44" s="116">
        <f t="shared" si="1"/>
        <v>0</v>
      </c>
      <c r="I44" s="118">
        <v>25.5</v>
      </c>
      <c r="J44" s="118">
        <f t="shared" si="2"/>
        <v>0</v>
      </c>
      <c r="K44" s="119">
        <f t="shared" si="3"/>
        <v>26</v>
      </c>
      <c r="L44" s="119">
        <v>33</v>
      </c>
      <c r="M44" s="129" t="s">
        <v>390</v>
      </c>
    </row>
    <row r="45" spans="1:14" ht="18.75" customHeight="1">
      <c r="A45" s="127" t="str">
        <f>'[1]PERNIL CON PIEL'!$C$5</f>
        <v>PERNIL CON PIEL</v>
      </c>
      <c r="B45" s="128"/>
      <c r="C45" s="117">
        <f>'[1]PERNIL CON PIEL'!G1305</f>
        <v>75237.780000000028</v>
      </c>
      <c r="D45" s="116">
        <f>'[1]PERNIL CON PIEL'!H1305</f>
        <v>83</v>
      </c>
      <c r="E45" s="117">
        <f>19150.01+14291.17+20215+7376.8+14204.8</f>
        <v>75237.78</v>
      </c>
      <c r="F45" s="116">
        <f>20+17+22+8+16</f>
        <v>83</v>
      </c>
      <c r="G45" s="117">
        <f t="shared" si="1"/>
        <v>0</v>
      </c>
      <c r="H45" s="116">
        <f t="shared" si="1"/>
        <v>0</v>
      </c>
      <c r="I45" s="118">
        <v>23.36</v>
      </c>
      <c r="J45" s="118">
        <f t="shared" si="2"/>
        <v>1757554.5407999998</v>
      </c>
      <c r="K45" s="119">
        <f t="shared" si="3"/>
        <v>23.86</v>
      </c>
      <c r="L45" s="120">
        <v>30.5</v>
      </c>
      <c r="M45" s="129" t="s">
        <v>387</v>
      </c>
    </row>
    <row r="46" spans="1:14" ht="18" hidden="1" customHeight="1">
      <c r="A46" s="117" t="str">
        <f>'[1]Pulpa Negra'!$C$5</f>
        <v>PULPA NEGRA</v>
      </c>
      <c r="B46" s="116"/>
      <c r="C46" s="117">
        <f>'[1]Pulpa Negra'!$G$207</f>
        <v>0</v>
      </c>
      <c r="D46" s="116">
        <f>'[1]Pulpa Negra'!$H$207</f>
        <v>0</v>
      </c>
      <c r="E46" s="117"/>
      <c r="F46" s="116"/>
      <c r="G46" s="117">
        <f t="shared" si="1"/>
        <v>0</v>
      </c>
      <c r="H46" s="116">
        <f t="shared" si="1"/>
        <v>0</v>
      </c>
      <c r="I46" s="118">
        <v>45.5</v>
      </c>
      <c r="J46" s="118">
        <f t="shared" si="2"/>
        <v>0</v>
      </c>
      <c r="K46" s="119">
        <f t="shared" si="3"/>
        <v>46</v>
      </c>
      <c r="L46" s="119"/>
      <c r="M46" s="25"/>
    </row>
    <row r="47" spans="1:14" ht="18.75" customHeight="1">
      <c r="A47" s="117" t="str">
        <f>'[1]SESOS EN COPA '!$C$5</f>
        <v>SESOS EN COPA FARMLAND</v>
      </c>
      <c r="B47" s="116"/>
      <c r="C47" s="117">
        <f>'[1]SESOS EN COPA '!$G$212</f>
        <v>19596.189999999999</v>
      </c>
      <c r="D47" s="116">
        <f>'[1]SESOS EN COPA '!$H$212</f>
        <v>3601</v>
      </c>
      <c r="E47" s="117">
        <f>3271.36+16329.6</f>
        <v>19600.96</v>
      </c>
      <c r="F47" s="116">
        <f>3000+601</f>
        <v>3601</v>
      </c>
      <c r="G47" s="117">
        <f t="shared" si="1"/>
        <v>4.7700000000004366</v>
      </c>
      <c r="H47" s="116">
        <f t="shared" si="1"/>
        <v>0</v>
      </c>
      <c r="I47" s="118">
        <v>41.2</v>
      </c>
      <c r="J47" s="118">
        <f t="shared" si="2"/>
        <v>807559.55200000003</v>
      </c>
      <c r="K47" s="119">
        <f t="shared" si="3"/>
        <v>41.7</v>
      </c>
      <c r="L47" s="120">
        <v>260</v>
      </c>
      <c r="M47" s="129" t="s">
        <v>392</v>
      </c>
      <c r="N47" s="133"/>
    </row>
    <row r="48" spans="1:14" ht="18.75" hidden="1" customHeight="1">
      <c r="A48" s="117" t="str">
        <f>'[1]Tocino IBP'!C5</f>
        <v>TOCINO IBP</v>
      </c>
      <c r="B48" s="116"/>
      <c r="C48" s="117">
        <f>'[1]Tocino IBP'!G207</f>
        <v>0</v>
      </c>
      <c r="D48" s="134">
        <f>'[1]Tocino IBP'!H207</f>
        <v>0</v>
      </c>
      <c r="E48" s="117"/>
      <c r="F48" s="134"/>
      <c r="G48" s="117">
        <f t="shared" si="1"/>
        <v>0</v>
      </c>
      <c r="H48" s="116">
        <f t="shared" si="1"/>
        <v>0</v>
      </c>
      <c r="I48" s="118">
        <v>22.5</v>
      </c>
      <c r="J48" s="118">
        <f t="shared" si="2"/>
        <v>0</v>
      </c>
      <c r="K48" s="119">
        <f t="shared" si="3"/>
        <v>23</v>
      </c>
      <c r="L48" s="119"/>
      <c r="M48" s="25"/>
    </row>
    <row r="49" spans="1:13" ht="18.75" customHeight="1">
      <c r="A49" s="117" t="str">
        <f>'[1]Sesos marqueta'!$C$5</f>
        <v>SESOS MARQUETA</v>
      </c>
      <c r="B49" s="116"/>
      <c r="C49" s="117">
        <f>'[1]Sesos marqueta'!$G$208</f>
        <v>5906.7400000000016</v>
      </c>
      <c r="D49" s="116">
        <f>'[1]Sesos marqueta'!$H$208</f>
        <v>434</v>
      </c>
      <c r="E49" s="117">
        <v>5906.74</v>
      </c>
      <c r="F49" s="116">
        <v>434</v>
      </c>
      <c r="G49" s="117">
        <f t="shared" si="1"/>
        <v>0</v>
      </c>
      <c r="H49" s="116">
        <f t="shared" si="1"/>
        <v>0</v>
      </c>
      <c r="I49" s="118">
        <v>27.08</v>
      </c>
      <c r="J49" s="118">
        <f t="shared" si="2"/>
        <v>159954.51919999998</v>
      </c>
      <c r="K49" s="119">
        <f t="shared" si="3"/>
        <v>27.58</v>
      </c>
      <c r="L49" s="120">
        <v>33</v>
      </c>
      <c r="M49" s="121" t="s">
        <v>387</v>
      </c>
    </row>
    <row r="50" spans="1:13" ht="19.5" hidden="1" customHeight="1">
      <c r="A50" s="137" t="str">
        <f>'[1]Trompa Farmland'!$C$5</f>
        <v>TROMPA FARMLAND</v>
      </c>
      <c r="B50" s="124"/>
      <c r="C50" s="117">
        <f>'[1]Trompa Farmland'!G207</f>
        <v>0</v>
      </c>
      <c r="D50" s="134">
        <f>'[1]Trompa Farmland'!H207</f>
        <v>0</v>
      </c>
      <c r="E50" s="138"/>
      <c r="F50" s="138"/>
      <c r="G50" s="138"/>
      <c r="H50" s="138"/>
      <c r="I50" s="139">
        <v>18.489999999999998</v>
      </c>
      <c r="J50" s="118">
        <f t="shared" si="2"/>
        <v>0</v>
      </c>
      <c r="K50" s="119">
        <f t="shared" si="3"/>
        <v>18.989999999999998</v>
      </c>
      <c r="L50" s="119"/>
      <c r="M50" s="25"/>
    </row>
    <row r="51" spans="1:13" ht="18" customHeight="1">
      <c r="K51" s="119"/>
      <c r="L51" s="119"/>
      <c r="M51" s="25"/>
    </row>
    <row r="52" spans="1:13" ht="15.75">
      <c r="B52" s="140" t="s">
        <v>98</v>
      </c>
      <c r="C52" s="141">
        <f t="shared" ref="C52:H52" si="4">SUM(C10:C50)</f>
        <v>160260.67000000004</v>
      </c>
      <c r="D52" s="141">
        <f t="shared" si="4"/>
        <v>7360</v>
      </c>
      <c r="E52" s="141">
        <f t="shared" si="4"/>
        <v>160300.51999999999</v>
      </c>
      <c r="F52" s="141">
        <f t="shared" si="4"/>
        <v>7360</v>
      </c>
      <c r="G52" s="141">
        <f t="shared" si="4"/>
        <v>39.849999999997166</v>
      </c>
      <c r="H52" s="141">
        <f t="shared" si="4"/>
        <v>0</v>
      </c>
      <c r="I52" s="142"/>
      <c r="J52" s="142">
        <f>SUM(J10:J50)</f>
        <v>4171272.5531000001</v>
      </c>
      <c r="K52" s="143"/>
      <c r="L52" s="143"/>
      <c r="M52" s="25"/>
    </row>
    <row r="53" spans="1:13">
      <c r="A53" s="21"/>
      <c r="B53" s="21"/>
      <c r="I53" s="104"/>
      <c r="J53" s="104"/>
      <c r="K53" s="21"/>
      <c r="L53" s="21"/>
    </row>
    <row r="54" spans="1:13">
      <c r="A54" s="21"/>
      <c r="B54" s="21"/>
      <c r="I54" s="104"/>
      <c r="J54" s="104"/>
      <c r="K54" s="21"/>
      <c r="L54" s="21"/>
    </row>
    <row r="55" spans="1:13">
      <c r="A55" s="21"/>
      <c r="B55" s="21"/>
      <c r="I55" s="104"/>
      <c r="J55" s="104"/>
      <c r="K55" s="21"/>
      <c r="L55" s="21"/>
    </row>
    <row r="56" spans="1:13">
      <c r="I56" s="104"/>
      <c r="J56" s="104"/>
      <c r="K56" s="21"/>
      <c r="L56" s="21"/>
    </row>
    <row r="57" spans="1:13">
      <c r="I57" s="104"/>
      <c r="J57" s="104"/>
      <c r="K57" s="21"/>
      <c r="L57" s="21"/>
    </row>
    <row r="58" spans="1:13">
      <c r="I58" s="104"/>
      <c r="J58" s="104"/>
      <c r="K58" s="21"/>
      <c r="L58" s="21"/>
    </row>
  </sheetData>
  <phoneticPr fontId="4" type="noConversion"/>
  <pageMargins left="0.39" right="0.16" top="0.39370078740157483" bottom="0.31496062992125984" header="0" footer="0"/>
  <pageSetup scale="80" orientation="landscape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9"/>
  <sheetViews>
    <sheetView workbookViewId="0">
      <selection activeCell="A13" sqref="A13"/>
    </sheetView>
  </sheetViews>
  <sheetFormatPr baseColWidth="10" defaultRowHeight="12.75"/>
  <cols>
    <col min="1" max="1" width="25.7109375" customWidth="1"/>
    <col min="2" max="2" width="12.85546875" style="2" customWidth="1"/>
    <col min="3" max="3" width="8.42578125" customWidth="1"/>
    <col min="5" max="5" width="12.5703125" customWidth="1"/>
  </cols>
  <sheetData>
    <row r="1" spans="1:10">
      <c r="A1" s="1" t="s">
        <v>0</v>
      </c>
      <c r="D1" t="s">
        <v>1</v>
      </c>
      <c r="E1" s="3">
        <v>40180</v>
      </c>
    </row>
    <row r="2" spans="1:10">
      <c r="A2" s="1"/>
      <c r="E2" s="4"/>
    </row>
    <row r="3" spans="1:10">
      <c r="A3" s="1"/>
      <c r="D3" s="5"/>
      <c r="E3" s="6"/>
    </row>
    <row r="4" spans="1:10">
      <c r="A4" s="1" t="s">
        <v>2</v>
      </c>
      <c r="D4" s="5"/>
      <c r="E4" s="7"/>
    </row>
    <row r="5" spans="1:10" ht="12" customHeight="1">
      <c r="A5" s="1" t="s">
        <v>3</v>
      </c>
      <c r="B5" s="8" t="s">
        <v>4</v>
      </c>
      <c r="C5" s="9" t="s">
        <v>5</v>
      </c>
      <c r="D5" s="10" t="s">
        <v>6</v>
      </c>
      <c r="E5" s="11" t="s">
        <v>7</v>
      </c>
    </row>
    <row r="6" spans="1:10">
      <c r="A6" s="12" t="s">
        <v>8</v>
      </c>
      <c r="B6" s="13">
        <v>201.5</v>
      </c>
      <c r="C6" s="14"/>
      <c r="D6" s="5">
        <v>37</v>
      </c>
      <c r="E6" s="7">
        <f t="shared" ref="E6:E49" si="0">D6*B6</f>
        <v>7455.5</v>
      </c>
    </row>
    <row r="7" spans="1:10" hidden="1">
      <c r="A7" s="15" t="s">
        <v>9</v>
      </c>
      <c r="B7" s="13"/>
      <c r="C7" s="14"/>
      <c r="D7" s="5">
        <v>75</v>
      </c>
      <c r="E7" s="7">
        <f>D7*B7</f>
        <v>0</v>
      </c>
    </row>
    <row r="8" spans="1:10" hidden="1">
      <c r="A8" s="15" t="s">
        <v>10</v>
      </c>
      <c r="B8" s="13"/>
      <c r="C8" s="14"/>
      <c r="D8" s="5">
        <v>18</v>
      </c>
      <c r="E8" s="7">
        <f t="shared" si="0"/>
        <v>0</v>
      </c>
      <c r="H8" s="16"/>
      <c r="J8" s="5"/>
    </row>
    <row r="9" spans="1:10" hidden="1">
      <c r="A9" s="15" t="s">
        <v>11</v>
      </c>
      <c r="B9" s="13"/>
      <c r="C9" s="14"/>
      <c r="D9" s="5">
        <v>47</v>
      </c>
      <c r="E9" s="7">
        <f t="shared" si="0"/>
        <v>0</v>
      </c>
      <c r="H9" s="16"/>
      <c r="J9" s="5"/>
    </row>
    <row r="10" spans="1:10" hidden="1">
      <c r="A10" s="15" t="s">
        <v>12</v>
      </c>
      <c r="B10" s="13"/>
      <c r="C10" s="14"/>
      <c r="D10" s="5">
        <v>35</v>
      </c>
      <c r="E10" s="7">
        <f t="shared" si="0"/>
        <v>0</v>
      </c>
      <c r="H10" s="16"/>
      <c r="J10" s="5"/>
    </row>
    <row r="11" spans="1:10" hidden="1">
      <c r="A11" s="15" t="s">
        <v>13</v>
      </c>
      <c r="B11" s="13"/>
      <c r="C11" s="14"/>
      <c r="D11" s="5">
        <v>62</v>
      </c>
      <c r="E11" s="7">
        <f t="shared" si="0"/>
        <v>0</v>
      </c>
      <c r="H11" s="16"/>
      <c r="J11" s="5"/>
    </row>
    <row r="12" spans="1:10" hidden="1">
      <c r="A12" s="15" t="s">
        <v>14</v>
      </c>
      <c r="B12" s="13"/>
      <c r="C12" s="14"/>
      <c r="D12" s="5">
        <v>64</v>
      </c>
      <c r="E12" s="7">
        <f t="shared" si="0"/>
        <v>0</v>
      </c>
      <c r="H12" s="16"/>
      <c r="J12" s="5"/>
    </row>
    <row r="13" spans="1:10">
      <c r="A13" s="15" t="s">
        <v>15</v>
      </c>
      <c r="B13" s="13">
        <v>294.5</v>
      </c>
      <c r="C13" s="14"/>
      <c r="D13" s="5">
        <v>22</v>
      </c>
      <c r="E13" s="7">
        <f t="shared" si="0"/>
        <v>6479</v>
      </c>
      <c r="F13" t="s">
        <v>348</v>
      </c>
      <c r="H13" s="16"/>
      <c r="J13" s="5"/>
    </row>
    <row r="14" spans="1:10">
      <c r="A14" s="15" t="s">
        <v>16</v>
      </c>
      <c r="B14" s="13">
        <f>35+29.8</f>
        <v>64.8</v>
      </c>
      <c r="C14" s="14">
        <v>2</v>
      </c>
      <c r="D14" s="5">
        <v>48</v>
      </c>
      <c r="E14" s="7">
        <f t="shared" si="0"/>
        <v>3110.3999999999996</v>
      </c>
      <c r="H14" s="16"/>
      <c r="J14" s="5"/>
    </row>
    <row r="15" spans="1:10" hidden="1">
      <c r="A15" s="15" t="s">
        <v>16</v>
      </c>
      <c r="B15" s="13"/>
      <c r="C15" s="14"/>
      <c r="D15" s="5">
        <v>70</v>
      </c>
      <c r="E15" s="7">
        <f t="shared" si="0"/>
        <v>0</v>
      </c>
      <c r="H15" s="16"/>
      <c r="J15" s="5"/>
    </row>
    <row r="16" spans="1:10" hidden="1">
      <c r="A16" s="15" t="s">
        <v>17</v>
      </c>
      <c r="B16" s="13"/>
      <c r="C16" s="14"/>
      <c r="D16" s="5">
        <v>55</v>
      </c>
      <c r="E16" s="7">
        <f t="shared" si="0"/>
        <v>0</v>
      </c>
      <c r="I16" s="1"/>
      <c r="J16" s="17"/>
    </row>
    <row r="17" spans="1:10" hidden="1">
      <c r="A17" s="15" t="s">
        <v>18</v>
      </c>
      <c r="B17" s="13"/>
      <c r="C17" s="14"/>
      <c r="D17" s="5">
        <v>36</v>
      </c>
      <c r="E17" s="7">
        <f t="shared" si="0"/>
        <v>0</v>
      </c>
      <c r="I17" s="1"/>
      <c r="J17" s="17"/>
    </row>
    <row r="18" spans="1:10">
      <c r="A18" s="15" t="s">
        <v>19</v>
      </c>
      <c r="B18" s="13">
        <v>1.34</v>
      </c>
      <c r="C18" s="14"/>
      <c r="D18" s="5">
        <v>54</v>
      </c>
      <c r="E18" s="7">
        <f t="shared" si="0"/>
        <v>72.36</v>
      </c>
      <c r="I18" s="1"/>
      <c r="J18" s="17"/>
    </row>
    <row r="19" spans="1:10">
      <c r="A19" s="15" t="s">
        <v>20</v>
      </c>
      <c r="B19" s="13">
        <v>810.56</v>
      </c>
      <c r="C19" s="14"/>
      <c r="D19" s="5">
        <v>11</v>
      </c>
      <c r="E19" s="7">
        <f t="shared" si="0"/>
        <v>8916.16</v>
      </c>
      <c r="F19" t="s">
        <v>348</v>
      </c>
    </row>
    <row r="20" spans="1:10">
      <c r="A20" s="15" t="s">
        <v>21</v>
      </c>
      <c r="B20" s="13">
        <v>27.22</v>
      </c>
      <c r="C20" s="14">
        <v>1</v>
      </c>
      <c r="D20" s="5">
        <v>19.5</v>
      </c>
      <c r="E20" s="7">
        <f t="shared" si="0"/>
        <v>530.79</v>
      </c>
    </row>
    <row r="21" spans="1:10">
      <c r="A21" s="15" t="s">
        <v>21</v>
      </c>
      <c r="B21" s="13">
        <v>5.3550000000000004</v>
      </c>
      <c r="C21" s="14"/>
      <c r="D21" s="5">
        <v>24</v>
      </c>
      <c r="E21" s="7">
        <f t="shared" si="0"/>
        <v>128.52000000000001</v>
      </c>
    </row>
    <row r="22" spans="1:10">
      <c r="A22" s="15" t="s">
        <v>22</v>
      </c>
      <c r="B22" s="13">
        <v>52.26</v>
      </c>
      <c r="C22" s="14"/>
      <c r="D22" s="5">
        <v>24</v>
      </c>
      <c r="E22" s="7">
        <f t="shared" si="0"/>
        <v>1254.24</v>
      </c>
    </row>
    <row r="23" spans="1:10" hidden="1">
      <c r="A23" s="15" t="s">
        <v>23</v>
      </c>
      <c r="B23" s="13"/>
      <c r="C23" s="14"/>
      <c r="D23" s="5">
        <v>36</v>
      </c>
      <c r="E23" s="7">
        <f t="shared" si="0"/>
        <v>0</v>
      </c>
    </row>
    <row r="24" spans="1:10">
      <c r="A24" s="15" t="s">
        <v>24</v>
      </c>
      <c r="B24" s="13">
        <v>2.34</v>
      </c>
      <c r="C24" s="14"/>
      <c r="D24" s="5">
        <v>42</v>
      </c>
      <c r="E24" s="7">
        <f t="shared" si="0"/>
        <v>98.28</v>
      </c>
    </row>
    <row r="25" spans="1:10">
      <c r="A25" s="15" t="s">
        <v>25</v>
      </c>
      <c r="B25" s="13">
        <v>19.52</v>
      </c>
      <c r="C25" s="14"/>
      <c r="D25" s="5">
        <v>36</v>
      </c>
      <c r="E25" s="7">
        <f t="shared" si="0"/>
        <v>702.72</v>
      </c>
    </row>
    <row r="26" spans="1:10" hidden="1">
      <c r="A26" s="15" t="s">
        <v>26</v>
      </c>
      <c r="B26" s="13"/>
      <c r="C26" s="14"/>
      <c r="D26" s="5">
        <v>40</v>
      </c>
      <c r="E26" s="7">
        <f t="shared" si="0"/>
        <v>0</v>
      </c>
    </row>
    <row r="27" spans="1:10">
      <c r="A27" s="15" t="s">
        <v>27</v>
      </c>
      <c r="B27" s="13">
        <v>13.65</v>
      </c>
      <c r="C27" s="14"/>
      <c r="D27" s="5">
        <v>38</v>
      </c>
      <c r="E27" s="7">
        <f t="shared" si="0"/>
        <v>518.70000000000005</v>
      </c>
    </row>
    <row r="28" spans="1:10">
      <c r="A28" s="15" t="s">
        <v>28</v>
      </c>
      <c r="B28" s="13">
        <v>14</v>
      </c>
      <c r="C28" s="14"/>
      <c r="D28" s="5">
        <v>34</v>
      </c>
      <c r="E28" s="7">
        <f t="shared" si="0"/>
        <v>476</v>
      </c>
    </row>
    <row r="29" spans="1:10" hidden="1">
      <c r="A29" s="15" t="s">
        <v>29</v>
      </c>
      <c r="B29" s="13"/>
      <c r="C29" s="14"/>
      <c r="D29" s="5">
        <v>12</v>
      </c>
      <c r="E29" s="7">
        <f t="shared" si="0"/>
        <v>0</v>
      </c>
    </row>
    <row r="30" spans="1:10" hidden="1">
      <c r="A30" s="15" t="s">
        <v>30</v>
      </c>
      <c r="B30" s="13"/>
      <c r="C30" s="14"/>
      <c r="D30" s="5">
        <v>60</v>
      </c>
      <c r="E30" s="7">
        <f t="shared" si="0"/>
        <v>0</v>
      </c>
    </row>
    <row r="31" spans="1:10">
      <c r="A31" s="15" t="s">
        <v>31</v>
      </c>
      <c r="B31" s="13">
        <v>3.415</v>
      </c>
      <c r="C31" s="14"/>
      <c r="D31" s="5">
        <v>50</v>
      </c>
      <c r="E31" s="7">
        <f t="shared" si="0"/>
        <v>170.75</v>
      </c>
    </row>
    <row r="32" spans="1:10">
      <c r="A32" s="15" t="s">
        <v>32</v>
      </c>
      <c r="B32" s="13">
        <v>28</v>
      </c>
      <c r="C32" s="14"/>
      <c r="D32" s="5">
        <v>22</v>
      </c>
      <c r="E32" s="7">
        <f t="shared" si="0"/>
        <v>616</v>
      </c>
    </row>
    <row r="33" spans="1:5">
      <c r="A33" s="15" t="s">
        <v>33</v>
      </c>
      <c r="B33" s="13">
        <f>31.7*2</f>
        <v>63.4</v>
      </c>
      <c r="C33" s="14">
        <v>2</v>
      </c>
      <c r="D33" s="5">
        <v>21</v>
      </c>
      <c r="E33" s="7">
        <f t="shared" si="0"/>
        <v>1331.3999999999999</v>
      </c>
    </row>
    <row r="34" spans="1:5">
      <c r="A34" s="15" t="s">
        <v>34</v>
      </c>
      <c r="B34" s="13">
        <v>4.74</v>
      </c>
      <c r="C34" s="14"/>
      <c r="D34" s="5">
        <v>30</v>
      </c>
      <c r="E34" s="7">
        <f t="shared" si="0"/>
        <v>142.20000000000002</v>
      </c>
    </row>
    <row r="35" spans="1:5" hidden="1">
      <c r="A35" s="15" t="s">
        <v>35</v>
      </c>
      <c r="B35" s="13"/>
      <c r="C35" s="14"/>
      <c r="D35" s="5">
        <v>24</v>
      </c>
      <c r="E35" s="7">
        <f t="shared" si="0"/>
        <v>0</v>
      </c>
    </row>
    <row r="36" spans="1:5">
      <c r="A36" s="15" t="s">
        <v>36</v>
      </c>
      <c r="B36" s="13">
        <v>5.34</v>
      </c>
      <c r="C36" s="14"/>
      <c r="D36" s="5">
        <v>18</v>
      </c>
      <c r="E36" s="7">
        <f t="shared" si="0"/>
        <v>96.12</v>
      </c>
    </row>
    <row r="37" spans="1:5">
      <c r="A37" s="15" t="s">
        <v>37</v>
      </c>
      <c r="B37" s="13">
        <v>49.18</v>
      </c>
      <c r="C37" s="14"/>
      <c r="D37" s="5">
        <v>50</v>
      </c>
      <c r="E37" s="7">
        <f t="shared" si="0"/>
        <v>2459</v>
      </c>
    </row>
    <row r="38" spans="1:5" hidden="1">
      <c r="A38" s="15" t="s">
        <v>38</v>
      </c>
      <c r="B38" s="13"/>
      <c r="C38" s="14"/>
      <c r="D38" s="5">
        <v>30</v>
      </c>
      <c r="E38" s="7">
        <f t="shared" si="0"/>
        <v>0</v>
      </c>
    </row>
    <row r="39" spans="1:5" hidden="1">
      <c r="A39" s="15" t="s">
        <v>39</v>
      </c>
      <c r="B39" s="13"/>
      <c r="C39" s="14"/>
      <c r="D39" s="5">
        <v>27.5</v>
      </c>
      <c r="E39" s="7">
        <f t="shared" si="0"/>
        <v>0</v>
      </c>
    </row>
    <row r="40" spans="1:5" hidden="1">
      <c r="A40" s="15" t="s">
        <v>40</v>
      </c>
      <c r="B40" s="13"/>
      <c r="C40" s="14"/>
      <c r="D40" s="5">
        <v>38</v>
      </c>
      <c r="E40" s="7">
        <f t="shared" si="0"/>
        <v>0</v>
      </c>
    </row>
    <row r="41" spans="1:5">
      <c r="A41" s="15" t="s">
        <v>41</v>
      </c>
      <c r="B41" s="13">
        <v>799.34</v>
      </c>
      <c r="C41" s="14">
        <v>64</v>
      </c>
      <c r="D41" s="5">
        <v>27</v>
      </c>
      <c r="E41" s="7">
        <f t="shared" si="0"/>
        <v>21582.18</v>
      </c>
    </row>
    <row r="42" spans="1:5">
      <c r="A42" s="15" t="s">
        <v>42</v>
      </c>
      <c r="B42" s="13">
        <v>15.46</v>
      </c>
      <c r="C42" s="14"/>
      <c r="D42" s="5">
        <v>34</v>
      </c>
      <c r="E42" s="7">
        <f t="shared" si="0"/>
        <v>525.64</v>
      </c>
    </row>
    <row r="43" spans="1:5" hidden="1">
      <c r="A43" s="15" t="s">
        <v>43</v>
      </c>
      <c r="B43" s="13"/>
      <c r="C43" s="14"/>
      <c r="D43" s="5">
        <v>40</v>
      </c>
      <c r="E43" s="7">
        <f t="shared" si="0"/>
        <v>0</v>
      </c>
    </row>
    <row r="44" spans="1:5" hidden="1">
      <c r="A44" s="15" t="s">
        <v>44</v>
      </c>
      <c r="B44" s="13"/>
      <c r="C44" s="14"/>
      <c r="D44" s="5">
        <v>50</v>
      </c>
      <c r="E44" s="7">
        <f t="shared" si="0"/>
        <v>0</v>
      </c>
    </row>
    <row r="45" spans="1:5">
      <c r="A45" s="15" t="s">
        <v>45</v>
      </c>
      <c r="B45" s="13">
        <v>3.6150000000000002</v>
      </c>
      <c r="C45" s="14"/>
      <c r="D45" s="5">
        <v>70</v>
      </c>
      <c r="E45" s="7">
        <f t="shared" si="0"/>
        <v>253.05</v>
      </c>
    </row>
    <row r="46" spans="1:5">
      <c r="A46" s="15" t="s">
        <v>46</v>
      </c>
      <c r="B46" s="13">
        <v>33.44</v>
      </c>
      <c r="C46" s="14"/>
      <c r="D46" s="5">
        <v>62</v>
      </c>
      <c r="E46" s="7">
        <f t="shared" si="0"/>
        <v>2073.2799999999997</v>
      </c>
    </row>
    <row r="47" spans="1:5" hidden="1">
      <c r="A47" s="15" t="s">
        <v>47</v>
      </c>
      <c r="B47" s="13"/>
      <c r="C47" s="14"/>
      <c r="D47" s="5">
        <v>40</v>
      </c>
      <c r="E47" s="7">
        <f t="shared" si="0"/>
        <v>0</v>
      </c>
    </row>
    <row r="48" spans="1:5">
      <c r="A48" s="15" t="s">
        <v>48</v>
      </c>
      <c r="B48" s="13">
        <f>11+3.295</f>
        <v>14.295</v>
      </c>
      <c r="C48" s="14"/>
      <c r="D48" s="5">
        <v>40</v>
      </c>
      <c r="E48" s="7">
        <f t="shared" si="0"/>
        <v>571.79999999999995</v>
      </c>
    </row>
    <row r="49" spans="1:5">
      <c r="A49" s="15" t="s">
        <v>49</v>
      </c>
      <c r="B49" s="13">
        <v>0.745</v>
      </c>
      <c r="C49" s="14"/>
      <c r="D49" s="5">
        <v>64</v>
      </c>
      <c r="E49" s="7">
        <f t="shared" si="0"/>
        <v>47.68</v>
      </c>
    </row>
    <row r="50" spans="1:5" hidden="1">
      <c r="A50" s="15" t="s">
        <v>99</v>
      </c>
      <c r="B50" s="13"/>
      <c r="C50" s="14"/>
      <c r="D50" s="5">
        <v>46</v>
      </c>
      <c r="E50" s="7">
        <f>D50*B50</f>
        <v>0</v>
      </c>
    </row>
    <row r="51" spans="1:5">
      <c r="A51" s="15" t="s">
        <v>50</v>
      </c>
      <c r="B51" s="13"/>
      <c r="C51" s="14">
        <v>2</v>
      </c>
      <c r="D51" s="5">
        <v>260</v>
      </c>
      <c r="E51" s="7">
        <f>D51*C51</f>
        <v>520</v>
      </c>
    </row>
    <row r="52" spans="1:5">
      <c r="A52" s="15" t="s">
        <v>51</v>
      </c>
      <c r="B52" s="18"/>
      <c r="C52" s="19">
        <v>5</v>
      </c>
      <c r="D52" s="5">
        <v>28</v>
      </c>
      <c r="E52" s="7">
        <f>D52*C52</f>
        <v>140</v>
      </c>
    </row>
    <row r="53" spans="1:5">
      <c r="A53" s="15"/>
      <c r="B53" s="20"/>
      <c r="C53" s="21"/>
      <c r="D53" s="5"/>
      <c r="E53" s="7"/>
    </row>
    <row r="54" spans="1:5" hidden="1">
      <c r="A54" s="1" t="s">
        <v>52</v>
      </c>
      <c r="B54" s="20"/>
      <c r="C54" s="21"/>
      <c r="D54" s="5"/>
      <c r="E54" s="7"/>
    </row>
    <row r="55" spans="1:5" hidden="1">
      <c r="A55" s="15" t="s">
        <v>53</v>
      </c>
      <c r="B55" s="13"/>
      <c r="C55" s="13"/>
      <c r="D55" s="5">
        <v>38</v>
      </c>
      <c r="E55" s="7">
        <f>D55*B55</f>
        <v>0</v>
      </c>
    </row>
    <row r="56" spans="1:5" hidden="1">
      <c r="A56" s="15" t="s">
        <v>54</v>
      </c>
      <c r="B56" s="13"/>
      <c r="C56" s="13"/>
      <c r="D56" s="5">
        <v>28</v>
      </c>
      <c r="E56" s="7">
        <f>D56*B56</f>
        <v>0</v>
      </c>
    </row>
    <row r="57" spans="1:5">
      <c r="A57" s="15"/>
      <c r="B57" s="20"/>
      <c r="C57" s="21"/>
      <c r="D57" s="5"/>
      <c r="E57" s="7"/>
    </row>
    <row r="58" spans="1:5">
      <c r="A58" s="1" t="s">
        <v>55</v>
      </c>
      <c r="B58" s="20"/>
      <c r="C58" s="21"/>
      <c r="D58" s="5"/>
      <c r="E58" s="7"/>
    </row>
    <row r="59" spans="1:5" hidden="1">
      <c r="A59" s="15" t="s">
        <v>56</v>
      </c>
      <c r="B59" s="13"/>
      <c r="C59" s="14"/>
      <c r="D59" s="5">
        <v>50</v>
      </c>
      <c r="E59" s="7">
        <f t="shared" ref="E59:E82" si="1">D59*B59</f>
        <v>0</v>
      </c>
    </row>
    <row r="60" spans="1:5">
      <c r="A60" s="15" t="s">
        <v>57</v>
      </c>
      <c r="B60" s="13">
        <f>1.225+1.1</f>
        <v>2.3250000000000002</v>
      </c>
      <c r="C60" s="14"/>
      <c r="D60" s="5">
        <v>59</v>
      </c>
      <c r="E60" s="7">
        <f t="shared" si="1"/>
        <v>137.17500000000001</v>
      </c>
    </row>
    <row r="61" spans="1:5">
      <c r="A61" s="15" t="s">
        <v>58</v>
      </c>
      <c r="B61" s="13">
        <f>0.215+0.095</f>
        <v>0.31</v>
      </c>
      <c r="C61" s="14"/>
      <c r="D61" s="5">
        <v>35</v>
      </c>
      <c r="E61" s="7">
        <f t="shared" si="1"/>
        <v>10.85</v>
      </c>
    </row>
    <row r="62" spans="1:5" hidden="1">
      <c r="A62" s="15" t="s">
        <v>59</v>
      </c>
      <c r="B62" s="13"/>
      <c r="C62" s="14"/>
      <c r="D62" s="5">
        <v>47</v>
      </c>
      <c r="E62" s="7">
        <f t="shared" si="1"/>
        <v>0</v>
      </c>
    </row>
    <row r="63" spans="1:5" hidden="1">
      <c r="A63" s="15" t="s">
        <v>60</v>
      </c>
      <c r="B63" s="13"/>
      <c r="C63" s="14"/>
      <c r="D63" s="5">
        <v>43</v>
      </c>
      <c r="E63" s="7">
        <f t="shared" si="1"/>
        <v>0</v>
      </c>
    </row>
    <row r="64" spans="1:5">
      <c r="A64" s="15" t="s">
        <v>61</v>
      </c>
      <c r="B64" s="13">
        <v>13.845000000000001</v>
      </c>
      <c r="C64" s="14"/>
      <c r="D64" s="5">
        <v>35</v>
      </c>
      <c r="E64" s="7">
        <f t="shared" si="1"/>
        <v>484.57500000000005</v>
      </c>
    </row>
    <row r="65" spans="1:5">
      <c r="A65" s="15" t="s">
        <v>62</v>
      </c>
      <c r="B65" s="13">
        <v>4.49</v>
      </c>
      <c r="C65" s="14"/>
      <c r="D65" s="5">
        <v>40</v>
      </c>
      <c r="E65" s="7">
        <f t="shared" si="1"/>
        <v>179.60000000000002</v>
      </c>
    </row>
    <row r="66" spans="1:5" ht="14.25" hidden="1" customHeight="1">
      <c r="A66" s="15" t="s">
        <v>63</v>
      </c>
      <c r="B66" s="13"/>
      <c r="C66" s="14"/>
      <c r="D66" s="5">
        <v>31</v>
      </c>
      <c r="E66" s="7">
        <f t="shared" si="1"/>
        <v>0</v>
      </c>
    </row>
    <row r="67" spans="1:5" hidden="1">
      <c r="A67" s="15" t="s">
        <v>64</v>
      </c>
      <c r="B67" s="13"/>
      <c r="C67" s="14"/>
      <c r="D67" s="5">
        <v>43</v>
      </c>
      <c r="E67" s="7">
        <f t="shared" si="1"/>
        <v>0</v>
      </c>
    </row>
    <row r="68" spans="1:5" hidden="1">
      <c r="A68" s="15" t="s">
        <v>65</v>
      </c>
      <c r="B68" s="13"/>
      <c r="C68" s="14"/>
      <c r="D68" s="5">
        <v>53</v>
      </c>
      <c r="E68" s="7">
        <f t="shared" si="1"/>
        <v>0</v>
      </c>
    </row>
    <row r="69" spans="1:5">
      <c r="A69" s="15" t="s">
        <v>66</v>
      </c>
      <c r="B69" s="13">
        <f>8.46+1.06</f>
        <v>9.5200000000000014</v>
      </c>
      <c r="C69" s="14"/>
      <c r="D69" s="5">
        <v>30</v>
      </c>
      <c r="E69" s="7">
        <f t="shared" si="1"/>
        <v>285.60000000000002</v>
      </c>
    </row>
    <row r="70" spans="1:5">
      <c r="A70" s="15" t="s">
        <v>67</v>
      </c>
      <c r="B70" s="13">
        <v>9.3000000000000007</v>
      </c>
      <c r="C70" s="14"/>
      <c r="D70" s="5">
        <v>18</v>
      </c>
      <c r="E70" s="7">
        <f t="shared" si="1"/>
        <v>167.4</v>
      </c>
    </row>
    <row r="71" spans="1:5" hidden="1">
      <c r="A71" s="15" t="s">
        <v>68</v>
      </c>
      <c r="B71" s="13"/>
      <c r="C71" s="14"/>
      <c r="D71" s="5">
        <v>36</v>
      </c>
      <c r="E71" s="7">
        <f t="shared" si="1"/>
        <v>0</v>
      </c>
    </row>
    <row r="72" spans="1:5" hidden="1">
      <c r="A72" s="15" t="s">
        <v>69</v>
      </c>
      <c r="B72" s="13"/>
      <c r="C72" s="14"/>
      <c r="D72" s="5">
        <v>32</v>
      </c>
      <c r="E72" s="7">
        <f t="shared" si="1"/>
        <v>0</v>
      </c>
    </row>
    <row r="73" spans="1:5" hidden="1">
      <c r="A73" s="15" t="s">
        <v>70</v>
      </c>
      <c r="B73" s="13"/>
      <c r="C73" s="14"/>
      <c r="D73" s="5">
        <v>23</v>
      </c>
      <c r="E73" s="7">
        <f t="shared" si="1"/>
        <v>0</v>
      </c>
    </row>
    <row r="74" spans="1:5" hidden="1">
      <c r="A74" s="15" t="s">
        <v>71</v>
      </c>
      <c r="B74" s="13"/>
      <c r="C74" s="14"/>
      <c r="D74" s="5"/>
      <c r="E74" s="7">
        <f t="shared" si="1"/>
        <v>0</v>
      </c>
    </row>
    <row r="75" spans="1:5" hidden="1">
      <c r="A75" s="15" t="s">
        <v>72</v>
      </c>
      <c r="B75" s="13"/>
      <c r="C75" s="14"/>
      <c r="D75" s="5">
        <v>23</v>
      </c>
      <c r="E75" s="7">
        <f t="shared" si="1"/>
        <v>0</v>
      </c>
    </row>
    <row r="76" spans="1:5" hidden="1">
      <c r="A76" s="15"/>
      <c r="B76" s="13"/>
      <c r="C76" s="14"/>
      <c r="D76" s="5">
        <v>32</v>
      </c>
      <c r="E76" s="7">
        <f t="shared" si="1"/>
        <v>0</v>
      </c>
    </row>
    <row r="77" spans="1:5" hidden="1">
      <c r="A77" s="15" t="s">
        <v>73</v>
      </c>
      <c r="B77" s="13"/>
      <c r="C77" s="14"/>
      <c r="D77" s="5">
        <v>29</v>
      </c>
      <c r="E77" s="7">
        <f t="shared" si="1"/>
        <v>0</v>
      </c>
    </row>
    <row r="78" spans="1:5" hidden="1">
      <c r="A78" s="15" t="s">
        <v>74</v>
      </c>
      <c r="B78" s="13"/>
      <c r="C78" s="14"/>
      <c r="D78" s="5">
        <v>19</v>
      </c>
      <c r="E78" s="7">
        <f t="shared" si="1"/>
        <v>0</v>
      </c>
    </row>
    <row r="79" spans="1:5">
      <c r="A79" s="15" t="s">
        <v>75</v>
      </c>
      <c r="B79" s="13">
        <v>2.17</v>
      </c>
      <c r="C79" s="14"/>
      <c r="D79" s="5">
        <v>34</v>
      </c>
      <c r="E79" s="7">
        <f t="shared" si="1"/>
        <v>73.78</v>
      </c>
    </row>
    <row r="80" spans="1:5">
      <c r="A80" s="15" t="s">
        <v>76</v>
      </c>
      <c r="B80" s="13">
        <v>6</v>
      </c>
      <c r="C80" s="14"/>
      <c r="D80" s="5">
        <v>25</v>
      </c>
      <c r="E80" s="7">
        <f t="shared" si="1"/>
        <v>150</v>
      </c>
    </row>
    <row r="81" spans="1:5" hidden="1">
      <c r="A81" s="15" t="s">
        <v>77</v>
      </c>
      <c r="B81" s="13"/>
      <c r="C81" s="14"/>
      <c r="D81" s="5">
        <v>22</v>
      </c>
      <c r="E81" s="7">
        <f t="shared" si="1"/>
        <v>0</v>
      </c>
    </row>
    <row r="82" spans="1:5">
      <c r="A82" s="15" t="s">
        <v>78</v>
      </c>
      <c r="B82" s="13">
        <v>12.305</v>
      </c>
      <c r="C82" s="14"/>
      <c r="D82" s="5">
        <v>54</v>
      </c>
      <c r="E82" s="7">
        <f t="shared" si="1"/>
        <v>664.47</v>
      </c>
    </row>
    <row r="83" spans="1:5" hidden="1">
      <c r="A83" s="15" t="s">
        <v>79</v>
      </c>
      <c r="B83" s="18"/>
      <c r="C83" s="19"/>
      <c r="D83" s="5">
        <v>40</v>
      </c>
      <c r="E83" s="7">
        <f>D83*C83</f>
        <v>0</v>
      </c>
    </row>
    <row r="84" spans="1:5">
      <c r="A84" s="15"/>
      <c r="B84" s="20"/>
      <c r="C84" s="21"/>
      <c r="D84" s="5"/>
      <c r="E84" s="7"/>
    </row>
    <row r="85" spans="1:5" hidden="1">
      <c r="A85" s="15" t="s">
        <v>80</v>
      </c>
      <c r="B85" s="13"/>
      <c r="C85" s="14"/>
      <c r="D85" s="5"/>
      <c r="E85" s="7">
        <f t="shared" ref="E85:E107" si="2">D85*B85</f>
        <v>0</v>
      </c>
    </row>
    <row r="86" spans="1:5">
      <c r="A86" s="15" t="s">
        <v>59</v>
      </c>
      <c r="B86" s="13">
        <f>7.43+0.09</f>
        <v>7.52</v>
      </c>
      <c r="C86" s="14"/>
      <c r="D86" s="5">
        <v>60</v>
      </c>
      <c r="E86" s="7">
        <f t="shared" si="2"/>
        <v>451.2</v>
      </c>
    </row>
    <row r="87" spans="1:5" hidden="1">
      <c r="A87" s="15" t="s">
        <v>61</v>
      </c>
      <c r="B87" s="13"/>
      <c r="C87" s="14"/>
      <c r="D87" s="5">
        <v>40</v>
      </c>
      <c r="E87" s="7">
        <f t="shared" si="2"/>
        <v>0</v>
      </c>
    </row>
    <row r="88" spans="1:5">
      <c r="A88" s="15" t="s">
        <v>62</v>
      </c>
      <c r="B88" s="13">
        <v>0.72</v>
      </c>
      <c r="C88" s="14"/>
      <c r="D88" s="5">
        <v>60</v>
      </c>
      <c r="E88" s="7">
        <f t="shared" si="2"/>
        <v>43.199999999999996</v>
      </c>
    </row>
    <row r="89" spans="1:5" hidden="1">
      <c r="A89" s="15" t="s">
        <v>81</v>
      </c>
      <c r="B89" s="13"/>
      <c r="C89" s="14"/>
      <c r="D89" s="5">
        <v>40</v>
      </c>
      <c r="E89" s="7">
        <f t="shared" si="2"/>
        <v>0</v>
      </c>
    </row>
    <row r="90" spans="1:5" hidden="1">
      <c r="A90" s="15" t="s">
        <v>82</v>
      </c>
      <c r="B90" s="13"/>
      <c r="C90" s="14"/>
      <c r="D90" s="5">
        <v>45</v>
      </c>
      <c r="E90" s="7">
        <f t="shared" si="2"/>
        <v>0</v>
      </c>
    </row>
    <row r="91" spans="1:5">
      <c r="A91" s="15" t="s">
        <v>83</v>
      </c>
      <c r="B91" s="13">
        <f>1.69+0.07</f>
        <v>1.76</v>
      </c>
      <c r="C91" s="14"/>
      <c r="D91" s="5">
        <v>40</v>
      </c>
      <c r="E91" s="7">
        <f t="shared" si="2"/>
        <v>70.400000000000006</v>
      </c>
    </row>
    <row r="92" spans="1:5" hidden="1">
      <c r="A92" s="15" t="s">
        <v>84</v>
      </c>
      <c r="B92" s="13"/>
      <c r="C92" s="14"/>
      <c r="D92" s="5">
        <v>60</v>
      </c>
      <c r="E92" s="7">
        <f t="shared" si="2"/>
        <v>0</v>
      </c>
    </row>
    <row r="93" spans="1:5">
      <c r="A93" s="15" t="s">
        <v>85</v>
      </c>
      <c r="B93" s="13">
        <v>1.2150000000000001</v>
      </c>
      <c r="C93" s="14"/>
      <c r="D93" s="5">
        <v>65</v>
      </c>
      <c r="E93" s="7">
        <f t="shared" si="2"/>
        <v>78.975000000000009</v>
      </c>
    </row>
    <row r="94" spans="1:5" hidden="1">
      <c r="A94" s="15" t="s">
        <v>67</v>
      </c>
      <c r="B94" s="13"/>
      <c r="C94" s="14"/>
      <c r="D94" s="5">
        <v>28</v>
      </c>
      <c r="E94" s="7">
        <f t="shared" si="2"/>
        <v>0</v>
      </c>
    </row>
    <row r="95" spans="1:5" hidden="1">
      <c r="A95" s="15" t="s">
        <v>86</v>
      </c>
      <c r="B95" s="13"/>
      <c r="C95" s="14"/>
      <c r="D95" s="5"/>
      <c r="E95" s="7">
        <f t="shared" si="2"/>
        <v>0</v>
      </c>
    </row>
    <row r="96" spans="1:5" hidden="1">
      <c r="A96" s="15" t="s">
        <v>70</v>
      </c>
      <c r="B96" s="13"/>
      <c r="C96" s="14"/>
      <c r="D96" s="5">
        <v>40</v>
      </c>
      <c r="E96" s="7">
        <f t="shared" si="2"/>
        <v>0</v>
      </c>
    </row>
    <row r="97" spans="1:5">
      <c r="A97" s="15" t="s">
        <v>87</v>
      </c>
      <c r="B97" s="13">
        <v>7.48</v>
      </c>
      <c r="C97" s="14"/>
      <c r="D97" s="5">
        <v>85</v>
      </c>
      <c r="E97" s="7">
        <f t="shared" si="2"/>
        <v>635.80000000000007</v>
      </c>
    </row>
    <row r="98" spans="1:5" hidden="1">
      <c r="A98" s="15" t="s">
        <v>88</v>
      </c>
      <c r="B98" s="13"/>
      <c r="C98" s="14"/>
      <c r="D98" s="5">
        <v>30</v>
      </c>
      <c r="E98" s="7">
        <f t="shared" si="2"/>
        <v>0</v>
      </c>
    </row>
    <row r="99" spans="1:5" hidden="1">
      <c r="A99" s="15" t="s">
        <v>72</v>
      </c>
      <c r="B99" s="13"/>
      <c r="C99" s="14"/>
      <c r="D99" s="5">
        <v>25</v>
      </c>
      <c r="E99" s="7">
        <f t="shared" si="2"/>
        <v>0</v>
      </c>
    </row>
    <row r="100" spans="1:5" hidden="1">
      <c r="A100" s="15" t="s">
        <v>73</v>
      </c>
      <c r="B100" s="13"/>
      <c r="C100" s="14"/>
      <c r="D100" s="5">
        <v>36</v>
      </c>
      <c r="E100" s="7">
        <f t="shared" si="2"/>
        <v>0</v>
      </c>
    </row>
    <row r="101" spans="1:5" hidden="1">
      <c r="A101" s="15" t="s">
        <v>89</v>
      </c>
      <c r="B101" s="13"/>
      <c r="C101" s="14"/>
      <c r="D101" s="5">
        <v>25</v>
      </c>
      <c r="E101" s="7">
        <f t="shared" si="2"/>
        <v>0</v>
      </c>
    </row>
    <row r="102" spans="1:5" hidden="1">
      <c r="A102" s="15" t="s">
        <v>75</v>
      </c>
      <c r="B102" s="13"/>
      <c r="C102" s="14"/>
      <c r="D102" s="5">
        <v>38</v>
      </c>
      <c r="E102" s="7">
        <f t="shared" si="2"/>
        <v>0</v>
      </c>
    </row>
    <row r="103" spans="1:5">
      <c r="A103" s="15" t="s">
        <v>90</v>
      </c>
      <c r="B103" s="13">
        <v>1.665</v>
      </c>
      <c r="C103" s="14"/>
      <c r="D103" s="5">
        <v>29</v>
      </c>
      <c r="E103" s="7">
        <f t="shared" si="2"/>
        <v>48.285000000000004</v>
      </c>
    </row>
    <row r="104" spans="1:5">
      <c r="A104" s="15" t="s">
        <v>349</v>
      </c>
      <c r="B104" s="13">
        <v>5.55</v>
      </c>
      <c r="C104" s="14"/>
      <c r="D104" s="5">
        <v>48</v>
      </c>
      <c r="E104" s="7">
        <f t="shared" si="2"/>
        <v>266.39999999999998</v>
      </c>
    </row>
    <row r="105" spans="1:5" hidden="1">
      <c r="A105" s="15" t="s">
        <v>101</v>
      </c>
      <c r="B105" s="13"/>
      <c r="C105" s="14"/>
      <c r="D105" s="5">
        <v>34</v>
      </c>
      <c r="E105" s="7">
        <f t="shared" si="2"/>
        <v>0</v>
      </c>
    </row>
    <row r="106" spans="1:5">
      <c r="A106" s="15" t="s">
        <v>350</v>
      </c>
      <c r="B106" s="13">
        <v>10.06</v>
      </c>
      <c r="C106" s="14">
        <v>5</v>
      </c>
      <c r="D106" s="5">
        <v>38</v>
      </c>
      <c r="E106" s="7">
        <f t="shared" si="2"/>
        <v>382.28000000000003</v>
      </c>
    </row>
    <row r="107" spans="1:5" hidden="1">
      <c r="A107" s="15" t="s">
        <v>78</v>
      </c>
      <c r="B107" s="18"/>
      <c r="C107" s="19"/>
      <c r="D107" s="5">
        <v>80</v>
      </c>
      <c r="E107" s="7">
        <f t="shared" si="2"/>
        <v>0</v>
      </c>
    </row>
    <row r="108" spans="1:5">
      <c r="A108" s="15"/>
      <c r="B108" s="20"/>
      <c r="C108" s="21"/>
      <c r="D108" s="5"/>
      <c r="E108" s="7"/>
    </row>
    <row r="109" spans="1:5" hidden="1">
      <c r="A109" s="15" t="s">
        <v>91</v>
      </c>
      <c r="B109" s="13"/>
      <c r="C109" s="14"/>
      <c r="D109" s="5">
        <v>11</v>
      </c>
      <c r="E109" s="7">
        <f t="shared" ref="E109:E114" si="3">D109*C109</f>
        <v>0</v>
      </c>
    </row>
    <row r="110" spans="1:5">
      <c r="A110" s="15" t="s">
        <v>92</v>
      </c>
      <c r="B110" s="13"/>
      <c r="C110" s="14">
        <v>7</v>
      </c>
      <c r="D110" s="5">
        <v>15</v>
      </c>
      <c r="E110" s="7">
        <f t="shared" si="3"/>
        <v>105</v>
      </c>
    </row>
    <row r="111" spans="1:5" hidden="1">
      <c r="A111" s="15" t="s">
        <v>93</v>
      </c>
      <c r="B111" s="13"/>
      <c r="C111" s="14"/>
      <c r="D111" s="5">
        <v>13</v>
      </c>
      <c r="E111" s="7">
        <f t="shared" si="3"/>
        <v>0</v>
      </c>
    </row>
    <row r="112" spans="1:5">
      <c r="A112" s="15" t="s">
        <v>94</v>
      </c>
      <c r="B112" s="13"/>
      <c r="C112" s="14">
        <v>12</v>
      </c>
      <c r="D112" s="5">
        <v>18</v>
      </c>
      <c r="E112" s="7">
        <f t="shared" si="3"/>
        <v>216</v>
      </c>
    </row>
    <row r="113" spans="1:5">
      <c r="A113" s="15" t="s">
        <v>95</v>
      </c>
      <c r="B113" s="13"/>
      <c r="C113" s="14">
        <v>33</v>
      </c>
      <c r="D113" s="5">
        <v>10</v>
      </c>
      <c r="E113" s="7">
        <f t="shared" si="3"/>
        <v>330</v>
      </c>
    </row>
    <row r="114" spans="1:5">
      <c r="A114" s="15" t="s">
        <v>96</v>
      </c>
      <c r="B114" s="18"/>
      <c r="C114" s="19">
        <v>38</v>
      </c>
      <c r="D114" s="5">
        <v>8</v>
      </c>
      <c r="E114" s="7">
        <f t="shared" si="3"/>
        <v>304</v>
      </c>
    </row>
    <row r="115" spans="1:5">
      <c r="A115" s="15"/>
      <c r="B115" s="20"/>
      <c r="C115" s="21"/>
      <c r="D115" s="5"/>
      <c r="E115" s="7"/>
    </row>
    <row r="116" spans="1:5">
      <c r="A116" s="15" t="s">
        <v>97</v>
      </c>
      <c r="B116" s="13">
        <v>63.62</v>
      </c>
      <c r="C116" s="14"/>
      <c r="D116" s="5">
        <v>24</v>
      </c>
      <c r="E116" s="7">
        <f>D116*B116</f>
        <v>1526.8799999999999</v>
      </c>
    </row>
    <row r="117" spans="1:5">
      <c r="A117" s="15"/>
      <c r="B117" s="20"/>
      <c r="C117" s="21"/>
      <c r="D117" s="5"/>
      <c r="E117" s="7"/>
    </row>
    <row r="118" spans="1:5">
      <c r="B118" s="20"/>
      <c r="C118" s="21"/>
      <c r="D118" s="5"/>
      <c r="E118" s="7"/>
    </row>
    <row r="119" spans="1:5">
      <c r="A119" s="22" t="s">
        <v>98</v>
      </c>
      <c r="B119" s="23">
        <f>SUM(B6:B107)</f>
        <v>2624.2499999999995</v>
      </c>
      <c r="C119" s="1"/>
      <c r="D119" s="17"/>
      <c r="E119" s="24">
        <f>SUM(E6:E118)</f>
        <v>66883.640000000014</v>
      </c>
    </row>
  </sheetData>
  <phoneticPr fontId="4" type="noConversion"/>
  <pageMargins left="0.75" right="0.75" top="1" bottom="1" header="0" footer="0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116"/>
  <sheetViews>
    <sheetView workbookViewId="0">
      <selection activeCell="C20" sqref="C20"/>
    </sheetView>
  </sheetViews>
  <sheetFormatPr baseColWidth="10" defaultRowHeight="12.75"/>
  <cols>
    <col min="1" max="1" width="25.7109375" customWidth="1"/>
    <col min="2" max="2" width="12.85546875" style="2" customWidth="1"/>
    <col min="3" max="3" width="8.42578125" customWidth="1"/>
    <col min="5" max="5" width="12.5703125" customWidth="1"/>
  </cols>
  <sheetData>
    <row r="1" spans="1:10">
      <c r="A1" s="1" t="s">
        <v>0</v>
      </c>
      <c r="D1" t="s">
        <v>1</v>
      </c>
      <c r="E1" s="3">
        <v>40159</v>
      </c>
    </row>
    <row r="2" spans="1:10">
      <c r="A2" s="1"/>
      <c r="E2" s="4"/>
    </row>
    <row r="3" spans="1:10">
      <c r="A3" s="1"/>
      <c r="D3" s="5"/>
      <c r="E3" s="6"/>
    </row>
    <row r="4" spans="1:10">
      <c r="A4" s="1" t="s">
        <v>2</v>
      </c>
      <c r="D4" s="5"/>
      <c r="E4" s="7"/>
    </row>
    <row r="5" spans="1:10">
      <c r="A5" s="1" t="s">
        <v>3</v>
      </c>
      <c r="B5" s="8" t="s">
        <v>4</v>
      </c>
      <c r="C5" s="9" t="s">
        <v>5</v>
      </c>
      <c r="D5" s="10" t="s">
        <v>6</v>
      </c>
      <c r="E5" s="11" t="s">
        <v>7</v>
      </c>
    </row>
    <row r="6" spans="1:10" hidden="1">
      <c r="A6" s="12" t="s">
        <v>8</v>
      </c>
      <c r="B6" s="13"/>
      <c r="C6" s="14"/>
      <c r="D6" s="5">
        <v>37</v>
      </c>
      <c r="E6" s="7">
        <f t="shared" ref="E6:E49" si="0">D6*B6</f>
        <v>0</v>
      </c>
    </row>
    <row r="7" spans="1:10" hidden="1">
      <c r="A7" s="15" t="s">
        <v>9</v>
      </c>
      <c r="B7" s="13"/>
      <c r="C7" s="14"/>
      <c r="D7" s="5">
        <v>75</v>
      </c>
      <c r="E7" s="7">
        <f>D7*B7</f>
        <v>0</v>
      </c>
    </row>
    <row r="8" spans="1:10">
      <c r="A8" s="15" t="s">
        <v>10</v>
      </c>
      <c r="B8" s="13">
        <v>8.5</v>
      </c>
      <c r="C8" s="14"/>
      <c r="D8" s="5">
        <v>18</v>
      </c>
      <c r="E8" s="7">
        <f t="shared" si="0"/>
        <v>153</v>
      </c>
      <c r="H8" s="16"/>
      <c r="J8" s="5"/>
    </row>
    <row r="9" spans="1:10" hidden="1">
      <c r="A9" s="15" t="s">
        <v>11</v>
      </c>
      <c r="B9" s="13"/>
      <c r="C9" s="14"/>
      <c r="D9" s="5">
        <v>47</v>
      </c>
      <c r="E9" s="7">
        <f t="shared" si="0"/>
        <v>0</v>
      </c>
      <c r="H9" s="16"/>
      <c r="J9" s="5"/>
    </row>
    <row r="10" spans="1:10" hidden="1">
      <c r="A10" s="15" t="s">
        <v>12</v>
      </c>
      <c r="B10" s="13"/>
      <c r="C10" s="14"/>
      <c r="D10" s="5">
        <v>35</v>
      </c>
      <c r="E10" s="7">
        <f t="shared" si="0"/>
        <v>0</v>
      </c>
      <c r="H10" s="16"/>
      <c r="J10" s="5"/>
    </row>
    <row r="11" spans="1:10">
      <c r="A11" s="15" t="s">
        <v>13</v>
      </c>
      <c r="B11" s="13">
        <v>49</v>
      </c>
      <c r="C11" s="14"/>
      <c r="D11" s="5">
        <v>62</v>
      </c>
      <c r="E11" s="7">
        <f t="shared" si="0"/>
        <v>3038</v>
      </c>
      <c r="H11" s="16"/>
      <c r="J11" s="5"/>
    </row>
    <row r="12" spans="1:10">
      <c r="A12" s="15" t="s">
        <v>14</v>
      </c>
      <c r="B12" s="13">
        <f>20+19.4</f>
        <v>39.4</v>
      </c>
      <c r="C12" s="14">
        <v>2</v>
      </c>
      <c r="D12" s="5">
        <v>64</v>
      </c>
      <c r="E12" s="7">
        <f t="shared" si="0"/>
        <v>2521.6</v>
      </c>
      <c r="H12" s="16"/>
      <c r="J12" s="5"/>
    </row>
    <row r="13" spans="1:10">
      <c r="A13" s="15" t="s">
        <v>15</v>
      </c>
      <c r="B13" s="13">
        <f>1.85+9.64</f>
        <v>11.49</v>
      </c>
      <c r="C13" s="14"/>
      <c r="D13" s="5">
        <v>22</v>
      </c>
      <c r="E13" s="7">
        <f t="shared" si="0"/>
        <v>252.78</v>
      </c>
      <c r="H13" s="16"/>
      <c r="J13" s="5"/>
    </row>
    <row r="14" spans="1:10">
      <c r="A14" s="15" t="s">
        <v>16</v>
      </c>
      <c r="B14" s="13">
        <f>28.9+31.2+31.9</f>
        <v>92</v>
      </c>
      <c r="C14" s="14">
        <v>3</v>
      </c>
      <c r="D14" s="5">
        <v>48</v>
      </c>
      <c r="E14" s="7">
        <f t="shared" si="0"/>
        <v>4416</v>
      </c>
      <c r="H14" s="16"/>
      <c r="J14" s="5"/>
    </row>
    <row r="15" spans="1:10" hidden="1">
      <c r="A15" s="15" t="s">
        <v>16</v>
      </c>
      <c r="B15" s="13"/>
      <c r="C15" s="14"/>
      <c r="D15" s="5">
        <v>70</v>
      </c>
      <c r="E15" s="7">
        <f t="shared" si="0"/>
        <v>0</v>
      </c>
      <c r="H15" s="16"/>
      <c r="J15" s="5"/>
    </row>
    <row r="16" spans="1:10" hidden="1">
      <c r="A16" s="15" t="s">
        <v>17</v>
      </c>
      <c r="B16" s="13"/>
      <c r="C16" s="14"/>
      <c r="D16" s="5">
        <v>55</v>
      </c>
      <c r="E16" s="7">
        <f t="shared" si="0"/>
        <v>0</v>
      </c>
      <c r="I16" s="1"/>
      <c r="J16" s="17"/>
    </row>
    <row r="17" spans="1:10" hidden="1">
      <c r="A17" s="15" t="s">
        <v>18</v>
      </c>
      <c r="B17" s="13"/>
      <c r="C17" s="14"/>
      <c r="D17" s="5">
        <v>36</v>
      </c>
      <c r="E17" s="7">
        <f t="shared" si="0"/>
        <v>0</v>
      </c>
      <c r="I17" s="1"/>
      <c r="J17" s="17"/>
    </row>
    <row r="18" spans="1:10">
      <c r="A18" s="15" t="s">
        <v>19</v>
      </c>
      <c r="B18" s="13">
        <v>2.7149999999999999</v>
      </c>
      <c r="C18" s="14"/>
      <c r="D18" s="5">
        <v>54</v>
      </c>
      <c r="E18" s="7">
        <f t="shared" si="0"/>
        <v>146.60999999999999</v>
      </c>
      <c r="I18" s="1"/>
      <c r="J18" s="17"/>
    </row>
    <row r="19" spans="1:10">
      <c r="A19" s="15" t="s">
        <v>20</v>
      </c>
      <c r="B19" s="13">
        <v>82.5</v>
      </c>
      <c r="C19" s="14"/>
      <c r="D19" s="5">
        <v>11</v>
      </c>
      <c r="E19" s="7">
        <f t="shared" si="0"/>
        <v>907.5</v>
      </c>
    </row>
    <row r="20" spans="1:10">
      <c r="A20" s="15" t="s">
        <v>21</v>
      </c>
      <c r="B20" s="13">
        <f>27.22*2</f>
        <v>54.44</v>
      </c>
      <c r="C20" s="14">
        <v>2</v>
      </c>
      <c r="D20" s="5">
        <v>19.5</v>
      </c>
      <c r="E20" s="7">
        <f t="shared" si="0"/>
        <v>1061.58</v>
      </c>
    </row>
    <row r="21" spans="1:10">
      <c r="A21" s="15" t="s">
        <v>21</v>
      </c>
      <c r="B21" s="13">
        <v>21.82</v>
      </c>
      <c r="C21" s="14"/>
      <c r="D21" s="5">
        <v>24</v>
      </c>
      <c r="E21" s="7">
        <f t="shared" si="0"/>
        <v>523.68000000000006</v>
      </c>
    </row>
    <row r="22" spans="1:10">
      <c r="A22" s="15" t="s">
        <v>22</v>
      </c>
      <c r="B22" s="13">
        <v>9.8350000000000009</v>
      </c>
      <c r="C22" s="14"/>
      <c r="D22" s="5">
        <v>24</v>
      </c>
      <c r="E22" s="7">
        <f t="shared" si="0"/>
        <v>236.04000000000002</v>
      </c>
    </row>
    <row r="23" spans="1:10" hidden="1">
      <c r="A23" s="15" t="s">
        <v>23</v>
      </c>
      <c r="B23" s="13"/>
      <c r="C23" s="14"/>
      <c r="D23" s="5">
        <v>36</v>
      </c>
      <c r="E23" s="7">
        <f t="shared" si="0"/>
        <v>0</v>
      </c>
    </row>
    <row r="24" spans="1:10" hidden="1">
      <c r="A24" s="15" t="s">
        <v>24</v>
      </c>
      <c r="B24" s="13"/>
      <c r="C24" s="14"/>
      <c r="D24" s="5">
        <v>42</v>
      </c>
      <c r="E24" s="7">
        <f t="shared" si="0"/>
        <v>0</v>
      </c>
    </row>
    <row r="25" spans="1:10">
      <c r="A25" s="15" t="s">
        <v>25</v>
      </c>
      <c r="B25" s="13">
        <v>14.6</v>
      </c>
      <c r="C25" s="14"/>
      <c r="D25" s="5">
        <v>36</v>
      </c>
      <c r="E25" s="7">
        <f t="shared" si="0"/>
        <v>525.6</v>
      </c>
    </row>
    <row r="26" spans="1:10" hidden="1">
      <c r="A26" s="15" t="s">
        <v>26</v>
      </c>
      <c r="B26" s="13"/>
      <c r="C26" s="14"/>
      <c r="D26" s="5">
        <v>40</v>
      </c>
      <c r="E26" s="7">
        <f t="shared" si="0"/>
        <v>0</v>
      </c>
    </row>
    <row r="27" spans="1:10" hidden="1">
      <c r="A27" s="15" t="s">
        <v>27</v>
      </c>
      <c r="B27" s="13"/>
      <c r="C27" s="14"/>
      <c r="D27" s="5">
        <v>38</v>
      </c>
      <c r="E27" s="7">
        <f t="shared" si="0"/>
        <v>0</v>
      </c>
    </row>
    <row r="28" spans="1:10" hidden="1">
      <c r="A28" s="15" t="s">
        <v>28</v>
      </c>
      <c r="B28" s="13"/>
      <c r="C28" s="14"/>
      <c r="D28" s="5">
        <v>34</v>
      </c>
      <c r="E28" s="7">
        <f t="shared" si="0"/>
        <v>0</v>
      </c>
    </row>
    <row r="29" spans="1:10" hidden="1">
      <c r="A29" s="15" t="s">
        <v>29</v>
      </c>
      <c r="B29" s="13"/>
      <c r="C29" s="14"/>
      <c r="D29" s="5">
        <v>12</v>
      </c>
      <c r="E29" s="7">
        <f t="shared" si="0"/>
        <v>0</v>
      </c>
    </row>
    <row r="30" spans="1:10" hidden="1">
      <c r="A30" s="15" t="s">
        <v>30</v>
      </c>
      <c r="B30" s="13"/>
      <c r="C30" s="14"/>
      <c r="D30" s="5">
        <v>60</v>
      </c>
      <c r="E30" s="7">
        <f t="shared" si="0"/>
        <v>0</v>
      </c>
    </row>
    <row r="31" spans="1:10" hidden="1">
      <c r="A31" s="15" t="s">
        <v>31</v>
      </c>
      <c r="B31" s="13"/>
      <c r="C31" s="14"/>
      <c r="D31" s="5">
        <v>50</v>
      </c>
      <c r="E31" s="7">
        <f t="shared" si="0"/>
        <v>0</v>
      </c>
    </row>
    <row r="32" spans="1:10" hidden="1">
      <c r="A32" s="15" t="s">
        <v>32</v>
      </c>
      <c r="B32" s="13"/>
      <c r="C32" s="14"/>
      <c r="D32" s="5">
        <v>22</v>
      </c>
      <c r="E32" s="7">
        <f t="shared" si="0"/>
        <v>0</v>
      </c>
    </row>
    <row r="33" spans="1:5">
      <c r="A33" s="15" t="s">
        <v>33</v>
      </c>
      <c r="B33" s="13">
        <v>108.88</v>
      </c>
      <c r="C33" s="14">
        <v>4</v>
      </c>
      <c r="D33" s="5">
        <v>21</v>
      </c>
      <c r="E33" s="7">
        <f t="shared" si="0"/>
        <v>2286.48</v>
      </c>
    </row>
    <row r="34" spans="1:5" hidden="1">
      <c r="A34" s="15" t="s">
        <v>34</v>
      </c>
      <c r="B34" s="13"/>
      <c r="C34" s="14"/>
      <c r="D34" s="5">
        <v>30</v>
      </c>
      <c r="E34" s="7">
        <f t="shared" si="0"/>
        <v>0</v>
      </c>
    </row>
    <row r="35" spans="1:5" hidden="1">
      <c r="A35" s="15" t="s">
        <v>35</v>
      </c>
      <c r="B35" s="13"/>
      <c r="C35" s="14"/>
      <c r="D35" s="5">
        <v>25</v>
      </c>
      <c r="E35" s="7">
        <f t="shared" si="0"/>
        <v>0</v>
      </c>
    </row>
    <row r="36" spans="1:5" hidden="1">
      <c r="A36" s="15" t="s">
        <v>36</v>
      </c>
      <c r="B36" s="13"/>
      <c r="C36" s="14"/>
      <c r="D36" s="5">
        <v>18</v>
      </c>
      <c r="E36" s="7">
        <f t="shared" si="0"/>
        <v>0</v>
      </c>
    </row>
    <row r="37" spans="1:5">
      <c r="A37" s="15" t="s">
        <v>37</v>
      </c>
      <c r="B37" s="13">
        <v>4.0199999999999996</v>
      </c>
      <c r="C37" s="14"/>
      <c r="D37" s="5">
        <v>44</v>
      </c>
      <c r="E37" s="7">
        <f t="shared" si="0"/>
        <v>176.88</v>
      </c>
    </row>
    <row r="38" spans="1:5" hidden="1">
      <c r="A38" s="15" t="s">
        <v>38</v>
      </c>
      <c r="B38" s="13"/>
      <c r="C38" s="14"/>
      <c r="D38" s="5">
        <v>30</v>
      </c>
      <c r="E38" s="7">
        <f t="shared" si="0"/>
        <v>0</v>
      </c>
    </row>
    <row r="39" spans="1:5">
      <c r="A39" s="15" t="s">
        <v>39</v>
      </c>
      <c r="B39" s="13">
        <v>922.6</v>
      </c>
      <c r="C39" s="14">
        <v>1</v>
      </c>
      <c r="D39" s="5">
        <v>28.5</v>
      </c>
      <c r="E39" s="7">
        <f t="shared" si="0"/>
        <v>26294.100000000002</v>
      </c>
    </row>
    <row r="40" spans="1:5">
      <c r="A40" s="15" t="s">
        <v>40</v>
      </c>
      <c r="B40" s="13">
        <v>12.895</v>
      </c>
      <c r="C40" s="14"/>
      <c r="D40" s="5">
        <v>38</v>
      </c>
      <c r="E40" s="7">
        <f t="shared" si="0"/>
        <v>490.01</v>
      </c>
    </row>
    <row r="41" spans="1:5">
      <c r="A41" s="15" t="s">
        <v>41</v>
      </c>
      <c r="B41" s="13">
        <f>169.17+198+194.5+118.5</f>
        <v>680.17</v>
      </c>
      <c r="C41" s="14">
        <f>13+15+15+10</f>
        <v>53</v>
      </c>
      <c r="D41" s="5">
        <v>28</v>
      </c>
      <c r="E41" s="7">
        <f t="shared" si="0"/>
        <v>19044.759999999998</v>
      </c>
    </row>
    <row r="42" spans="1:5">
      <c r="A42" s="15" t="s">
        <v>42</v>
      </c>
      <c r="B42" s="13">
        <v>9.82</v>
      </c>
      <c r="C42" s="14"/>
      <c r="D42" s="5">
        <v>38</v>
      </c>
      <c r="E42" s="7">
        <f t="shared" si="0"/>
        <v>373.16</v>
      </c>
    </row>
    <row r="43" spans="1:5">
      <c r="A43" s="15" t="s">
        <v>43</v>
      </c>
      <c r="B43" s="13">
        <v>6.1150000000000002</v>
      </c>
      <c r="C43" s="14"/>
      <c r="D43" s="5">
        <v>40</v>
      </c>
      <c r="E43" s="7">
        <f t="shared" si="0"/>
        <v>244.60000000000002</v>
      </c>
    </row>
    <row r="44" spans="1:5">
      <c r="A44" s="15" t="s">
        <v>44</v>
      </c>
      <c r="B44" s="13">
        <v>30.06</v>
      </c>
      <c r="C44" s="14"/>
      <c r="D44" s="5">
        <v>50</v>
      </c>
      <c r="E44" s="7">
        <f t="shared" si="0"/>
        <v>1503</v>
      </c>
    </row>
    <row r="45" spans="1:5">
      <c r="A45" s="15" t="s">
        <v>45</v>
      </c>
      <c r="B45" s="13">
        <v>3.64</v>
      </c>
      <c r="C45" s="14"/>
      <c r="D45" s="5">
        <v>70</v>
      </c>
      <c r="E45" s="7">
        <f t="shared" si="0"/>
        <v>254.8</v>
      </c>
    </row>
    <row r="46" spans="1:5">
      <c r="A46" s="15" t="s">
        <v>46</v>
      </c>
      <c r="B46" s="13">
        <v>41.02</v>
      </c>
      <c r="C46" s="14"/>
      <c r="D46" s="5">
        <v>62</v>
      </c>
      <c r="E46" s="7">
        <f t="shared" si="0"/>
        <v>2543.2400000000002</v>
      </c>
    </row>
    <row r="47" spans="1:5" hidden="1">
      <c r="A47" s="15" t="s">
        <v>47</v>
      </c>
      <c r="B47" s="13"/>
      <c r="C47" s="14"/>
      <c r="D47" s="5">
        <v>40</v>
      </c>
      <c r="E47" s="7">
        <f t="shared" si="0"/>
        <v>0</v>
      </c>
    </row>
    <row r="48" spans="1:5">
      <c r="A48" s="15" t="s">
        <v>48</v>
      </c>
      <c r="B48" s="13">
        <v>20.7</v>
      </c>
      <c r="C48" s="14"/>
      <c r="D48" s="5">
        <v>40</v>
      </c>
      <c r="E48" s="7">
        <f t="shared" si="0"/>
        <v>828</v>
      </c>
    </row>
    <row r="49" spans="1:5">
      <c r="A49" s="15" t="s">
        <v>49</v>
      </c>
      <c r="B49" s="13">
        <f>15.02+10.54</f>
        <v>25.56</v>
      </c>
      <c r="C49" s="14"/>
      <c r="D49" s="5">
        <v>68</v>
      </c>
      <c r="E49" s="7">
        <f t="shared" si="0"/>
        <v>1738.08</v>
      </c>
    </row>
    <row r="50" spans="1:5">
      <c r="A50" s="15" t="s">
        <v>50</v>
      </c>
      <c r="B50" s="13"/>
      <c r="C50" s="14">
        <v>4</v>
      </c>
      <c r="D50" s="5">
        <v>260</v>
      </c>
      <c r="E50" s="7">
        <f>D50*C50</f>
        <v>1040</v>
      </c>
    </row>
    <row r="51" spans="1:5">
      <c r="A51" s="15" t="s">
        <v>51</v>
      </c>
      <c r="B51" s="18"/>
      <c r="C51" s="19">
        <v>4</v>
      </c>
      <c r="D51" s="5">
        <v>28</v>
      </c>
      <c r="E51" s="7">
        <f>D51*C51</f>
        <v>112</v>
      </c>
    </row>
    <row r="52" spans="1:5">
      <c r="A52" s="15"/>
      <c r="B52" s="20"/>
      <c r="C52" s="21"/>
      <c r="D52" s="5"/>
      <c r="E52" s="7"/>
    </row>
    <row r="53" spans="1:5">
      <c r="A53" s="1" t="s">
        <v>52</v>
      </c>
      <c r="B53" s="20"/>
      <c r="C53" s="21"/>
      <c r="D53" s="5"/>
      <c r="E53" s="7"/>
    </row>
    <row r="54" spans="1:5">
      <c r="A54" s="15" t="s">
        <v>53</v>
      </c>
      <c r="B54" s="13">
        <v>3.1</v>
      </c>
      <c r="C54" s="13"/>
      <c r="D54" s="5">
        <v>38</v>
      </c>
      <c r="E54" s="7">
        <f>D54*B54</f>
        <v>117.8</v>
      </c>
    </row>
    <row r="55" spans="1:5">
      <c r="A55" s="15" t="s">
        <v>54</v>
      </c>
      <c r="B55" s="13">
        <v>5.3</v>
      </c>
      <c r="C55" s="13"/>
      <c r="D55" s="5">
        <v>28</v>
      </c>
      <c r="E55" s="7">
        <f>D55*B55</f>
        <v>148.4</v>
      </c>
    </row>
    <row r="56" spans="1:5">
      <c r="A56" s="15"/>
      <c r="B56" s="20"/>
      <c r="C56" s="21"/>
      <c r="D56" s="5"/>
      <c r="E56" s="7"/>
    </row>
    <row r="57" spans="1:5">
      <c r="A57" s="1" t="s">
        <v>55</v>
      </c>
      <c r="B57" s="20"/>
      <c r="C57" s="21"/>
      <c r="D57" s="5"/>
      <c r="E57" s="7"/>
    </row>
    <row r="58" spans="1:5" hidden="1">
      <c r="A58" s="15" t="s">
        <v>56</v>
      </c>
      <c r="B58" s="13"/>
      <c r="C58" s="14"/>
      <c r="D58" s="5">
        <v>50</v>
      </c>
      <c r="E58" s="7">
        <f t="shared" ref="E58:E81" si="1">D58*B58</f>
        <v>0</v>
      </c>
    </row>
    <row r="59" spans="1:5" hidden="1">
      <c r="A59" s="15" t="s">
        <v>57</v>
      </c>
      <c r="B59" s="13"/>
      <c r="C59" s="14"/>
      <c r="D59" s="5">
        <v>59</v>
      </c>
      <c r="E59" s="7">
        <f t="shared" si="1"/>
        <v>0</v>
      </c>
    </row>
    <row r="60" spans="1:5">
      <c r="A60" s="15" t="s">
        <v>58</v>
      </c>
      <c r="B60" s="13">
        <v>1.53</v>
      </c>
      <c r="C60" s="14"/>
      <c r="D60" s="5">
        <v>35</v>
      </c>
      <c r="E60" s="7">
        <f t="shared" si="1"/>
        <v>53.550000000000004</v>
      </c>
    </row>
    <row r="61" spans="1:5">
      <c r="A61" s="15" t="s">
        <v>59</v>
      </c>
      <c r="B61" s="13">
        <v>12.65</v>
      </c>
      <c r="C61" s="14"/>
      <c r="D61" s="5">
        <v>47</v>
      </c>
      <c r="E61" s="7">
        <f t="shared" si="1"/>
        <v>594.55000000000007</v>
      </c>
    </row>
    <row r="62" spans="1:5" hidden="1">
      <c r="A62" s="15" t="s">
        <v>60</v>
      </c>
      <c r="B62" s="13"/>
      <c r="C62" s="14"/>
      <c r="D62" s="5">
        <v>43</v>
      </c>
      <c r="E62" s="7">
        <f t="shared" si="1"/>
        <v>0</v>
      </c>
    </row>
    <row r="63" spans="1:5" hidden="1">
      <c r="A63" s="15" t="s">
        <v>61</v>
      </c>
      <c r="B63" s="13"/>
      <c r="C63" s="14"/>
      <c r="D63" s="5">
        <v>35</v>
      </c>
      <c r="E63" s="7">
        <f t="shared" si="1"/>
        <v>0</v>
      </c>
    </row>
    <row r="64" spans="1:5" hidden="1">
      <c r="A64" s="15" t="s">
        <v>62</v>
      </c>
      <c r="B64" s="13"/>
      <c r="C64" s="14"/>
      <c r="D64" s="5">
        <v>40</v>
      </c>
      <c r="E64" s="7">
        <f t="shared" si="1"/>
        <v>0</v>
      </c>
    </row>
    <row r="65" spans="1:5" ht="14.25" hidden="1" customHeight="1">
      <c r="A65" s="15" t="s">
        <v>63</v>
      </c>
      <c r="B65" s="13"/>
      <c r="C65" s="14"/>
      <c r="D65" s="5">
        <v>31</v>
      </c>
      <c r="E65" s="7">
        <f t="shared" si="1"/>
        <v>0</v>
      </c>
    </row>
    <row r="66" spans="1:5" hidden="1">
      <c r="A66" s="15" t="s">
        <v>64</v>
      </c>
      <c r="B66" s="13"/>
      <c r="C66" s="14"/>
      <c r="D66" s="5">
        <v>43</v>
      </c>
      <c r="E66" s="7">
        <f t="shared" si="1"/>
        <v>0</v>
      </c>
    </row>
    <row r="67" spans="1:5" hidden="1">
      <c r="A67" s="15" t="s">
        <v>65</v>
      </c>
      <c r="B67" s="13"/>
      <c r="C67" s="14"/>
      <c r="D67" s="5">
        <v>53</v>
      </c>
      <c r="E67" s="7">
        <f t="shared" si="1"/>
        <v>0</v>
      </c>
    </row>
    <row r="68" spans="1:5">
      <c r="A68" s="15" t="s">
        <v>66</v>
      </c>
      <c r="B68" s="13">
        <v>15</v>
      </c>
      <c r="C68" s="14"/>
      <c r="D68" s="5">
        <v>30</v>
      </c>
      <c r="E68" s="7">
        <f t="shared" si="1"/>
        <v>450</v>
      </c>
    </row>
    <row r="69" spans="1:5">
      <c r="A69" s="15" t="s">
        <v>67</v>
      </c>
      <c r="B69" s="13">
        <v>9.31</v>
      </c>
      <c r="C69" s="14"/>
      <c r="D69" s="5">
        <v>18</v>
      </c>
      <c r="E69" s="7">
        <f t="shared" si="1"/>
        <v>167.58</v>
      </c>
    </row>
    <row r="70" spans="1:5" hidden="1">
      <c r="A70" s="15" t="s">
        <v>68</v>
      </c>
      <c r="B70" s="13"/>
      <c r="C70" s="14"/>
      <c r="D70" s="5">
        <v>36</v>
      </c>
      <c r="E70" s="7">
        <f t="shared" si="1"/>
        <v>0</v>
      </c>
    </row>
    <row r="71" spans="1:5" hidden="1">
      <c r="A71" s="15" t="s">
        <v>69</v>
      </c>
      <c r="B71" s="13"/>
      <c r="C71" s="14"/>
      <c r="D71" s="5">
        <v>32</v>
      </c>
      <c r="E71" s="7">
        <f t="shared" si="1"/>
        <v>0</v>
      </c>
    </row>
    <row r="72" spans="1:5" hidden="1">
      <c r="A72" s="15" t="s">
        <v>70</v>
      </c>
      <c r="B72" s="13"/>
      <c r="C72" s="14"/>
      <c r="D72" s="5">
        <v>23</v>
      </c>
      <c r="E72" s="7">
        <f t="shared" si="1"/>
        <v>0</v>
      </c>
    </row>
    <row r="73" spans="1:5" hidden="1">
      <c r="A73" s="15" t="s">
        <v>71</v>
      </c>
      <c r="B73" s="13"/>
      <c r="C73" s="14"/>
      <c r="D73" s="5"/>
      <c r="E73" s="7">
        <f t="shared" si="1"/>
        <v>0</v>
      </c>
    </row>
    <row r="74" spans="1:5" hidden="1">
      <c r="A74" s="15" t="s">
        <v>72</v>
      </c>
      <c r="B74" s="13"/>
      <c r="C74" s="14"/>
      <c r="D74" s="5">
        <v>23</v>
      </c>
      <c r="E74" s="7">
        <f t="shared" si="1"/>
        <v>0</v>
      </c>
    </row>
    <row r="75" spans="1:5" hidden="1">
      <c r="A75" s="15"/>
      <c r="B75" s="13"/>
      <c r="C75" s="14"/>
      <c r="D75" s="5">
        <v>32</v>
      </c>
      <c r="E75" s="7">
        <f t="shared" si="1"/>
        <v>0</v>
      </c>
    </row>
    <row r="76" spans="1:5" hidden="1">
      <c r="A76" s="15" t="s">
        <v>73</v>
      </c>
      <c r="B76" s="13"/>
      <c r="C76" s="14"/>
      <c r="D76" s="5">
        <v>29</v>
      </c>
      <c r="E76" s="7">
        <f t="shared" si="1"/>
        <v>0</v>
      </c>
    </row>
    <row r="77" spans="1:5" hidden="1">
      <c r="A77" s="15" t="s">
        <v>74</v>
      </c>
      <c r="B77" s="13"/>
      <c r="C77" s="14"/>
      <c r="D77" s="5">
        <v>19</v>
      </c>
      <c r="E77" s="7">
        <f t="shared" si="1"/>
        <v>0</v>
      </c>
    </row>
    <row r="78" spans="1:5">
      <c r="A78" s="15" t="s">
        <v>75</v>
      </c>
      <c r="B78" s="13">
        <v>4.4000000000000004</v>
      </c>
      <c r="C78" s="14"/>
      <c r="D78" s="5">
        <v>34</v>
      </c>
      <c r="E78" s="7">
        <f t="shared" si="1"/>
        <v>149.60000000000002</v>
      </c>
    </row>
    <row r="79" spans="1:5">
      <c r="A79" s="15" t="s">
        <v>76</v>
      </c>
      <c r="B79" s="13">
        <v>3.0049999999999999</v>
      </c>
      <c r="C79" s="14"/>
      <c r="D79" s="5">
        <v>25</v>
      </c>
      <c r="E79" s="7">
        <f t="shared" si="1"/>
        <v>75.125</v>
      </c>
    </row>
    <row r="80" spans="1:5" hidden="1">
      <c r="A80" s="15" t="s">
        <v>77</v>
      </c>
      <c r="B80" s="13"/>
      <c r="C80" s="14"/>
      <c r="D80" s="5">
        <v>22</v>
      </c>
      <c r="E80" s="7">
        <f t="shared" si="1"/>
        <v>0</v>
      </c>
    </row>
    <row r="81" spans="1:5">
      <c r="A81" s="15" t="s">
        <v>78</v>
      </c>
      <c r="B81" s="13">
        <v>3.97</v>
      </c>
      <c r="C81" s="14"/>
      <c r="D81" s="5">
        <v>54</v>
      </c>
      <c r="E81" s="7">
        <f t="shared" si="1"/>
        <v>214.38000000000002</v>
      </c>
    </row>
    <row r="82" spans="1:5">
      <c r="A82" s="15" t="s">
        <v>79</v>
      </c>
      <c r="B82" s="18"/>
      <c r="C82" s="19">
        <v>3</v>
      </c>
      <c r="D82" s="5">
        <v>40</v>
      </c>
      <c r="E82" s="7">
        <f>D82*C82</f>
        <v>120</v>
      </c>
    </row>
    <row r="83" spans="1:5">
      <c r="A83" s="15"/>
      <c r="B83" s="20"/>
      <c r="C83" s="21"/>
      <c r="D83" s="5"/>
      <c r="E83" s="7"/>
    </row>
    <row r="84" spans="1:5" hidden="1">
      <c r="A84" s="15" t="s">
        <v>80</v>
      </c>
      <c r="B84" s="13"/>
      <c r="C84" s="14"/>
      <c r="D84" s="5"/>
      <c r="E84" s="7">
        <f t="shared" ref="E84:E104" si="2">D84*B84</f>
        <v>0</v>
      </c>
    </row>
    <row r="85" spans="1:5">
      <c r="A85" s="15" t="s">
        <v>59</v>
      </c>
      <c r="B85" s="13">
        <v>3.21</v>
      </c>
      <c r="C85" s="14"/>
      <c r="D85" s="5">
        <v>60</v>
      </c>
      <c r="E85" s="7">
        <f t="shared" si="2"/>
        <v>192.6</v>
      </c>
    </row>
    <row r="86" spans="1:5">
      <c r="A86" s="15" t="s">
        <v>61</v>
      </c>
      <c r="B86" s="13">
        <v>1.335</v>
      </c>
      <c r="C86" s="14"/>
      <c r="D86" s="5">
        <v>40</v>
      </c>
      <c r="E86" s="7">
        <f t="shared" si="2"/>
        <v>53.4</v>
      </c>
    </row>
    <row r="87" spans="1:5">
      <c r="A87" s="15" t="s">
        <v>62</v>
      </c>
      <c r="B87" s="13">
        <v>1.2250000000000001</v>
      </c>
      <c r="C87" s="14"/>
      <c r="D87" s="5">
        <v>60</v>
      </c>
      <c r="E87" s="7">
        <f t="shared" si="2"/>
        <v>73.5</v>
      </c>
    </row>
    <row r="88" spans="1:5" hidden="1">
      <c r="A88" s="15" t="s">
        <v>81</v>
      </c>
      <c r="B88" s="13"/>
      <c r="C88" s="14"/>
      <c r="D88" s="5">
        <v>40</v>
      </c>
      <c r="E88" s="7">
        <f t="shared" si="2"/>
        <v>0</v>
      </c>
    </row>
    <row r="89" spans="1:5" hidden="1">
      <c r="A89" s="15" t="s">
        <v>82</v>
      </c>
      <c r="B89" s="13"/>
      <c r="C89" s="14"/>
      <c r="D89" s="5">
        <v>45</v>
      </c>
      <c r="E89" s="7">
        <f t="shared" si="2"/>
        <v>0</v>
      </c>
    </row>
    <row r="90" spans="1:5" hidden="1">
      <c r="A90" s="15" t="s">
        <v>83</v>
      </c>
      <c r="B90" s="13"/>
      <c r="C90" s="14"/>
      <c r="D90" s="5">
        <v>40</v>
      </c>
      <c r="E90" s="7">
        <f t="shared" si="2"/>
        <v>0</v>
      </c>
    </row>
    <row r="91" spans="1:5">
      <c r="A91" s="15" t="s">
        <v>84</v>
      </c>
      <c r="B91" s="13">
        <v>0.81499999999999995</v>
      </c>
      <c r="C91" s="14"/>
      <c r="D91" s="5">
        <v>60</v>
      </c>
      <c r="E91" s="7">
        <f t="shared" si="2"/>
        <v>48.9</v>
      </c>
    </row>
    <row r="92" spans="1:5">
      <c r="A92" s="15" t="s">
        <v>85</v>
      </c>
      <c r="B92" s="13">
        <v>0.86</v>
      </c>
      <c r="C92" s="14"/>
      <c r="D92" s="5">
        <v>65</v>
      </c>
      <c r="E92" s="7">
        <f t="shared" si="2"/>
        <v>55.9</v>
      </c>
    </row>
    <row r="93" spans="1:5">
      <c r="A93" s="15" t="s">
        <v>67</v>
      </c>
      <c r="B93" s="13">
        <v>0.82</v>
      </c>
      <c r="C93" s="14"/>
      <c r="D93" s="5">
        <v>28</v>
      </c>
      <c r="E93" s="7">
        <f t="shared" si="2"/>
        <v>22.959999999999997</v>
      </c>
    </row>
    <row r="94" spans="1:5" hidden="1">
      <c r="A94" s="15" t="s">
        <v>86</v>
      </c>
      <c r="B94" s="13"/>
      <c r="C94" s="14"/>
      <c r="D94" s="5"/>
      <c r="E94" s="7">
        <f t="shared" si="2"/>
        <v>0</v>
      </c>
    </row>
    <row r="95" spans="1:5">
      <c r="A95" s="15" t="s">
        <v>70</v>
      </c>
      <c r="B95" s="13">
        <v>1.49</v>
      </c>
      <c r="C95" s="14"/>
      <c r="D95" s="5">
        <v>40</v>
      </c>
      <c r="E95" s="7">
        <f t="shared" si="2"/>
        <v>59.6</v>
      </c>
    </row>
    <row r="96" spans="1:5" hidden="1">
      <c r="A96" s="15" t="s">
        <v>87</v>
      </c>
      <c r="B96" s="13"/>
      <c r="C96" s="14"/>
      <c r="D96" s="5"/>
      <c r="E96" s="7">
        <f t="shared" si="2"/>
        <v>0</v>
      </c>
    </row>
    <row r="97" spans="1:5" hidden="1">
      <c r="A97" s="15" t="s">
        <v>88</v>
      </c>
      <c r="B97" s="13"/>
      <c r="C97" s="14"/>
      <c r="D97" s="5">
        <v>30</v>
      </c>
      <c r="E97" s="7">
        <f t="shared" si="2"/>
        <v>0</v>
      </c>
    </row>
    <row r="98" spans="1:5" hidden="1">
      <c r="A98" s="15" t="s">
        <v>72</v>
      </c>
      <c r="B98" s="13"/>
      <c r="C98" s="14"/>
      <c r="D98" s="5">
        <v>25</v>
      </c>
      <c r="E98" s="7">
        <f t="shared" si="2"/>
        <v>0</v>
      </c>
    </row>
    <row r="99" spans="1:5">
      <c r="A99" s="15" t="s">
        <v>73</v>
      </c>
      <c r="B99" s="13">
        <v>1.4850000000000001</v>
      </c>
      <c r="C99" s="14"/>
      <c r="D99" s="5">
        <v>36</v>
      </c>
      <c r="E99" s="7">
        <f t="shared" si="2"/>
        <v>53.46</v>
      </c>
    </row>
    <row r="100" spans="1:5" hidden="1">
      <c r="A100" s="15" t="s">
        <v>89</v>
      </c>
      <c r="B100" s="13"/>
      <c r="C100" s="14"/>
      <c r="D100" s="5">
        <v>25</v>
      </c>
      <c r="E100" s="7">
        <f t="shared" si="2"/>
        <v>0</v>
      </c>
    </row>
    <row r="101" spans="1:5">
      <c r="A101" s="15" t="s">
        <v>75</v>
      </c>
      <c r="B101" s="13">
        <v>1.63</v>
      </c>
      <c r="C101" s="14"/>
      <c r="D101" s="5">
        <v>38</v>
      </c>
      <c r="E101" s="7">
        <f t="shared" si="2"/>
        <v>61.94</v>
      </c>
    </row>
    <row r="102" spans="1:5">
      <c r="A102" s="15" t="s">
        <v>90</v>
      </c>
      <c r="B102" s="13">
        <v>2.5</v>
      </c>
      <c r="C102" s="14"/>
      <c r="D102" s="5">
        <v>29</v>
      </c>
      <c r="E102" s="7">
        <f t="shared" si="2"/>
        <v>72.5</v>
      </c>
    </row>
    <row r="103" spans="1:5" hidden="1">
      <c r="A103" s="15" t="s">
        <v>77</v>
      </c>
      <c r="B103" s="13"/>
      <c r="C103" s="14"/>
      <c r="D103" s="5"/>
      <c r="E103" s="7">
        <f t="shared" si="2"/>
        <v>0</v>
      </c>
    </row>
    <row r="104" spans="1:5" hidden="1">
      <c r="A104" s="15" t="s">
        <v>78</v>
      </c>
      <c r="B104" s="18"/>
      <c r="C104" s="19"/>
      <c r="D104" s="5">
        <v>80</v>
      </c>
      <c r="E104" s="7">
        <f t="shared" si="2"/>
        <v>0</v>
      </c>
    </row>
    <row r="105" spans="1:5">
      <c r="A105" s="15"/>
      <c r="B105" s="20"/>
      <c r="C105" s="21"/>
      <c r="D105" s="5"/>
      <c r="E105" s="7"/>
    </row>
    <row r="106" spans="1:5" hidden="1">
      <c r="A106" s="15" t="s">
        <v>91</v>
      </c>
      <c r="B106" s="13"/>
      <c r="C106" s="14"/>
      <c r="D106" s="5">
        <v>11</v>
      </c>
      <c r="E106" s="7">
        <f t="shared" ref="E106:E111" si="3">D106*C106</f>
        <v>0</v>
      </c>
    </row>
    <row r="107" spans="1:5">
      <c r="A107" s="15" t="s">
        <v>92</v>
      </c>
      <c r="B107" s="13"/>
      <c r="C107" s="14">
        <v>19</v>
      </c>
      <c r="D107" s="5">
        <v>15</v>
      </c>
      <c r="E107" s="7">
        <f t="shared" si="3"/>
        <v>285</v>
      </c>
    </row>
    <row r="108" spans="1:5">
      <c r="A108" s="15" t="s">
        <v>93</v>
      </c>
      <c r="B108" s="13"/>
      <c r="C108" s="14">
        <v>17</v>
      </c>
      <c r="D108" s="5">
        <v>13</v>
      </c>
      <c r="E108" s="7">
        <f t="shared" si="3"/>
        <v>221</v>
      </c>
    </row>
    <row r="109" spans="1:5">
      <c r="A109" s="15" t="s">
        <v>94</v>
      </c>
      <c r="B109" s="13"/>
      <c r="C109" s="14">
        <v>15</v>
      </c>
      <c r="D109" s="5">
        <v>18</v>
      </c>
      <c r="E109" s="7">
        <f t="shared" si="3"/>
        <v>270</v>
      </c>
    </row>
    <row r="110" spans="1:5">
      <c r="A110" s="15" t="s">
        <v>95</v>
      </c>
      <c r="B110" s="13"/>
      <c r="C110" s="14">
        <v>37</v>
      </c>
      <c r="D110" s="5">
        <v>10</v>
      </c>
      <c r="E110" s="7">
        <f t="shared" si="3"/>
        <v>370</v>
      </c>
    </row>
    <row r="111" spans="1:5">
      <c r="A111" s="15" t="s">
        <v>96</v>
      </c>
      <c r="B111" s="18"/>
      <c r="C111" s="19">
        <v>19</v>
      </c>
      <c r="D111" s="5">
        <v>8</v>
      </c>
      <c r="E111" s="7">
        <f t="shared" si="3"/>
        <v>152</v>
      </c>
    </row>
    <row r="112" spans="1:5">
      <c r="A112" s="15"/>
      <c r="B112" s="20"/>
      <c r="C112" s="21"/>
      <c r="D112" s="5"/>
      <c r="E112" s="7"/>
    </row>
    <row r="113" spans="1:5">
      <c r="A113" s="15" t="s">
        <v>97</v>
      </c>
      <c r="B113" s="13">
        <v>97</v>
      </c>
      <c r="C113" s="14"/>
      <c r="D113" s="5">
        <v>24</v>
      </c>
      <c r="E113" s="7">
        <f>D113*B113</f>
        <v>2328</v>
      </c>
    </row>
    <row r="114" spans="1:5">
      <c r="A114" s="15"/>
      <c r="B114" s="20"/>
      <c r="C114" s="21"/>
      <c r="D114" s="5"/>
      <c r="E114" s="7"/>
    </row>
    <row r="115" spans="1:5">
      <c r="B115" s="20"/>
      <c r="C115" s="21"/>
      <c r="D115" s="5"/>
      <c r="E115" s="7"/>
    </row>
    <row r="116" spans="1:5">
      <c r="A116" s="22" t="s">
        <v>98</v>
      </c>
      <c r="B116" s="23">
        <f>SUM(B6:B104)</f>
        <v>2325.415</v>
      </c>
      <c r="C116" s="1"/>
      <c r="D116" s="17"/>
      <c r="E116" s="24">
        <f>SUM(E6:E115)</f>
        <v>77123.245000000039</v>
      </c>
    </row>
  </sheetData>
  <phoneticPr fontId="4" type="noConversion"/>
  <pageMargins left="0.44" right="0.39" top="0.3" bottom="0.35" header="0" footer="0"/>
  <pageSetup scale="9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8"/>
  <sheetViews>
    <sheetView workbookViewId="0">
      <selection activeCell="A35" sqref="A35"/>
    </sheetView>
  </sheetViews>
  <sheetFormatPr baseColWidth="10" defaultRowHeight="12.75"/>
  <cols>
    <col min="1" max="1" width="25.7109375" customWidth="1"/>
    <col min="2" max="2" width="12.85546875" style="2" customWidth="1"/>
    <col min="3" max="3" width="8.42578125" customWidth="1"/>
    <col min="5" max="5" width="12.5703125" customWidth="1"/>
  </cols>
  <sheetData>
    <row r="1" spans="1:10">
      <c r="A1" s="1" t="s">
        <v>0</v>
      </c>
      <c r="D1" t="s">
        <v>1</v>
      </c>
      <c r="E1" s="3">
        <v>40166</v>
      </c>
    </row>
    <row r="2" spans="1:10">
      <c r="A2" s="1"/>
      <c r="E2" s="4"/>
    </row>
    <row r="3" spans="1:10">
      <c r="A3" s="1"/>
      <c r="D3" s="5"/>
      <c r="E3" s="6"/>
    </row>
    <row r="4" spans="1:10">
      <c r="A4" s="1" t="s">
        <v>2</v>
      </c>
      <c r="D4" s="5"/>
      <c r="E4" s="7"/>
    </row>
    <row r="5" spans="1:10" ht="12" customHeight="1">
      <c r="A5" s="1" t="s">
        <v>3</v>
      </c>
      <c r="B5" s="8" t="s">
        <v>4</v>
      </c>
      <c r="C5" s="9" t="s">
        <v>5</v>
      </c>
      <c r="D5" s="10" t="s">
        <v>6</v>
      </c>
      <c r="E5" s="11" t="s">
        <v>7</v>
      </c>
    </row>
    <row r="6" spans="1:10" hidden="1">
      <c r="A6" s="12" t="s">
        <v>8</v>
      </c>
      <c r="B6" s="13"/>
      <c r="C6" s="14"/>
      <c r="D6" s="5">
        <v>37</v>
      </c>
      <c r="E6" s="7">
        <f t="shared" ref="E6:E50" si="0">D6*B6</f>
        <v>0</v>
      </c>
    </row>
    <row r="7" spans="1:10" hidden="1">
      <c r="A7" s="15" t="s">
        <v>9</v>
      </c>
      <c r="B7" s="13"/>
      <c r="C7" s="14"/>
      <c r="D7" s="5">
        <v>75</v>
      </c>
      <c r="E7" s="7">
        <f>D7*B7</f>
        <v>0</v>
      </c>
    </row>
    <row r="8" spans="1:10">
      <c r="A8" s="15" t="s">
        <v>10</v>
      </c>
      <c r="B8" s="13">
        <v>23.5</v>
      </c>
      <c r="C8" s="14"/>
      <c r="D8" s="5">
        <v>18</v>
      </c>
      <c r="E8" s="7">
        <f t="shared" si="0"/>
        <v>423</v>
      </c>
      <c r="H8" s="16"/>
      <c r="J8" s="5"/>
    </row>
    <row r="9" spans="1:10" hidden="1">
      <c r="A9" s="15" t="s">
        <v>11</v>
      </c>
      <c r="B9" s="13"/>
      <c r="C9" s="14"/>
      <c r="D9" s="5">
        <v>47</v>
      </c>
      <c r="E9" s="7">
        <f t="shared" si="0"/>
        <v>0</v>
      </c>
      <c r="H9" s="16"/>
      <c r="J9" s="5"/>
    </row>
    <row r="10" spans="1:10" hidden="1">
      <c r="A10" s="15" t="s">
        <v>12</v>
      </c>
      <c r="B10" s="13"/>
      <c r="C10" s="14"/>
      <c r="D10" s="5">
        <v>35</v>
      </c>
      <c r="E10" s="7">
        <f t="shared" si="0"/>
        <v>0</v>
      </c>
      <c r="H10" s="16"/>
      <c r="J10" s="5"/>
    </row>
    <row r="11" spans="1:10">
      <c r="A11" s="15" t="s">
        <v>13</v>
      </c>
      <c r="B11" s="13">
        <v>24.5</v>
      </c>
      <c r="C11" s="14"/>
      <c r="D11" s="5">
        <v>62</v>
      </c>
      <c r="E11" s="7">
        <f t="shared" si="0"/>
        <v>1519</v>
      </c>
      <c r="H11" s="16"/>
      <c r="J11" s="5"/>
    </row>
    <row r="12" spans="1:10">
      <c r="A12" s="15" t="s">
        <v>14</v>
      </c>
      <c r="B12" s="13">
        <f>19.2+16.7</f>
        <v>35.9</v>
      </c>
      <c r="C12" s="14">
        <v>2</v>
      </c>
      <c r="D12" s="5">
        <v>64</v>
      </c>
      <c r="E12" s="7">
        <f t="shared" si="0"/>
        <v>2297.6</v>
      </c>
      <c r="H12" s="16"/>
      <c r="J12" s="5"/>
    </row>
    <row r="13" spans="1:10">
      <c r="A13" s="15" t="s">
        <v>15</v>
      </c>
      <c r="B13" s="13">
        <v>26.22</v>
      </c>
      <c r="C13" s="14"/>
      <c r="D13" s="5">
        <v>22</v>
      </c>
      <c r="E13" s="7">
        <f t="shared" si="0"/>
        <v>576.83999999999992</v>
      </c>
      <c r="H13" s="16"/>
      <c r="J13" s="5"/>
    </row>
    <row r="14" spans="1:10">
      <c r="A14" s="15" t="s">
        <v>16</v>
      </c>
      <c r="B14" s="13">
        <v>32</v>
      </c>
      <c r="C14" s="14">
        <v>1</v>
      </c>
      <c r="D14" s="5">
        <v>48</v>
      </c>
      <c r="E14" s="7">
        <f t="shared" si="0"/>
        <v>1536</v>
      </c>
      <c r="H14" s="16"/>
      <c r="J14" s="5"/>
    </row>
    <row r="15" spans="1:10">
      <c r="A15" s="15" t="s">
        <v>16</v>
      </c>
      <c r="B15" s="13">
        <v>9.66</v>
      </c>
      <c r="C15" s="14"/>
      <c r="D15" s="5">
        <v>70</v>
      </c>
      <c r="E15" s="7">
        <f t="shared" si="0"/>
        <v>676.2</v>
      </c>
      <c r="H15" s="16"/>
      <c r="J15" s="5"/>
    </row>
    <row r="16" spans="1:10" hidden="1">
      <c r="A16" s="15" t="s">
        <v>17</v>
      </c>
      <c r="B16" s="13"/>
      <c r="C16" s="14"/>
      <c r="D16" s="5">
        <v>55</v>
      </c>
      <c r="E16" s="7">
        <f t="shared" si="0"/>
        <v>0</v>
      </c>
      <c r="I16" s="1"/>
      <c r="J16" s="17"/>
    </row>
    <row r="17" spans="1:10" hidden="1">
      <c r="A17" s="15" t="s">
        <v>18</v>
      </c>
      <c r="B17" s="13"/>
      <c r="C17" s="14"/>
      <c r="D17" s="5">
        <v>36</v>
      </c>
      <c r="E17" s="7">
        <f t="shared" si="0"/>
        <v>0</v>
      </c>
      <c r="I17" s="1"/>
      <c r="J17" s="17"/>
    </row>
    <row r="18" spans="1:10" hidden="1">
      <c r="A18" s="15" t="s">
        <v>19</v>
      </c>
      <c r="B18" s="13"/>
      <c r="C18" s="14"/>
      <c r="D18" s="5">
        <v>54</v>
      </c>
      <c r="E18" s="7">
        <f t="shared" si="0"/>
        <v>0</v>
      </c>
      <c r="I18" s="1"/>
      <c r="J18" s="17"/>
    </row>
    <row r="19" spans="1:10">
      <c r="A19" s="15" t="s">
        <v>20</v>
      </c>
      <c r="B19" s="13">
        <v>125.62</v>
      </c>
      <c r="C19" s="14"/>
      <c r="D19" s="5">
        <v>11</v>
      </c>
      <c r="E19" s="7">
        <f t="shared" si="0"/>
        <v>1381.8200000000002</v>
      </c>
    </row>
    <row r="20" spans="1:10">
      <c r="A20" s="15" t="s">
        <v>21</v>
      </c>
      <c r="B20" s="13">
        <v>27.22</v>
      </c>
      <c r="C20" s="14">
        <v>1</v>
      </c>
      <c r="D20" s="5">
        <v>19.5</v>
      </c>
      <c r="E20" s="7">
        <f t="shared" si="0"/>
        <v>530.79</v>
      </c>
    </row>
    <row r="21" spans="1:10" hidden="1">
      <c r="A21" s="15" t="s">
        <v>21</v>
      </c>
      <c r="B21" s="13"/>
      <c r="C21" s="14"/>
      <c r="D21" s="5">
        <v>24</v>
      </c>
      <c r="E21" s="7">
        <f t="shared" si="0"/>
        <v>0</v>
      </c>
    </row>
    <row r="22" spans="1:10">
      <c r="A22" s="15" t="s">
        <v>22</v>
      </c>
      <c r="B22" s="13">
        <v>11.5</v>
      </c>
      <c r="C22" s="14"/>
      <c r="D22" s="5">
        <v>24</v>
      </c>
      <c r="E22" s="7">
        <f t="shared" si="0"/>
        <v>276</v>
      </c>
    </row>
    <row r="23" spans="1:10" hidden="1">
      <c r="A23" s="15" t="s">
        <v>23</v>
      </c>
      <c r="B23" s="13"/>
      <c r="C23" s="14"/>
      <c r="D23" s="5">
        <v>36</v>
      </c>
      <c r="E23" s="7">
        <f t="shared" si="0"/>
        <v>0</v>
      </c>
    </row>
    <row r="24" spans="1:10">
      <c r="A24" s="15" t="s">
        <v>24</v>
      </c>
      <c r="B24" s="13">
        <v>1.28</v>
      </c>
      <c r="C24" s="14"/>
      <c r="D24" s="5">
        <v>42</v>
      </c>
      <c r="E24" s="7">
        <f t="shared" si="0"/>
        <v>53.76</v>
      </c>
    </row>
    <row r="25" spans="1:10">
      <c r="A25" s="15" t="s">
        <v>25</v>
      </c>
      <c r="B25" s="13">
        <v>8.98</v>
      </c>
      <c r="C25" s="14"/>
      <c r="D25" s="5">
        <v>36</v>
      </c>
      <c r="E25" s="7">
        <f t="shared" si="0"/>
        <v>323.28000000000003</v>
      </c>
    </row>
    <row r="26" spans="1:10">
      <c r="A26" s="15" t="s">
        <v>26</v>
      </c>
      <c r="B26" s="13">
        <v>20.54</v>
      </c>
      <c r="C26" s="14"/>
      <c r="D26" s="5">
        <v>40</v>
      </c>
      <c r="E26" s="7">
        <f t="shared" si="0"/>
        <v>821.59999999999991</v>
      </c>
    </row>
    <row r="27" spans="1:10">
      <c r="A27" s="15" t="s">
        <v>27</v>
      </c>
      <c r="B27" s="13">
        <v>0.54</v>
      </c>
      <c r="C27" s="14"/>
      <c r="D27" s="5">
        <v>38</v>
      </c>
      <c r="E27" s="7">
        <f t="shared" si="0"/>
        <v>20.520000000000003</v>
      </c>
    </row>
    <row r="28" spans="1:10">
      <c r="A28" s="15" t="s">
        <v>28</v>
      </c>
      <c r="B28" s="13">
        <v>28.72</v>
      </c>
      <c r="C28" s="14"/>
      <c r="D28" s="5">
        <v>34</v>
      </c>
      <c r="E28" s="7">
        <f t="shared" si="0"/>
        <v>976.48</v>
      </c>
    </row>
    <row r="29" spans="1:10" hidden="1">
      <c r="A29" s="15" t="s">
        <v>29</v>
      </c>
      <c r="B29" s="13"/>
      <c r="C29" s="14"/>
      <c r="D29" s="5">
        <v>12</v>
      </c>
      <c r="E29" s="7">
        <f t="shared" si="0"/>
        <v>0</v>
      </c>
    </row>
    <row r="30" spans="1:10">
      <c r="A30" s="15" t="s">
        <v>30</v>
      </c>
      <c r="B30" s="13">
        <v>4.28</v>
      </c>
      <c r="C30" s="14"/>
      <c r="D30" s="5">
        <v>60</v>
      </c>
      <c r="E30" s="7">
        <f t="shared" si="0"/>
        <v>256.8</v>
      </c>
    </row>
    <row r="31" spans="1:10">
      <c r="A31" s="15" t="s">
        <v>31</v>
      </c>
      <c r="B31" s="13">
        <v>8.14</v>
      </c>
      <c r="C31" s="14"/>
      <c r="D31" s="5">
        <v>50</v>
      </c>
      <c r="E31" s="7">
        <f t="shared" si="0"/>
        <v>407</v>
      </c>
    </row>
    <row r="32" spans="1:10">
      <c r="A32" s="15" t="s">
        <v>32</v>
      </c>
      <c r="B32" s="13">
        <f>10.03+3.4</f>
        <v>13.43</v>
      </c>
      <c r="C32" s="14"/>
      <c r="D32" s="5">
        <v>22</v>
      </c>
      <c r="E32" s="7">
        <f t="shared" si="0"/>
        <v>295.45999999999998</v>
      </c>
    </row>
    <row r="33" spans="1:5">
      <c r="A33" s="15" t="s">
        <v>33</v>
      </c>
      <c r="B33" s="13">
        <f>27.22*3</f>
        <v>81.66</v>
      </c>
      <c r="C33" s="14">
        <v>3</v>
      </c>
      <c r="D33" s="5">
        <v>21</v>
      </c>
      <c r="E33" s="7">
        <f t="shared" si="0"/>
        <v>1714.86</v>
      </c>
    </row>
    <row r="34" spans="1:5">
      <c r="A34" s="15" t="s">
        <v>34</v>
      </c>
      <c r="B34" s="13">
        <v>2.9</v>
      </c>
      <c r="C34" s="14"/>
      <c r="D34" s="5">
        <v>30</v>
      </c>
      <c r="E34" s="7">
        <f t="shared" si="0"/>
        <v>87</v>
      </c>
    </row>
    <row r="35" spans="1:5">
      <c r="A35" s="15" t="s">
        <v>35</v>
      </c>
      <c r="B35" s="13">
        <v>7.3</v>
      </c>
      <c r="C35" s="14"/>
      <c r="D35" s="5">
        <v>24</v>
      </c>
      <c r="E35" s="7">
        <f t="shared" si="0"/>
        <v>175.2</v>
      </c>
    </row>
    <row r="36" spans="1:5">
      <c r="A36" s="15" t="s">
        <v>36</v>
      </c>
      <c r="B36" s="13">
        <v>3.2</v>
      </c>
      <c r="C36" s="14"/>
      <c r="D36" s="5">
        <v>18</v>
      </c>
      <c r="E36" s="7">
        <f t="shared" si="0"/>
        <v>57.6</v>
      </c>
    </row>
    <row r="37" spans="1:5">
      <c r="A37" s="15" t="s">
        <v>37</v>
      </c>
      <c r="B37" s="13">
        <v>16.02</v>
      </c>
      <c r="C37" s="14"/>
      <c r="D37" s="5">
        <v>44</v>
      </c>
      <c r="E37" s="7">
        <f t="shared" si="0"/>
        <v>704.88</v>
      </c>
    </row>
    <row r="38" spans="1:5" hidden="1">
      <c r="A38" s="15" t="s">
        <v>38</v>
      </c>
      <c r="B38" s="13"/>
      <c r="C38" s="14"/>
      <c r="D38" s="5">
        <v>30</v>
      </c>
      <c r="E38" s="7">
        <f t="shared" si="0"/>
        <v>0</v>
      </c>
    </row>
    <row r="39" spans="1:5">
      <c r="A39" s="15" t="s">
        <v>39</v>
      </c>
      <c r="B39" s="13">
        <f>856+876.5</f>
        <v>1732.5</v>
      </c>
      <c r="C39" s="14">
        <v>2</v>
      </c>
      <c r="D39" s="5">
        <v>27.5</v>
      </c>
      <c r="E39" s="7">
        <f t="shared" si="0"/>
        <v>47643.75</v>
      </c>
    </row>
    <row r="40" spans="1:5">
      <c r="A40" s="15" t="s">
        <v>40</v>
      </c>
      <c r="B40" s="13">
        <v>20.64</v>
      </c>
      <c r="C40" s="14"/>
      <c r="D40" s="5">
        <v>38</v>
      </c>
      <c r="E40" s="7">
        <f t="shared" si="0"/>
        <v>784.32</v>
      </c>
    </row>
    <row r="41" spans="1:5">
      <c r="A41" s="15" t="s">
        <v>41</v>
      </c>
      <c r="B41" s="13">
        <v>88.5</v>
      </c>
      <c r="C41" s="14"/>
      <c r="D41" s="5">
        <v>28.5</v>
      </c>
      <c r="E41" s="7">
        <f t="shared" si="0"/>
        <v>2522.25</v>
      </c>
    </row>
    <row r="42" spans="1:5" hidden="1">
      <c r="A42" s="15" t="s">
        <v>42</v>
      </c>
      <c r="B42" s="13"/>
      <c r="C42" s="14"/>
      <c r="D42" s="5">
        <v>38</v>
      </c>
      <c r="E42" s="7">
        <f t="shared" si="0"/>
        <v>0</v>
      </c>
    </row>
    <row r="43" spans="1:5" hidden="1">
      <c r="A43" s="15" t="s">
        <v>43</v>
      </c>
      <c r="B43" s="13"/>
      <c r="C43" s="14"/>
      <c r="D43" s="5">
        <v>40</v>
      </c>
      <c r="E43" s="7">
        <f t="shared" si="0"/>
        <v>0</v>
      </c>
    </row>
    <row r="44" spans="1:5">
      <c r="A44" s="15" t="s">
        <v>44</v>
      </c>
      <c r="B44" s="13">
        <v>81.58</v>
      </c>
      <c r="C44" s="14"/>
      <c r="D44" s="5">
        <v>50</v>
      </c>
      <c r="E44" s="7">
        <f t="shared" si="0"/>
        <v>4079</v>
      </c>
    </row>
    <row r="45" spans="1:5">
      <c r="A45" s="15" t="s">
        <v>45</v>
      </c>
      <c r="B45" s="13">
        <v>6.46</v>
      </c>
      <c r="C45" s="14"/>
      <c r="D45" s="5">
        <v>70</v>
      </c>
      <c r="E45" s="7">
        <f t="shared" si="0"/>
        <v>452.2</v>
      </c>
    </row>
    <row r="46" spans="1:5">
      <c r="A46" s="15" t="s">
        <v>46</v>
      </c>
      <c r="B46" s="13">
        <v>66.78</v>
      </c>
      <c r="C46" s="14"/>
      <c r="D46" s="5">
        <v>62</v>
      </c>
      <c r="E46" s="7">
        <f t="shared" si="0"/>
        <v>4140.3599999999997</v>
      </c>
    </row>
    <row r="47" spans="1:5" hidden="1">
      <c r="A47" s="15" t="s">
        <v>47</v>
      </c>
      <c r="B47" s="13"/>
      <c r="C47" s="14"/>
      <c r="D47" s="5">
        <v>40</v>
      </c>
      <c r="E47" s="7">
        <f t="shared" si="0"/>
        <v>0</v>
      </c>
    </row>
    <row r="48" spans="1:5">
      <c r="A48" s="15" t="s">
        <v>48</v>
      </c>
      <c r="B48" s="13">
        <f>46.24+1.64</f>
        <v>47.88</v>
      </c>
      <c r="C48" s="14"/>
      <c r="D48" s="5">
        <v>40</v>
      </c>
      <c r="E48" s="7">
        <f t="shared" si="0"/>
        <v>1915.2</v>
      </c>
    </row>
    <row r="49" spans="1:5">
      <c r="A49" s="15" t="s">
        <v>49</v>
      </c>
      <c r="B49" s="13">
        <v>14.64</v>
      </c>
      <c r="C49" s="14"/>
      <c r="D49" s="5">
        <v>64</v>
      </c>
      <c r="E49" s="7">
        <f t="shared" si="0"/>
        <v>936.96</v>
      </c>
    </row>
    <row r="50" spans="1:5">
      <c r="A50" s="15" t="s">
        <v>99</v>
      </c>
      <c r="B50" s="13">
        <v>6.74</v>
      </c>
      <c r="C50" s="14"/>
      <c r="D50" s="5">
        <v>46</v>
      </c>
      <c r="E50" s="7">
        <f t="shared" si="0"/>
        <v>310.04000000000002</v>
      </c>
    </row>
    <row r="51" spans="1:5" hidden="1">
      <c r="A51" s="15" t="s">
        <v>50</v>
      </c>
      <c r="B51" s="13"/>
      <c r="C51" s="14"/>
      <c r="D51" s="5">
        <v>260</v>
      </c>
      <c r="E51" s="7">
        <f>D51*C51</f>
        <v>0</v>
      </c>
    </row>
    <row r="52" spans="1:5">
      <c r="A52" s="15" t="s">
        <v>51</v>
      </c>
      <c r="B52" s="18"/>
      <c r="C52" s="19">
        <v>2</v>
      </c>
      <c r="D52" s="5">
        <v>28</v>
      </c>
      <c r="E52" s="7">
        <f>D52*C52</f>
        <v>56</v>
      </c>
    </row>
    <row r="53" spans="1:5">
      <c r="A53" s="15"/>
      <c r="B53" s="20"/>
      <c r="C53" s="21"/>
      <c r="D53" s="5"/>
      <c r="E53" s="7"/>
    </row>
    <row r="54" spans="1:5">
      <c r="A54" s="1" t="s">
        <v>52</v>
      </c>
      <c r="B54" s="20"/>
      <c r="C54" s="21"/>
      <c r="D54" s="5"/>
      <c r="E54" s="7"/>
    </row>
    <row r="55" spans="1:5" hidden="1">
      <c r="A55" s="15" t="s">
        <v>53</v>
      </c>
      <c r="B55" s="13"/>
      <c r="C55" s="13"/>
      <c r="D55" s="5">
        <v>38</v>
      </c>
      <c r="E55" s="7">
        <f>D55*B55</f>
        <v>0</v>
      </c>
    </row>
    <row r="56" spans="1:5">
      <c r="A56" s="15" t="s">
        <v>54</v>
      </c>
      <c r="B56" s="13">
        <v>2.5</v>
      </c>
      <c r="C56" s="13"/>
      <c r="D56" s="5">
        <v>28</v>
      </c>
      <c r="E56" s="7">
        <f>D56*B56</f>
        <v>70</v>
      </c>
    </row>
    <row r="57" spans="1:5">
      <c r="A57" s="15"/>
      <c r="B57" s="20"/>
      <c r="C57" s="21"/>
      <c r="D57" s="5"/>
      <c r="E57" s="7"/>
    </row>
    <row r="58" spans="1:5">
      <c r="A58" s="1" t="s">
        <v>55</v>
      </c>
      <c r="B58" s="20"/>
      <c r="C58" s="21"/>
      <c r="D58" s="5"/>
      <c r="E58" s="7"/>
    </row>
    <row r="59" spans="1:5" hidden="1">
      <c r="A59" s="15" t="s">
        <v>56</v>
      </c>
      <c r="B59" s="13"/>
      <c r="C59" s="14"/>
      <c r="D59" s="5">
        <v>50</v>
      </c>
      <c r="E59" s="7">
        <f t="shared" ref="E59:E82" si="1">D59*B59</f>
        <v>0</v>
      </c>
    </row>
    <row r="60" spans="1:5">
      <c r="A60" s="15" t="s">
        <v>57</v>
      </c>
      <c r="B60" s="13">
        <v>5.76</v>
      </c>
      <c r="C60" s="14"/>
      <c r="D60" s="5">
        <v>59</v>
      </c>
      <c r="E60" s="7">
        <f t="shared" si="1"/>
        <v>339.84</v>
      </c>
    </row>
    <row r="61" spans="1:5">
      <c r="A61" s="15" t="s">
        <v>58</v>
      </c>
      <c r="B61" s="13">
        <v>0.56999999999999995</v>
      </c>
      <c r="C61" s="14"/>
      <c r="D61" s="5">
        <v>35</v>
      </c>
      <c r="E61" s="7">
        <f t="shared" si="1"/>
        <v>19.95</v>
      </c>
    </row>
    <row r="62" spans="1:5">
      <c r="A62" s="15" t="s">
        <v>59</v>
      </c>
      <c r="B62" s="13">
        <v>21.66</v>
      </c>
      <c r="C62" s="14"/>
      <c r="D62" s="5">
        <v>47</v>
      </c>
      <c r="E62" s="7">
        <f t="shared" si="1"/>
        <v>1018.02</v>
      </c>
    </row>
    <row r="63" spans="1:5" hidden="1">
      <c r="A63" s="15" t="s">
        <v>60</v>
      </c>
      <c r="B63" s="13"/>
      <c r="C63" s="14"/>
      <c r="D63" s="5">
        <v>43</v>
      </c>
      <c r="E63" s="7">
        <f t="shared" si="1"/>
        <v>0</v>
      </c>
    </row>
    <row r="64" spans="1:5">
      <c r="A64" s="15" t="s">
        <v>61</v>
      </c>
      <c r="B64" s="13">
        <v>9.68</v>
      </c>
      <c r="C64" s="14"/>
      <c r="D64" s="5">
        <v>35</v>
      </c>
      <c r="E64" s="7">
        <f t="shared" si="1"/>
        <v>338.8</v>
      </c>
    </row>
    <row r="65" spans="1:5">
      <c r="A65" s="15" t="s">
        <v>62</v>
      </c>
      <c r="B65" s="13">
        <v>4.8</v>
      </c>
      <c r="C65" s="14"/>
      <c r="D65" s="5">
        <v>40</v>
      </c>
      <c r="E65" s="7">
        <f t="shared" si="1"/>
        <v>192</v>
      </c>
    </row>
    <row r="66" spans="1:5" ht="14.25" hidden="1" customHeight="1">
      <c r="A66" s="15" t="s">
        <v>63</v>
      </c>
      <c r="B66" s="13"/>
      <c r="C66" s="14"/>
      <c r="D66" s="5">
        <v>31</v>
      </c>
      <c r="E66" s="7">
        <f t="shared" si="1"/>
        <v>0</v>
      </c>
    </row>
    <row r="67" spans="1:5" hidden="1">
      <c r="A67" s="15" t="s">
        <v>64</v>
      </c>
      <c r="B67" s="13"/>
      <c r="C67" s="14"/>
      <c r="D67" s="5">
        <v>43</v>
      </c>
      <c r="E67" s="7">
        <f t="shared" si="1"/>
        <v>0</v>
      </c>
    </row>
    <row r="68" spans="1:5">
      <c r="A68" s="15" t="s">
        <v>65</v>
      </c>
      <c r="B68" s="13">
        <v>3.94</v>
      </c>
      <c r="C68" s="14"/>
      <c r="D68" s="5">
        <v>53</v>
      </c>
      <c r="E68" s="7">
        <f t="shared" si="1"/>
        <v>208.82</v>
      </c>
    </row>
    <row r="69" spans="1:5">
      <c r="A69" s="15" t="s">
        <v>66</v>
      </c>
      <c r="B69" s="13">
        <v>14.32</v>
      </c>
      <c r="C69" s="14"/>
      <c r="D69" s="5">
        <v>30</v>
      </c>
      <c r="E69" s="7">
        <f t="shared" si="1"/>
        <v>429.6</v>
      </c>
    </row>
    <row r="70" spans="1:5">
      <c r="A70" s="15" t="s">
        <v>67</v>
      </c>
      <c r="B70" s="13">
        <v>9.31</v>
      </c>
      <c r="C70" s="14"/>
      <c r="D70" s="5">
        <v>18</v>
      </c>
      <c r="E70" s="7">
        <f t="shared" si="1"/>
        <v>167.58</v>
      </c>
    </row>
    <row r="71" spans="1:5" hidden="1">
      <c r="A71" s="15" t="s">
        <v>68</v>
      </c>
      <c r="B71" s="13"/>
      <c r="C71" s="14"/>
      <c r="D71" s="5">
        <v>36</v>
      </c>
      <c r="E71" s="7">
        <f t="shared" si="1"/>
        <v>0</v>
      </c>
    </row>
    <row r="72" spans="1:5" hidden="1">
      <c r="A72" s="15" t="s">
        <v>69</v>
      </c>
      <c r="B72" s="13"/>
      <c r="C72" s="14"/>
      <c r="D72" s="5">
        <v>32</v>
      </c>
      <c r="E72" s="7">
        <f t="shared" si="1"/>
        <v>0</v>
      </c>
    </row>
    <row r="73" spans="1:5" hidden="1">
      <c r="A73" s="15" t="s">
        <v>70</v>
      </c>
      <c r="B73" s="13"/>
      <c r="C73" s="14"/>
      <c r="D73" s="5">
        <v>23</v>
      </c>
      <c r="E73" s="7">
        <f t="shared" si="1"/>
        <v>0</v>
      </c>
    </row>
    <row r="74" spans="1:5" hidden="1">
      <c r="A74" s="15" t="s">
        <v>71</v>
      </c>
      <c r="B74" s="13"/>
      <c r="C74" s="14"/>
      <c r="D74" s="5"/>
      <c r="E74" s="7">
        <f t="shared" si="1"/>
        <v>0</v>
      </c>
    </row>
    <row r="75" spans="1:5" hidden="1">
      <c r="A75" s="15" t="s">
        <v>72</v>
      </c>
      <c r="B75" s="13"/>
      <c r="C75" s="14"/>
      <c r="D75" s="5">
        <v>23</v>
      </c>
      <c r="E75" s="7">
        <f t="shared" si="1"/>
        <v>0</v>
      </c>
    </row>
    <row r="76" spans="1:5" hidden="1">
      <c r="A76" s="15"/>
      <c r="B76" s="13"/>
      <c r="C76" s="14"/>
      <c r="D76" s="5">
        <v>32</v>
      </c>
      <c r="E76" s="7">
        <f t="shared" si="1"/>
        <v>0</v>
      </c>
    </row>
    <row r="77" spans="1:5" hidden="1">
      <c r="A77" s="15" t="s">
        <v>73</v>
      </c>
      <c r="B77" s="13"/>
      <c r="C77" s="14"/>
      <c r="D77" s="5">
        <v>29</v>
      </c>
      <c r="E77" s="7">
        <f t="shared" si="1"/>
        <v>0</v>
      </c>
    </row>
    <row r="78" spans="1:5" hidden="1">
      <c r="A78" s="15" t="s">
        <v>74</v>
      </c>
      <c r="B78" s="13"/>
      <c r="C78" s="14"/>
      <c r="D78" s="5">
        <v>19</v>
      </c>
      <c r="E78" s="7">
        <f t="shared" si="1"/>
        <v>0</v>
      </c>
    </row>
    <row r="79" spans="1:5">
      <c r="A79" s="15" t="s">
        <v>75</v>
      </c>
      <c r="B79" s="13">
        <v>4.4000000000000004</v>
      </c>
      <c r="C79" s="14">
        <v>2</v>
      </c>
      <c r="D79" s="5">
        <v>34</v>
      </c>
      <c r="E79" s="7">
        <f t="shared" si="1"/>
        <v>149.60000000000002</v>
      </c>
    </row>
    <row r="80" spans="1:5">
      <c r="A80" s="15" t="s">
        <v>76</v>
      </c>
      <c r="B80" s="13">
        <v>15</v>
      </c>
      <c r="C80" s="14">
        <v>5</v>
      </c>
      <c r="D80" s="5">
        <v>25</v>
      </c>
      <c r="E80" s="7">
        <f t="shared" si="1"/>
        <v>375</v>
      </c>
    </row>
    <row r="81" spans="1:5" hidden="1">
      <c r="A81" s="15" t="s">
        <v>77</v>
      </c>
      <c r="B81" s="13"/>
      <c r="C81" s="14"/>
      <c r="D81" s="5">
        <v>22</v>
      </c>
      <c r="E81" s="7">
        <f t="shared" si="1"/>
        <v>0</v>
      </c>
    </row>
    <row r="82" spans="1:5">
      <c r="A82" s="15" t="s">
        <v>78</v>
      </c>
      <c r="B82" s="13">
        <v>8.1750000000000007</v>
      </c>
      <c r="C82" s="14"/>
      <c r="D82" s="5">
        <v>54</v>
      </c>
      <c r="E82" s="7">
        <f t="shared" si="1"/>
        <v>441.45000000000005</v>
      </c>
    </row>
    <row r="83" spans="1:5">
      <c r="A83" s="15" t="s">
        <v>79</v>
      </c>
      <c r="B83" s="18"/>
      <c r="C83" s="19">
        <v>3</v>
      </c>
      <c r="D83" s="5">
        <v>40</v>
      </c>
      <c r="E83" s="7">
        <f>D83*C83</f>
        <v>120</v>
      </c>
    </row>
    <row r="84" spans="1:5">
      <c r="A84" s="15"/>
      <c r="B84" s="20"/>
      <c r="C84" s="21"/>
      <c r="D84" s="5"/>
      <c r="E84" s="7"/>
    </row>
    <row r="85" spans="1:5" hidden="1">
      <c r="A85" s="15" t="s">
        <v>80</v>
      </c>
      <c r="B85" s="13"/>
      <c r="C85" s="14"/>
      <c r="D85" s="5"/>
      <c r="E85" s="7">
        <f t="shared" ref="E85:E106" si="2">D85*B85</f>
        <v>0</v>
      </c>
    </row>
    <row r="86" spans="1:5" hidden="1">
      <c r="A86" s="15" t="s">
        <v>59</v>
      </c>
      <c r="B86" s="13"/>
      <c r="C86" s="14"/>
      <c r="D86" s="5">
        <v>60</v>
      </c>
      <c r="E86" s="7">
        <f t="shared" si="2"/>
        <v>0</v>
      </c>
    </row>
    <row r="87" spans="1:5">
      <c r="A87" s="15" t="s">
        <v>61</v>
      </c>
      <c r="B87" s="13">
        <v>3.03</v>
      </c>
      <c r="C87" s="14"/>
      <c r="D87" s="5">
        <v>40</v>
      </c>
      <c r="E87" s="7">
        <f t="shared" si="2"/>
        <v>121.19999999999999</v>
      </c>
    </row>
    <row r="88" spans="1:5" hidden="1">
      <c r="A88" s="15" t="s">
        <v>62</v>
      </c>
      <c r="B88" s="13"/>
      <c r="C88" s="14"/>
      <c r="D88" s="5">
        <v>60</v>
      </c>
      <c r="E88" s="7">
        <f t="shared" si="2"/>
        <v>0</v>
      </c>
    </row>
    <row r="89" spans="1:5" hidden="1">
      <c r="A89" s="15" t="s">
        <v>81</v>
      </c>
      <c r="B89" s="13"/>
      <c r="C89" s="14"/>
      <c r="D89" s="5">
        <v>40</v>
      </c>
      <c r="E89" s="7">
        <f t="shared" si="2"/>
        <v>0</v>
      </c>
    </row>
    <row r="90" spans="1:5" hidden="1">
      <c r="A90" s="15" t="s">
        <v>82</v>
      </c>
      <c r="B90" s="13"/>
      <c r="C90" s="14"/>
      <c r="D90" s="5">
        <v>45</v>
      </c>
      <c r="E90" s="7">
        <f t="shared" si="2"/>
        <v>0</v>
      </c>
    </row>
    <row r="91" spans="1:5" hidden="1">
      <c r="A91" s="15" t="s">
        <v>83</v>
      </c>
      <c r="B91" s="13"/>
      <c r="C91" s="14"/>
      <c r="D91" s="5">
        <v>40</v>
      </c>
      <c r="E91" s="7">
        <f t="shared" si="2"/>
        <v>0</v>
      </c>
    </row>
    <row r="92" spans="1:5" hidden="1">
      <c r="A92" s="15" t="s">
        <v>84</v>
      </c>
      <c r="B92" s="13"/>
      <c r="C92" s="14"/>
      <c r="D92" s="5">
        <v>60</v>
      </c>
      <c r="E92" s="7">
        <f t="shared" si="2"/>
        <v>0</v>
      </c>
    </row>
    <row r="93" spans="1:5">
      <c r="A93" s="15" t="s">
        <v>85</v>
      </c>
      <c r="B93" s="13">
        <v>0.81499999999999995</v>
      </c>
      <c r="C93" s="14"/>
      <c r="D93" s="5">
        <v>65</v>
      </c>
      <c r="E93" s="7">
        <f t="shared" si="2"/>
        <v>52.974999999999994</v>
      </c>
    </row>
    <row r="94" spans="1:5">
      <c r="A94" s="15" t="s">
        <v>67</v>
      </c>
      <c r="B94" s="13">
        <v>0.97</v>
      </c>
      <c r="C94" s="14"/>
      <c r="D94" s="5">
        <v>28</v>
      </c>
      <c r="E94" s="7">
        <f t="shared" si="2"/>
        <v>27.16</v>
      </c>
    </row>
    <row r="95" spans="1:5" hidden="1">
      <c r="A95" s="15" t="s">
        <v>86</v>
      </c>
      <c r="B95" s="13"/>
      <c r="C95" s="14"/>
      <c r="D95" s="5"/>
      <c r="E95" s="7">
        <f t="shared" si="2"/>
        <v>0</v>
      </c>
    </row>
    <row r="96" spans="1:5">
      <c r="A96" s="15" t="s">
        <v>70</v>
      </c>
      <c r="B96" s="13">
        <v>0.49</v>
      </c>
      <c r="C96" s="14"/>
      <c r="D96" s="5">
        <v>40</v>
      </c>
      <c r="E96" s="7">
        <f t="shared" si="2"/>
        <v>19.600000000000001</v>
      </c>
    </row>
    <row r="97" spans="1:5" hidden="1">
      <c r="A97" s="15" t="s">
        <v>87</v>
      </c>
      <c r="B97" s="13"/>
      <c r="C97" s="14"/>
      <c r="D97" s="5"/>
      <c r="E97" s="7">
        <f t="shared" si="2"/>
        <v>0</v>
      </c>
    </row>
    <row r="98" spans="1:5" hidden="1">
      <c r="A98" s="15" t="s">
        <v>88</v>
      </c>
      <c r="B98" s="13"/>
      <c r="C98" s="14"/>
      <c r="D98" s="5">
        <v>30</v>
      </c>
      <c r="E98" s="7">
        <f t="shared" si="2"/>
        <v>0</v>
      </c>
    </row>
    <row r="99" spans="1:5" hidden="1">
      <c r="A99" s="15" t="s">
        <v>72</v>
      </c>
      <c r="B99" s="13"/>
      <c r="C99" s="14"/>
      <c r="D99" s="5">
        <v>25</v>
      </c>
      <c r="E99" s="7">
        <f t="shared" si="2"/>
        <v>0</v>
      </c>
    </row>
    <row r="100" spans="1:5">
      <c r="A100" s="15" t="s">
        <v>73</v>
      </c>
      <c r="B100" s="13">
        <v>1.4750000000000001</v>
      </c>
      <c r="C100" s="14"/>
      <c r="D100" s="5">
        <v>36</v>
      </c>
      <c r="E100" s="7">
        <f t="shared" si="2"/>
        <v>53.1</v>
      </c>
    </row>
    <row r="101" spans="1:5" hidden="1">
      <c r="A101" s="15" t="s">
        <v>89</v>
      </c>
      <c r="B101" s="13"/>
      <c r="C101" s="14"/>
      <c r="D101" s="5">
        <v>25</v>
      </c>
      <c r="E101" s="7">
        <f t="shared" si="2"/>
        <v>0</v>
      </c>
    </row>
    <row r="102" spans="1:5">
      <c r="A102" s="15" t="s">
        <v>75</v>
      </c>
      <c r="B102" s="13">
        <v>0.64500000000000002</v>
      </c>
      <c r="C102" s="14"/>
      <c r="D102" s="5">
        <v>38</v>
      </c>
      <c r="E102" s="7">
        <f t="shared" si="2"/>
        <v>24.51</v>
      </c>
    </row>
    <row r="103" spans="1:5">
      <c r="A103" s="15" t="s">
        <v>90</v>
      </c>
      <c r="B103" s="13">
        <v>0.34499999999999997</v>
      </c>
      <c r="C103" s="14"/>
      <c r="D103" s="5">
        <v>29</v>
      </c>
      <c r="E103" s="7">
        <f t="shared" si="2"/>
        <v>10.004999999999999</v>
      </c>
    </row>
    <row r="104" spans="1:5">
      <c r="A104" s="15" t="s">
        <v>100</v>
      </c>
      <c r="B104" s="13">
        <v>16.3</v>
      </c>
      <c r="C104" s="14">
        <v>4</v>
      </c>
      <c r="D104" s="5">
        <v>40</v>
      </c>
      <c r="E104" s="7">
        <f t="shared" si="2"/>
        <v>652</v>
      </c>
    </row>
    <row r="105" spans="1:5">
      <c r="A105" s="15" t="s">
        <v>101</v>
      </c>
      <c r="B105" s="13">
        <v>18.8</v>
      </c>
      <c r="C105" s="14">
        <v>4</v>
      </c>
      <c r="D105" s="5">
        <v>34</v>
      </c>
      <c r="E105" s="7">
        <f t="shared" si="2"/>
        <v>639.20000000000005</v>
      </c>
    </row>
    <row r="106" spans="1:5">
      <c r="A106" s="15" t="s">
        <v>78</v>
      </c>
      <c r="B106" s="18">
        <f>0.105+1.365</f>
        <v>1.47</v>
      </c>
      <c r="C106" s="19"/>
      <c r="D106" s="5">
        <v>80</v>
      </c>
      <c r="E106" s="7">
        <f t="shared" si="2"/>
        <v>117.6</v>
      </c>
    </row>
    <row r="107" spans="1:5">
      <c r="A107" s="15"/>
      <c r="B107" s="20"/>
      <c r="C107" s="21"/>
      <c r="D107" s="5"/>
      <c r="E107" s="7"/>
    </row>
    <row r="108" spans="1:5" hidden="1">
      <c r="A108" s="15" t="s">
        <v>91</v>
      </c>
      <c r="B108" s="13"/>
      <c r="C108" s="14"/>
      <c r="D108" s="5">
        <v>11</v>
      </c>
      <c r="E108" s="7">
        <f t="shared" ref="E108:E113" si="3">D108*C108</f>
        <v>0</v>
      </c>
    </row>
    <row r="109" spans="1:5">
      <c r="A109" s="15" t="s">
        <v>92</v>
      </c>
      <c r="B109" s="13"/>
      <c r="C109" s="14">
        <v>18</v>
      </c>
      <c r="D109" s="5">
        <v>15</v>
      </c>
      <c r="E109" s="7">
        <f t="shared" si="3"/>
        <v>270</v>
      </c>
    </row>
    <row r="110" spans="1:5">
      <c r="A110" s="15" t="s">
        <v>93</v>
      </c>
      <c r="B110" s="13"/>
      <c r="C110" s="14">
        <v>16</v>
      </c>
      <c r="D110" s="5">
        <v>13</v>
      </c>
      <c r="E110" s="7">
        <f t="shared" si="3"/>
        <v>208</v>
      </c>
    </row>
    <row r="111" spans="1:5">
      <c r="A111" s="15" t="s">
        <v>94</v>
      </c>
      <c r="B111" s="13"/>
      <c r="C111" s="14">
        <v>15</v>
      </c>
      <c r="D111" s="5">
        <v>18</v>
      </c>
      <c r="E111" s="7">
        <f t="shared" si="3"/>
        <v>270</v>
      </c>
    </row>
    <row r="112" spans="1:5">
      <c r="A112" s="15" t="s">
        <v>95</v>
      </c>
      <c r="B112" s="13"/>
      <c r="C112" s="14">
        <v>35</v>
      </c>
      <c r="D112" s="5">
        <v>10</v>
      </c>
      <c r="E112" s="7">
        <f t="shared" si="3"/>
        <v>350</v>
      </c>
    </row>
    <row r="113" spans="1:5">
      <c r="A113" s="15" t="s">
        <v>96</v>
      </c>
      <c r="B113" s="18"/>
      <c r="C113" s="19">
        <v>42</v>
      </c>
      <c r="D113" s="5">
        <v>8</v>
      </c>
      <c r="E113" s="7">
        <f t="shared" si="3"/>
        <v>336</v>
      </c>
    </row>
    <row r="114" spans="1:5">
      <c r="A114" s="15"/>
      <c r="B114" s="20"/>
      <c r="C114" s="21"/>
      <c r="D114" s="5"/>
      <c r="E114" s="7"/>
    </row>
    <row r="115" spans="1:5">
      <c r="A115" s="15" t="s">
        <v>97</v>
      </c>
      <c r="B115" s="13">
        <v>95</v>
      </c>
      <c r="C115" s="14"/>
      <c r="D115" s="5">
        <v>24</v>
      </c>
      <c r="E115" s="7">
        <f>D115*B115</f>
        <v>2280</v>
      </c>
    </row>
    <row r="116" spans="1:5">
      <c r="A116" s="15"/>
      <c r="B116" s="20"/>
      <c r="C116" s="21"/>
      <c r="D116" s="5"/>
      <c r="E116" s="7"/>
    </row>
    <row r="117" spans="1:5">
      <c r="B117" s="20"/>
      <c r="C117" s="21"/>
      <c r="D117" s="5"/>
      <c r="E117" s="7"/>
    </row>
    <row r="118" spans="1:5">
      <c r="A118" s="22" t="s">
        <v>98</v>
      </c>
      <c r="B118" s="23">
        <f>SUM(B6:B106)</f>
        <v>2723.2850000000003</v>
      </c>
      <c r="C118" s="1"/>
      <c r="D118" s="17"/>
      <c r="E118" s="24">
        <f>SUM(E6:E117)</f>
        <v>87253.780000000042</v>
      </c>
    </row>
  </sheetData>
  <phoneticPr fontId="4" type="noConversion"/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9"/>
  <sheetViews>
    <sheetView workbookViewId="0">
      <selection activeCell="C36" sqref="C36"/>
    </sheetView>
  </sheetViews>
  <sheetFormatPr baseColWidth="10" defaultRowHeight="12.75"/>
  <cols>
    <col min="1" max="1" width="25.7109375" customWidth="1"/>
    <col min="2" max="2" width="12.85546875" style="2" customWidth="1"/>
    <col min="3" max="3" width="8.42578125" customWidth="1"/>
    <col min="5" max="5" width="12.5703125" customWidth="1"/>
  </cols>
  <sheetData>
    <row r="1" spans="1:10">
      <c r="A1" s="1" t="s">
        <v>0</v>
      </c>
      <c r="D1" t="s">
        <v>1</v>
      </c>
      <c r="E1" s="3">
        <v>40173</v>
      </c>
    </row>
    <row r="2" spans="1:10">
      <c r="A2" s="1"/>
      <c r="E2" s="4"/>
    </row>
    <row r="3" spans="1:10">
      <c r="A3" s="1"/>
      <c r="D3" s="5"/>
      <c r="E3" s="6"/>
    </row>
    <row r="4" spans="1:10">
      <c r="A4" s="1" t="s">
        <v>2</v>
      </c>
      <c r="D4" s="5"/>
      <c r="E4" s="7"/>
    </row>
    <row r="5" spans="1:10" ht="12" customHeight="1">
      <c r="A5" s="1" t="s">
        <v>3</v>
      </c>
      <c r="B5" s="8" t="s">
        <v>4</v>
      </c>
      <c r="C5" s="9" t="s">
        <v>5</v>
      </c>
      <c r="D5" s="10" t="s">
        <v>6</v>
      </c>
      <c r="E5" s="11" t="s">
        <v>7</v>
      </c>
    </row>
    <row r="6" spans="1:10" hidden="1">
      <c r="A6" s="12" t="s">
        <v>8</v>
      </c>
      <c r="B6" s="13"/>
      <c r="C6" s="14"/>
      <c r="D6" s="5">
        <v>37</v>
      </c>
      <c r="E6" s="7">
        <f t="shared" ref="E6:E49" si="0">D6*B6</f>
        <v>0</v>
      </c>
    </row>
    <row r="7" spans="1:10" hidden="1">
      <c r="A7" s="15" t="s">
        <v>9</v>
      </c>
      <c r="B7" s="13"/>
      <c r="C7" s="14"/>
      <c r="D7" s="5">
        <v>75</v>
      </c>
      <c r="E7" s="7">
        <f>D7*B7</f>
        <v>0</v>
      </c>
    </row>
    <row r="8" spans="1:10">
      <c r="A8" s="15" t="s">
        <v>10</v>
      </c>
      <c r="B8" s="13">
        <v>3.14</v>
      </c>
      <c r="C8" s="14"/>
      <c r="D8" s="5">
        <v>18</v>
      </c>
      <c r="E8" s="7">
        <f t="shared" si="0"/>
        <v>56.52</v>
      </c>
      <c r="H8" s="16"/>
      <c r="J8" s="5"/>
    </row>
    <row r="9" spans="1:10" hidden="1">
      <c r="A9" s="15" t="s">
        <v>11</v>
      </c>
      <c r="B9" s="13"/>
      <c r="C9" s="14"/>
      <c r="D9" s="5">
        <v>47</v>
      </c>
      <c r="E9" s="7">
        <f t="shared" si="0"/>
        <v>0</v>
      </c>
      <c r="H9" s="16"/>
      <c r="J9" s="5"/>
    </row>
    <row r="10" spans="1:10" hidden="1">
      <c r="A10" s="15" t="s">
        <v>12</v>
      </c>
      <c r="B10" s="13"/>
      <c r="C10" s="14"/>
      <c r="D10" s="5">
        <v>35</v>
      </c>
      <c r="E10" s="7">
        <f t="shared" si="0"/>
        <v>0</v>
      </c>
      <c r="H10" s="16"/>
      <c r="J10" s="5"/>
    </row>
    <row r="11" spans="1:10">
      <c r="A11" s="15" t="s">
        <v>13</v>
      </c>
      <c r="B11" s="13">
        <v>0.60499999999999998</v>
      </c>
      <c r="C11" s="14"/>
      <c r="D11" s="5">
        <v>62</v>
      </c>
      <c r="E11" s="7">
        <f t="shared" si="0"/>
        <v>37.51</v>
      </c>
      <c r="H11" s="16"/>
      <c r="J11" s="5"/>
    </row>
    <row r="12" spans="1:10">
      <c r="A12" s="15" t="s">
        <v>14</v>
      </c>
      <c r="B12" s="13">
        <v>13.48</v>
      </c>
      <c r="C12" s="14"/>
      <c r="D12" s="5">
        <v>64</v>
      </c>
      <c r="E12" s="7">
        <f t="shared" si="0"/>
        <v>862.72</v>
      </c>
      <c r="H12" s="16"/>
      <c r="J12" s="5"/>
    </row>
    <row r="13" spans="1:10">
      <c r="A13" s="15" t="s">
        <v>15</v>
      </c>
      <c r="B13" s="13">
        <v>130.68</v>
      </c>
      <c r="C13" s="14"/>
      <c r="D13" s="5">
        <v>20</v>
      </c>
      <c r="E13" s="7">
        <f t="shared" si="0"/>
        <v>2613.6000000000004</v>
      </c>
      <c r="H13" s="16"/>
      <c r="J13" s="5"/>
    </row>
    <row r="14" spans="1:10">
      <c r="A14" s="15" t="s">
        <v>16</v>
      </c>
      <c r="B14" s="13">
        <f>31.8+29.4</f>
        <v>61.2</v>
      </c>
      <c r="C14" s="14">
        <v>2</v>
      </c>
      <c r="D14" s="5">
        <v>48</v>
      </c>
      <c r="E14" s="7">
        <f t="shared" si="0"/>
        <v>2937.6000000000004</v>
      </c>
      <c r="H14" s="16"/>
      <c r="J14" s="5"/>
    </row>
    <row r="15" spans="1:10" hidden="1">
      <c r="A15" s="15" t="s">
        <v>16</v>
      </c>
      <c r="B15" s="13"/>
      <c r="C15" s="14"/>
      <c r="D15" s="5">
        <v>70</v>
      </c>
      <c r="E15" s="7">
        <f t="shared" si="0"/>
        <v>0</v>
      </c>
      <c r="H15" s="16"/>
      <c r="J15" s="5"/>
    </row>
    <row r="16" spans="1:10" hidden="1">
      <c r="A16" s="15" t="s">
        <v>17</v>
      </c>
      <c r="B16" s="13"/>
      <c r="C16" s="14"/>
      <c r="D16" s="5">
        <v>55</v>
      </c>
      <c r="E16" s="7">
        <f t="shared" si="0"/>
        <v>0</v>
      </c>
      <c r="I16" s="1"/>
      <c r="J16" s="17"/>
    </row>
    <row r="17" spans="1:10">
      <c r="A17" s="15" t="s">
        <v>102</v>
      </c>
      <c r="B17" s="13">
        <v>13.61</v>
      </c>
      <c r="C17" s="14">
        <v>1</v>
      </c>
      <c r="D17" s="5">
        <v>36</v>
      </c>
      <c r="E17" s="7">
        <f t="shared" si="0"/>
        <v>489.96</v>
      </c>
      <c r="I17" s="1"/>
      <c r="J17" s="17"/>
    </row>
    <row r="18" spans="1:10">
      <c r="A18" s="15" t="s">
        <v>19</v>
      </c>
      <c r="B18" s="13">
        <v>0.80500000000000005</v>
      </c>
      <c r="C18" s="14"/>
      <c r="D18" s="5">
        <v>54</v>
      </c>
      <c r="E18" s="7">
        <f t="shared" si="0"/>
        <v>43.470000000000006</v>
      </c>
      <c r="I18" s="1"/>
      <c r="J18" s="17"/>
    </row>
    <row r="19" spans="1:10">
      <c r="A19" s="15" t="s">
        <v>20</v>
      </c>
      <c r="B19" s="13">
        <v>357.58</v>
      </c>
      <c r="C19" s="14"/>
      <c r="D19" s="5">
        <v>11</v>
      </c>
      <c r="E19" s="7">
        <f t="shared" si="0"/>
        <v>3933.3799999999997</v>
      </c>
    </row>
    <row r="20" spans="1:10">
      <c r="A20" s="15" t="s">
        <v>21</v>
      </c>
      <c r="B20" s="13">
        <v>27.22</v>
      </c>
      <c r="C20" s="14">
        <v>1</v>
      </c>
      <c r="D20" s="5">
        <v>19.5</v>
      </c>
      <c r="E20" s="7">
        <f t="shared" si="0"/>
        <v>530.79</v>
      </c>
    </row>
    <row r="21" spans="1:10">
      <c r="A21" s="15" t="s">
        <v>21</v>
      </c>
      <c r="B21" s="13">
        <v>2.3199999999999998</v>
      </c>
      <c r="C21" s="14"/>
      <c r="D21" s="5">
        <v>24</v>
      </c>
      <c r="E21" s="7">
        <f t="shared" si="0"/>
        <v>55.679999999999993</v>
      </c>
    </row>
    <row r="22" spans="1:10">
      <c r="A22" s="15" t="s">
        <v>22</v>
      </c>
      <c r="B22" s="13">
        <v>29.12</v>
      </c>
      <c r="C22" s="14"/>
      <c r="D22" s="5">
        <v>24</v>
      </c>
      <c r="E22" s="7">
        <f t="shared" si="0"/>
        <v>698.88</v>
      </c>
    </row>
    <row r="23" spans="1:10" hidden="1">
      <c r="A23" s="15" t="s">
        <v>23</v>
      </c>
      <c r="B23" s="13"/>
      <c r="C23" s="14"/>
      <c r="D23" s="5">
        <v>36</v>
      </c>
      <c r="E23" s="7">
        <f t="shared" si="0"/>
        <v>0</v>
      </c>
    </row>
    <row r="24" spans="1:10">
      <c r="A24" s="15" t="s">
        <v>24</v>
      </c>
      <c r="B24" s="13">
        <v>0.5</v>
      </c>
      <c r="C24" s="14"/>
      <c r="D24" s="5">
        <v>42</v>
      </c>
      <c r="E24" s="7">
        <f t="shared" si="0"/>
        <v>21</v>
      </c>
    </row>
    <row r="25" spans="1:10">
      <c r="A25" s="15" t="s">
        <v>25</v>
      </c>
      <c r="B25" s="13">
        <v>4.72</v>
      </c>
      <c r="C25" s="14"/>
      <c r="D25" s="5">
        <v>36</v>
      </c>
      <c r="E25" s="7">
        <f t="shared" si="0"/>
        <v>169.92</v>
      </c>
    </row>
    <row r="26" spans="1:10" hidden="1">
      <c r="A26" s="15" t="s">
        <v>26</v>
      </c>
      <c r="B26" s="13"/>
      <c r="C26" s="14"/>
      <c r="D26" s="5">
        <v>40</v>
      </c>
      <c r="E26" s="7">
        <f t="shared" si="0"/>
        <v>0</v>
      </c>
    </row>
    <row r="27" spans="1:10">
      <c r="A27" s="15" t="s">
        <v>27</v>
      </c>
      <c r="B27" s="13">
        <v>0.315</v>
      </c>
      <c r="C27" s="14"/>
      <c r="D27" s="5">
        <v>38</v>
      </c>
      <c r="E27" s="7">
        <f t="shared" si="0"/>
        <v>11.97</v>
      </c>
    </row>
    <row r="28" spans="1:10">
      <c r="A28" s="15" t="s">
        <v>28</v>
      </c>
      <c r="B28" s="13">
        <v>9.48</v>
      </c>
      <c r="C28" s="14"/>
      <c r="D28" s="5">
        <v>34</v>
      </c>
      <c r="E28" s="7">
        <f t="shared" si="0"/>
        <v>322.32</v>
      </c>
    </row>
    <row r="29" spans="1:10" hidden="1">
      <c r="A29" s="15" t="s">
        <v>29</v>
      </c>
      <c r="B29" s="13"/>
      <c r="C29" s="14"/>
      <c r="D29" s="5">
        <v>12</v>
      </c>
      <c r="E29" s="7">
        <f t="shared" si="0"/>
        <v>0</v>
      </c>
    </row>
    <row r="30" spans="1:10">
      <c r="A30" s="15" t="s">
        <v>30</v>
      </c>
      <c r="B30" s="13">
        <v>8.86</v>
      </c>
      <c r="C30" s="14"/>
      <c r="D30" s="5">
        <v>60</v>
      </c>
      <c r="E30" s="7">
        <f t="shared" si="0"/>
        <v>531.59999999999991</v>
      </c>
    </row>
    <row r="31" spans="1:10">
      <c r="A31" s="15" t="s">
        <v>31</v>
      </c>
      <c r="B31" s="13">
        <v>2.6949999999999998</v>
      </c>
      <c r="C31" s="14"/>
      <c r="D31" s="5">
        <v>50</v>
      </c>
      <c r="E31" s="7">
        <f t="shared" si="0"/>
        <v>134.75</v>
      </c>
    </row>
    <row r="32" spans="1:10">
      <c r="A32" s="15" t="s">
        <v>32</v>
      </c>
      <c r="B32" s="13">
        <v>19.324999999999999</v>
      </c>
      <c r="C32" s="14"/>
      <c r="D32" s="5">
        <v>22</v>
      </c>
      <c r="E32" s="7">
        <f t="shared" si="0"/>
        <v>425.15</v>
      </c>
    </row>
    <row r="33" spans="1:5">
      <c r="A33" s="15" t="s">
        <v>33</v>
      </c>
      <c r="B33" s="13">
        <v>81.66</v>
      </c>
      <c r="C33" s="14">
        <v>3</v>
      </c>
      <c r="D33" s="5">
        <v>21</v>
      </c>
      <c r="E33" s="7">
        <f t="shared" si="0"/>
        <v>1714.86</v>
      </c>
    </row>
    <row r="34" spans="1:5">
      <c r="A34" s="15" t="s">
        <v>34</v>
      </c>
      <c r="B34" s="13">
        <v>10.43</v>
      </c>
      <c r="C34" s="14"/>
      <c r="D34" s="5">
        <v>30</v>
      </c>
      <c r="E34" s="7">
        <f t="shared" si="0"/>
        <v>312.89999999999998</v>
      </c>
    </row>
    <row r="35" spans="1:5">
      <c r="A35" s="15" t="s">
        <v>35</v>
      </c>
      <c r="B35" s="13">
        <v>0.3</v>
      </c>
      <c r="C35" s="14"/>
      <c r="D35" s="5">
        <v>24</v>
      </c>
      <c r="E35" s="7">
        <f t="shared" si="0"/>
        <v>7.1999999999999993</v>
      </c>
    </row>
    <row r="36" spans="1:5">
      <c r="A36" s="15" t="s">
        <v>36</v>
      </c>
      <c r="B36" s="13">
        <v>2.335</v>
      </c>
      <c r="C36" s="14"/>
      <c r="D36" s="5">
        <v>18</v>
      </c>
      <c r="E36" s="7">
        <f t="shared" si="0"/>
        <v>42.03</v>
      </c>
    </row>
    <row r="37" spans="1:5">
      <c r="A37" s="15" t="s">
        <v>37</v>
      </c>
      <c r="B37" s="13">
        <v>6.24</v>
      </c>
      <c r="C37" s="14"/>
      <c r="D37" s="5">
        <v>44</v>
      </c>
      <c r="E37" s="7">
        <f t="shared" si="0"/>
        <v>274.56</v>
      </c>
    </row>
    <row r="38" spans="1:5" hidden="1">
      <c r="A38" s="15" t="s">
        <v>38</v>
      </c>
      <c r="B38" s="13"/>
      <c r="C38" s="14"/>
      <c r="D38" s="5">
        <v>30</v>
      </c>
      <c r="E38" s="7">
        <f t="shared" si="0"/>
        <v>0</v>
      </c>
    </row>
    <row r="39" spans="1:5">
      <c r="A39" s="15" t="s">
        <v>39</v>
      </c>
      <c r="B39" s="13">
        <v>907.5</v>
      </c>
      <c r="C39" s="14">
        <v>1</v>
      </c>
      <c r="D39" s="5">
        <v>27.5</v>
      </c>
      <c r="E39" s="7">
        <f t="shared" si="0"/>
        <v>24956.25</v>
      </c>
    </row>
    <row r="40" spans="1:5" hidden="1">
      <c r="A40" s="15" t="s">
        <v>40</v>
      </c>
      <c r="B40" s="13"/>
      <c r="C40" s="14"/>
      <c r="D40" s="5">
        <v>38</v>
      </c>
      <c r="E40" s="7">
        <f t="shared" si="0"/>
        <v>0</v>
      </c>
    </row>
    <row r="41" spans="1:5">
      <c r="A41" s="15" t="s">
        <v>41</v>
      </c>
      <c r="B41" s="13">
        <v>319</v>
      </c>
      <c r="C41" s="14"/>
      <c r="D41" s="5">
        <v>29</v>
      </c>
      <c r="E41" s="7">
        <f t="shared" si="0"/>
        <v>9251</v>
      </c>
    </row>
    <row r="42" spans="1:5" hidden="1">
      <c r="A42" s="15" t="s">
        <v>42</v>
      </c>
      <c r="B42" s="13"/>
      <c r="C42" s="14"/>
      <c r="D42" s="5">
        <v>38</v>
      </c>
      <c r="E42" s="7">
        <f t="shared" si="0"/>
        <v>0</v>
      </c>
    </row>
    <row r="43" spans="1:5">
      <c r="A43" s="15" t="s">
        <v>43</v>
      </c>
      <c r="B43" s="13">
        <v>9.5</v>
      </c>
      <c r="C43" s="14"/>
      <c r="D43" s="5">
        <v>40</v>
      </c>
      <c r="E43" s="7">
        <f t="shared" si="0"/>
        <v>380</v>
      </c>
    </row>
    <row r="44" spans="1:5" hidden="1">
      <c r="A44" s="15" t="s">
        <v>44</v>
      </c>
      <c r="B44" s="13"/>
      <c r="C44" s="14"/>
      <c r="D44" s="5">
        <v>50</v>
      </c>
      <c r="E44" s="7">
        <f t="shared" si="0"/>
        <v>0</v>
      </c>
    </row>
    <row r="45" spans="1:5" hidden="1">
      <c r="A45" s="15" t="s">
        <v>45</v>
      </c>
      <c r="B45" s="13"/>
      <c r="C45" s="14"/>
      <c r="D45" s="5">
        <v>70</v>
      </c>
      <c r="E45" s="7">
        <f t="shared" si="0"/>
        <v>0</v>
      </c>
    </row>
    <row r="46" spans="1:5">
      <c r="A46" s="15" t="s">
        <v>46</v>
      </c>
      <c r="B46" s="13">
        <f>81.5+5.935</f>
        <v>87.435000000000002</v>
      </c>
      <c r="C46" s="14"/>
      <c r="D46" s="5">
        <v>62</v>
      </c>
      <c r="E46" s="7">
        <f t="shared" si="0"/>
        <v>5420.97</v>
      </c>
    </row>
    <row r="47" spans="1:5" hidden="1">
      <c r="A47" s="15" t="s">
        <v>47</v>
      </c>
      <c r="B47" s="13"/>
      <c r="C47" s="14"/>
      <c r="D47" s="5">
        <v>40</v>
      </c>
      <c r="E47" s="7">
        <f t="shared" si="0"/>
        <v>0</v>
      </c>
    </row>
    <row r="48" spans="1:5">
      <c r="A48" s="15" t="s">
        <v>48</v>
      </c>
      <c r="B48" s="13">
        <f>2.885+0.887+30.5</f>
        <v>34.271999999999998</v>
      </c>
      <c r="C48" s="14"/>
      <c r="D48" s="5">
        <v>40</v>
      </c>
      <c r="E48" s="7">
        <f t="shared" si="0"/>
        <v>1370.8799999999999</v>
      </c>
    </row>
    <row r="49" spans="1:5">
      <c r="A49" s="15" t="s">
        <v>49</v>
      </c>
      <c r="B49" s="13">
        <v>7.45</v>
      </c>
      <c r="C49" s="14"/>
      <c r="D49" s="5">
        <v>64</v>
      </c>
      <c r="E49" s="7">
        <f t="shared" si="0"/>
        <v>476.8</v>
      </c>
    </row>
    <row r="50" spans="1:5">
      <c r="A50" s="15" t="s">
        <v>99</v>
      </c>
      <c r="B50" s="13">
        <v>4.67</v>
      </c>
      <c r="C50" s="14"/>
      <c r="D50" s="5">
        <v>46</v>
      </c>
      <c r="E50" s="7">
        <f>D50*B50</f>
        <v>214.82</v>
      </c>
    </row>
    <row r="51" spans="1:5">
      <c r="A51" s="15" t="s">
        <v>50</v>
      </c>
      <c r="B51" s="13"/>
      <c r="C51" s="14">
        <v>1</v>
      </c>
      <c r="D51" s="5">
        <v>260</v>
      </c>
      <c r="E51" s="7">
        <f>D51*C51</f>
        <v>260</v>
      </c>
    </row>
    <row r="52" spans="1:5">
      <c r="A52" s="15" t="s">
        <v>51</v>
      </c>
      <c r="B52" s="18"/>
      <c r="C52" s="19">
        <v>10</v>
      </c>
      <c r="D52" s="5">
        <v>28</v>
      </c>
      <c r="E52" s="7">
        <f>D52*C52</f>
        <v>280</v>
      </c>
    </row>
    <row r="53" spans="1:5">
      <c r="A53" s="15"/>
      <c r="B53" s="20"/>
      <c r="C53" s="21"/>
      <c r="D53" s="5"/>
      <c r="E53" s="7"/>
    </row>
    <row r="54" spans="1:5">
      <c r="A54" s="1" t="s">
        <v>52</v>
      </c>
      <c r="B54" s="20"/>
      <c r="C54" s="21"/>
      <c r="D54" s="5"/>
      <c r="E54" s="7"/>
    </row>
    <row r="55" spans="1:5">
      <c r="A55" s="15" t="s">
        <v>53</v>
      </c>
      <c r="B55" s="13">
        <v>4.24</v>
      </c>
      <c r="C55" s="13"/>
      <c r="D55" s="5">
        <v>38</v>
      </c>
      <c r="E55" s="7">
        <f>D55*B55</f>
        <v>161.12</v>
      </c>
    </row>
    <row r="56" spans="1:5" hidden="1">
      <c r="A56" s="15" t="s">
        <v>54</v>
      </c>
      <c r="B56" s="13"/>
      <c r="C56" s="13"/>
      <c r="D56" s="5">
        <v>28</v>
      </c>
      <c r="E56" s="7">
        <f>D56*B56</f>
        <v>0</v>
      </c>
    </row>
    <row r="57" spans="1:5">
      <c r="A57" s="15"/>
      <c r="B57" s="20"/>
      <c r="C57" s="21"/>
      <c r="D57" s="5"/>
      <c r="E57" s="7"/>
    </row>
    <row r="58" spans="1:5">
      <c r="A58" s="1" t="s">
        <v>55</v>
      </c>
      <c r="B58" s="20"/>
      <c r="C58" s="21"/>
      <c r="D58" s="5"/>
      <c r="E58" s="7"/>
    </row>
    <row r="59" spans="1:5" hidden="1">
      <c r="A59" s="15" t="s">
        <v>56</v>
      </c>
      <c r="B59" s="13"/>
      <c r="C59" s="14"/>
      <c r="D59" s="5">
        <v>50</v>
      </c>
      <c r="E59" s="7">
        <f t="shared" ref="E59:E82" si="1">D59*B59</f>
        <v>0</v>
      </c>
    </row>
    <row r="60" spans="1:5">
      <c r="A60" s="15" t="s">
        <v>57</v>
      </c>
      <c r="B60" s="13">
        <v>1.26</v>
      </c>
      <c r="C60" s="14"/>
      <c r="D60" s="5">
        <v>59</v>
      </c>
      <c r="E60" s="7">
        <f t="shared" si="1"/>
        <v>74.34</v>
      </c>
    </row>
    <row r="61" spans="1:5">
      <c r="A61" s="15" t="s">
        <v>58</v>
      </c>
      <c r="B61" s="13">
        <v>3.4</v>
      </c>
      <c r="C61" s="14"/>
      <c r="D61" s="5">
        <v>35</v>
      </c>
      <c r="E61" s="7">
        <f t="shared" si="1"/>
        <v>119</v>
      </c>
    </row>
    <row r="62" spans="1:5" hidden="1">
      <c r="A62" s="15" t="s">
        <v>59</v>
      </c>
      <c r="B62" s="13"/>
      <c r="C62" s="14"/>
      <c r="D62" s="5">
        <v>47</v>
      </c>
      <c r="E62" s="7">
        <f t="shared" si="1"/>
        <v>0</v>
      </c>
    </row>
    <row r="63" spans="1:5" hidden="1">
      <c r="A63" s="15" t="s">
        <v>60</v>
      </c>
      <c r="B63" s="13"/>
      <c r="C63" s="14"/>
      <c r="D63" s="5">
        <v>43</v>
      </c>
      <c r="E63" s="7">
        <f t="shared" si="1"/>
        <v>0</v>
      </c>
    </row>
    <row r="64" spans="1:5">
      <c r="A64" s="15" t="s">
        <v>61</v>
      </c>
      <c r="B64" s="13">
        <v>9.4</v>
      </c>
      <c r="C64" s="14"/>
      <c r="D64" s="5">
        <v>35</v>
      </c>
      <c r="E64" s="7">
        <f t="shared" si="1"/>
        <v>329</v>
      </c>
    </row>
    <row r="65" spans="1:5">
      <c r="A65" s="15" t="s">
        <v>62</v>
      </c>
      <c r="B65" s="13">
        <v>4.54</v>
      </c>
      <c r="C65" s="14"/>
      <c r="D65" s="5">
        <v>40</v>
      </c>
      <c r="E65" s="7">
        <f t="shared" si="1"/>
        <v>181.6</v>
      </c>
    </row>
    <row r="66" spans="1:5" ht="14.25" hidden="1" customHeight="1">
      <c r="A66" s="15" t="s">
        <v>63</v>
      </c>
      <c r="B66" s="13"/>
      <c r="C66" s="14"/>
      <c r="D66" s="5">
        <v>31</v>
      </c>
      <c r="E66" s="7">
        <f t="shared" si="1"/>
        <v>0</v>
      </c>
    </row>
    <row r="67" spans="1:5" hidden="1">
      <c r="A67" s="15" t="s">
        <v>64</v>
      </c>
      <c r="B67" s="13"/>
      <c r="C67" s="14"/>
      <c r="D67" s="5">
        <v>43</v>
      </c>
      <c r="E67" s="7">
        <f t="shared" si="1"/>
        <v>0</v>
      </c>
    </row>
    <row r="68" spans="1:5" hidden="1">
      <c r="A68" s="15" t="s">
        <v>65</v>
      </c>
      <c r="B68" s="13"/>
      <c r="C68" s="14"/>
      <c r="D68" s="5">
        <v>53</v>
      </c>
      <c r="E68" s="7">
        <f t="shared" si="1"/>
        <v>0</v>
      </c>
    </row>
    <row r="69" spans="1:5">
      <c r="A69" s="15" t="s">
        <v>66</v>
      </c>
      <c r="B69" s="13">
        <v>11.83</v>
      </c>
      <c r="C69" s="14"/>
      <c r="D69" s="5">
        <v>30</v>
      </c>
      <c r="E69" s="7">
        <f t="shared" si="1"/>
        <v>354.9</v>
      </c>
    </row>
    <row r="70" spans="1:5">
      <c r="A70" s="15" t="s">
        <v>67</v>
      </c>
      <c r="B70" s="13">
        <v>9.3149999999999995</v>
      </c>
      <c r="C70" s="14"/>
      <c r="D70" s="5">
        <v>18</v>
      </c>
      <c r="E70" s="7">
        <f t="shared" si="1"/>
        <v>167.67</v>
      </c>
    </row>
    <row r="71" spans="1:5" hidden="1">
      <c r="A71" s="15" t="s">
        <v>68</v>
      </c>
      <c r="B71" s="13"/>
      <c r="C71" s="14"/>
      <c r="D71" s="5">
        <v>36</v>
      </c>
      <c r="E71" s="7">
        <f t="shared" si="1"/>
        <v>0</v>
      </c>
    </row>
    <row r="72" spans="1:5" hidden="1">
      <c r="A72" s="15" t="s">
        <v>69</v>
      </c>
      <c r="B72" s="13"/>
      <c r="C72" s="14"/>
      <c r="D72" s="5">
        <v>32</v>
      </c>
      <c r="E72" s="7">
        <f t="shared" si="1"/>
        <v>0</v>
      </c>
    </row>
    <row r="73" spans="1:5" hidden="1">
      <c r="A73" s="15" t="s">
        <v>70</v>
      </c>
      <c r="B73" s="13"/>
      <c r="C73" s="14"/>
      <c r="D73" s="5">
        <v>23</v>
      </c>
      <c r="E73" s="7">
        <f t="shared" si="1"/>
        <v>0</v>
      </c>
    </row>
    <row r="74" spans="1:5" hidden="1">
      <c r="A74" s="15" t="s">
        <v>71</v>
      </c>
      <c r="B74" s="13"/>
      <c r="C74" s="14"/>
      <c r="D74" s="5"/>
      <c r="E74" s="7">
        <f t="shared" si="1"/>
        <v>0</v>
      </c>
    </row>
    <row r="75" spans="1:5" hidden="1">
      <c r="A75" s="15" t="s">
        <v>72</v>
      </c>
      <c r="B75" s="13"/>
      <c r="C75" s="14"/>
      <c r="D75" s="5">
        <v>23</v>
      </c>
      <c r="E75" s="7">
        <f t="shared" si="1"/>
        <v>0</v>
      </c>
    </row>
    <row r="76" spans="1:5" hidden="1">
      <c r="A76" s="15"/>
      <c r="B76" s="13"/>
      <c r="C76" s="14"/>
      <c r="D76" s="5">
        <v>32</v>
      </c>
      <c r="E76" s="7">
        <f t="shared" si="1"/>
        <v>0</v>
      </c>
    </row>
    <row r="77" spans="1:5" hidden="1">
      <c r="A77" s="15" t="s">
        <v>73</v>
      </c>
      <c r="B77" s="13"/>
      <c r="C77" s="14"/>
      <c r="D77" s="5">
        <v>29</v>
      </c>
      <c r="E77" s="7">
        <f t="shared" si="1"/>
        <v>0</v>
      </c>
    </row>
    <row r="78" spans="1:5" hidden="1">
      <c r="A78" s="15" t="s">
        <v>74</v>
      </c>
      <c r="B78" s="13"/>
      <c r="C78" s="14"/>
      <c r="D78" s="5">
        <v>19</v>
      </c>
      <c r="E78" s="7">
        <f t="shared" si="1"/>
        <v>0</v>
      </c>
    </row>
    <row r="79" spans="1:5">
      <c r="A79" s="15" t="s">
        <v>75</v>
      </c>
      <c r="B79" s="13">
        <v>2.17</v>
      </c>
      <c r="C79" s="14"/>
      <c r="D79" s="5">
        <v>34</v>
      </c>
      <c r="E79" s="7">
        <f t="shared" si="1"/>
        <v>73.78</v>
      </c>
    </row>
    <row r="80" spans="1:5">
      <c r="A80" s="15" t="s">
        <v>76</v>
      </c>
      <c r="B80" s="13">
        <v>9.0399999999999991</v>
      </c>
      <c r="C80" s="14"/>
      <c r="D80" s="5">
        <v>25</v>
      </c>
      <c r="E80" s="7">
        <f t="shared" si="1"/>
        <v>225.99999999999997</v>
      </c>
    </row>
    <row r="81" spans="1:5" hidden="1">
      <c r="A81" s="15" t="s">
        <v>77</v>
      </c>
      <c r="B81" s="13"/>
      <c r="C81" s="14"/>
      <c r="D81" s="5">
        <v>22</v>
      </c>
      <c r="E81" s="7">
        <f t="shared" si="1"/>
        <v>0</v>
      </c>
    </row>
    <row r="82" spans="1:5">
      <c r="A82" s="15" t="s">
        <v>78</v>
      </c>
      <c r="B82" s="13">
        <v>10.42</v>
      </c>
      <c r="C82" s="14"/>
      <c r="D82" s="5">
        <v>54</v>
      </c>
      <c r="E82" s="7">
        <f t="shared" si="1"/>
        <v>562.67999999999995</v>
      </c>
    </row>
    <row r="83" spans="1:5">
      <c r="A83" s="15" t="s">
        <v>79</v>
      </c>
      <c r="B83" s="18"/>
      <c r="C83" s="19">
        <v>3</v>
      </c>
      <c r="D83" s="5">
        <v>40</v>
      </c>
      <c r="E83" s="7">
        <f>D83*C83</f>
        <v>120</v>
      </c>
    </row>
    <row r="84" spans="1:5">
      <c r="A84" s="15"/>
      <c r="B84" s="20"/>
      <c r="C84" s="21"/>
      <c r="D84" s="5"/>
      <c r="E84" s="7"/>
    </row>
    <row r="85" spans="1:5" hidden="1">
      <c r="A85" s="15" t="s">
        <v>80</v>
      </c>
      <c r="B85" s="13"/>
      <c r="C85" s="14"/>
      <c r="D85" s="5"/>
      <c r="E85" s="7">
        <f t="shared" ref="E85:E107" si="2">D85*B85</f>
        <v>0</v>
      </c>
    </row>
    <row r="86" spans="1:5">
      <c r="A86" s="15" t="s">
        <v>59</v>
      </c>
      <c r="B86" s="13">
        <f>0.98+1.285</f>
        <v>2.2649999999999997</v>
      </c>
      <c r="C86" s="14"/>
      <c r="D86" s="5">
        <v>60</v>
      </c>
      <c r="E86" s="7">
        <f t="shared" si="2"/>
        <v>135.89999999999998</v>
      </c>
    </row>
    <row r="87" spans="1:5" hidden="1">
      <c r="A87" s="15" t="s">
        <v>61</v>
      </c>
      <c r="B87" s="13"/>
      <c r="C87" s="14"/>
      <c r="D87" s="5">
        <v>40</v>
      </c>
      <c r="E87" s="7">
        <f t="shared" si="2"/>
        <v>0</v>
      </c>
    </row>
    <row r="88" spans="1:5">
      <c r="A88" s="15" t="s">
        <v>62</v>
      </c>
      <c r="B88" s="13">
        <v>2.4700000000000002</v>
      </c>
      <c r="C88" s="14"/>
      <c r="D88" s="5">
        <v>60</v>
      </c>
      <c r="E88" s="7">
        <f t="shared" si="2"/>
        <v>148.20000000000002</v>
      </c>
    </row>
    <row r="89" spans="1:5" hidden="1">
      <c r="A89" s="15" t="s">
        <v>81</v>
      </c>
      <c r="B89" s="13"/>
      <c r="C89" s="14"/>
      <c r="D89" s="5">
        <v>40</v>
      </c>
      <c r="E89" s="7">
        <f t="shared" si="2"/>
        <v>0</v>
      </c>
    </row>
    <row r="90" spans="1:5" hidden="1">
      <c r="A90" s="15" t="s">
        <v>82</v>
      </c>
      <c r="B90" s="13"/>
      <c r="C90" s="14"/>
      <c r="D90" s="5">
        <v>45</v>
      </c>
      <c r="E90" s="7">
        <f t="shared" si="2"/>
        <v>0</v>
      </c>
    </row>
    <row r="91" spans="1:5">
      <c r="A91" s="15" t="s">
        <v>83</v>
      </c>
      <c r="B91" s="13">
        <v>2.3149999999999999</v>
      </c>
      <c r="C91" s="14"/>
      <c r="D91" s="5">
        <v>40</v>
      </c>
      <c r="E91" s="7">
        <f t="shared" si="2"/>
        <v>92.6</v>
      </c>
    </row>
    <row r="92" spans="1:5" hidden="1">
      <c r="A92" s="15" t="s">
        <v>84</v>
      </c>
      <c r="B92" s="13"/>
      <c r="C92" s="14"/>
      <c r="D92" s="5">
        <v>60</v>
      </c>
      <c r="E92" s="7">
        <f t="shared" si="2"/>
        <v>0</v>
      </c>
    </row>
    <row r="93" spans="1:5">
      <c r="A93" s="15" t="s">
        <v>85</v>
      </c>
      <c r="B93" s="13">
        <v>2.415</v>
      </c>
      <c r="C93" s="14"/>
      <c r="D93" s="5">
        <v>65</v>
      </c>
      <c r="E93" s="7">
        <f t="shared" si="2"/>
        <v>156.97499999999999</v>
      </c>
    </row>
    <row r="94" spans="1:5">
      <c r="A94" s="15" t="s">
        <v>67</v>
      </c>
      <c r="B94" s="13">
        <v>0.28999999999999998</v>
      </c>
      <c r="C94" s="14"/>
      <c r="D94" s="5">
        <v>28</v>
      </c>
      <c r="E94" s="7">
        <f t="shared" si="2"/>
        <v>8.1199999999999992</v>
      </c>
    </row>
    <row r="95" spans="1:5" hidden="1">
      <c r="A95" s="15" t="s">
        <v>86</v>
      </c>
      <c r="B95" s="13"/>
      <c r="C95" s="14"/>
      <c r="D95" s="5"/>
      <c r="E95" s="7">
        <f t="shared" si="2"/>
        <v>0</v>
      </c>
    </row>
    <row r="96" spans="1:5" hidden="1">
      <c r="A96" s="15" t="s">
        <v>70</v>
      </c>
      <c r="B96" s="13"/>
      <c r="C96" s="14"/>
      <c r="D96" s="5">
        <v>40</v>
      </c>
      <c r="E96" s="7">
        <f t="shared" si="2"/>
        <v>0</v>
      </c>
    </row>
    <row r="97" spans="1:5">
      <c r="A97" s="15" t="s">
        <v>87</v>
      </c>
      <c r="B97" s="13">
        <v>8.6999999999999993</v>
      </c>
      <c r="C97" s="14"/>
      <c r="D97" s="5">
        <v>85</v>
      </c>
      <c r="E97" s="7">
        <f t="shared" si="2"/>
        <v>739.49999999999989</v>
      </c>
    </row>
    <row r="98" spans="1:5" hidden="1">
      <c r="A98" s="15" t="s">
        <v>88</v>
      </c>
      <c r="B98" s="13"/>
      <c r="C98" s="14"/>
      <c r="D98" s="5">
        <v>30</v>
      </c>
      <c r="E98" s="7">
        <f t="shared" si="2"/>
        <v>0</v>
      </c>
    </row>
    <row r="99" spans="1:5" hidden="1">
      <c r="A99" s="15" t="s">
        <v>72</v>
      </c>
      <c r="B99" s="13"/>
      <c r="C99" s="14"/>
      <c r="D99" s="5">
        <v>25</v>
      </c>
      <c r="E99" s="7">
        <f t="shared" si="2"/>
        <v>0</v>
      </c>
    </row>
    <row r="100" spans="1:5" hidden="1">
      <c r="A100" s="15" t="s">
        <v>73</v>
      </c>
      <c r="B100" s="13"/>
      <c r="C100" s="14"/>
      <c r="D100" s="5">
        <v>36</v>
      </c>
      <c r="E100" s="7">
        <f t="shared" si="2"/>
        <v>0</v>
      </c>
    </row>
    <row r="101" spans="1:5" hidden="1">
      <c r="A101" s="15" t="s">
        <v>89</v>
      </c>
      <c r="B101" s="13"/>
      <c r="C101" s="14"/>
      <c r="D101" s="5">
        <v>25</v>
      </c>
      <c r="E101" s="7">
        <f t="shared" si="2"/>
        <v>0</v>
      </c>
    </row>
    <row r="102" spans="1:5">
      <c r="A102" s="15" t="s">
        <v>75</v>
      </c>
      <c r="B102" s="13">
        <v>0.17</v>
      </c>
      <c r="C102" s="14"/>
      <c r="D102" s="5">
        <v>38</v>
      </c>
      <c r="E102" s="7">
        <f t="shared" si="2"/>
        <v>6.4600000000000009</v>
      </c>
    </row>
    <row r="103" spans="1:5">
      <c r="A103" s="15" t="s">
        <v>90</v>
      </c>
      <c r="B103" s="13">
        <v>2.8660000000000001</v>
      </c>
      <c r="C103" s="14"/>
      <c r="D103" s="5">
        <v>29</v>
      </c>
      <c r="E103" s="7">
        <f t="shared" si="2"/>
        <v>83.114000000000004</v>
      </c>
    </row>
    <row r="104" spans="1:5" hidden="1">
      <c r="A104" s="15" t="s">
        <v>100</v>
      </c>
      <c r="B104" s="13"/>
      <c r="C104" s="14"/>
      <c r="D104" s="5">
        <v>40</v>
      </c>
      <c r="E104" s="7">
        <f t="shared" si="2"/>
        <v>0</v>
      </c>
    </row>
    <row r="105" spans="1:5">
      <c r="A105" s="15" t="s">
        <v>101</v>
      </c>
      <c r="B105" s="13">
        <v>4.5199999999999996</v>
      </c>
      <c r="C105" s="14"/>
      <c r="D105" s="5">
        <v>34</v>
      </c>
      <c r="E105" s="7">
        <f t="shared" si="2"/>
        <v>153.67999999999998</v>
      </c>
    </row>
    <row r="106" spans="1:5">
      <c r="A106" s="15" t="s">
        <v>103</v>
      </c>
      <c r="B106" s="13">
        <v>11.44</v>
      </c>
      <c r="C106" s="14"/>
      <c r="D106" s="5">
        <v>48</v>
      </c>
      <c r="E106" s="7">
        <f t="shared" si="2"/>
        <v>549.12</v>
      </c>
    </row>
    <row r="107" spans="1:5" hidden="1">
      <c r="A107" s="15" t="s">
        <v>78</v>
      </c>
      <c r="B107" s="18"/>
      <c r="C107" s="19"/>
      <c r="D107" s="5">
        <v>80</v>
      </c>
      <c r="E107" s="7">
        <f t="shared" si="2"/>
        <v>0</v>
      </c>
    </row>
    <row r="108" spans="1:5">
      <c r="A108" s="15"/>
      <c r="B108" s="20"/>
      <c r="C108" s="21"/>
      <c r="D108" s="5"/>
      <c r="E108" s="7"/>
    </row>
    <row r="109" spans="1:5" hidden="1">
      <c r="A109" s="15" t="s">
        <v>91</v>
      </c>
      <c r="B109" s="13"/>
      <c r="C109" s="14"/>
      <c r="D109" s="5">
        <v>11</v>
      </c>
      <c r="E109" s="7">
        <f t="shared" ref="E109:E114" si="3">D109*C109</f>
        <v>0</v>
      </c>
    </row>
    <row r="110" spans="1:5">
      <c r="A110" s="15" t="s">
        <v>92</v>
      </c>
      <c r="B110" s="13"/>
      <c r="C110" s="14">
        <v>11</v>
      </c>
      <c r="D110" s="5">
        <v>15</v>
      </c>
      <c r="E110" s="7">
        <f t="shared" si="3"/>
        <v>165</v>
      </c>
    </row>
    <row r="111" spans="1:5">
      <c r="A111" s="15" t="s">
        <v>93</v>
      </c>
      <c r="B111" s="13"/>
      <c r="C111" s="14">
        <v>9</v>
      </c>
      <c r="D111" s="5">
        <v>13</v>
      </c>
      <c r="E111" s="7">
        <f t="shared" si="3"/>
        <v>117</v>
      </c>
    </row>
    <row r="112" spans="1:5">
      <c r="A112" s="15" t="s">
        <v>94</v>
      </c>
      <c r="B112" s="13"/>
      <c r="C112" s="14">
        <v>14</v>
      </c>
      <c r="D112" s="5">
        <v>18</v>
      </c>
      <c r="E112" s="7">
        <f t="shared" si="3"/>
        <v>252</v>
      </c>
    </row>
    <row r="113" spans="1:5">
      <c r="A113" s="15" t="s">
        <v>95</v>
      </c>
      <c r="B113" s="13"/>
      <c r="C113" s="14">
        <v>33</v>
      </c>
      <c r="D113" s="5">
        <v>10</v>
      </c>
      <c r="E113" s="7">
        <f t="shared" si="3"/>
        <v>330</v>
      </c>
    </row>
    <row r="114" spans="1:5">
      <c r="A114" s="15" t="s">
        <v>96</v>
      </c>
      <c r="B114" s="18"/>
      <c r="C114" s="19">
        <v>38</v>
      </c>
      <c r="D114" s="5">
        <v>8</v>
      </c>
      <c r="E114" s="7">
        <f t="shared" si="3"/>
        <v>304</v>
      </c>
    </row>
    <row r="115" spans="1:5">
      <c r="A115" s="15"/>
      <c r="B115" s="20"/>
      <c r="C115" s="21"/>
      <c r="D115" s="5"/>
      <c r="E115" s="7"/>
    </row>
    <row r="116" spans="1:5">
      <c r="A116" s="15" t="s">
        <v>97</v>
      </c>
      <c r="B116" s="13">
        <v>80</v>
      </c>
      <c r="C116" s="14"/>
      <c r="D116" s="5">
        <v>24</v>
      </c>
      <c r="E116" s="7">
        <f>D116*B116</f>
        <v>1920</v>
      </c>
    </row>
    <row r="117" spans="1:5">
      <c r="A117" s="15"/>
      <c r="B117" s="20"/>
      <c r="C117" s="21"/>
      <c r="D117" s="5"/>
      <c r="E117" s="7"/>
    </row>
    <row r="118" spans="1:5">
      <c r="B118" s="20"/>
      <c r="C118" s="21"/>
      <c r="D118" s="5"/>
      <c r="E118" s="7"/>
    </row>
    <row r="119" spans="1:5">
      <c r="A119" s="22" t="s">
        <v>98</v>
      </c>
      <c r="B119" s="23">
        <f>SUM(B6:B107)</f>
        <v>2259.5129999999999</v>
      </c>
      <c r="C119" s="1"/>
      <c r="D119" s="17"/>
      <c r="E119" s="24">
        <f>SUM(E6:E118)</f>
        <v>66370.848999999987</v>
      </c>
    </row>
  </sheetData>
  <phoneticPr fontId="4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adeudos</vt:lpstr>
      <vt:lpstr>entradas dic09</vt:lpstr>
      <vt:lpstr>Inv Alm Gral dic 09</vt:lpstr>
      <vt:lpstr>Inv comparativo Alm Gral </vt:lpstr>
      <vt:lpstr>Inv 11 sur 020110</vt:lpstr>
      <vt:lpstr>11 sur 121209</vt:lpstr>
      <vt:lpstr>11 sur 191209</vt:lpstr>
      <vt:lpstr>11 sur 261209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cic</cp:lastModifiedBy>
  <cp:lastPrinted>2010-01-04T20:06:29Z</cp:lastPrinted>
  <dcterms:created xsi:type="dcterms:W3CDTF">2009-12-18T20:48:43Z</dcterms:created>
  <dcterms:modified xsi:type="dcterms:W3CDTF">2010-01-04T20:06:45Z</dcterms:modified>
</cp:coreProperties>
</file>