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23715" windowHeight="10035" activeTab="1"/>
  </bookViews>
  <sheets>
    <sheet name="Deuda" sheetId="1" r:id="rId1"/>
    <sheet name="compras" sheetId="2" r:id="rId2"/>
    <sheet name="Central" sheetId="10" r:id="rId3"/>
    <sheet name="Cic" sheetId="6" r:id="rId4"/>
    <sheet name="Herr" sheetId="7" r:id="rId5"/>
    <sheet name="11 sur" sheetId="8" r:id="rId6"/>
  </sheets>
  <definedNames>
    <definedName name="_xlnm.Print_Area" localSheetId="2">Central!$A$1:$J$6</definedName>
  </definedNames>
  <calcPr calcId="144525"/>
</workbook>
</file>

<file path=xl/calcChain.xml><?xml version="1.0" encoding="utf-8"?>
<calcChain xmlns="http://schemas.openxmlformats.org/spreadsheetml/2006/main">
  <c r="X98" i="2"/>
  <c r="W98"/>
  <c r="Y98" s="1"/>
  <c r="F98"/>
  <c r="H98" s="1"/>
  <c r="G97"/>
  <c r="H97" s="1"/>
  <c r="F97"/>
  <c r="E97"/>
  <c r="U97" s="1"/>
  <c r="W96"/>
  <c r="Y96" s="1"/>
  <c r="F96"/>
  <c r="T96" s="1"/>
  <c r="X96" s="1"/>
  <c r="W95"/>
  <c r="Y95" s="1"/>
  <c r="F95"/>
  <c r="T95" s="1"/>
  <c r="X95" s="1"/>
  <c r="X94"/>
  <c r="W94"/>
  <c r="Y94" s="1"/>
  <c r="H94"/>
  <c r="U93"/>
  <c r="S93"/>
  <c r="R93"/>
  <c r="G93"/>
  <c r="H93" s="1"/>
  <c r="F93"/>
  <c r="X93" s="1"/>
  <c r="X92"/>
  <c r="W92"/>
  <c r="Y92" s="1"/>
  <c r="F92"/>
  <c r="H92" s="1"/>
  <c r="X91"/>
  <c r="W91"/>
  <c r="Y91" s="1"/>
  <c r="H91"/>
  <c r="G90"/>
  <c r="H90" s="1"/>
  <c r="F90"/>
  <c r="E90"/>
  <c r="U90" s="1"/>
  <c r="F89"/>
  <c r="R89" s="1"/>
  <c r="F88"/>
  <c r="R88" s="1"/>
  <c r="W87"/>
  <c r="Y87" s="1"/>
  <c r="F87"/>
  <c r="T87" s="1"/>
  <c r="X87" s="1"/>
  <c r="W86"/>
  <c r="Y86" s="1"/>
  <c r="F86"/>
  <c r="T86" s="1"/>
  <c r="X86" s="1"/>
  <c r="X85"/>
  <c r="W85"/>
  <c r="Y85" s="1"/>
  <c r="H85"/>
  <c r="U84"/>
  <c r="S84"/>
  <c r="R84"/>
  <c r="G84"/>
  <c r="H84" s="1"/>
  <c r="F84"/>
  <c r="X84" s="1"/>
  <c r="X83"/>
  <c r="W83"/>
  <c r="Y83" s="1"/>
  <c r="F83"/>
  <c r="H83" s="1"/>
  <c r="X82"/>
  <c r="W82"/>
  <c r="Y82" s="1"/>
  <c r="H82"/>
  <c r="U81"/>
  <c r="S81"/>
  <c r="R81"/>
  <c r="G81"/>
  <c r="H81" s="1"/>
  <c r="F81"/>
  <c r="X81" s="1"/>
  <c r="U79"/>
  <c r="X79" s="1"/>
  <c r="H79"/>
  <c r="U78"/>
  <c r="S78"/>
  <c r="R78"/>
  <c r="G78"/>
  <c r="H78" s="1"/>
  <c r="F78"/>
  <c r="X78" s="1"/>
  <c r="F77"/>
  <c r="F76"/>
  <c r="R76" s="1"/>
  <c r="W75"/>
  <c r="Y75" s="1"/>
  <c r="F75"/>
  <c r="T75" s="1"/>
  <c r="X75" s="1"/>
  <c r="U74"/>
  <c r="S74"/>
  <c r="R74"/>
  <c r="G74"/>
  <c r="H74" s="1"/>
  <c r="F74"/>
  <c r="X74" s="1"/>
  <c r="U73"/>
  <c r="X73" s="1"/>
  <c r="H73"/>
  <c r="X72"/>
  <c r="W72"/>
  <c r="Y72" s="1"/>
  <c r="H72"/>
  <c r="W71"/>
  <c r="Y71" s="1"/>
  <c r="F71"/>
  <c r="T71" s="1"/>
  <c r="X71" s="1"/>
  <c r="W70"/>
  <c r="Y70" s="1"/>
  <c r="F70"/>
  <c r="T70" s="1"/>
  <c r="X70" s="1"/>
  <c r="X69"/>
  <c r="W69"/>
  <c r="Y69" s="1"/>
  <c r="H69"/>
  <c r="U68"/>
  <c r="S68"/>
  <c r="R68"/>
  <c r="G68"/>
  <c r="H68" s="1"/>
  <c r="F68"/>
  <c r="X68" s="1"/>
  <c r="X67"/>
  <c r="W67"/>
  <c r="Y67" s="1"/>
  <c r="H67"/>
  <c r="X66"/>
  <c r="W66"/>
  <c r="Y66" s="1"/>
  <c r="H66"/>
  <c r="X65"/>
  <c r="W65"/>
  <c r="Y65" s="1"/>
  <c r="F65"/>
  <c r="H65" s="1"/>
  <c r="X64"/>
  <c r="W64"/>
  <c r="Y64" s="1"/>
  <c r="H64"/>
  <c r="G63"/>
  <c r="H63" s="1"/>
  <c r="F63"/>
  <c r="E63"/>
  <c r="U63" s="1"/>
  <c r="W62"/>
  <c r="Y62" s="1"/>
  <c r="F62"/>
  <c r="T62" s="1"/>
  <c r="X62" s="1"/>
  <c r="Y61"/>
  <c r="H61"/>
  <c r="W60"/>
  <c r="Y60" s="1"/>
  <c r="F60"/>
  <c r="T60" s="1"/>
  <c r="X60" s="1"/>
  <c r="G59"/>
  <c r="H59" s="1"/>
  <c r="F59"/>
  <c r="E59"/>
  <c r="U59" s="1"/>
  <c r="X58"/>
  <c r="W58"/>
  <c r="Y58" s="1"/>
  <c r="F58"/>
  <c r="H58" s="1"/>
  <c r="X57"/>
  <c r="W57"/>
  <c r="Y57" s="1"/>
  <c r="H57"/>
  <c r="U56"/>
  <c r="X56" s="1"/>
  <c r="H56"/>
  <c r="G55"/>
  <c r="H55" s="1"/>
  <c r="F55"/>
  <c r="E55"/>
  <c r="U55" s="1"/>
  <c r="U53"/>
  <c r="S53"/>
  <c r="R53"/>
  <c r="G53"/>
  <c r="H53" s="1"/>
  <c r="F53"/>
  <c r="X53" s="1"/>
  <c r="W52"/>
  <c r="Y52" s="1"/>
  <c r="F52"/>
  <c r="T52" s="1"/>
  <c r="X52" s="1"/>
  <c r="G51"/>
  <c r="H51" s="1"/>
  <c r="F51"/>
  <c r="E51"/>
  <c r="U51" s="1"/>
  <c r="U50"/>
  <c r="X50" s="1"/>
  <c r="H50"/>
  <c r="W49"/>
  <c r="Y49" s="1"/>
  <c r="F49"/>
  <c r="T49" s="1"/>
  <c r="X49" s="1"/>
  <c r="W48"/>
  <c r="Y48" s="1"/>
  <c r="F48"/>
  <c r="T48" s="1"/>
  <c r="X48" s="1"/>
  <c r="G47"/>
  <c r="H47" s="1"/>
  <c r="F47"/>
  <c r="E47"/>
  <c r="U47" s="1"/>
  <c r="X46"/>
  <c r="W46"/>
  <c r="Y46" s="1"/>
  <c r="F46"/>
  <c r="H46" s="1"/>
  <c r="X45"/>
  <c r="W45"/>
  <c r="Y45" s="1"/>
  <c r="H45"/>
  <c r="G44"/>
  <c r="H44" s="1"/>
  <c r="F44"/>
  <c r="E44"/>
  <c r="U44" s="1"/>
  <c r="W43"/>
  <c r="Y43" s="1"/>
  <c r="F43"/>
  <c r="T43" s="1"/>
  <c r="X43" s="1"/>
  <c r="W42"/>
  <c r="Y42" s="1"/>
  <c r="F42"/>
  <c r="T42" s="1"/>
  <c r="X42" s="1"/>
  <c r="G41"/>
  <c r="H41" s="1"/>
  <c r="F41"/>
  <c r="E41"/>
  <c r="U41" s="1"/>
  <c r="X40"/>
  <c r="W40"/>
  <c r="Y40" s="1"/>
  <c r="H40"/>
  <c r="X39"/>
  <c r="W39"/>
  <c r="Y39" s="1"/>
  <c r="F39"/>
  <c r="H39" s="1"/>
  <c r="X38"/>
  <c r="W38"/>
  <c r="Y38" s="1"/>
  <c r="F38"/>
  <c r="H38" s="1"/>
  <c r="G37"/>
  <c r="H37" s="1"/>
  <c r="F37"/>
  <c r="E37"/>
  <c r="U37" s="1"/>
  <c r="U35"/>
  <c r="X35" s="1"/>
  <c r="H35"/>
  <c r="G34"/>
  <c r="H34" s="1"/>
  <c r="F34"/>
  <c r="E34"/>
  <c r="U34" s="1"/>
  <c r="X33"/>
  <c r="W33"/>
  <c r="Y33" s="1"/>
  <c r="H33"/>
  <c r="X32"/>
  <c r="W32"/>
  <c r="Y32" s="1"/>
  <c r="G32"/>
  <c r="H32" s="1"/>
  <c r="W31"/>
  <c r="Y31" s="1"/>
  <c r="F31"/>
  <c r="T31" s="1"/>
  <c r="X31" s="1"/>
  <c r="U30"/>
  <c r="S30"/>
  <c r="R30"/>
  <c r="G30"/>
  <c r="H30" s="1"/>
  <c r="F30"/>
  <c r="X30" s="1"/>
  <c r="U29"/>
  <c r="X29" s="1"/>
  <c r="H29"/>
  <c r="W28"/>
  <c r="Y28" s="1"/>
  <c r="F28"/>
  <c r="T28" s="1"/>
  <c r="X28" s="1"/>
  <c r="W27"/>
  <c r="F27"/>
  <c r="T27" s="1"/>
  <c r="X27" s="1"/>
  <c r="G26"/>
  <c r="H26" s="1"/>
  <c r="F26"/>
  <c r="E26"/>
  <c r="U26" s="1"/>
  <c r="X25"/>
  <c r="W25"/>
  <c r="Y25" s="1"/>
  <c r="H25"/>
  <c r="X24"/>
  <c r="W24"/>
  <c r="Y24" s="1"/>
  <c r="H24"/>
  <c r="X23"/>
  <c r="W23"/>
  <c r="Y23" s="1"/>
  <c r="F23"/>
  <c r="H23" s="1"/>
  <c r="X22"/>
  <c r="W22"/>
  <c r="Y22" s="1"/>
  <c r="H22"/>
  <c r="G21"/>
  <c r="H21" s="1"/>
  <c r="F21"/>
  <c r="E21"/>
  <c r="U21" s="1"/>
  <c r="W20"/>
  <c r="Y20" s="1"/>
  <c r="F20"/>
  <c r="T20" s="1"/>
  <c r="X20" s="1"/>
  <c r="W19"/>
  <c r="Y19" s="1"/>
  <c r="F19"/>
  <c r="T19" s="1"/>
  <c r="X19" s="1"/>
  <c r="U18"/>
  <c r="S18"/>
  <c r="R18"/>
  <c r="G18"/>
  <c r="H18" s="1"/>
  <c r="F18"/>
  <c r="X18" s="1"/>
  <c r="X17"/>
  <c r="W17"/>
  <c r="Y17" s="1"/>
  <c r="H17"/>
  <c r="X16"/>
  <c r="W16"/>
  <c r="Y16" s="1"/>
  <c r="F16"/>
  <c r="H16" s="1"/>
  <c r="U15"/>
  <c r="S15"/>
  <c r="R15"/>
  <c r="G15"/>
  <c r="H15" s="1"/>
  <c r="F15"/>
  <c r="X15" s="1"/>
  <c r="U13"/>
  <c r="X13" s="1"/>
  <c r="G13"/>
  <c r="H13" s="1"/>
  <c r="U12"/>
  <c r="S12"/>
  <c r="R12"/>
  <c r="G12"/>
  <c r="H12" s="1"/>
  <c r="F12"/>
  <c r="X12" s="1"/>
  <c r="W11"/>
  <c r="Y11" s="1"/>
  <c r="F11"/>
  <c r="T11" s="1"/>
  <c r="X11" s="1"/>
  <c r="W10"/>
  <c r="Y10" s="1"/>
  <c r="F10"/>
  <c r="T10" s="1"/>
  <c r="X10" s="1"/>
  <c r="U9"/>
  <c r="S9"/>
  <c r="R9"/>
  <c r="G9"/>
  <c r="H9" s="1"/>
  <c r="F9"/>
  <c r="X9" s="1"/>
  <c r="X8"/>
  <c r="W8"/>
  <c r="Y8" s="1"/>
  <c r="H8"/>
  <c r="U7"/>
  <c r="S7"/>
  <c r="R7"/>
  <c r="G7"/>
  <c r="H7" s="1"/>
  <c r="F7"/>
  <c r="X7" s="1"/>
  <c r="W6"/>
  <c r="Y6" s="1"/>
  <c r="F6"/>
  <c r="T6" s="1"/>
  <c r="X6" s="1"/>
  <c r="X5"/>
  <c r="W5"/>
  <c r="Y5" s="1"/>
  <c r="H5"/>
  <c r="U4"/>
  <c r="S4"/>
  <c r="R4"/>
  <c r="G4"/>
  <c r="H4" s="1"/>
  <c r="F4"/>
  <c r="X4" s="1"/>
  <c r="Y4" s="1"/>
  <c r="W4" l="1"/>
  <c r="H6"/>
  <c r="W7"/>
  <c r="Y7" s="1"/>
  <c r="W9"/>
  <c r="Y9" s="1"/>
  <c r="H10"/>
  <c r="H11"/>
  <c r="W12"/>
  <c r="Y12" s="1"/>
  <c r="W13"/>
  <c r="Y13" s="1"/>
  <c r="W15"/>
  <c r="Y15" s="1"/>
  <c r="W18"/>
  <c r="Y18" s="1"/>
  <c r="H19"/>
  <c r="H20"/>
  <c r="R21"/>
  <c r="X21" s="1"/>
  <c r="S21"/>
  <c r="W21"/>
  <c r="Y21" s="1"/>
  <c r="R26"/>
  <c r="X26" s="1"/>
  <c r="S26"/>
  <c r="W26"/>
  <c r="Y26" s="1"/>
  <c r="H27"/>
  <c r="Y27"/>
  <c r="H28"/>
  <c r="W29"/>
  <c r="Y29" s="1"/>
  <c r="W30"/>
  <c r="Y30" s="1"/>
  <c r="H31"/>
  <c r="R34"/>
  <c r="X34" s="1"/>
  <c r="S34"/>
  <c r="W34"/>
  <c r="Y34" s="1"/>
  <c r="W35"/>
  <c r="Y35" s="1"/>
  <c r="R37"/>
  <c r="X37" s="1"/>
  <c r="S37"/>
  <c r="W37"/>
  <c r="Y37" s="1"/>
  <c r="R41"/>
  <c r="X41" s="1"/>
  <c r="S41"/>
  <c r="W41"/>
  <c r="Y41" s="1"/>
  <c r="H42"/>
  <c r="H43"/>
  <c r="R44"/>
  <c r="X44" s="1"/>
  <c r="S44"/>
  <c r="W44"/>
  <c r="Y44" s="1"/>
  <c r="R47"/>
  <c r="X47" s="1"/>
  <c r="S47"/>
  <c r="W47"/>
  <c r="Y47" s="1"/>
  <c r="H48"/>
  <c r="H49"/>
  <c r="W50"/>
  <c r="Y50" s="1"/>
  <c r="R51"/>
  <c r="X51" s="1"/>
  <c r="S51"/>
  <c r="W51"/>
  <c r="Y51" s="1"/>
  <c r="H52"/>
  <c r="W53"/>
  <c r="Y53" s="1"/>
  <c r="R55"/>
  <c r="X55" s="1"/>
  <c r="S55"/>
  <c r="W55"/>
  <c r="Y55" s="1"/>
  <c r="W56"/>
  <c r="Y56" s="1"/>
  <c r="R59"/>
  <c r="X59" s="1"/>
  <c r="S59"/>
  <c r="W59"/>
  <c r="Y59" s="1"/>
  <c r="H60"/>
  <c r="H62"/>
  <c r="R63"/>
  <c r="X63" s="1"/>
  <c r="S63"/>
  <c r="W63"/>
  <c r="Y63" s="1"/>
  <c r="W68"/>
  <c r="Y68" s="1"/>
  <c r="H70"/>
  <c r="H71"/>
  <c r="W73"/>
  <c r="Y73" s="1"/>
  <c r="W74"/>
  <c r="Y74" s="1"/>
  <c r="H75"/>
  <c r="H76"/>
  <c r="Q76"/>
  <c r="R77"/>
  <c r="H77"/>
  <c r="Q77"/>
  <c r="W78"/>
  <c r="Y78" s="1"/>
  <c r="W79"/>
  <c r="Y79" s="1"/>
  <c r="W81"/>
  <c r="Y81" s="1"/>
  <c r="W84"/>
  <c r="Y84" s="1"/>
  <c r="H86"/>
  <c r="H87"/>
  <c r="H88"/>
  <c r="Q88"/>
  <c r="H89"/>
  <c r="Q89"/>
  <c r="R90"/>
  <c r="X90" s="1"/>
  <c r="S90"/>
  <c r="W90"/>
  <c r="Y90" s="1"/>
  <c r="W93"/>
  <c r="Y93" s="1"/>
  <c r="H95"/>
  <c r="H96"/>
  <c r="R97"/>
  <c r="X97" s="1"/>
  <c r="S97"/>
  <c r="W97"/>
  <c r="Y97" s="1"/>
  <c r="W89" l="1"/>
  <c r="W88"/>
  <c r="W77"/>
  <c r="W76"/>
  <c r="Y76" l="1"/>
  <c r="T76"/>
  <c r="X76" s="1"/>
  <c r="Y77"/>
  <c r="T77"/>
  <c r="X77" s="1"/>
  <c r="Y88"/>
  <c r="T88"/>
  <c r="X88" s="1"/>
  <c r="Y89"/>
  <c r="T89"/>
  <c r="X89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<sst xmlns="http://schemas.openxmlformats.org/spreadsheetml/2006/main" count="587" uniqueCount="217">
  <si>
    <t>flete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</si>
  <si>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</si>
  <si>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</si>
  <si>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</si>
  <si>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</si>
  <si>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</si>
  <si>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</si>
  <si>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</si>
  <si>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</si>
  <si>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</si>
  <si>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</si>
  <si>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</si>
  <si>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</si>
  <si>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</si>
  <si>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</si>
  <si>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</si>
  <si>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$ aduanal</t>
  </si>
  <si>
    <t>tipo cambio</t>
  </si>
  <si>
    <t>com</t>
  </si>
  <si>
    <t>costo real</t>
  </si>
  <si>
    <t>$ carga total</t>
  </si>
  <si>
    <t>Canal de cerdo</t>
  </si>
  <si>
    <t>lu</t>
  </si>
  <si>
    <t>Pernil con piel</t>
  </si>
  <si>
    <t>Seaboard</t>
  </si>
  <si>
    <t>Fortis</t>
  </si>
  <si>
    <t>24 combos</t>
  </si>
  <si>
    <t>ma</t>
  </si>
  <si>
    <t>mi</t>
  </si>
  <si>
    <t>Farmland</t>
  </si>
  <si>
    <t>Guerrero</t>
  </si>
  <si>
    <t>ju</t>
  </si>
  <si>
    <t>vi</t>
  </si>
  <si>
    <t>sa</t>
  </si>
  <si>
    <t>costo integrado</t>
  </si>
  <si>
    <t xml:space="preserve">Pernil con piel </t>
  </si>
  <si>
    <t>20 combos</t>
  </si>
  <si>
    <t>21 combos</t>
  </si>
  <si>
    <t>Agrop La Gaby</t>
  </si>
  <si>
    <t>Nu3</t>
  </si>
  <si>
    <t>Agrop Las Reses</t>
  </si>
  <si>
    <t>Agrop El Topete</t>
  </si>
  <si>
    <t>do</t>
  </si>
  <si>
    <t>seguro</t>
  </si>
  <si>
    <t>Cano</t>
  </si>
  <si>
    <t>Carnes Ali</t>
  </si>
  <si>
    <t>Atosa</t>
  </si>
  <si>
    <t>19 combos</t>
  </si>
  <si>
    <t>Swift</t>
  </si>
  <si>
    <t>Sukarne</t>
  </si>
  <si>
    <t>Agrop La Chemita</t>
  </si>
  <si>
    <t>Contra</t>
  </si>
  <si>
    <t>Torres</t>
  </si>
  <si>
    <t>Espaldilla de carnero</t>
  </si>
  <si>
    <t>Cedar</t>
  </si>
  <si>
    <t>Adams</t>
  </si>
  <si>
    <t>685 cajas</t>
  </si>
  <si>
    <t>Paco</t>
  </si>
  <si>
    <t>PROGRAMA DE COMPRAS</t>
  </si>
  <si>
    <t>hoja + 16 vi 26 mar</t>
  </si>
  <si>
    <t>hoja + 10 vi 26 mar</t>
  </si>
  <si>
    <t>Cuero Belly</t>
  </si>
  <si>
    <t>680 cajas</t>
  </si>
  <si>
    <t>Buche</t>
  </si>
  <si>
    <t>Betos</t>
  </si>
  <si>
    <t>10 combos</t>
  </si>
  <si>
    <t>Cuero Belly Fresco</t>
  </si>
  <si>
    <t>12 combos</t>
  </si>
  <si>
    <t>MAYO  2013</t>
  </si>
  <si>
    <t>fact 1476,1477,1478</t>
  </si>
  <si>
    <t>Excell</t>
  </si>
  <si>
    <t>fact 12113</t>
  </si>
  <si>
    <t>nl13-402</t>
  </si>
  <si>
    <t>hoja + 10.5 vi 26 abr</t>
  </si>
  <si>
    <t>fact 1484,1485,1486</t>
  </si>
  <si>
    <t>fact 224</t>
  </si>
  <si>
    <t>fact 2202,2203,2204</t>
  </si>
  <si>
    <t>nlp017</t>
  </si>
  <si>
    <t>nlp018</t>
  </si>
  <si>
    <t>hoja + 10 ma 30 abr</t>
  </si>
  <si>
    <t>fact 1621,1622,1623</t>
  </si>
  <si>
    <t>fact 225</t>
  </si>
  <si>
    <t>fact 1499,1500,1501</t>
  </si>
  <si>
    <t>fact 5131</t>
  </si>
  <si>
    <t>hoja + 16 ma 30 abr</t>
  </si>
  <si>
    <t>fact 12425</t>
  </si>
  <si>
    <t>hoja + 16 lu 29 abr</t>
  </si>
  <si>
    <t>fact 1624,1625,1626</t>
  </si>
  <si>
    <t>nl13-403</t>
  </si>
  <si>
    <t>hoja + 10.5 ju 2 may</t>
  </si>
  <si>
    <t>nl13-404</t>
  </si>
  <si>
    <t>La Gaby/Chemita</t>
  </si>
  <si>
    <t>fact 1644,1645,1021,1022</t>
  </si>
  <si>
    <t>fact 226</t>
  </si>
  <si>
    <t>fact 5149</t>
  </si>
  <si>
    <t>hoja + 16 ju 2 may</t>
  </si>
  <si>
    <t>70 cajas</t>
  </si>
  <si>
    <t>fact 4460</t>
  </si>
  <si>
    <t>Ryc Alimentos</t>
  </si>
  <si>
    <t>104 cajas</t>
  </si>
  <si>
    <t>fact 40338</t>
  </si>
  <si>
    <t>Chemita/Topete</t>
  </si>
  <si>
    <t>fact1026,1027,1507,1508</t>
  </si>
  <si>
    <t>nl13-405</t>
  </si>
  <si>
    <t>hoja + 10.5 vi 3 may</t>
  </si>
  <si>
    <t>nlp019</t>
  </si>
  <si>
    <t>hoja + 10 vi 3 may</t>
  </si>
  <si>
    <t>fact 434</t>
  </si>
  <si>
    <t>fact 1512,1513,1514</t>
  </si>
  <si>
    <t>nlp020</t>
  </si>
  <si>
    <t>hoja + 10 ma 7 may</t>
  </si>
  <si>
    <t>Grupo America</t>
  </si>
  <si>
    <t>150 cajas</t>
  </si>
  <si>
    <t>fact 6110</t>
  </si>
  <si>
    <t>585 cajas</t>
  </si>
  <si>
    <t>fact 4547</t>
  </si>
  <si>
    <t>Porc San Bernardo</t>
  </si>
  <si>
    <t>fact 705,706,707</t>
  </si>
  <si>
    <t>fact 227</t>
  </si>
  <si>
    <t>Reses/Topete</t>
  </si>
  <si>
    <t>fact 2239,2240,1539,1540</t>
  </si>
  <si>
    <t>fact 12948 y 13077</t>
  </si>
  <si>
    <t>hoja + 16 lu 6 may</t>
  </si>
  <si>
    <t>fact 5180</t>
  </si>
  <si>
    <t>124 cajas</t>
  </si>
  <si>
    <t>fact 15289</t>
  </si>
  <si>
    <t>Topete/San Bernardo</t>
  </si>
  <si>
    <t>fact 1535,1536,711,712</t>
  </si>
  <si>
    <t>nl13-406</t>
  </si>
  <si>
    <t>hoja + 10.5 ju 9 may</t>
  </si>
  <si>
    <t>nl13-407</t>
  </si>
  <si>
    <t>Sn Bernardo/Chemita</t>
  </si>
  <si>
    <t>fact 715,715,1038,1039</t>
  </si>
  <si>
    <t>fact 435</t>
  </si>
  <si>
    <t>fact 5213</t>
  </si>
  <si>
    <t>hoja + 16 ju 9 may</t>
  </si>
  <si>
    <t>Reses/Sn Bernardo</t>
  </si>
  <si>
    <t>fact 2247,2248,719,720</t>
  </si>
  <si>
    <t>nl13-408</t>
  </si>
  <si>
    <t>hoja + 10.5 vi 10 may</t>
  </si>
  <si>
    <t>nlp021</t>
  </si>
  <si>
    <t>hoja + 10 vi 10 may</t>
  </si>
  <si>
    <t>fact 228</t>
  </si>
  <si>
    <t>fact 1660,1661,1044,1045</t>
  </si>
  <si>
    <t>nlp022</t>
  </si>
  <si>
    <t>hoja + 10 ma 14 may</t>
  </si>
  <si>
    <t>fact 727,728,729</t>
  </si>
  <si>
    <t>san Bernardo/chemita</t>
  </si>
  <si>
    <t>fact 732,733,734,1058,1059</t>
  </si>
  <si>
    <t>fact 229</t>
  </si>
  <si>
    <t>fact 13429</t>
  </si>
  <si>
    <t>hoja + 16 lu 13 may</t>
  </si>
  <si>
    <t>fact 5242</t>
  </si>
  <si>
    <t>Gaby/Paso Blanco</t>
  </si>
  <si>
    <t>fact 1670,1671,723,724</t>
  </si>
  <si>
    <t>nltf13-37</t>
  </si>
  <si>
    <t>nl13-409</t>
  </si>
  <si>
    <t>CANCELADA</t>
  </si>
  <si>
    <t>nl13-410</t>
  </si>
  <si>
    <t>hoja + 10.5 ju 16 may</t>
  </si>
  <si>
    <t>Gaby/Topete</t>
  </si>
  <si>
    <t>fact 1676,1677,1562,1563</t>
  </si>
  <si>
    <t>fact 527</t>
  </si>
  <si>
    <t>fact 5280</t>
  </si>
  <si>
    <t>hoja + 16 ju 16 may</t>
  </si>
  <si>
    <t>reempacado</t>
  </si>
  <si>
    <t>4 cajas</t>
  </si>
  <si>
    <t>fact 13642</t>
  </si>
  <si>
    <t>Carnero cortado</t>
  </si>
  <si>
    <t>Ararat</t>
  </si>
  <si>
    <t>46 cajas</t>
  </si>
  <si>
    <t>fact 1681,1682,1683</t>
  </si>
  <si>
    <t>666 cajas</t>
  </si>
  <si>
    <t>fact 4765</t>
  </si>
  <si>
    <t>nl13-411</t>
  </si>
  <si>
    <t>hoja + 10.5 vi 17 may</t>
  </si>
  <si>
    <t>nlp023</t>
  </si>
  <si>
    <t>Betos ALB</t>
  </si>
  <si>
    <t>hoja + 10 vi 17 may</t>
  </si>
  <si>
    <t>fact 230</t>
  </si>
  <si>
    <t>fact 1072,1073,1074</t>
  </si>
  <si>
    <t>nlp024</t>
  </si>
  <si>
    <t>hoja + 10 ma 21may</t>
  </si>
  <si>
    <t>nltf13-35</t>
  </si>
  <si>
    <t>hoja + 10.5 ma 21 may</t>
  </si>
  <si>
    <t>fact 1691,1692,1693</t>
  </si>
  <si>
    <t>fact 231</t>
  </si>
  <si>
    <t>fact 2287,2288,2289</t>
  </si>
  <si>
    <t>fact 13843</t>
  </si>
  <si>
    <t>hoja + 16 lu 20 may</t>
  </si>
  <si>
    <t>fact 5313</t>
  </si>
  <si>
    <t>fact 1081,1082,1083</t>
  </si>
  <si>
    <t>Corbata</t>
  </si>
  <si>
    <t>200 cajas</t>
  </si>
  <si>
    <t>fact 6286</t>
  </si>
  <si>
    <t>nl13-412</t>
  </si>
  <si>
    <t>hoja + 10.5 ju 23 may</t>
  </si>
  <si>
    <t>nl13-413</t>
  </si>
  <si>
    <t>nltf13-39</t>
  </si>
  <si>
    <t>Cuero Belly cong</t>
  </si>
  <si>
    <t>340 cajas</t>
  </si>
  <si>
    <t>Sn Bernardo/Reses</t>
  </si>
  <si>
    <t>fact 745,746,2296,2297</t>
  </si>
  <si>
    <t>fact 5309</t>
  </si>
  <si>
    <t>hoja + 17 ju 23 may</t>
  </si>
  <si>
    <t>fact 1705,1706,1707</t>
  </si>
  <si>
    <t>627 cajas</t>
  </si>
  <si>
    <t>fact 4961</t>
  </si>
  <si>
    <t>nl13-414</t>
  </si>
  <si>
    <t>hoja + 10.5 lu 27 may</t>
  </si>
  <si>
    <t>nlp025</t>
  </si>
  <si>
    <t>Paco  ALB</t>
  </si>
  <si>
    <t>hoja + 10 vi 24 may</t>
  </si>
  <si>
    <t>Topete/Chemita</t>
  </si>
  <si>
    <t>fact 1590,1591,1086,1087</t>
  </si>
  <si>
    <t>1289 cajas</t>
  </si>
  <si>
    <t>fact 5356</t>
  </si>
</sst>
</file>

<file path=xl/styles.xml><?xml version="1.0" encoding="utf-8"?>
<styleSheet xmlns="http://schemas.openxmlformats.org/spreadsheetml/2006/main">
  <numFmts count="8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#,##0_ ;\-#,##0\ "/>
    <numFmt numFmtId="167" formatCode="_-&quot;$&quot;* #,##0.000_-;\-&quot;$&quot;* #,##0.000_-;_-&quot;$&quot;* &quot;-&quot;??_-;_-@_-"/>
    <numFmt numFmtId="168" formatCode="_-&quot;$&quot;* #,##0.0000_-;\-&quot;$&quot;* #,##0.0000_-;_-&quot;$&quot;* &quot;-&quot;??_-;_-@_-"/>
    <numFmt numFmtId="169" formatCode="&quot;$&quot;#,##0.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CC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4" fontId="2" fillId="0" borderId="0" xfId="0" applyNumberFormat="1" applyFont="1"/>
    <xf numFmtId="44" fontId="0" fillId="0" borderId="0" xfId="0" applyNumberFormat="1"/>
    <xf numFmtId="0" fontId="4" fillId="0" borderId="0" xfId="0" applyFont="1"/>
    <xf numFmtId="0" fontId="2" fillId="0" borderId="0" xfId="0" applyFont="1" applyBorder="1"/>
    <xf numFmtId="4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0" fontId="4" fillId="0" borderId="0" xfId="0" applyFont="1" applyBorder="1"/>
    <xf numFmtId="164" fontId="0" fillId="0" borderId="0" xfId="0" applyNumberFormat="1"/>
    <xf numFmtId="0" fontId="0" fillId="0" borderId="0" xfId="0" applyFill="1" applyBorder="1"/>
    <xf numFmtId="0" fontId="4" fillId="0" borderId="0" xfId="0" applyFont="1" applyFill="1"/>
    <xf numFmtId="0" fontId="0" fillId="0" borderId="0" xfId="0" applyFont="1" applyFill="1" applyBorder="1"/>
    <xf numFmtId="4" fontId="0" fillId="0" borderId="0" xfId="0" applyNumberFormat="1"/>
    <xf numFmtId="44" fontId="0" fillId="0" borderId="0" xfId="1" applyFont="1"/>
    <xf numFmtId="44" fontId="2" fillId="0" borderId="0" xfId="1" applyFont="1"/>
    <xf numFmtId="14" fontId="2" fillId="0" borderId="7" xfId="0" applyNumberFormat="1" applyFont="1" applyBorder="1" applyAlignment="1">
      <alignment horizontal="right"/>
    </xf>
    <xf numFmtId="44" fontId="0" fillId="0" borderId="0" xfId="1" applyFont="1" applyAlignment="1">
      <alignment horizontal="right"/>
    </xf>
    <xf numFmtId="44" fontId="2" fillId="0" borderId="0" xfId="1" quotePrefix="1" applyFont="1"/>
    <xf numFmtId="0" fontId="2" fillId="0" borderId="8" xfId="0" applyFont="1" applyBorder="1"/>
    <xf numFmtId="4" fontId="0" fillId="0" borderId="9" xfId="0" applyNumberFormat="1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2" fillId="0" borderId="11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0" fontId="4" fillId="0" borderId="11" xfId="0" applyFont="1" applyBorder="1"/>
    <xf numFmtId="4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4" fontId="4" fillId="0" borderId="0" xfId="1" applyFont="1" applyBorder="1" applyAlignment="1">
      <alignment horizontal="center"/>
    </xf>
    <xf numFmtId="44" fontId="0" fillId="0" borderId="12" xfId="1" applyFont="1" applyBorder="1"/>
    <xf numFmtId="44" fontId="2" fillId="0" borderId="12" xfId="1" applyFont="1" applyBorder="1"/>
    <xf numFmtId="4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4" fontId="4" fillId="0" borderId="12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44" fontId="4" fillId="0" borderId="0" xfId="1" applyFont="1" applyBorder="1" applyAlignment="1">
      <alignment horizontal="right"/>
    </xf>
    <xf numFmtId="44" fontId="4" fillId="0" borderId="12" xfId="1" applyFont="1" applyBorder="1" applyAlignment="1">
      <alignment horizontal="right"/>
    </xf>
    <xf numFmtId="0" fontId="0" fillId="0" borderId="11" xfId="0" applyBorder="1"/>
    <xf numFmtId="44" fontId="2" fillId="0" borderId="0" xfId="1" applyFont="1" applyBorder="1"/>
    <xf numFmtId="44" fontId="2" fillId="0" borderId="0" xfId="1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44" fontId="0" fillId="0" borderId="14" xfId="1" applyFont="1" applyBorder="1"/>
    <xf numFmtId="44" fontId="0" fillId="0" borderId="15" xfId="1" applyFont="1" applyBorder="1"/>
    <xf numFmtId="0" fontId="0" fillId="0" borderId="8" xfId="0" applyBorder="1"/>
    <xf numFmtId="14" fontId="2" fillId="0" borderId="0" xfId="0" quotePrefix="1" applyNumberFormat="1" applyFon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quotePrefix="1" applyFont="1"/>
    <xf numFmtId="4" fontId="0" fillId="0" borderId="7" xfId="0" applyNumberFormat="1" applyBorder="1"/>
    <xf numFmtId="0" fontId="0" fillId="0" borderId="7" xfId="0" applyBorder="1"/>
    <xf numFmtId="4" fontId="0" fillId="0" borderId="16" xfId="0" applyNumberFormat="1" applyBorder="1"/>
    <xf numFmtId="0" fontId="0" fillId="0" borderId="16" xfId="0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44" fontId="4" fillId="0" borderId="0" xfId="1" applyFont="1" applyFill="1"/>
    <xf numFmtId="166" fontId="4" fillId="0" borderId="0" xfId="1" applyNumberFormat="1" applyFont="1" applyFill="1"/>
    <xf numFmtId="14" fontId="4" fillId="0" borderId="0" xfId="1" applyNumberFormat="1" applyFont="1" applyFill="1"/>
    <xf numFmtId="167" fontId="4" fillId="0" borderId="0" xfId="1" applyNumberFormat="1" applyFont="1" applyFill="1"/>
    <xf numFmtId="4" fontId="5" fillId="0" borderId="0" xfId="0" applyNumberFormat="1" applyFont="1" applyFill="1"/>
    <xf numFmtId="44" fontId="5" fillId="0" borderId="0" xfId="1" applyFont="1" applyFill="1"/>
    <xf numFmtId="44" fontId="10" fillId="0" borderId="0" xfId="1" applyFont="1" applyFill="1"/>
    <xf numFmtId="168" fontId="4" fillId="0" borderId="0" xfId="1" applyNumberFormat="1" applyFont="1" applyFill="1"/>
    <xf numFmtId="166" fontId="5" fillId="0" borderId="0" xfId="1" applyNumberFormat="1" applyFont="1" applyFill="1"/>
    <xf numFmtId="0" fontId="0" fillId="0" borderId="1" xfId="0" applyFont="1" applyFill="1" applyBorder="1"/>
    <xf numFmtId="0" fontId="11" fillId="0" borderId="0" xfId="0" applyFont="1"/>
    <xf numFmtId="0" fontId="0" fillId="0" borderId="0" xfId="0" applyFont="1" applyFill="1"/>
    <xf numFmtId="4" fontId="0" fillId="0" borderId="0" xfId="0" applyNumberFormat="1" applyFont="1" applyFill="1"/>
    <xf numFmtId="44" fontId="1" fillId="0" borderId="0" xfId="1" applyFont="1" applyFill="1"/>
    <xf numFmtId="166" fontId="1" fillId="0" borderId="0" xfId="1" applyNumberFormat="1" applyFont="1" applyFill="1"/>
    <xf numFmtId="14" fontId="1" fillId="0" borderId="0" xfId="1" applyNumberFormat="1" applyFont="1" applyFill="1"/>
    <xf numFmtId="8" fontId="5" fillId="0" borderId="0" xfId="1" applyNumberFormat="1" applyFont="1" applyFill="1"/>
    <xf numFmtId="44" fontId="5" fillId="0" borderId="0" xfId="0" applyNumberFormat="1" applyFont="1" applyFill="1"/>
    <xf numFmtId="0" fontId="0" fillId="0" borderId="0" xfId="0" applyFont="1"/>
    <xf numFmtId="0" fontId="0" fillId="0" borderId="2" xfId="0" applyFont="1" applyBorder="1"/>
    <xf numFmtId="0" fontId="0" fillId="0" borderId="2" xfId="0" applyFont="1" applyFill="1" applyBorder="1"/>
    <xf numFmtId="4" fontId="0" fillId="0" borderId="2" xfId="0" applyNumberFormat="1" applyFont="1" applyFill="1" applyBorder="1"/>
    <xf numFmtId="3" fontId="0" fillId="0" borderId="2" xfId="0" applyNumberFormat="1" applyFont="1" applyFill="1" applyBorder="1"/>
    <xf numFmtId="15" fontId="0" fillId="0" borderId="2" xfId="0" applyNumberFormat="1" applyFont="1" applyFill="1" applyBorder="1"/>
    <xf numFmtId="164" fontId="0" fillId="0" borderId="2" xfId="0" applyNumberFormat="1" applyFont="1" applyFill="1" applyBorder="1"/>
    <xf numFmtId="165" fontId="0" fillId="0" borderId="2" xfId="0" applyNumberFormat="1" applyFont="1" applyFill="1" applyBorder="1"/>
    <xf numFmtId="0" fontId="0" fillId="0" borderId="3" xfId="0" applyFont="1" applyFill="1" applyBorder="1"/>
    <xf numFmtId="4" fontId="0" fillId="0" borderId="0" xfId="0" applyNumberFormat="1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4" fontId="0" fillId="0" borderId="4" xfId="0" applyNumberFormat="1" applyFont="1" applyFill="1" applyBorder="1"/>
    <xf numFmtId="4" fontId="12" fillId="0" borderId="0" xfId="0" applyNumberFormat="1" applyFont="1" applyFill="1" applyBorder="1"/>
    <xf numFmtId="0" fontId="12" fillId="0" borderId="0" xfId="0" applyFont="1" applyFill="1" applyBorder="1"/>
    <xf numFmtId="0" fontId="0" fillId="2" borderId="0" xfId="0" applyFont="1" applyFill="1" applyBorder="1"/>
    <xf numFmtId="165" fontId="12" fillId="0" borderId="0" xfId="0" applyNumberFormat="1" applyFont="1" applyFill="1" applyBorder="1"/>
    <xf numFmtId="164" fontId="12" fillId="0" borderId="0" xfId="0" applyNumberFormat="1" applyFont="1" applyFill="1" applyBorder="1"/>
    <xf numFmtId="0" fontId="0" fillId="0" borderId="6" xfId="0" applyFont="1" applyFill="1" applyBorder="1"/>
    <xf numFmtId="14" fontId="0" fillId="0" borderId="5" xfId="0" applyNumberFormat="1" applyFont="1" applyFill="1" applyBorder="1"/>
    <xf numFmtId="0" fontId="0" fillId="0" borderId="19" xfId="0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5" fontId="12" fillId="0" borderId="1" xfId="0" applyNumberFormat="1" applyFont="1" applyFill="1" applyBorder="1"/>
    <xf numFmtId="14" fontId="0" fillId="0" borderId="20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11" fillId="0" borderId="0" xfId="0" applyFont="1" applyFill="1"/>
    <xf numFmtId="164" fontId="11" fillId="0" borderId="0" xfId="0" applyNumberFormat="1" applyFont="1" applyFill="1"/>
    <xf numFmtId="14" fontId="13" fillId="0" borderId="0" xfId="0" applyNumberFormat="1" applyFont="1"/>
    <xf numFmtId="164" fontId="13" fillId="0" borderId="0" xfId="0" applyNumberFormat="1" applyFont="1"/>
    <xf numFmtId="0" fontId="14" fillId="0" borderId="0" xfId="0" applyFont="1" applyFill="1"/>
    <xf numFmtId="44" fontId="14" fillId="0" borderId="0" xfId="1" applyFont="1"/>
    <xf numFmtId="44" fontId="4" fillId="2" borderId="0" xfId="1" applyFont="1" applyFill="1"/>
    <xf numFmtId="44" fontId="14" fillId="2" borderId="0" xfId="1" applyFont="1" applyFill="1"/>
    <xf numFmtId="14" fontId="14" fillId="2" borderId="0" xfId="1" applyNumberFormat="1" applyFont="1" applyFill="1"/>
    <xf numFmtId="0" fontId="14" fillId="4" borderId="0" xfId="0" applyFont="1" applyFill="1"/>
    <xf numFmtId="44" fontId="14" fillId="0" borderId="0" xfId="1" applyFont="1" applyFill="1"/>
    <xf numFmtId="167" fontId="14" fillId="2" borderId="0" xfId="1" applyNumberFormat="1" applyFont="1" applyFill="1"/>
    <xf numFmtId="0" fontId="14" fillId="0" borderId="0" xfId="0" applyFont="1"/>
    <xf numFmtId="0" fontId="14" fillId="2" borderId="0" xfId="0" applyFont="1" applyFill="1"/>
    <xf numFmtId="44" fontId="13" fillId="0" borderId="0" xfId="1" applyFont="1"/>
    <xf numFmtId="166" fontId="0" fillId="0" borderId="0" xfId="1" applyNumberFormat="1" applyFont="1"/>
    <xf numFmtId="4" fontId="0" fillId="0" borderId="0" xfId="0" applyNumberFormat="1" applyFill="1"/>
    <xf numFmtId="44" fontId="0" fillId="0" borderId="0" xfId="1" applyFont="1" applyFill="1"/>
    <xf numFmtId="44" fontId="13" fillId="0" borderId="0" xfId="1" applyFont="1" applyFill="1"/>
    <xf numFmtId="44" fontId="2" fillId="0" borderId="0" xfId="1" applyFont="1" applyFill="1"/>
    <xf numFmtId="4" fontId="2" fillId="0" borderId="0" xfId="0" applyNumberFormat="1" applyFont="1" applyFill="1"/>
    <xf numFmtId="14" fontId="14" fillId="0" borderId="0" xfId="1" applyNumberFormat="1" applyFont="1" applyFill="1"/>
    <xf numFmtId="44" fontId="14" fillId="5" borderId="0" xfId="1" applyFont="1" applyFill="1"/>
    <xf numFmtId="14" fontId="14" fillId="5" borderId="0" xfId="1" applyNumberFormat="1" applyFont="1" applyFill="1"/>
    <xf numFmtId="44" fontId="4" fillId="5" borderId="0" xfId="1" applyFont="1" applyFill="1"/>
    <xf numFmtId="0" fontId="14" fillId="5" borderId="0" xfId="0" applyFont="1" applyFill="1"/>
    <xf numFmtId="0" fontId="14" fillId="3" borderId="0" xfId="0" applyFont="1" applyFill="1"/>
    <xf numFmtId="167" fontId="14" fillId="0" borderId="0" xfId="1" applyNumberFormat="1" applyFont="1" applyFill="1"/>
    <xf numFmtId="0" fontId="15" fillId="0" borderId="0" xfId="0" applyFont="1"/>
    <xf numFmtId="17" fontId="15" fillId="0" borderId="0" xfId="0" quotePrefix="1" applyNumberFormat="1" applyFont="1"/>
    <xf numFmtId="2" fontId="0" fillId="0" borderId="1" xfId="0" applyNumberFormat="1" applyFont="1" applyFill="1" applyBorder="1"/>
    <xf numFmtId="44" fontId="13" fillId="0" borderId="0" xfId="1" applyFont="1" applyBorder="1" applyAlignment="1">
      <alignment horizontal="right"/>
    </xf>
    <xf numFmtId="44" fontId="13" fillId="0" borderId="12" xfId="1" applyFont="1" applyBorder="1"/>
    <xf numFmtId="0" fontId="0" fillId="6" borderId="17" xfId="0" applyFont="1" applyFill="1" applyBorder="1" applyAlignment="1">
      <alignment textRotation="255"/>
    </xf>
    <xf numFmtId="0" fontId="14" fillId="0" borderId="0" xfId="0" quotePrefix="1" applyFont="1"/>
    <xf numFmtId="4" fontId="0" fillId="0" borderId="1" xfId="0" applyNumberFormat="1" applyFont="1" applyFill="1" applyBorder="1"/>
    <xf numFmtId="169" fontId="0" fillId="0" borderId="0" xfId="0" applyNumberFormat="1" applyFont="1" applyFill="1" applyBorder="1"/>
    <xf numFmtId="0" fontId="0" fillId="3" borderId="18" xfId="0" applyFont="1" applyFill="1" applyBorder="1" applyAlignment="1">
      <alignment textRotation="255"/>
    </xf>
    <xf numFmtId="0" fontId="0" fillId="3" borderId="17" xfId="0" applyFont="1" applyFill="1" applyBorder="1" applyAlignment="1">
      <alignment textRotation="255"/>
    </xf>
    <xf numFmtId="0" fontId="12" fillId="4" borderId="0" xfId="0" applyFont="1" applyFill="1" applyBorder="1"/>
    <xf numFmtId="0" fontId="0" fillId="7" borderId="18" xfId="0" applyFont="1" applyFill="1" applyBorder="1" applyAlignment="1">
      <alignment textRotation="255"/>
    </xf>
    <xf numFmtId="0" fontId="0" fillId="7" borderId="17" xfId="0" applyFont="1" applyFill="1" applyBorder="1" applyAlignment="1">
      <alignment textRotation="255"/>
    </xf>
    <xf numFmtId="4" fontId="16" fillId="0" borderId="0" xfId="0" applyNumberFormat="1" applyFont="1" applyFill="1" applyBorder="1"/>
    <xf numFmtId="0" fontId="0" fillId="5" borderId="18" xfId="0" applyFont="1" applyFill="1" applyBorder="1" applyAlignment="1">
      <alignment textRotation="255"/>
    </xf>
    <xf numFmtId="0" fontId="0" fillId="5" borderId="17" xfId="0" applyFont="1" applyFill="1" applyBorder="1" applyAlignment="1">
      <alignment textRotation="255"/>
    </xf>
    <xf numFmtId="0" fontId="0" fillId="8" borderId="0" xfId="0" applyFont="1" applyFill="1" applyBorder="1"/>
    <xf numFmtId="164" fontId="16" fillId="0" borderId="0" xfId="0" applyNumberFormat="1" applyFont="1" applyFill="1" applyBorder="1"/>
    <xf numFmtId="169" fontId="16" fillId="0" borderId="0" xfId="0" applyNumberFormat="1" applyFont="1" applyFill="1" applyBorder="1"/>
    <xf numFmtId="0" fontId="16" fillId="0" borderId="0" xfId="0" applyFont="1" applyFill="1"/>
    <xf numFmtId="0" fontId="0" fillId="9" borderId="18" xfId="0" applyFont="1" applyFill="1" applyBorder="1" applyAlignment="1">
      <alignment textRotation="255"/>
    </xf>
    <xf numFmtId="0" fontId="0" fillId="9" borderId="17" xfId="0" applyFont="1" applyFill="1" applyBorder="1" applyAlignment="1">
      <alignment textRotation="255"/>
    </xf>
    <xf numFmtId="0" fontId="0" fillId="4" borderId="0" xfId="0" applyFont="1" applyFill="1" applyBorder="1"/>
    <xf numFmtId="164" fontId="0" fillId="4" borderId="2" xfId="0" applyNumberFormat="1" applyFont="1" applyFill="1" applyBorder="1"/>
    <xf numFmtId="0" fontId="12" fillId="10" borderId="0" xfId="0" applyFont="1" applyFill="1" applyBorder="1"/>
    <xf numFmtId="0" fontId="0" fillId="10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38097</xdr:colOff>
      <xdr:row>0</xdr:row>
      <xdr:rowOff>19050</xdr:rowOff>
    </xdr:from>
    <xdr:to>
      <xdr:col>0</xdr:col>
      <xdr:colOff>1019175</xdr:colOff>
      <xdr:row>6</xdr:row>
      <xdr:rowOff>66675</xdr:rowOff>
    </xdr:to>
    <xdr:pic>
      <xdr:nvPicPr>
        <xdr:cNvPr id="4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7" y="19050"/>
          <a:ext cx="981078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38097</xdr:colOff>
      <xdr:row>0</xdr:row>
      <xdr:rowOff>19050</xdr:rowOff>
    </xdr:from>
    <xdr:to>
      <xdr:col>0</xdr:col>
      <xdr:colOff>1181100</xdr:colOff>
      <xdr:row>6</xdr:row>
      <xdr:rowOff>66675</xdr:rowOff>
    </xdr:to>
    <xdr:pic>
      <xdr:nvPicPr>
        <xdr:cNvPr id="3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7" y="19050"/>
          <a:ext cx="1143003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4"/>
  <sheetViews>
    <sheetView topLeftCell="A2" zoomScale="78" zoomScaleNormal="78" workbookViewId="0">
      <selection activeCell="A2" sqref="A1:XFD1048576"/>
    </sheetView>
  </sheetViews>
  <sheetFormatPr baseColWidth="10" defaultRowHeight="15"/>
  <cols>
    <col min="1" max="1" width="3.85546875" style="74" customWidth="1"/>
    <col min="2" max="2" width="6.28515625" style="74" customWidth="1"/>
    <col min="3" max="3" width="19.42578125" style="74" customWidth="1"/>
    <col min="4" max="4" width="28.7109375" style="74" customWidth="1"/>
    <col min="5" max="5" width="18.42578125" style="74" customWidth="1"/>
    <col min="6" max="6" width="22.28515625" style="74" customWidth="1"/>
    <col min="7" max="7" width="13.7109375" style="74" customWidth="1"/>
    <col min="8" max="8" width="14.28515625" style="74" customWidth="1"/>
    <col min="9" max="9" width="12.5703125" style="74" customWidth="1"/>
    <col min="10" max="10" width="21.85546875" style="74" customWidth="1"/>
    <col min="11" max="11" width="11.42578125" style="74"/>
    <col min="12" max="12" width="23.140625" style="74" customWidth="1"/>
    <col min="13" max="16384" width="11.42578125" style="74"/>
  </cols>
  <sheetData>
    <row r="1" spans="1:30">
      <c r="A1" s="12"/>
      <c r="D1" s="75"/>
      <c r="E1" s="76"/>
      <c r="F1" s="76"/>
    </row>
    <row r="2" spans="1:30">
      <c r="A2" s="12"/>
      <c r="D2" s="75"/>
      <c r="E2" s="76"/>
      <c r="F2" s="76"/>
      <c r="O2" s="76"/>
      <c r="P2" s="76"/>
      <c r="Q2" s="76"/>
      <c r="AC2" s="76"/>
      <c r="AD2" s="76"/>
    </row>
    <row r="3" spans="1:30" customFormat="1">
      <c r="A3" s="138"/>
    </row>
    <row r="4" spans="1:30" customFormat="1"/>
    <row r="5" spans="1:30" s="114" customFormat="1" ht="12.75">
      <c r="C5" s="120"/>
      <c r="G5" s="137"/>
      <c r="I5" s="131"/>
    </row>
    <row r="6" spans="1:30" s="122" customFormat="1" ht="12.75">
      <c r="A6" s="119"/>
      <c r="C6" s="115"/>
      <c r="G6" s="115"/>
      <c r="I6" s="115"/>
    </row>
    <row r="7" spans="1:30" s="122" customFormat="1" ht="12.75">
      <c r="A7" s="119"/>
      <c r="C7" s="115"/>
      <c r="G7" s="115"/>
      <c r="I7" s="115"/>
    </row>
    <row r="8" spans="1:30" s="122" customFormat="1" ht="12.75">
      <c r="C8" s="117"/>
      <c r="D8" s="123"/>
      <c r="E8" s="123"/>
      <c r="F8" s="123"/>
      <c r="G8" s="118"/>
      <c r="H8" s="116"/>
      <c r="I8" s="115"/>
    </row>
    <row r="9" spans="1:30" s="122" customFormat="1" ht="12.75">
      <c r="B9" s="114"/>
      <c r="C9" s="117"/>
      <c r="D9" s="123"/>
      <c r="E9" s="123"/>
      <c r="F9" s="123"/>
      <c r="G9" s="121"/>
      <c r="H9" s="123"/>
      <c r="I9" s="118"/>
      <c r="J9" s="116"/>
    </row>
    <row r="10" spans="1:30" s="122" customFormat="1" ht="12.75">
      <c r="B10" s="114"/>
      <c r="C10" s="117"/>
      <c r="D10" s="123"/>
      <c r="E10" s="123"/>
      <c r="F10" s="123"/>
      <c r="G10" s="118"/>
      <c r="H10" s="116"/>
      <c r="I10" s="115"/>
    </row>
    <row r="11" spans="1:30" s="122" customFormat="1" ht="12.75">
      <c r="B11" s="114"/>
      <c r="C11" s="115"/>
      <c r="G11" s="115"/>
      <c r="I11" s="115"/>
    </row>
    <row r="12" spans="1:30" s="122" customFormat="1" ht="12.75">
      <c r="B12" s="114"/>
      <c r="C12" s="115"/>
      <c r="G12" s="115"/>
      <c r="I12" s="115"/>
    </row>
    <row r="13" spans="1:30" s="122" customFormat="1" ht="12.75">
      <c r="B13" s="114"/>
      <c r="C13" s="115"/>
      <c r="G13" s="115"/>
      <c r="I13" s="115"/>
    </row>
    <row r="14" spans="1:30" s="122" customFormat="1" ht="12.75">
      <c r="B14" s="114"/>
      <c r="C14" s="117"/>
      <c r="D14" s="123"/>
      <c r="E14" s="123"/>
      <c r="F14" s="123"/>
      <c r="G14" s="121"/>
      <c r="H14" s="123"/>
      <c r="I14" s="118"/>
      <c r="J14" s="116"/>
    </row>
    <row r="15" spans="1:30" s="122" customFormat="1" ht="12.75">
      <c r="B15" s="114"/>
      <c r="C15" s="117"/>
      <c r="D15" s="123"/>
      <c r="E15" s="123"/>
      <c r="F15" s="123"/>
      <c r="G15" s="121"/>
      <c r="H15" s="123"/>
      <c r="I15" s="118"/>
      <c r="J15" s="116"/>
    </row>
    <row r="16" spans="1:30" s="114" customFormat="1" ht="12.75">
      <c r="C16" s="117"/>
      <c r="D16" s="123"/>
      <c r="E16" s="123"/>
      <c r="F16" s="123"/>
      <c r="G16" s="118"/>
      <c r="H16" s="116"/>
      <c r="I16" s="131"/>
      <c r="J16" s="63"/>
    </row>
    <row r="17" spans="1:12" s="114" customFormat="1" ht="12.75">
      <c r="C17" s="120"/>
      <c r="G17" s="137"/>
      <c r="I17" s="131"/>
      <c r="J17" s="63"/>
    </row>
    <row r="18" spans="1:12" s="122" customFormat="1" ht="12.75">
      <c r="B18" s="114"/>
      <c r="C18" s="117"/>
      <c r="D18" s="123"/>
      <c r="E18" s="123"/>
      <c r="F18" s="123"/>
      <c r="G18" s="121"/>
      <c r="H18" s="123"/>
      <c r="I18" s="118"/>
      <c r="J18" s="123"/>
    </row>
    <row r="19" spans="1:12" s="122" customFormat="1" ht="12.75">
      <c r="B19" s="114"/>
      <c r="C19" s="132"/>
      <c r="D19" s="123"/>
      <c r="E19" s="123"/>
      <c r="F19" s="135"/>
      <c r="G19" s="121"/>
      <c r="H19" s="123"/>
      <c r="I19" s="118"/>
      <c r="J19" s="116"/>
      <c r="K19" s="123"/>
      <c r="L19" s="123"/>
    </row>
    <row r="20" spans="1:12" s="122" customFormat="1" ht="12.75">
      <c r="B20" s="114"/>
      <c r="C20" s="132"/>
      <c r="D20" s="123"/>
      <c r="E20" s="123"/>
      <c r="F20" s="135"/>
      <c r="G20" s="121"/>
      <c r="H20" s="123"/>
      <c r="I20" s="118"/>
      <c r="J20" s="116"/>
      <c r="K20" s="136"/>
      <c r="L20" s="136"/>
    </row>
    <row r="21" spans="1:12" s="122" customFormat="1" ht="12.75">
      <c r="B21" s="114"/>
      <c r="C21" s="115"/>
      <c r="G21" s="137"/>
      <c r="I21" s="115"/>
    </row>
    <row r="22" spans="1:12" s="122" customFormat="1" ht="12.75">
      <c r="B22" s="114"/>
      <c r="C22" s="117"/>
      <c r="D22" s="123"/>
      <c r="E22" s="123"/>
      <c r="F22" s="123"/>
      <c r="G22" s="117"/>
      <c r="H22" s="123"/>
      <c r="I22" s="118"/>
      <c r="J22" s="116"/>
      <c r="K22" s="136"/>
      <c r="L22" s="136"/>
    </row>
    <row r="23" spans="1:12" s="122" customFormat="1" ht="12.75">
      <c r="B23" s="114"/>
      <c r="C23" s="117"/>
      <c r="D23" s="123"/>
      <c r="E23" s="123"/>
      <c r="F23" s="123"/>
      <c r="G23" s="118"/>
      <c r="H23" s="116"/>
      <c r="I23" s="115"/>
      <c r="K23" s="114"/>
      <c r="L23" s="114"/>
    </row>
    <row r="24" spans="1:12" s="122" customFormat="1" ht="12.75">
      <c r="C24" s="115"/>
      <c r="G24" s="115"/>
      <c r="I24" s="115"/>
      <c r="K24" s="114"/>
      <c r="L24" s="114"/>
    </row>
    <row r="25" spans="1:12" s="122" customFormat="1" ht="12.75">
      <c r="C25" s="115"/>
      <c r="E25" s="114"/>
      <c r="F25" s="114"/>
      <c r="G25" s="115"/>
      <c r="I25" s="115"/>
    </row>
    <row r="26" spans="1:12" s="122" customFormat="1" ht="12.75">
      <c r="C26" s="115"/>
      <c r="E26" s="114"/>
      <c r="F26" s="114"/>
      <c r="G26" s="115"/>
      <c r="I26" s="115"/>
    </row>
    <row r="27" spans="1:12" s="122" customFormat="1" ht="12.75">
      <c r="A27" s="119"/>
      <c r="C27" s="115"/>
      <c r="G27" s="115"/>
      <c r="I27" s="115"/>
    </row>
    <row r="28" spans="1:12" s="122" customFormat="1" ht="12.75">
      <c r="A28" s="119"/>
      <c r="C28" s="115"/>
      <c r="G28" s="115"/>
      <c r="I28" s="115"/>
    </row>
    <row r="29" spans="1:12" s="122" customFormat="1" ht="12.75">
      <c r="A29" s="144"/>
      <c r="C29" s="115"/>
      <c r="G29" s="115"/>
      <c r="I29" s="115"/>
    </row>
    <row r="30" spans="1:12" s="122" customFormat="1" ht="12.75">
      <c r="A30" s="144"/>
      <c r="B30" s="114"/>
      <c r="C30" s="115"/>
      <c r="G30" s="115"/>
      <c r="I30" s="115"/>
    </row>
    <row r="31" spans="1:12" s="122" customFormat="1" ht="12.75">
      <c r="A31" s="144"/>
      <c r="C31" s="115"/>
      <c r="E31" s="114"/>
      <c r="F31" s="114"/>
      <c r="G31" s="115"/>
      <c r="I31" s="115"/>
    </row>
    <row r="32" spans="1:12" s="122" customFormat="1" ht="12.75">
      <c r="A32" s="144"/>
      <c r="C32" s="115"/>
      <c r="E32" s="114"/>
      <c r="F32" s="114"/>
      <c r="G32" s="115"/>
      <c r="I32" s="115"/>
    </row>
    <row r="33" spans="1:10" s="122" customFormat="1" ht="12.75">
      <c r="A33" s="144"/>
      <c r="C33" s="115"/>
      <c r="E33" s="114"/>
      <c r="F33" s="114"/>
      <c r="G33" s="115"/>
      <c r="I33" s="115"/>
    </row>
    <row r="34" spans="1:10" s="122" customFormat="1" ht="12.75">
      <c r="C34" s="115"/>
      <c r="G34" s="115"/>
      <c r="I34" s="115"/>
    </row>
    <row r="35" spans="1:10" s="122" customFormat="1" ht="12.75">
      <c r="C35" s="115"/>
      <c r="E35" s="114"/>
      <c r="G35" s="115"/>
      <c r="I35" s="115"/>
    </row>
    <row r="36" spans="1:10" s="122" customFormat="1" ht="12.75">
      <c r="C36" s="115"/>
      <c r="E36" s="114"/>
      <c r="G36" s="115"/>
      <c r="I36" s="115"/>
    </row>
    <row r="37" spans="1:10" s="122" customFormat="1" ht="12.75">
      <c r="C37" s="132"/>
      <c r="D37" s="135"/>
      <c r="E37" s="135"/>
      <c r="F37" s="135"/>
      <c r="G37" s="132"/>
      <c r="H37" s="135"/>
      <c r="I37" s="133"/>
      <c r="J37" s="134"/>
    </row>
    <row r="38" spans="1:10" s="114" customFormat="1" ht="12.75">
      <c r="C38" s="120"/>
      <c r="G38" s="120"/>
      <c r="I38" s="131"/>
      <c r="J38" s="63"/>
    </row>
    <row r="39" spans="1:10" s="114" customFormat="1" ht="12.75">
      <c r="C39" s="120"/>
      <c r="G39" s="120"/>
      <c r="I39" s="131"/>
      <c r="J39" s="63"/>
    </row>
    <row r="40" spans="1:10" s="122" customFormat="1" ht="12.75">
      <c r="C40" s="115"/>
      <c r="G40" s="115"/>
      <c r="I40" s="115"/>
    </row>
    <row r="41" spans="1:10" s="122" customFormat="1" ht="12.75">
      <c r="C41" s="115"/>
      <c r="G41" s="115"/>
      <c r="I41" s="115"/>
    </row>
    <row r="42" spans="1:10" s="114" customFormat="1" ht="12.75">
      <c r="C42" s="120"/>
      <c r="G42" s="120"/>
      <c r="I42" s="120"/>
    </row>
    <row r="43" spans="1:10" s="122" customFormat="1" ht="12.75">
      <c r="A43" s="119"/>
      <c r="C43" s="115"/>
      <c r="G43" s="115"/>
      <c r="I43" s="115"/>
    </row>
    <row r="44" spans="1:10" s="122" customFormat="1" ht="12.75">
      <c r="A44" s="119"/>
      <c r="C44" s="115"/>
      <c r="G44" s="115"/>
      <c r="I44" s="115"/>
    </row>
    <row r="45" spans="1:10" s="122" customFormat="1" ht="12.75">
      <c r="C45" s="115"/>
      <c r="E45" s="114"/>
      <c r="G45" s="115"/>
      <c r="I45" s="115"/>
    </row>
    <row r="46" spans="1:10" s="122" customFormat="1" ht="12.75">
      <c r="C46" s="115"/>
      <c r="G46" s="115"/>
      <c r="I46" s="115"/>
    </row>
    <row r="47" spans="1:10" s="122" customFormat="1" ht="12.75">
      <c r="C47" s="115"/>
      <c r="G47" s="115"/>
      <c r="I47" s="115"/>
    </row>
    <row r="48" spans="1:10" s="122" customFormat="1" ht="12.75">
      <c r="C48" s="115"/>
      <c r="G48" s="115"/>
      <c r="I48" s="115"/>
    </row>
    <row r="49" spans="3:5" customFormat="1"/>
    <row r="50" spans="3:5" customFormat="1"/>
    <row r="51" spans="3:5" customFormat="1" ht="15.75">
      <c r="C51" s="124"/>
      <c r="D51" s="124"/>
      <c r="E51" s="125"/>
    </row>
    <row r="52" spans="3:5" customFormat="1">
      <c r="C52" s="108"/>
      <c r="D52" s="126"/>
      <c r="E52" s="127"/>
    </row>
    <row r="53" spans="3:5" customFormat="1" ht="15.75">
      <c r="C53" s="108"/>
      <c r="D53" s="124"/>
      <c r="E53" s="68"/>
    </row>
    <row r="54" spans="3:5" customFormat="1" ht="15.75">
      <c r="C54" s="108"/>
      <c r="D54" s="128"/>
      <c r="E54" s="128"/>
    </row>
    <row r="55" spans="3:5" customFormat="1" ht="15.75">
      <c r="C55" s="122"/>
      <c r="D55" s="128"/>
      <c r="E55" s="128"/>
    </row>
    <row r="56" spans="3:5" customFormat="1" ht="15.75">
      <c r="D56" s="128"/>
      <c r="E56" s="128"/>
    </row>
    <row r="57" spans="3:5" customFormat="1" ht="15.75">
      <c r="D57" s="128"/>
      <c r="E57" s="128"/>
    </row>
    <row r="58" spans="3:5" customFormat="1" ht="15.75">
      <c r="D58" s="128"/>
      <c r="E58" s="128"/>
    </row>
    <row r="59" spans="3:5" customFormat="1" ht="15.75">
      <c r="C59" s="108"/>
      <c r="D59" s="128"/>
      <c r="E59" s="128"/>
    </row>
    <row r="60" spans="3:5" customFormat="1" ht="15.75">
      <c r="C60" s="108"/>
      <c r="D60" s="128"/>
      <c r="E60" s="128"/>
    </row>
    <row r="61" spans="3:5" customFormat="1" ht="15.75">
      <c r="C61" s="108"/>
      <c r="D61" s="128"/>
      <c r="E61" s="128"/>
    </row>
    <row r="62" spans="3:5" customFormat="1">
      <c r="C62" s="108"/>
      <c r="D62" s="126"/>
      <c r="E62" s="127"/>
    </row>
    <row r="63" spans="3:5" customFormat="1">
      <c r="C63" s="129"/>
      <c r="D63" s="130"/>
      <c r="E63" s="127"/>
    </row>
    <row r="64" spans="3:5" customFormat="1">
      <c r="E64" s="127"/>
    </row>
    <row r="65" spans="1:9" customFormat="1">
      <c r="C65" s="129"/>
      <c r="D65" s="130"/>
    </row>
    <row r="66" spans="1:9" customFormat="1">
      <c r="C66" s="3"/>
    </row>
    <row r="67" spans="1:9" customFormat="1">
      <c r="C67" s="3"/>
    </row>
    <row r="68" spans="1:9" customFormat="1">
      <c r="C68" s="129"/>
      <c r="D68" s="130"/>
    </row>
    <row r="69" spans="1:9" customFormat="1">
      <c r="C69" s="129"/>
      <c r="D69" s="130"/>
    </row>
    <row r="70" spans="1:9">
      <c r="A70" s="12"/>
      <c r="C70" s="63"/>
      <c r="D70" s="63"/>
      <c r="E70" s="64"/>
      <c r="F70" s="63"/>
      <c r="G70" s="65"/>
      <c r="H70" s="63"/>
      <c r="I70" s="76"/>
    </row>
    <row r="71" spans="1:9">
      <c r="A71" s="12"/>
      <c r="C71" s="63"/>
      <c r="D71" s="63"/>
      <c r="E71" s="64"/>
      <c r="F71" s="63"/>
      <c r="G71" s="65"/>
      <c r="H71" s="63"/>
      <c r="I71" s="76"/>
    </row>
    <row r="72" spans="1:9">
      <c r="A72" s="12"/>
      <c r="C72" s="63"/>
      <c r="D72" s="63"/>
      <c r="E72" s="64"/>
      <c r="F72" s="63"/>
      <c r="G72" s="66"/>
      <c r="H72" s="65"/>
      <c r="I72" s="63"/>
    </row>
    <row r="73" spans="1:9">
      <c r="A73" s="12"/>
      <c r="C73" s="63"/>
      <c r="D73" s="63"/>
      <c r="E73" s="64"/>
      <c r="F73" s="63"/>
      <c r="G73" s="66"/>
      <c r="H73" s="65"/>
      <c r="I73" s="63"/>
    </row>
    <row r="74" spans="1:9">
      <c r="C74" s="63"/>
      <c r="D74" s="63"/>
      <c r="E74" s="64"/>
      <c r="F74" s="63"/>
      <c r="G74" s="63"/>
      <c r="H74" s="65"/>
      <c r="I74" s="63"/>
    </row>
    <row r="75" spans="1:9">
      <c r="A75" s="12"/>
      <c r="C75" s="63"/>
      <c r="D75" s="63"/>
      <c r="E75" s="64"/>
      <c r="F75" s="63"/>
      <c r="G75" s="66"/>
      <c r="H75" s="65"/>
      <c r="I75" s="63"/>
    </row>
    <row r="76" spans="1:9">
      <c r="A76" s="12"/>
      <c r="C76" s="63"/>
      <c r="D76" s="63"/>
      <c r="E76" s="77"/>
      <c r="F76" s="76"/>
      <c r="G76" s="76"/>
      <c r="H76" s="76"/>
      <c r="I76" s="76"/>
    </row>
    <row r="77" spans="1:9">
      <c r="A77" s="12"/>
      <c r="C77" s="63"/>
      <c r="D77" s="63"/>
      <c r="E77" s="77"/>
      <c r="F77" s="76"/>
      <c r="G77" s="76"/>
      <c r="H77" s="76"/>
      <c r="I77" s="76"/>
    </row>
    <row r="78" spans="1:9">
      <c r="C78" s="63"/>
      <c r="D78" s="63"/>
      <c r="E78" s="77"/>
      <c r="F78" s="76"/>
      <c r="G78" s="76"/>
      <c r="H78" s="76"/>
      <c r="I78" s="76"/>
    </row>
    <row r="79" spans="1:9">
      <c r="C79" s="63"/>
      <c r="D79" s="63"/>
      <c r="E79" s="77"/>
      <c r="F79" s="76"/>
      <c r="G79" s="70"/>
      <c r="H79" s="78"/>
      <c r="I79" s="76"/>
    </row>
    <row r="80" spans="1:9">
      <c r="C80" s="63"/>
      <c r="D80" s="63"/>
      <c r="E80" s="77"/>
      <c r="F80" s="76"/>
      <c r="G80" s="70"/>
      <c r="H80" s="78"/>
      <c r="I80" s="76"/>
    </row>
    <row r="81" spans="3:9">
      <c r="C81" s="63"/>
      <c r="D81" s="69"/>
      <c r="E81" s="64"/>
      <c r="F81" s="63"/>
      <c r="G81" s="70"/>
      <c r="H81" s="76"/>
      <c r="I81" s="76"/>
    </row>
    <row r="82" spans="3:9">
      <c r="C82" s="63"/>
      <c r="D82" s="69"/>
      <c r="E82" s="64"/>
      <c r="F82" s="63"/>
      <c r="G82" s="63"/>
      <c r="H82" s="76"/>
      <c r="I82" s="76"/>
    </row>
    <row r="83" spans="3:9">
      <c r="C83" s="63"/>
      <c r="D83" s="63"/>
      <c r="E83" s="77"/>
      <c r="F83" s="76"/>
      <c r="G83" s="76"/>
      <c r="H83" s="76"/>
      <c r="I83" s="76"/>
    </row>
    <row r="84" spans="3:9">
      <c r="C84" s="76"/>
      <c r="D84" s="76"/>
      <c r="E84" s="77"/>
      <c r="F84" s="76"/>
      <c r="G84" s="76"/>
      <c r="H84" s="76"/>
      <c r="I84" s="76"/>
    </row>
    <row r="85" spans="3:9">
      <c r="C85" s="76"/>
      <c r="D85" s="63"/>
      <c r="E85" s="64"/>
      <c r="F85" s="63"/>
      <c r="G85" s="76"/>
      <c r="H85" s="76"/>
      <c r="I85" s="76"/>
    </row>
    <row r="86" spans="3:9">
      <c r="C86" s="76"/>
      <c r="D86" s="76"/>
      <c r="E86" s="77"/>
      <c r="F86" s="76"/>
      <c r="G86" s="76"/>
      <c r="H86" s="76"/>
      <c r="I86" s="76"/>
    </row>
    <row r="87" spans="3:9">
      <c r="C87" s="76"/>
      <c r="D87" s="63"/>
      <c r="E87" s="64"/>
      <c r="F87" s="63"/>
      <c r="G87" s="76"/>
      <c r="H87" s="76"/>
      <c r="I87" s="76"/>
    </row>
    <row r="88" spans="3:9">
      <c r="C88" s="76"/>
      <c r="D88" s="76"/>
      <c r="E88" s="77"/>
      <c r="F88" s="76"/>
      <c r="G88" s="76"/>
      <c r="H88" s="76"/>
      <c r="I88" s="76"/>
    </row>
    <row r="89" spans="3:9">
      <c r="C89" s="63"/>
      <c r="D89" s="63"/>
      <c r="E89" s="64"/>
      <c r="F89" s="63"/>
      <c r="G89" s="70"/>
      <c r="H89" s="65"/>
      <c r="I89" s="63"/>
    </row>
    <row r="90" spans="3:9">
      <c r="C90" s="63"/>
      <c r="D90" s="63"/>
      <c r="E90" s="64"/>
      <c r="F90" s="63"/>
      <c r="G90" s="65"/>
      <c r="H90" s="65"/>
      <c r="I90" s="63"/>
    </row>
    <row r="91" spans="3:9">
      <c r="C91" s="63"/>
      <c r="D91" s="63"/>
      <c r="E91" s="77"/>
      <c r="F91" s="63"/>
      <c r="G91" s="65"/>
      <c r="H91" s="65"/>
      <c r="I91" s="63"/>
    </row>
    <row r="92" spans="3:9">
      <c r="C92" s="63"/>
      <c r="D92" s="63"/>
      <c r="E92" s="77"/>
      <c r="F92" s="63"/>
      <c r="G92" s="65"/>
      <c r="H92" s="65"/>
      <c r="I92" s="63"/>
    </row>
    <row r="93" spans="3:9">
      <c r="C93" s="76"/>
      <c r="D93" s="76"/>
      <c r="E93" s="77"/>
      <c r="F93" s="76"/>
      <c r="G93" s="76"/>
      <c r="H93" s="78"/>
      <c r="I93" s="76"/>
    </row>
    <row r="94" spans="3:9">
      <c r="C94" s="63"/>
      <c r="D94" s="76"/>
      <c r="E94" s="77"/>
      <c r="F94" s="76"/>
      <c r="G94" s="70"/>
      <c r="H94" s="65"/>
      <c r="I94" s="63"/>
    </row>
    <row r="95" spans="3:9">
      <c r="C95" s="76"/>
      <c r="D95" s="76"/>
      <c r="E95" s="77"/>
      <c r="F95" s="76"/>
      <c r="G95" s="76"/>
      <c r="H95" s="76"/>
      <c r="I95" s="76"/>
    </row>
    <row r="96" spans="3:9">
      <c r="C96" s="63"/>
      <c r="D96" s="63"/>
      <c r="E96" s="77"/>
      <c r="F96" s="76"/>
      <c r="G96" s="76"/>
      <c r="H96" s="76"/>
      <c r="I96" s="76"/>
    </row>
    <row r="97" spans="3:9">
      <c r="C97" s="76"/>
      <c r="D97" s="76"/>
      <c r="E97" s="77"/>
      <c r="F97" s="76"/>
      <c r="G97" s="76"/>
      <c r="H97" s="76"/>
      <c r="I97" s="76"/>
    </row>
    <row r="98" spans="3:9">
      <c r="C98" s="76"/>
      <c r="D98" s="76"/>
      <c r="E98" s="77"/>
      <c r="F98" s="76"/>
      <c r="G98" s="76"/>
      <c r="H98" s="76"/>
      <c r="I98" s="76"/>
    </row>
    <row r="99" spans="3:9">
      <c r="C99" s="63"/>
      <c r="D99" s="63"/>
      <c r="E99" s="64"/>
      <c r="F99" s="63"/>
      <c r="G99" s="63"/>
      <c r="H99" s="65"/>
      <c r="I99" s="63"/>
    </row>
    <row r="100" spans="3:9">
      <c r="C100" s="76"/>
      <c r="D100" s="76"/>
      <c r="E100" s="77"/>
      <c r="F100" s="76"/>
      <c r="G100" s="76"/>
      <c r="H100" s="76"/>
      <c r="I100" s="76"/>
    </row>
    <row r="101" spans="3:9">
      <c r="C101" s="76"/>
      <c r="D101" s="76"/>
      <c r="E101" s="77"/>
      <c r="F101" s="76"/>
      <c r="G101" s="76"/>
      <c r="H101" s="76"/>
      <c r="I101" s="76"/>
    </row>
    <row r="102" spans="3:9">
      <c r="C102" s="76"/>
      <c r="D102" s="76"/>
      <c r="E102" s="77"/>
      <c r="F102" s="76"/>
      <c r="G102" s="76"/>
      <c r="H102" s="76"/>
      <c r="I102" s="76"/>
    </row>
    <row r="103" spans="3:9">
      <c r="C103" s="76"/>
      <c r="D103" s="76"/>
      <c r="E103" s="77"/>
      <c r="F103" s="76"/>
      <c r="G103" s="76"/>
      <c r="H103" s="76"/>
      <c r="I103" s="76"/>
    </row>
    <row r="104" spans="3:9">
      <c r="D104" s="75"/>
      <c r="E104" s="76"/>
      <c r="F104" s="76"/>
    </row>
    <row r="105" spans="3:9" ht="15.75">
      <c r="C105" s="68"/>
      <c r="D105" s="68"/>
      <c r="E105" s="71"/>
      <c r="F105" s="76"/>
    </row>
    <row r="106" spans="3:9" ht="15.75">
      <c r="C106" s="68"/>
      <c r="D106" s="67"/>
      <c r="E106" s="68"/>
      <c r="F106" s="76"/>
    </row>
    <row r="107" spans="3:9" ht="15.75">
      <c r="C107" s="68"/>
      <c r="D107" s="68"/>
      <c r="E107" s="71"/>
      <c r="F107" s="76"/>
    </row>
    <row r="108" spans="3:9" ht="15.75">
      <c r="C108" s="68"/>
      <c r="D108" s="68"/>
      <c r="E108" s="68"/>
      <c r="F108" s="76"/>
    </row>
    <row r="109" spans="3:9" ht="15.75">
      <c r="C109" s="68"/>
      <c r="D109" s="68"/>
      <c r="E109" s="68"/>
      <c r="F109" s="76"/>
    </row>
    <row r="110" spans="3:9" ht="15.75">
      <c r="C110" s="68"/>
      <c r="D110" s="68"/>
      <c r="E110" s="68"/>
      <c r="F110" s="76"/>
    </row>
    <row r="111" spans="3:9" ht="15.75">
      <c r="C111" s="68"/>
      <c r="D111" s="68"/>
      <c r="E111" s="68"/>
      <c r="F111" s="76"/>
    </row>
    <row r="112" spans="3:9" ht="15.75">
      <c r="C112" s="68"/>
      <c r="D112" s="68"/>
      <c r="E112" s="68"/>
      <c r="F112" s="76"/>
    </row>
    <row r="113" spans="3:6" ht="15.75">
      <c r="C113" s="68"/>
      <c r="D113" s="68"/>
      <c r="E113" s="68"/>
      <c r="F113" s="76"/>
    </row>
    <row r="114" spans="3:6" ht="15.75">
      <c r="C114" s="68"/>
      <c r="D114" s="67"/>
      <c r="E114" s="68"/>
      <c r="F114" s="76"/>
    </row>
    <row r="115" spans="3:6" ht="15.75">
      <c r="C115" s="68"/>
      <c r="D115" s="68"/>
      <c r="E115" s="68"/>
      <c r="F115" s="76"/>
    </row>
    <row r="116" spans="3:6" ht="15.75">
      <c r="C116" s="68"/>
      <c r="D116" s="68"/>
      <c r="E116" s="68"/>
      <c r="F116" s="76"/>
    </row>
    <row r="117" spans="3:6" ht="15.75">
      <c r="C117" s="68"/>
      <c r="D117" s="68"/>
      <c r="E117" s="68"/>
      <c r="F117" s="76"/>
    </row>
    <row r="118" spans="3:6" ht="15.75">
      <c r="C118" s="68"/>
      <c r="D118" s="68"/>
      <c r="E118" s="68"/>
      <c r="F118" s="76"/>
    </row>
    <row r="119" spans="3:6" ht="15.75">
      <c r="C119" s="68"/>
      <c r="D119" s="68"/>
      <c r="E119" s="68"/>
      <c r="F119" s="76"/>
    </row>
    <row r="120" spans="3:6" ht="15.75">
      <c r="C120" s="68"/>
      <c r="D120" s="67"/>
      <c r="E120" s="68"/>
      <c r="F120" s="76"/>
    </row>
    <row r="121" spans="3:6" ht="15.75">
      <c r="C121" s="79"/>
      <c r="D121" s="71"/>
      <c r="E121" s="68"/>
      <c r="F121" s="76"/>
    </row>
    <row r="122" spans="3:6">
      <c r="D122" s="75"/>
      <c r="E122" s="76"/>
      <c r="F122" s="76"/>
    </row>
    <row r="123" spans="3:6" ht="15.75">
      <c r="C123" s="80"/>
      <c r="D123" s="67"/>
      <c r="E123" s="76"/>
      <c r="F123" s="76"/>
    </row>
    <row r="124" spans="3:6">
      <c r="D124" s="75"/>
      <c r="E124" s="76"/>
      <c r="F124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98"/>
  <sheetViews>
    <sheetView tabSelected="1" topLeftCell="A61" zoomScale="75" zoomScaleNormal="75" workbookViewId="0">
      <selection activeCell="G24" sqref="G24"/>
    </sheetView>
  </sheetViews>
  <sheetFormatPr baseColWidth="10" defaultRowHeight="15"/>
  <cols>
    <col min="1" max="1" width="5" customWidth="1"/>
    <col min="2" max="2" width="21.5703125" customWidth="1"/>
    <col min="3" max="3" width="13.140625" customWidth="1"/>
    <col min="4" max="4" width="17.7109375" customWidth="1"/>
    <col min="9" max="9" width="13.7109375" customWidth="1"/>
    <col min="10" max="10" width="11.42578125" customWidth="1"/>
    <col min="11" max="11" width="12.85546875" customWidth="1"/>
    <col min="12" max="12" width="13" customWidth="1"/>
    <col min="13" max="13" width="4.28515625" customWidth="1"/>
    <col min="14" max="14" width="6.7109375" customWidth="1"/>
    <col min="15" max="15" width="11.42578125" customWidth="1"/>
    <col min="16" max="16" width="10.42578125" customWidth="1"/>
    <col min="17" max="18" width="13" customWidth="1"/>
    <col min="19" max="19" width="13.85546875" customWidth="1"/>
    <col min="20" max="20" width="13.28515625" customWidth="1"/>
    <col min="21" max="21" width="11.42578125" customWidth="1"/>
    <col min="22" max="22" width="7.42578125" customWidth="1"/>
    <col min="23" max="23" width="11.42578125" customWidth="1"/>
    <col min="24" max="24" width="10.140625" customWidth="1"/>
    <col min="25" max="25" width="16.140625" customWidth="1"/>
    <col min="26" max="26" width="13" customWidth="1"/>
    <col min="27" max="28" width="0" hidden="1" customWidth="1"/>
  </cols>
  <sheetData>
    <row r="1" spans="1:28">
      <c r="A1" s="138" t="s">
        <v>58</v>
      </c>
    </row>
    <row r="2" spans="1:28">
      <c r="A2" s="139" t="s">
        <v>68</v>
      </c>
    </row>
    <row r="3" spans="1:28" s="81" customFormat="1" ht="15.75" thickBot="1">
      <c r="A3" s="82"/>
      <c r="B3" s="83" t="s">
        <v>1</v>
      </c>
      <c r="C3" s="83" t="s">
        <v>2</v>
      </c>
      <c r="D3" s="83" t="s">
        <v>3</v>
      </c>
      <c r="E3" s="83" t="s">
        <v>4</v>
      </c>
      <c r="F3" s="84" t="s">
        <v>5</v>
      </c>
      <c r="G3" s="84" t="s">
        <v>6</v>
      </c>
      <c r="H3" s="84" t="s">
        <v>7</v>
      </c>
      <c r="I3" s="85" t="s">
        <v>8</v>
      </c>
      <c r="J3" s="83" t="s">
        <v>9</v>
      </c>
      <c r="K3" s="86" t="s">
        <v>10</v>
      </c>
      <c r="L3" s="86" t="s">
        <v>11</v>
      </c>
      <c r="M3" s="83" t="s">
        <v>12</v>
      </c>
      <c r="N3" s="83" t="s">
        <v>13</v>
      </c>
      <c r="O3" s="87" t="s">
        <v>14</v>
      </c>
      <c r="P3" s="88" t="s">
        <v>15</v>
      </c>
      <c r="Q3" s="87" t="s">
        <v>0</v>
      </c>
      <c r="R3" s="87" t="s">
        <v>16</v>
      </c>
      <c r="S3" s="87" t="s">
        <v>17</v>
      </c>
      <c r="T3" s="87" t="s">
        <v>43</v>
      </c>
      <c r="U3" s="87"/>
      <c r="V3" s="87" t="s">
        <v>18</v>
      </c>
      <c r="W3" s="87" t="s">
        <v>34</v>
      </c>
      <c r="X3" s="87" t="s">
        <v>19</v>
      </c>
      <c r="Y3" s="87" t="s">
        <v>20</v>
      </c>
      <c r="Z3" s="87"/>
    </row>
    <row r="4" spans="1:28" s="81" customFormat="1">
      <c r="A4" s="143"/>
      <c r="B4" s="89" t="s">
        <v>21</v>
      </c>
      <c r="C4" s="13" t="s">
        <v>39</v>
      </c>
      <c r="D4" s="13" t="s">
        <v>41</v>
      </c>
      <c r="E4" s="13">
        <v>250</v>
      </c>
      <c r="F4" s="95">
        <f>9085+22585</f>
        <v>31670</v>
      </c>
      <c r="G4" s="90">
        <f>13290+6880+5030</f>
        <v>25200</v>
      </c>
      <c r="H4" s="90">
        <f t="shared" ref="H4:H13" si="0">G4-F4</f>
        <v>-6470</v>
      </c>
      <c r="I4" s="96" t="s">
        <v>69</v>
      </c>
      <c r="J4" s="13"/>
      <c r="K4" s="91"/>
      <c r="L4" s="91">
        <v>41395</v>
      </c>
      <c r="M4" s="96" t="s">
        <v>28</v>
      </c>
      <c r="N4" s="13"/>
      <c r="O4" s="92">
        <v>18.2</v>
      </c>
      <c r="P4" s="93"/>
      <c r="Q4" s="92">
        <v>15000</v>
      </c>
      <c r="R4" s="92">
        <f>58.25*E4</f>
        <v>14562.5</v>
      </c>
      <c r="S4" s="98">
        <f>-35*E4</f>
        <v>-8750</v>
      </c>
      <c r="T4" s="98">
        <v>2250</v>
      </c>
      <c r="U4" s="92">
        <f>E4*5</f>
        <v>1250</v>
      </c>
      <c r="V4" s="13"/>
      <c r="W4" s="92">
        <f>((O4*F4)+Q4+R4+S4+U4)/G4</f>
        <v>23.748273809523809</v>
      </c>
      <c r="X4" s="92">
        <f>((O4*F4)+Q4+R4+S4+T4+U4)/G4</f>
        <v>23.837559523809524</v>
      </c>
      <c r="Y4" s="92">
        <f>X4*F4</f>
        <v>754935.5101190476</v>
      </c>
      <c r="Z4" s="94">
        <v>41401</v>
      </c>
      <c r="AA4" s="127">
        <v>23.3</v>
      </c>
      <c r="AB4" s="81">
        <v>25.8</v>
      </c>
    </row>
    <row r="5" spans="1:28" s="81" customFormat="1">
      <c r="A5" s="143"/>
      <c r="B5" s="89" t="s">
        <v>35</v>
      </c>
      <c r="C5" s="13" t="s">
        <v>70</v>
      </c>
      <c r="D5" s="13" t="s">
        <v>45</v>
      </c>
      <c r="E5" s="13"/>
      <c r="F5" s="95">
        <v>18591.400000000001</v>
      </c>
      <c r="G5" s="90">
        <v>18535.560000000001</v>
      </c>
      <c r="H5" s="90">
        <f t="shared" si="0"/>
        <v>-55.840000000000146</v>
      </c>
      <c r="I5" s="163" t="s">
        <v>71</v>
      </c>
      <c r="J5" s="13"/>
      <c r="K5" s="91"/>
      <c r="L5" s="91">
        <v>41396</v>
      </c>
      <c r="M5" s="96" t="s">
        <v>31</v>
      </c>
      <c r="N5" s="96" t="s">
        <v>59</v>
      </c>
      <c r="O5" s="92"/>
      <c r="P5" s="93">
        <v>2.0019999999999998</v>
      </c>
      <c r="Q5" s="92"/>
      <c r="R5" s="92"/>
      <c r="S5" s="98">
        <v>12.154999999999999</v>
      </c>
      <c r="T5" s="98"/>
      <c r="U5" s="92"/>
      <c r="V5" s="92"/>
      <c r="W5" s="92">
        <f>IF(O5&gt;0,O5,((P5*S5)+(Q5+R5)/G5)+V5)</f>
        <v>24.334309999999995</v>
      </c>
      <c r="X5" s="92">
        <f>IF(O5&gt;0,O5,((P5*S5)+(Q5+R5+T5)/G5)+V5)</f>
        <v>24.334309999999995</v>
      </c>
      <c r="Y5" s="92">
        <f t="shared" ref="Y5:Y13" si="1">W5*F5</f>
        <v>452408.89093399997</v>
      </c>
      <c r="Z5" s="94">
        <v>41396</v>
      </c>
      <c r="AA5" s="127"/>
    </row>
    <row r="6" spans="1:28" s="81" customFormat="1">
      <c r="A6" s="143"/>
      <c r="B6" s="89" t="s">
        <v>23</v>
      </c>
      <c r="C6" s="13" t="s">
        <v>29</v>
      </c>
      <c r="D6" s="13" t="s">
        <v>29</v>
      </c>
      <c r="E6" s="13" t="s">
        <v>26</v>
      </c>
      <c r="F6" s="95">
        <f>39877*0.4536</f>
        <v>18088.207200000001</v>
      </c>
      <c r="G6" s="90">
        <v>18057.23</v>
      </c>
      <c r="H6" s="90">
        <f t="shared" si="0"/>
        <v>-30.977200000001176</v>
      </c>
      <c r="I6" s="96" t="s">
        <v>72</v>
      </c>
      <c r="J6" s="97" t="s">
        <v>30</v>
      </c>
      <c r="K6" s="91">
        <v>41396</v>
      </c>
      <c r="L6" s="91">
        <v>41397</v>
      </c>
      <c r="M6" s="96" t="s">
        <v>32</v>
      </c>
      <c r="N6" s="96" t="s">
        <v>73</v>
      </c>
      <c r="O6" s="92"/>
      <c r="P6" s="146">
        <v>0.85289999999999999</v>
      </c>
      <c r="Q6" s="92">
        <v>17000</v>
      </c>
      <c r="R6" s="92">
        <v>7580</v>
      </c>
      <c r="S6" s="98">
        <v>12.19</v>
      </c>
      <c r="T6" s="99">
        <f>W6*F6*0.005</f>
        <v>2205.1446740577494</v>
      </c>
      <c r="V6" s="92">
        <v>0.1</v>
      </c>
      <c r="W6" s="92">
        <f>IF(O6&gt;0,O6,((P6*2.2046*S6)+(Q6+R6)/G6)+V6)</f>
        <v>24.382125322599677</v>
      </c>
      <c r="X6" s="92">
        <f>IF(O6&gt;0,O6,((P6*2.2046*S6)+(Q6+R6+T6)/G6)+V6)</f>
        <v>24.504245087040722</v>
      </c>
      <c r="Y6" s="92">
        <f t="shared" si="1"/>
        <v>441028.93481154984</v>
      </c>
      <c r="Z6" s="94">
        <v>41396</v>
      </c>
      <c r="AA6" s="74"/>
    </row>
    <row r="7" spans="1:28" s="81" customFormat="1">
      <c r="A7" s="143"/>
      <c r="B7" s="89" t="s">
        <v>21</v>
      </c>
      <c r="C7" s="13" t="s">
        <v>39</v>
      </c>
      <c r="D7" s="13" t="s">
        <v>41</v>
      </c>
      <c r="E7" s="13">
        <v>249</v>
      </c>
      <c r="F7" s="95">
        <f>21850+8615</f>
        <v>30465</v>
      </c>
      <c r="G7" s="90">
        <f>17500+6680</f>
        <v>24180</v>
      </c>
      <c r="H7" s="90">
        <f t="shared" si="0"/>
        <v>-6285</v>
      </c>
      <c r="I7" s="96" t="s">
        <v>74</v>
      </c>
      <c r="J7" s="13"/>
      <c r="K7" s="91"/>
      <c r="L7" s="91">
        <v>41396</v>
      </c>
      <c r="M7" s="96" t="s">
        <v>31</v>
      </c>
      <c r="N7" s="13"/>
      <c r="O7" s="92">
        <v>18.2</v>
      </c>
      <c r="P7" s="93"/>
      <c r="Q7" s="92">
        <v>15000</v>
      </c>
      <c r="R7" s="92">
        <f>58.25*E7</f>
        <v>14504.25</v>
      </c>
      <c r="S7" s="98">
        <f>-35*E7</f>
        <v>-8715</v>
      </c>
      <c r="T7" s="98">
        <v>2250</v>
      </c>
      <c r="U7" s="92">
        <f>E7*5</f>
        <v>1245</v>
      </c>
      <c r="V7" s="13"/>
      <c r="W7" s="92">
        <f>((O7*F7)+Q7+R7+S7+U7)/G7</f>
        <v>23.841904466501241</v>
      </c>
      <c r="X7" s="92">
        <f>((O7*F7)+Q7+R7+S7+T7+U7)/G7</f>
        <v>23.934956575682381</v>
      </c>
      <c r="Y7" s="92">
        <f t="shared" si="1"/>
        <v>726343.6195719603</v>
      </c>
      <c r="Z7" s="94">
        <v>41402</v>
      </c>
      <c r="AA7" s="127">
        <v>23.3</v>
      </c>
      <c r="AB7" s="81">
        <v>25.8</v>
      </c>
    </row>
    <row r="8" spans="1:28" s="81" customFormat="1">
      <c r="A8" s="143"/>
      <c r="B8" s="89" t="s">
        <v>21</v>
      </c>
      <c r="C8" s="13" t="s">
        <v>46</v>
      </c>
      <c r="D8" s="13" t="s">
        <v>52</v>
      </c>
      <c r="E8" s="13">
        <v>151</v>
      </c>
      <c r="F8" s="95">
        <v>12670</v>
      </c>
      <c r="G8" s="90">
        <v>12670</v>
      </c>
      <c r="H8" s="90">
        <f t="shared" si="0"/>
        <v>0</v>
      </c>
      <c r="I8" s="96" t="s">
        <v>75</v>
      </c>
      <c r="J8" s="13"/>
      <c r="K8" s="91"/>
      <c r="L8" s="91">
        <v>41396</v>
      </c>
      <c r="M8" s="96" t="s">
        <v>31</v>
      </c>
      <c r="N8" s="13"/>
      <c r="O8" s="92">
        <v>24.8</v>
      </c>
      <c r="P8" s="93"/>
      <c r="Q8" s="92"/>
      <c r="R8" s="92"/>
      <c r="S8" s="98"/>
      <c r="T8" s="99"/>
      <c r="U8" s="74"/>
      <c r="V8" s="92"/>
      <c r="W8" s="92">
        <f>IF(O8&gt;0,O8,((P8*2.2046*S8)+(Q8+R8)/G8)+V8)</f>
        <v>24.8</v>
      </c>
      <c r="X8" s="92">
        <f>IF(O8&gt;0,O8,((P8*2.2046*S8)+(Q8+R8+T8)/G8)+V8)</f>
        <v>24.8</v>
      </c>
      <c r="Y8" s="92">
        <f t="shared" si="1"/>
        <v>314216</v>
      </c>
      <c r="Z8" s="94">
        <v>41403</v>
      </c>
      <c r="AA8" s="127"/>
      <c r="AB8" s="81">
        <v>25.8</v>
      </c>
    </row>
    <row r="9" spans="1:28" s="81" customFormat="1">
      <c r="A9" s="143"/>
      <c r="B9" s="89" t="s">
        <v>21</v>
      </c>
      <c r="C9" s="13" t="s">
        <v>39</v>
      </c>
      <c r="D9" s="13" t="s">
        <v>40</v>
      </c>
      <c r="E9" s="13">
        <v>249</v>
      </c>
      <c r="F9" s="95">
        <f>15135+15600</f>
        <v>30735</v>
      </c>
      <c r="G9" s="90">
        <f>850+16820+6790</f>
        <v>24460</v>
      </c>
      <c r="H9" s="90">
        <f t="shared" si="0"/>
        <v>-6275</v>
      </c>
      <c r="I9" s="96" t="s">
        <v>76</v>
      </c>
      <c r="J9" s="13"/>
      <c r="K9" s="91"/>
      <c r="L9" s="91">
        <v>41397</v>
      </c>
      <c r="M9" s="96" t="s">
        <v>32</v>
      </c>
      <c r="N9" s="13"/>
      <c r="O9" s="92">
        <v>18.2</v>
      </c>
      <c r="P9" s="93"/>
      <c r="Q9" s="92">
        <v>15000</v>
      </c>
      <c r="R9" s="92">
        <f>58.25*E9</f>
        <v>14504.25</v>
      </c>
      <c r="S9" s="98">
        <f>-35*E9</f>
        <v>-8715</v>
      </c>
      <c r="T9" s="98">
        <v>2250</v>
      </c>
      <c r="U9" s="92">
        <f>E9*5</f>
        <v>1245</v>
      </c>
      <c r="V9" s="13"/>
      <c r="W9" s="92">
        <f>((O9*F9)+Q9+R9+S9+U9)/G9</f>
        <v>23.769879394930499</v>
      </c>
      <c r="X9" s="92">
        <f>((O9*F9)+Q9+R9+S9+T9+U9)/G9</f>
        <v>23.861866312346688</v>
      </c>
      <c r="Y9" s="92">
        <f t="shared" si="1"/>
        <v>730567.24320318887</v>
      </c>
      <c r="Z9" s="94">
        <v>41403</v>
      </c>
      <c r="AA9" s="127">
        <v>23.3</v>
      </c>
      <c r="AB9" s="81">
        <v>25.8</v>
      </c>
    </row>
    <row r="10" spans="1:28" s="81" customFormat="1">
      <c r="A10" s="143"/>
      <c r="B10" s="89" t="s">
        <v>23</v>
      </c>
      <c r="C10" s="96" t="s">
        <v>24</v>
      </c>
      <c r="D10" s="96" t="s">
        <v>24</v>
      </c>
      <c r="E10" s="13" t="s">
        <v>37</v>
      </c>
      <c r="F10" s="95">
        <f>43450*0.4536</f>
        <v>19708.920000000002</v>
      </c>
      <c r="G10" s="90">
        <v>19562.5</v>
      </c>
      <c r="H10" s="90">
        <f t="shared" si="0"/>
        <v>-146.42000000000189</v>
      </c>
      <c r="I10" s="96" t="s">
        <v>77</v>
      </c>
      <c r="J10" s="97" t="s">
        <v>57</v>
      </c>
      <c r="K10" s="91">
        <v>41396</v>
      </c>
      <c r="L10" s="91">
        <v>41397</v>
      </c>
      <c r="M10" s="96" t="s">
        <v>32</v>
      </c>
      <c r="N10" s="13" t="s">
        <v>60</v>
      </c>
      <c r="O10" s="92"/>
      <c r="P10" s="146">
        <v>0.86539999999999995</v>
      </c>
      <c r="Q10" s="92">
        <v>17000</v>
      </c>
      <c r="R10" s="92">
        <v>7580</v>
      </c>
      <c r="S10" s="98">
        <v>12.175000000000001</v>
      </c>
      <c r="T10" s="99">
        <f>W10*F10*0.005</f>
        <v>2422.688575209525</v>
      </c>
      <c r="V10" s="92">
        <v>0.1</v>
      </c>
      <c r="W10" s="92">
        <f>IF(O10&gt;0,O10,((P10*2.2046*S10)+(Q10+R10)/G10)+V10)</f>
        <v>24.584691350003194</v>
      </c>
      <c r="X10" s="92">
        <f>IF(O10&gt;0,O10,((P10*2.2046*S10)+(Q10+R10+T10)/G10)+V10)</f>
        <v>24.708534855445215</v>
      </c>
      <c r="Y10" s="92">
        <f t="shared" si="1"/>
        <v>484537.715041905</v>
      </c>
      <c r="Z10" s="94">
        <v>41367</v>
      </c>
      <c r="AA10" s="127"/>
    </row>
    <row r="11" spans="1:28" s="81" customFormat="1">
      <c r="A11" s="143"/>
      <c r="B11" s="89" t="s">
        <v>35</v>
      </c>
      <c r="C11" s="13" t="s">
        <v>24</v>
      </c>
      <c r="D11" s="13" t="s">
        <v>24</v>
      </c>
      <c r="E11" s="13" t="s">
        <v>37</v>
      </c>
      <c r="F11" s="95">
        <f>42782*0.4536</f>
        <v>19405.915199999999</v>
      </c>
      <c r="G11" s="90">
        <v>19281.580000000002</v>
      </c>
      <c r="H11" s="90">
        <f t="shared" si="0"/>
        <v>-124.33519999999771</v>
      </c>
      <c r="I11" s="96" t="s">
        <v>78</v>
      </c>
      <c r="J11" s="97" t="s">
        <v>64</v>
      </c>
      <c r="K11" s="91">
        <v>41400</v>
      </c>
      <c r="L11" s="91">
        <v>41401</v>
      </c>
      <c r="M11" s="96" t="s">
        <v>33</v>
      </c>
      <c r="N11" s="96" t="s">
        <v>79</v>
      </c>
      <c r="O11" s="92"/>
      <c r="P11" s="146">
        <v>0.88239999999999996</v>
      </c>
      <c r="Q11" s="92">
        <v>17500</v>
      </c>
      <c r="R11" s="92">
        <v>7580</v>
      </c>
      <c r="S11" s="98">
        <v>12.15</v>
      </c>
      <c r="T11" s="99">
        <f>W11*F11*0.005</f>
        <v>2429.2899661099054</v>
      </c>
      <c r="V11" s="92">
        <v>0.1</v>
      </c>
      <c r="W11" s="92">
        <f>IF(O11&gt;0,O11,((P11*2.2046*S11)+(Q11+R11)/G11)+V11)</f>
        <v>25.036592616975938</v>
      </c>
      <c r="X11" s="92">
        <f>IF(O11&gt;0,O11,((P11*2.2046*S11)+(Q11+R11+T11)/G11)+V11)</f>
        <v>25.162582808967979</v>
      </c>
      <c r="Y11" s="92">
        <f t="shared" si="1"/>
        <v>485857.9932219811</v>
      </c>
      <c r="Z11" s="94">
        <v>41400</v>
      </c>
      <c r="AA11" s="127"/>
    </row>
    <row r="12" spans="1:28" s="81" customFormat="1">
      <c r="A12" s="143"/>
      <c r="B12" s="89" t="s">
        <v>21</v>
      </c>
      <c r="C12" s="13" t="s">
        <v>39</v>
      </c>
      <c r="D12" s="13" t="s">
        <v>38</v>
      </c>
      <c r="E12" s="13">
        <v>250</v>
      </c>
      <c r="F12" s="95">
        <f>14190+14410</f>
        <v>28600</v>
      </c>
      <c r="G12" s="90">
        <f>7330+4560+10840</f>
        <v>22730</v>
      </c>
      <c r="H12" s="90">
        <f t="shared" si="0"/>
        <v>-5870</v>
      </c>
      <c r="I12" s="96" t="s">
        <v>80</v>
      </c>
      <c r="J12" s="13"/>
      <c r="K12" s="91"/>
      <c r="L12" s="91">
        <v>41399</v>
      </c>
      <c r="M12" s="96" t="s">
        <v>42</v>
      </c>
      <c r="N12" s="13"/>
      <c r="O12" s="92">
        <v>18.5</v>
      </c>
      <c r="P12" s="93"/>
      <c r="Q12" s="92">
        <v>15000</v>
      </c>
      <c r="R12" s="92">
        <f>58.25*E12</f>
        <v>14562.5</v>
      </c>
      <c r="S12" s="98">
        <f>-35*E12</f>
        <v>-8750</v>
      </c>
      <c r="T12" s="98">
        <v>2250</v>
      </c>
      <c r="U12" s="92">
        <f>E12*5</f>
        <v>1250</v>
      </c>
      <c r="V12" s="13"/>
      <c r="W12" s="92">
        <f>((O12*F12)+Q12+R12+S12+U12)/G12</f>
        <v>24.248240211174657</v>
      </c>
      <c r="X12" s="92">
        <f>((O12*F12)+Q12+R12+S12+T12+U12)/G12</f>
        <v>24.347228332600089</v>
      </c>
      <c r="Y12" s="92">
        <f t="shared" si="1"/>
        <v>693499.67003959522</v>
      </c>
      <c r="Z12" s="94">
        <v>41407</v>
      </c>
      <c r="AA12" s="127">
        <v>23.7</v>
      </c>
    </row>
    <row r="13" spans="1:28" s="81" customFormat="1">
      <c r="A13" s="143"/>
      <c r="B13" s="96" t="s">
        <v>21</v>
      </c>
      <c r="C13" s="96" t="s">
        <v>46</v>
      </c>
      <c r="D13" s="96" t="s">
        <v>52</v>
      </c>
      <c r="E13" s="13">
        <v>150</v>
      </c>
      <c r="F13" s="95">
        <v>14380</v>
      </c>
      <c r="G13" s="90">
        <f>14380-54</f>
        <v>14326</v>
      </c>
      <c r="H13" s="90">
        <f t="shared" si="0"/>
        <v>-54</v>
      </c>
      <c r="I13" s="96" t="s">
        <v>81</v>
      </c>
      <c r="J13" s="13"/>
      <c r="K13" s="91"/>
      <c r="L13" s="91">
        <v>41399</v>
      </c>
      <c r="M13" s="96" t="s">
        <v>42</v>
      </c>
      <c r="N13" s="13"/>
      <c r="O13" s="92">
        <v>24.8</v>
      </c>
      <c r="P13" s="93"/>
      <c r="Q13" s="92"/>
      <c r="R13" s="92"/>
      <c r="S13" s="98"/>
      <c r="T13" s="98"/>
      <c r="U13" s="92">
        <f>E13*5</f>
        <v>750</v>
      </c>
      <c r="W13" s="92">
        <f>((O13*F13)+Q13+R13+S13+U13)/G13</f>
        <v>24.945832751640374</v>
      </c>
      <c r="X13" s="92">
        <f>((O13*F13)+R13+S13+T13+U13)/G13</f>
        <v>24.945832751640374</v>
      </c>
      <c r="Y13" s="92">
        <f t="shared" si="1"/>
        <v>358721.0749685886</v>
      </c>
      <c r="Z13" s="94">
        <v>41407</v>
      </c>
      <c r="AB13" s="74">
        <v>25.8</v>
      </c>
    </row>
    <row r="14" spans="1:28" s="81" customFormat="1" ht="15.75" thickBot="1">
      <c r="A14" s="143"/>
      <c r="B14" s="100"/>
      <c r="C14" s="83"/>
      <c r="D14" s="83"/>
      <c r="E14" s="83"/>
      <c r="F14" s="84"/>
      <c r="G14" s="84"/>
      <c r="H14" s="84"/>
      <c r="I14" s="85"/>
      <c r="J14" s="83"/>
      <c r="K14" s="86"/>
      <c r="L14" s="86"/>
      <c r="M14" s="83"/>
      <c r="N14" s="83"/>
      <c r="O14" s="87"/>
      <c r="P14" s="88"/>
      <c r="Q14" s="87"/>
      <c r="R14" s="87"/>
      <c r="S14" s="87"/>
      <c r="T14" s="87"/>
      <c r="U14" s="87"/>
      <c r="V14" s="87"/>
      <c r="W14" s="87"/>
      <c r="X14" s="87"/>
      <c r="Y14" s="87"/>
      <c r="Z14" s="101"/>
      <c r="AA14" s="74"/>
    </row>
    <row r="15" spans="1:28" s="81" customFormat="1">
      <c r="A15" s="150"/>
      <c r="B15" s="102" t="s">
        <v>21</v>
      </c>
      <c r="C15" s="72" t="s">
        <v>39</v>
      </c>
      <c r="D15" s="72" t="s">
        <v>41</v>
      </c>
      <c r="E15" s="72">
        <v>250</v>
      </c>
      <c r="F15" s="95">
        <f>15710+15590</f>
        <v>31300</v>
      </c>
      <c r="G15" s="90">
        <f>11730+4890+7780</f>
        <v>24400</v>
      </c>
      <c r="H15" s="145">
        <f t="shared" ref="H15:H35" si="2">G15-F15</f>
        <v>-6900</v>
      </c>
      <c r="I15" s="72" t="s">
        <v>82</v>
      </c>
      <c r="J15" s="72"/>
      <c r="K15" s="103"/>
      <c r="L15" s="103">
        <v>41400</v>
      </c>
      <c r="M15" s="72" t="s">
        <v>22</v>
      </c>
      <c r="N15" s="72"/>
      <c r="O15" s="104">
        <v>18.5</v>
      </c>
      <c r="P15" s="105"/>
      <c r="Q15" s="104">
        <v>15000</v>
      </c>
      <c r="R15" s="104">
        <f>58.25*E15</f>
        <v>14562.5</v>
      </c>
      <c r="S15" s="106">
        <f>-35*E15</f>
        <v>-8750</v>
      </c>
      <c r="T15" s="106">
        <v>2250</v>
      </c>
      <c r="U15" s="104">
        <f>E15*5</f>
        <v>1250</v>
      </c>
      <c r="V15" s="72"/>
      <c r="W15" s="104">
        <f>((O15*F15)+Q15+R15+S15+U15)/G15</f>
        <v>24.635758196721312</v>
      </c>
      <c r="X15" s="104">
        <f>((O15*F15)+Q15+R15+S15+T15+U15)/G15</f>
        <v>24.727971311475411</v>
      </c>
      <c r="Y15" s="104">
        <f t="shared" ref="Y15:Y35" si="3">W15*F15</f>
        <v>771099.23155737703</v>
      </c>
      <c r="Z15" s="107">
        <v>41407</v>
      </c>
      <c r="AA15" s="127">
        <v>24.1</v>
      </c>
      <c r="AB15" s="81">
        <v>26</v>
      </c>
    </row>
    <row r="16" spans="1:28" s="81" customFormat="1">
      <c r="A16" s="151"/>
      <c r="B16" s="89" t="s">
        <v>23</v>
      </c>
      <c r="C16" s="96" t="s">
        <v>24</v>
      </c>
      <c r="D16" s="96" t="s">
        <v>25</v>
      </c>
      <c r="E16" s="13" t="s">
        <v>37</v>
      </c>
      <c r="F16" s="95">
        <f>43525*0.4536</f>
        <v>19742.939999999999</v>
      </c>
      <c r="G16" s="90">
        <v>19675.21</v>
      </c>
      <c r="H16" s="90">
        <f t="shared" si="2"/>
        <v>-67.729999999999563</v>
      </c>
      <c r="I16" s="96" t="s">
        <v>83</v>
      </c>
      <c r="K16" s="91">
        <v>41397</v>
      </c>
      <c r="L16" s="91">
        <v>41400</v>
      </c>
      <c r="M16" s="96" t="s">
        <v>22</v>
      </c>
      <c r="N16" s="13" t="s">
        <v>84</v>
      </c>
      <c r="O16" s="92"/>
      <c r="P16" s="146">
        <v>0.94240000000000002</v>
      </c>
      <c r="Q16" s="92"/>
      <c r="R16" s="92"/>
      <c r="S16" s="98">
        <v>12.09</v>
      </c>
      <c r="T16" s="98"/>
      <c r="U16" s="92"/>
      <c r="V16" s="92"/>
      <c r="W16" s="92">
        <f>((P16*2.2046*S16)+(Q16*S16)/G16)</f>
        <v>25.118365833599999</v>
      </c>
      <c r="X16" s="92">
        <f>IF(O16&gt;0,O16,((P16*2.2046*S16)+(Q16+R16+U16)/G16)+V16)</f>
        <v>25.118365833599999</v>
      </c>
      <c r="Y16" s="92">
        <f t="shared" si="3"/>
        <v>495910.3895508147</v>
      </c>
      <c r="Z16" s="94">
        <v>41400</v>
      </c>
      <c r="AA16" s="127"/>
    </row>
    <row r="17" spans="1:28" s="81" customFormat="1">
      <c r="A17" s="151"/>
      <c r="B17" s="89" t="s">
        <v>35</v>
      </c>
      <c r="C17" s="13" t="s">
        <v>70</v>
      </c>
      <c r="D17" s="13" t="s">
        <v>45</v>
      </c>
      <c r="E17" s="13" t="s">
        <v>47</v>
      </c>
      <c r="F17" s="95">
        <v>18423.11</v>
      </c>
      <c r="G17" s="90">
        <v>18342.830000000002</v>
      </c>
      <c r="H17" s="90">
        <f t="shared" si="2"/>
        <v>-80.279999999998836</v>
      </c>
      <c r="I17" s="163" t="s">
        <v>85</v>
      </c>
      <c r="J17" s="13"/>
      <c r="K17" s="91"/>
      <c r="L17" s="91">
        <v>41400</v>
      </c>
      <c r="M17" s="96" t="s">
        <v>22</v>
      </c>
      <c r="N17" s="96" t="s">
        <v>86</v>
      </c>
      <c r="O17" s="92"/>
      <c r="P17" s="93">
        <v>2.04</v>
      </c>
      <c r="Q17" s="92"/>
      <c r="R17" s="92"/>
      <c r="S17" s="98">
        <v>12.145</v>
      </c>
      <c r="T17" s="98"/>
      <c r="U17" s="92"/>
      <c r="V17" s="92"/>
      <c r="W17" s="92">
        <f>IF(O17&gt;0,O17,((P17*S17)+(Q17+R17)/G17)+V17)</f>
        <v>24.7758</v>
      </c>
      <c r="X17" s="92">
        <f>IF(O17&gt;0,O17,((P17*S17)+(Q17+R17+T17)/G17)+V17)</f>
        <v>24.7758</v>
      </c>
      <c r="Y17" s="92">
        <f t="shared" si="3"/>
        <v>456447.28873800003</v>
      </c>
      <c r="Z17" s="94">
        <v>41400</v>
      </c>
      <c r="AA17" s="127"/>
    </row>
    <row r="18" spans="1:28" s="81" customFormat="1">
      <c r="A18" s="151"/>
      <c r="B18" s="89" t="s">
        <v>21</v>
      </c>
      <c r="C18" s="13" t="s">
        <v>39</v>
      </c>
      <c r="D18" s="13" t="s">
        <v>38</v>
      </c>
      <c r="E18" s="13">
        <v>250</v>
      </c>
      <c r="F18" s="95">
        <f>21160+6670</f>
        <v>27830</v>
      </c>
      <c r="G18" s="90">
        <f>4410+17480</f>
        <v>21890</v>
      </c>
      <c r="H18" s="90">
        <f t="shared" si="2"/>
        <v>-5940</v>
      </c>
      <c r="I18" s="96" t="s">
        <v>87</v>
      </c>
      <c r="J18" s="13"/>
      <c r="K18" s="91"/>
      <c r="L18" s="91">
        <v>41401</v>
      </c>
      <c r="M18" s="96" t="s">
        <v>27</v>
      </c>
      <c r="N18" s="13"/>
      <c r="O18" s="92">
        <v>18.5</v>
      </c>
      <c r="P18" s="93"/>
      <c r="Q18" s="92">
        <v>15000</v>
      </c>
      <c r="R18" s="92">
        <f>58.25*E18</f>
        <v>14562.5</v>
      </c>
      <c r="S18" s="98">
        <f>-35*E18</f>
        <v>-8750</v>
      </c>
      <c r="T18" s="98">
        <v>2250</v>
      </c>
      <c r="U18" s="92">
        <f>E18*5</f>
        <v>1250</v>
      </c>
      <c r="V18" s="13"/>
      <c r="W18" s="92">
        <f>((O18*F18)+Q18+R18+S18+U18)/G18</f>
        <v>24.527980813156692</v>
      </c>
      <c r="X18" s="92">
        <f>((O18*F18)+Q18+R18+S18+T18+U18)/G18</f>
        <v>24.630767473732298</v>
      </c>
      <c r="Y18" s="92">
        <f t="shared" si="3"/>
        <v>682613.70603015076</v>
      </c>
      <c r="Z18" s="94">
        <v>41407</v>
      </c>
      <c r="AA18" s="127">
        <v>24</v>
      </c>
    </row>
    <row r="19" spans="1:28" s="81" customFormat="1">
      <c r="A19" s="151"/>
      <c r="B19" s="89" t="s">
        <v>23</v>
      </c>
      <c r="C19" s="13" t="s">
        <v>29</v>
      </c>
      <c r="D19" s="13" t="s">
        <v>29</v>
      </c>
      <c r="E19" s="13" t="s">
        <v>26</v>
      </c>
      <c r="F19" s="95">
        <f>39648*0.4536</f>
        <v>17984.3328</v>
      </c>
      <c r="G19" s="90">
        <v>17939.759999999998</v>
      </c>
      <c r="H19" s="90">
        <f t="shared" si="2"/>
        <v>-44.572800000001735</v>
      </c>
      <c r="I19" s="96" t="s">
        <v>88</v>
      </c>
      <c r="J19" s="97" t="s">
        <v>64</v>
      </c>
      <c r="K19" s="91">
        <v>41401</v>
      </c>
      <c r="L19" s="91">
        <v>41402</v>
      </c>
      <c r="M19" s="96" t="s">
        <v>28</v>
      </c>
      <c r="N19" s="96" t="s">
        <v>89</v>
      </c>
      <c r="O19" s="92"/>
      <c r="P19" s="146">
        <v>0.84440000000000004</v>
      </c>
      <c r="Q19" s="92">
        <v>17500</v>
      </c>
      <c r="R19" s="92">
        <v>7580</v>
      </c>
      <c r="S19" s="98">
        <v>12.15</v>
      </c>
      <c r="T19" s="99">
        <f>W19*F19*0.005</f>
        <v>2168.552425309284</v>
      </c>
      <c r="V19" s="92">
        <v>0.1</v>
      </c>
      <c r="W19" s="92">
        <f>IF(O19&gt;0,O19,((P19*2.2046*S19)+(Q19+R19)/G19)+V19)</f>
        <v>24.116017529538645</v>
      </c>
      <c r="X19" s="92">
        <f>IF(O19&gt;0,O19,((P19*2.2046*S19)+(Q19+R19+T19)/G19)+V19)</f>
        <v>24.236897208269536</v>
      </c>
      <c r="Y19" s="92">
        <f t="shared" si="3"/>
        <v>433710.4850618568</v>
      </c>
      <c r="Z19" s="94">
        <v>41402</v>
      </c>
      <c r="AA19" s="74">
        <v>24.8</v>
      </c>
    </row>
    <row r="20" spans="1:28" s="81" customFormat="1">
      <c r="A20" s="151"/>
      <c r="B20" s="89" t="s">
        <v>23</v>
      </c>
      <c r="C20" s="13" t="s">
        <v>29</v>
      </c>
      <c r="D20" s="13" t="s">
        <v>29</v>
      </c>
      <c r="E20" s="13" t="s">
        <v>26</v>
      </c>
      <c r="F20" s="95">
        <f>40076*0.4536</f>
        <v>18178.473600000001</v>
      </c>
      <c r="G20" s="90">
        <v>18127.990000000002</v>
      </c>
      <c r="H20" s="90">
        <f t="shared" si="2"/>
        <v>-50.483599999999569</v>
      </c>
      <c r="I20" s="96" t="s">
        <v>90</v>
      </c>
      <c r="J20" s="97" t="s">
        <v>30</v>
      </c>
      <c r="K20" s="91">
        <v>41400</v>
      </c>
      <c r="L20" s="91">
        <v>41401</v>
      </c>
      <c r="M20" s="96" t="s">
        <v>27</v>
      </c>
      <c r="N20" s="96" t="s">
        <v>89</v>
      </c>
      <c r="O20" s="92"/>
      <c r="P20" s="146">
        <v>0.84440000000000004</v>
      </c>
      <c r="Q20" s="92">
        <v>17000</v>
      </c>
      <c r="R20" s="92">
        <v>7580</v>
      </c>
      <c r="S20" s="98">
        <v>12.15</v>
      </c>
      <c r="T20" s="99">
        <f>W20*F20*0.005</f>
        <v>2188.1355747499479</v>
      </c>
      <c r="V20" s="92">
        <v>0.1</v>
      </c>
      <c r="W20" s="92">
        <f>IF(O20&gt;0,O20,((P20*2.2046*S20)+(Q20+R20)/G20)+V20)</f>
        <v>24.073919767938577</v>
      </c>
      <c r="X20" s="92">
        <f>IF(O20&gt;0,O20,((P20*2.2046*S20)+(Q20+R20+T20)/G20)+V20)</f>
        <v>24.194624577172803</v>
      </c>
      <c r="Y20" s="92">
        <f t="shared" si="3"/>
        <v>437627.1149499896</v>
      </c>
      <c r="Z20" s="94">
        <v>41402</v>
      </c>
      <c r="AA20" s="74"/>
    </row>
    <row r="21" spans="1:28" s="81" customFormat="1">
      <c r="A21" s="151"/>
      <c r="B21" s="89" t="s">
        <v>21</v>
      </c>
      <c r="C21" s="13" t="s">
        <v>39</v>
      </c>
      <c r="D21" s="13" t="s">
        <v>91</v>
      </c>
      <c r="E21" s="13">
        <f>190+60</f>
        <v>250</v>
      </c>
      <c r="F21" s="95">
        <f>20150+7230</f>
        <v>27380</v>
      </c>
      <c r="G21" s="90">
        <f>8970+4130+8530</f>
        <v>21630</v>
      </c>
      <c r="H21" s="90">
        <f t="shared" si="2"/>
        <v>-5750</v>
      </c>
      <c r="I21" s="96" t="s">
        <v>92</v>
      </c>
      <c r="J21" s="13"/>
      <c r="K21" s="91"/>
      <c r="L21" s="91">
        <v>41402</v>
      </c>
      <c r="M21" s="96" t="s">
        <v>28</v>
      </c>
      <c r="N21" s="13"/>
      <c r="O21" s="92">
        <v>18.5</v>
      </c>
      <c r="P21" s="93"/>
      <c r="Q21" s="92">
        <v>15000</v>
      </c>
      <c r="R21" s="92">
        <f>58.25*E21</f>
        <v>14562.5</v>
      </c>
      <c r="S21" s="98">
        <f>-35*E21</f>
        <v>-8750</v>
      </c>
      <c r="T21" s="98">
        <v>2250</v>
      </c>
      <c r="U21" s="92">
        <f>E21*5</f>
        <v>1250</v>
      </c>
      <c r="V21" s="13"/>
      <c r="W21" s="92">
        <f>((O21*F21)+Q21+R21+S21+U21)/G21</f>
        <v>24.437933425797503</v>
      </c>
      <c r="X21" s="92">
        <f>((O21*F21)+Q21+R21+S21+T21+U21)/G21</f>
        <v>24.541955617198337</v>
      </c>
      <c r="Y21" s="92">
        <f t="shared" si="3"/>
        <v>669110.61719833559</v>
      </c>
      <c r="Z21" s="94">
        <v>41408</v>
      </c>
      <c r="AA21" s="127">
        <v>23.9</v>
      </c>
      <c r="AB21" s="81">
        <v>26</v>
      </c>
    </row>
    <row r="22" spans="1:28" s="81" customFormat="1">
      <c r="A22" s="151"/>
      <c r="B22" s="89" t="s">
        <v>21</v>
      </c>
      <c r="C22" s="13" t="s">
        <v>46</v>
      </c>
      <c r="D22" s="13" t="s">
        <v>52</v>
      </c>
      <c r="E22" s="13">
        <v>142</v>
      </c>
      <c r="F22" s="95">
        <v>13550</v>
      </c>
      <c r="G22" s="90">
        <v>13550</v>
      </c>
      <c r="H22" s="90">
        <f t="shared" si="2"/>
        <v>0</v>
      </c>
      <c r="I22" s="96" t="s">
        <v>93</v>
      </c>
      <c r="J22" s="13"/>
      <c r="K22" s="91"/>
      <c r="L22" s="91">
        <v>41402</v>
      </c>
      <c r="M22" s="96" t="s">
        <v>28</v>
      </c>
      <c r="N22" s="13"/>
      <c r="O22" s="92">
        <v>24.8</v>
      </c>
      <c r="P22" s="93"/>
      <c r="Q22" s="92"/>
      <c r="R22" s="92"/>
      <c r="S22" s="98"/>
      <c r="T22" s="99"/>
      <c r="U22" s="74"/>
      <c r="V22" s="92"/>
      <c r="W22" s="92">
        <f>IF(O22&gt;0,O22,((P22*2.2046*S22)+(Q22+R22)/G22)+V22)</f>
        <v>24.8</v>
      </c>
      <c r="X22" s="92">
        <f>IF(O22&gt;0,O22,((P22*2.2046*S22)+(Q22+R22+T22)/G22)+V22)</f>
        <v>24.8</v>
      </c>
      <c r="Y22" s="92">
        <f t="shared" si="3"/>
        <v>336040</v>
      </c>
      <c r="Z22" s="94">
        <v>41409</v>
      </c>
      <c r="AA22" s="127"/>
    </row>
    <row r="23" spans="1:28" s="81" customFormat="1">
      <c r="A23" s="151"/>
      <c r="B23" s="89" t="s">
        <v>23</v>
      </c>
      <c r="C23" s="96" t="s">
        <v>24</v>
      </c>
      <c r="D23" s="96" t="s">
        <v>25</v>
      </c>
      <c r="E23" s="13" t="s">
        <v>37</v>
      </c>
      <c r="F23" s="95">
        <f>42782*0.4536</f>
        <v>19405.915199999999</v>
      </c>
      <c r="G23" s="90">
        <v>19275.66</v>
      </c>
      <c r="H23" s="90">
        <f t="shared" si="2"/>
        <v>-130.2551999999996</v>
      </c>
      <c r="I23" s="96" t="s">
        <v>94</v>
      </c>
      <c r="K23" s="91">
        <v>41400</v>
      </c>
      <c r="L23" s="91">
        <v>41402</v>
      </c>
      <c r="M23" s="96" t="s">
        <v>28</v>
      </c>
      <c r="N23" s="13" t="s">
        <v>95</v>
      </c>
      <c r="O23" s="92"/>
      <c r="P23" s="146">
        <v>0.89939999999999998</v>
      </c>
      <c r="Q23" s="92"/>
      <c r="R23" s="92"/>
      <c r="S23" s="98">
        <v>12.09</v>
      </c>
      <c r="T23" s="98"/>
      <c r="U23" s="92"/>
      <c r="V23" s="92"/>
      <c r="W23" s="92">
        <f>((P23*2.2046*S23)+(Q23*S23)/G23)</f>
        <v>23.972260431600002</v>
      </c>
      <c r="X23" s="92">
        <f>IF(O23&gt;0,O23,((P23*2.2046*S23)+(Q23+R23+U23)/G23)+V23)</f>
        <v>23.972260431600002</v>
      </c>
      <c r="Y23" s="92">
        <f t="shared" si="3"/>
        <v>465203.65308794501</v>
      </c>
      <c r="Z23" s="94">
        <v>41372</v>
      </c>
      <c r="AA23" s="127"/>
    </row>
    <row r="24" spans="1:28" s="81" customFormat="1">
      <c r="A24" s="151"/>
      <c r="B24" s="89" t="s">
        <v>51</v>
      </c>
      <c r="C24" s="96" t="s">
        <v>48</v>
      </c>
      <c r="D24" s="96" t="s">
        <v>49</v>
      </c>
      <c r="E24" s="13" t="s">
        <v>96</v>
      </c>
      <c r="F24" s="95">
        <v>1921.45</v>
      </c>
      <c r="G24" s="90">
        <v>1921.45</v>
      </c>
      <c r="H24" s="90">
        <f t="shared" si="2"/>
        <v>0</v>
      </c>
      <c r="I24" s="96" t="s">
        <v>97</v>
      </c>
      <c r="K24" s="91"/>
      <c r="L24" s="91">
        <v>41402</v>
      </c>
      <c r="M24" s="96" t="s">
        <v>28</v>
      </c>
      <c r="N24" s="13"/>
      <c r="O24" s="92">
        <v>56.5</v>
      </c>
      <c r="P24" s="146"/>
      <c r="Q24" s="92"/>
      <c r="R24" s="92"/>
      <c r="S24" s="98"/>
      <c r="T24" s="98"/>
      <c r="U24" s="92"/>
      <c r="V24" s="92"/>
      <c r="W24" s="92">
        <f>IF(O24&gt;0,O24,((P24*2.2046*S24)+(Q24+R24)/G24)+V24)</f>
        <v>56.5</v>
      </c>
      <c r="X24" s="92">
        <f>IF(O24&gt;0,O24,((P24*2.2046*S24)+(Q24+R24+T24)/G24)+V24)</f>
        <v>56.5</v>
      </c>
      <c r="Y24" s="92">
        <f t="shared" si="3"/>
        <v>108561.925</v>
      </c>
      <c r="Z24" s="94">
        <v>41416</v>
      </c>
      <c r="AA24" s="127"/>
    </row>
    <row r="25" spans="1:28" s="81" customFormat="1">
      <c r="A25" s="151"/>
      <c r="B25" s="89" t="s">
        <v>51</v>
      </c>
      <c r="C25" s="96" t="s">
        <v>48</v>
      </c>
      <c r="D25" s="96" t="s">
        <v>98</v>
      </c>
      <c r="E25" s="13" t="s">
        <v>99</v>
      </c>
      <c r="F25" s="95">
        <v>2994.9</v>
      </c>
      <c r="G25" s="90">
        <v>2994.9</v>
      </c>
      <c r="H25" s="90">
        <f t="shared" si="2"/>
        <v>0</v>
      </c>
      <c r="I25" s="96" t="s">
        <v>100</v>
      </c>
      <c r="K25" s="91"/>
      <c r="L25" s="91">
        <v>41402</v>
      </c>
      <c r="M25" s="96" t="s">
        <v>28</v>
      </c>
      <c r="N25" s="13"/>
      <c r="O25" s="92">
        <v>58</v>
      </c>
      <c r="P25" s="146"/>
      <c r="Q25" s="92"/>
      <c r="R25" s="92"/>
      <c r="S25" s="98"/>
      <c r="T25" s="98"/>
      <c r="U25" s="92"/>
      <c r="V25" s="92"/>
      <c r="W25" s="92">
        <f>IF(O25&gt;0,O25,((P25*2.2046*S25)+(Q25+R25)/G25)+V25)</f>
        <v>58</v>
      </c>
      <c r="X25" s="92">
        <f>IF(O25&gt;0,O25,((P25*2.2046*S25)+(Q25+R25+T25)/G25)+V25)</f>
        <v>58</v>
      </c>
      <c r="Y25" s="92">
        <f t="shared" si="3"/>
        <v>173704.2</v>
      </c>
      <c r="Z25" s="94">
        <v>41416</v>
      </c>
      <c r="AA25" s="127"/>
    </row>
    <row r="26" spans="1:28" s="81" customFormat="1">
      <c r="A26" s="151"/>
      <c r="B26" s="89" t="s">
        <v>21</v>
      </c>
      <c r="C26" s="13" t="s">
        <v>39</v>
      </c>
      <c r="D26" s="96" t="s">
        <v>101</v>
      </c>
      <c r="E26" s="13">
        <f>188+60</f>
        <v>248</v>
      </c>
      <c r="F26" s="95">
        <f>22640+7020</f>
        <v>29660</v>
      </c>
      <c r="G26" s="90">
        <f>16650+6440</f>
        <v>23090</v>
      </c>
      <c r="H26" s="90">
        <f t="shared" si="2"/>
        <v>-6570</v>
      </c>
      <c r="I26" s="96" t="s">
        <v>102</v>
      </c>
      <c r="J26" s="13"/>
      <c r="K26" s="91"/>
      <c r="L26" s="91">
        <v>41403</v>
      </c>
      <c r="M26" s="96" t="s">
        <v>31</v>
      </c>
      <c r="N26" s="13"/>
      <c r="O26" s="92">
        <v>18.5</v>
      </c>
      <c r="P26" s="93"/>
      <c r="Q26" s="92">
        <v>15000</v>
      </c>
      <c r="R26" s="92">
        <f>58.25*E26</f>
        <v>14446</v>
      </c>
      <c r="S26" s="98">
        <f>-35*E26</f>
        <v>-8680</v>
      </c>
      <c r="T26" s="98">
        <v>2250</v>
      </c>
      <c r="U26" s="92">
        <f>E26*5</f>
        <v>1240</v>
      </c>
      <c r="V26" s="13"/>
      <c r="W26" s="92">
        <f>((O26*F26)+Q26+R26+S26+U26)/G26</f>
        <v>24.717020355132092</v>
      </c>
      <c r="X26" s="92">
        <f>((O26*F26)+Q26+R26+S26+T26+U26)/G26</f>
        <v>24.814465136422694</v>
      </c>
      <c r="Y26" s="92">
        <f t="shared" si="3"/>
        <v>733106.8237332179</v>
      </c>
      <c r="Z26" s="94">
        <v>41409</v>
      </c>
      <c r="AA26" s="127">
        <v>24.1</v>
      </c>
      <c r="AB26" s="81">
        <v>26</v>
      </c>
    </row>
    <row r="27" spans="1:28" s="81" customFormat="1">
      <c r="A27" s="151"/>
      <c r="B27" s="89" t="s">
        <v>23</v>
      </c>
      <c r="C27" s="13" t="s">
        <v>29</v>
      </c>
      <c r="D27" s="13" t="s">
        <v>29</v>
      </c>
      <c r="E27" s="13" t="s">
        <v>26</v>
      </c>
      <c r="F27" s="95">
        <f>39169*0.4536</f>
        <v>17767.058400000002</v>
      </c>
      <c r="G27" s="90">
        <v>17755.8</v>
      </c>
      <c r="H27" s="90">
        <f t="shared" si="2"/>
        <v>-11.258400000002439</v>
      </c>
      <c r="I27" s="96" t="s">
        <v>103</v>
      </c>
      <c r="J27" s="97" t="s">
        <v>30</v>
      </c>
      <c r="K27" s="91">
        <v>41402</v>
      </c>
      <c r="L27" s="91">
        <v>41403</v>
      </c>
      <c r="M27" s="96" t="s">
        <v>31</v>
      </c>
      <c r="N27" s="96" t="s">
        <v>104</v>
      </c>
      <c r="O27" s="92"/>
      <c r="P27" s="146">
        <v>0.8296</v>
      </c>
      <c r="Q27" s="92">
        <v>17000</v>
      </c>
      <c r="R27" s="92">
        <v>7580</v>
      </c>
      <c r="S27" s="98">
        <v>12.085000000000001</v>
      </c>
      <c r="T27" s="99">
        <f>W27*F27*0.005</f>
        <v>2095.3606867542894</v>
      </c>
      <c r="V27" s="92">
        <v>0.1</v>
      </c>
      <c r="W27" s="92">
        <f>IF(O27&gt;0,O27,((P27*2.2046*S27)+(Q27+R27)/G27)+V27)</f>
        <v>23.587029879457017</v>
      </c>
      <c r="X27" s="92">
        <f>IF(O27&gt;0,O27,((P27*2.2046*S27)+(Q27+R27+T27)/G27)+V27)</f>
        <v>23.705039807860935</v>
      </c>
      <c r="Y27" s="92">
        <f t="shared" si="3"/>
        <v>419072.13735085784</v>
      </c>
      <c r="Z27" s="94">
        <v>41404</v>
      </c>
      <c r="AA27" s="74"/>
    </row>
    <row r="28" spans="1:28" s="81" customFormat="1">
      <c r="A28" s="151"/>
      <c r="B28" s="89" t="s">
        <v>23</v>
      </c>
      <c r="C28" s="96" t="s">
        <v>24</v>
      </c>
      <c r="D28" s="96" t="s">
        <v>24</v>
      </c>
      <c r="E28" s="13" t="s">
        <v>37</v>
      </c>
      <c r="F28" s="95">
        <f>42798*0.4536</f>
        <v>19413.1728</v>
      </c>
      <c r="G28" s="152">
        <v>19293.91</v>
      </c>
      <c r="H28" s="90">
        <f t="shared" si="2"/>
        <v>-119.26280000000042</v>
      </c>
      <c r="I28" s="96" t="s">
        <v>105</v>
      </c>
      <c r="J28" s="97" t="s">
        <v>57</v>
      </c>
      <c r="K28" s="91">
        <v>41402</v>
      </c>
      <c r="L28" s="91">
        <v>41403</v>
      </c>
      <c r="M28" s="96" t="s">
        <v>31</v>
      </c>
      <c r="N28" s="13" t="s">
        <v>106</v>
      </c>
      <c r="O28" s="92"/>
      <c r="P28" s="146">
        <v>0.8246</v>
      </c>
      <c r="Q28" s="92">
        <v>17000</v>
      </c>
      <c r="R28" s="92">
        <v>7580</v>
      </c>
      <c r="S28" s="98">
        <v>12.225</v>
      </c>
      <c r="T28" s="99">
        <f>W28*F28*0.005</f>
        <v>2290.5569105232967</v>
      </c>
      <c r="V28" s="92">
        <v>0.1</v>
      </c>
      <c r="W28" s="92">
        <f>IF(O28&gt;0,O28,((P28*2.2046*S28)+(Q28+R28)/G28)+V28)</f>
        <v>23.597965506424551</v>
      </c>
      <c r="X28" s="92">
        <f>IF(O28&gt;0,O28,((P28*2.2046*S28)+(Q28+R28+T28)/G28)+V28)</f>
        <v>23.716684672758554</v>
      </c>
      <c r="Y28" s="92">
        <f t="shared" si="3"/>
        <v>458111.38210465934</v>
      </c>
      <c r="Z28" s="94">
        <v>41404</v>
      </c>
      <c r="AA28" s="127"/>
    </row>
    <row r="29" spans="1:28" s="81" customFormat="1">
      <c r="A29" s="151"/>
      <c r="B29" s="96" t="s">
        <v>21</v>
      </c>
      <c r="C29" s="96" t="s">
        <v>46</v>
      </c>
      <c r="D29" s="96" t="s">
        <v>52</v>
      </c>
      <c r="E29" s="13">
        <v>143</v>
      </c>
      <c r="F29" s="95">
        <v>13050</v>
      </c>
      <c r="G29" s="90">
        <v>13050</v>
      </c>
      <c r="H29" s="90">
        <f t="shared" si="2"/>
        <v>0</v>
      </c>
      <c r="I29" s="96" t="s">
        <v>107</v>
      </c>
      <c r="J29" s="13"/>
      <c r="K29" s="91"/>
      <c r="L29" s="91">
        <v>41404</v>
      </c>
      <c r="M29" s="96" t="s">
        <v>32</v>
      </c>
      <c r="N29" s="13"/>
      <c r="O29" s="92">
        <v>25.3</v>
      </c>
      <c r="P29" s="93"/>
      <c r="Q29" s="92"/>
      <c r="R29" s="92"/>
      <c r="S29" s="98"/>
      <c r="T29" s="98"/>
      <c r="U29" s="92">
        <f>E29*5</f>
        <v>715</v>
      </c>
      <c r="W29" s="92">
        <f>((O29*F29)+Q29+R29+S29+U29)/G29</f>
        <v>25.354789272030651</v>
      </c>
      <c r="X29" s="92">
        <f>((O29*F29)+R29+S29+T29+U29)/G29</f>
        <v>25.354789272030651</v>
      </c>
      <c r="Y29" s="92">
        <f t="shared" si="3"/>
        <v>330880</v>
      </c>
      <c r="Z29" s="94">
        <v>41411</v>
      </c>
      <c r="AB29" s="74"/>
    </row>
    <row r="30" spans="1:28" s="81" customFormat="1">
      <c r="A30" s="151"/>
      <c r="B30" s="89" t="s">
        <v>21</v>
      </c>
      <c r="C30" s="13" t="s">
        <v>39</v>
      </c>
      <c r="D30" s="96" t="s">
        <v>41</v>
      </c>
      <c r="E30" s="13">
        <v>249</v>
      </c>
      <c r="F30" s="95">
        <f>14705+15840</f>
        <v>30545</v>
      </c>
      <c r="G30" s="90">
        <f>7950+15830</f>
        <v>23780</v>
      </c>
      <c r="H30" s="90">
        <f t="shared" si="2"/>
        <v>-6765</v>
      </c>
      <c r="I30" s="96" t="s">
        <v>108</v>
      </c>
      <c r="J30" s="13"/>
      <c r="K30" s="91"/>
      <c r="L30" s="91">
        <v>41404</v>
      </c>
      <c r="M30" s="96" t="s">
        <v>32</v>
      </c>
      <c r="N30" s="13"/>
      <c r="O30" s="92">
        <v>18.5</v>
      </c>
      <c r="P30" s="93"/>
      <c r="Q30" s="92"/>
      <c r="R30" s="92">
        <f>58.25*E30</f>
        <v>14504.25</v>
      </c>
      <c r="S30" s="98">
        <f>-35*E30</f>
        <v>-8715</v>
      </c>
      <c r="T30" s="98">
        <v>2250</v>
      </c>
      <c r="U30" s="92">
        <f>E30*5</f>
        <v>1245</v>
      </c>
      <c r="V30" s="13"/>
      <c r="W30" s="92">
        <f>((O30*F30)+Q30+R30+S30+U30)/G30</f>
        <v>24.058736333052984</v>
      </c>
      <c r="X30" s="92">
        <f>((O30*F30)+Q30+R30+S30+T30+U30)/G30</f>
        <v>24.153353658536584</v>
      </c>
      <c r="Y30" s="92">
        <f t="shared" si="3"/>
        <v>734874.10129310342</v>
      </c>
      <c r="Z30" s="94">
        <v>41410</v>
      </c>
      <c r="AA30" s="127">
        <v>24.1</v>
      </c>
      <c r="AB30" s="81">
        <v>26</v>
      </c>
    </row>
    <row r="31" spans="1:28" s="81" customFormat="1">
      <c r="A31" s="151"/>
      <c r="B31" s="89" t="s">
        <v>35</v>
      </c>
      <c r="C31" s="13" t="s">
        <v>24</v>
      </c>
      <c r="D31" s="13" t="s">
        <v>24</v>
      </c>
      <c r="E31" s="13" t="s">
        <v>37</v>
      </c>
      <c r="F31" s="95">
        <f>42792*0.4536</f>
        <v>19410.4512</v>
      </c>
      <c r="G31" s="90">
        <v>19362.939999999999</v>
      </c>
      <c r="H31" s="90">
        <f t="shared" si="2"/>
        <v>-47.511200000000827</v>
      </c>
      <c r="I31" s="96" t="s">
        <v>109</v>
      </c>
      <c r="J31" s="97" t="s">
        <v>30</v>
      </c>
      <c r="K31" s="91">
        <v>41404</v>
      </c>
      <c r="L31" s="91">
        <v>41405</v>
      </c>
      <c r="M31" s="96" t="s">
        <v>33</v>
      </c>
      <c r="N31" s="96" t="s">
        <v>110</v>
      </c>
      <c r="O31" s="92"/>
      <c r="P31" s="146">
        <v>0.86009999999999998</v>
      </c>
      <c r="Q31" s="92">
        <v>17000</v>
      </c>
      <c r="R31" s="92">
        <v>7567</v>
      </c>
      <c r="S31" s="98">
        <v>12.145</v>
      </c>
      <c r="T31" s="99">
        <f>W31*F31*0.005</f>
        <v>2367.8641561575896</v>
      </c>
      <c r="V31" s="92">
        <v>0.1</v>
      </c>
      <c r="W31" s="92">
        <f>IF(O31&gt;0,O31,((P31*2.2046*S31)+(Q31+R31)/G31)+V31)</f>
        <v>24.397827044407805</v>
      </c>
      <c r="X31" s="92">
        <f>IF(O31&gt;0,O31,((P31*2.2046*S31)+(Q31+R31+T31)/G31)+V31)</f>
        <v>24.520115506601954</v>
      </c>
      <c r="Y31" s="92">
        <f t="shared" si="3"/>
        <v>473572.83123151789</v>
      </c>
      <c r="Z31" s="94">
        <v>41405</v>
      </c>
      <c r="AA31" s="127"/>
    </row>
    <row r="32" spans="1:28" s="81" customFormat="1">
      <c r="A32" s="151"/>
      <c r="B32" s="89" t="s">
        <v>63</v>
      </c>
      <c r="C32" s="13" t="s">
        <v>29</v>
      </c>
      <c r="D32" s="96" t="s">
        <v>111</v>
      </c>
      <c r="E32" s="13" t="s">
        <v>112</v>
      </c>
      <c r="F32" s="95">
        <v>2043</v>
      </c>
      <c r="G32" s="90">
        <f>150*13.606</f>
        <v>2040.9</v>
      </c>
      <c r="H32" s="90">
        <f t="shared" si="2"/>
        <v>-2.0999999999999091</v>
      </c>
      <c r="I32" s="96" t="s">
        <v>113</v>
      </c>
      <c r="J32" s="13"/>
      <c r="K32" s="91"/>
      <c r="L32" s="91">
        <v>41405</v>
      </c>
      <c r="M32" s="96" t="s">
        <v>33</v>
      </c>
      <c r="N32" s="96"/>
      <c r="O32" s="92">
        <v>40.5</v>
      </c>
      <c r="P32" s="146"/>
      <c r="Q32" s="92"/>
      <c r="R32" s="92"/>
      <c r="S32" s="98"/>
      <c r="T32" s="99"/>
      <c r="V32" s="92"/>
      <c r="W32" s="92">
        <f>IF(O32&gt;0,O32,((P32*2.2046*S32)+(Q32+R32)/G32)+V32)</f>
        <v>40.5</v>
      </c>
      <c r="X32" s="92">
        <f>IF(O32&gt;0,O32,((P32*2.2046*S32)+(Q32+R32+T32)/G32)+V32)</f>
        <v>40.5</v>
      </c>
      <c r="Y32" s="92">
        <f t="shared" si="3"/>
        <v>82741.5</v>
      </c>
      <c r="Z32" s="94">
        <v>41411</v>
      </c>
      <c r="AA32" s="127"/>
    </row>
    <row r="33" spans="1:28" s="81" customFormat="1">
      <c r="A33" s="151"/>
      <c r="B33" s="89" t="s">
        <v>51</v>
      </c>
      <c r="C33" s="13" t="s">
        <v>48</v>
      </c>
      <c r="D33" s="96" t="s">
        <v>49</v>
      </c>
      <c r="E33" s="13" t="s">
        <v>114</v>
      </c>
      <c r="F33" s="95">
        <v>17315.509999999998</v>
      </c>
      <c r="G33" s="90">
        <v>17315.64</v>
      </c>
      <c r="H33" s="90">
        <f t="shared" si="2"/>
        <v>0.13000000000101863</v>
      </c>
      <c r="I33" s="96" t="s">
        <v>115</v>
      </c>
      <c r="J33" s="13"/>
      <c r="K33" s="91"/>
      <c r="L33" s="91">
        <v>41405</v>
      </c>
      <c r="M33" s="96" t="s">
        <v>33</v>
      </c>
      <c r="N33" s="96"/>
      <c r="O33" s="92">
        <v>56.5</v>
      </c>
      <c r="P33" s="146"/>
      <c r="Q33" s="92"/>
      <c r="R33" s="92"/>
      <c r="S33" s="98"/>
      <c r="T33" s="99"/>
      <c r="V33" s="92"/>
      <c r="W33" s="92">
        <f>IF(O33&gt;0,O33,((P33*2.2046*S33)+(Q33+R33)/G33)+V33)</f>
        <v>56.5</v>
      </c>
      <c r="X33" s="92">
        <f>IF(O33&gt;0,O33,((P33*2.2046*S33)+(Q33+R33+T33)/G33)+V33)</f>
        <v>56.5</v>
      </c>
      <c r="Y33" s="92">
        <f t="shared" si="3"/>
        <v>978326.31499999994</v>
      </c>
      <c r="Z33" s="94">
        <v>41421</v>
      </c>
      <c r="AA33" s="127"/>
    </row>
    <row r="34" spans="1:28" s="81" customFormat="1">
      <c r="A34" s="151"/>
      <c r="B34" s="89" t="s">
        <v>21</v>
      </c>
      <c r="C34" s="13" t="s">
        <v>39</v>
      </c>
      <c r="D34" s="96" t="s">
        <v>116</v>
      </c>
      <c r="E34" s="13">
        <f>120+77+50</f>
        <v>247</v>
      </c>
      <c r="F34" s="95">
        <f>16100+15560</f>
        <v>31660</v>
      </c>
      <c r="G34" s="90">
        <f>7710+11950+5170</f>
        <v>24830</v>
      </c>
      <c r="H34" s="90">
        <f t="shared" si="2"/>
        <v>-6830</v>
      </c>
      <c r="I34" s="96" t="s">
        <v>117</v>
      </c>
      <c r="J34" s="13"/>
      <c r="K34" s="91"/>
      <c r="L34" s="91">
        <v>41406</v>
      </c>
      <c r="M34" s="96" t="s">
        <v>42</v>
      </c>
      <c r="N34" s="13"/>
      <c r="O34" s="92">
        <v>19</v>
      </c>
      <c r="P34" s="93"/>
      <c r="Q34" s="92">
        <v>15000</v>
      </c>
      <c r="R34" s="92">
        <f>58.25*E34</f>
        <v>14387.75</v>
      </c>
      <c r="S34" s="98">
        <f>-35*E34</f>
        <v>-8645</v>
      </c>
      <c r="T34" s="98">
        <v>2250</v>
      </c>
      <c r="U34" s="92">
        <f>E34*5</f>
        <v>1235</v>
      </c>
      <c r="V34" s="13"/>
      <c r="W34" s="92">
        <f>((O34*F34)+Q34+R34+S34+U34)/G34</f>
        <v>25.1114679822795</v>
      </c>
      <c r="X34" s="92">
        <f>((O34*F34)+Q34+R34+S34+T34+U34)/G34</f>
        <v>25.202084172372132</v>
      </c>
      <c r="Y34" s="92">
        <f t="shared" si="3"/>
        <v>795029.07631896902</v>
      </c>
      <c r="Z34" s="94">
        <v>41414</v>
      </c>
      <c r="AA34" s="127">
        <v>24.7</v>
      </c>
      <c r="AB34" s="81">
        <v>26</v>
      </c>
    </row>
    <row r="35" spans="1:28" s="81" customFormat="1">
      <c r="A35" s="151"/>
      <c r="B35" s="96" t="s">
        <v>21</v>
      </c>
      <c r="C35" s="96" t="s">
        <v>46</v>
      </c>
      <c r="D35" s="96" t="s">
        <v>52</v>
      </c>
      <c r="E35" s="13">
        <v>143</v>
      </c>
      <c r="F35" s="95">
        <v>12180</v>
      </c>
      <c r="G35" s="90">
        <v>12180</v>
      </c>
      <c r="H35" s="90">
        <f t="shared" si="2"/>
        <v>0</v>
      </c>
      <c r="I35" s="96" t="s">
        <v>118</v>
      </c>
      <c r="J35" s="13"/>
      <c r="K35" s="91"/>
      <c r="L35" s="91">
        <v>41406</v>
      </c>
      <c r="M35" s="96" t="s">
        <v>42</v>
      </c>
      <c r="N35" s="13"/>
      <c r="O35" s="92">
        <v>25.5</v>
      </c>
      <c r="P35" s="93"/>
      <c r="Q35" s="92"/>
      <c r="R35" s="92"/>
      <c r="S35" s="98"/>
      <c r="T35" s="98"/>
      <c r="U35" s="92">
        <f>E35*5</f>
        <v>715</v>
      </c>
      <c r="W35" s="92">
        <f>((O35*F35)+Q35+R35+S35+U35)/G35</f>
        <v>25.55870279146141</v>
      </c>
      <c r="X35" s="92">
        <f>((O35*F35)+R35+S35+T35+U35)/G35</f>
        <v>25.55870279146141</v>
      </c>
      <c r="Y35" s="92">
        <f t="shared" si="3"/>
        <v>311305</v>
      </c>
      <c r="Z35" s="94">
        <v>41414</v>
      </c>
      <c r="AB35" s="74"/>
    </row>
    <row r="36" spans="1:28" s="81" customFormat="1" ht="15.75" thickBot="1">
      <c r="A36" s="151"/>
      <c r="B36" s="100"/>
      <c r="C36" s="83"/>
      <c r="D36" s="83"/>
      <c r="E36" s="83"/>
      <c r="F36" s="84"/>
      <c r="G36" s="84"/>
      <c r="H36" s="84"/>
      <c r="I36" s="85"/>
      <c r="J36" s="83"/>
      <c r="K36" s="86"/>
      <c r="L36" s="86"/>
      <c r="M36" s="83"/>
      <c r="N36" s="83"/>
      <c r="O36" s="87"/>
      <c r="P36" s="88"/>
      <c r="Q36" s="87"/>
      <c r="R36" s="87"/>
      <c r="S36" s="87"/>
      <c r="T36" s="87"/>
      <c r="U36" s="87"/>
      <c r="V36" s="87"/>
      <c r="W36" s="87"/>
      <c r="X36" s="87"/>
      <c r="Y36" s="87"/>
      <c r="Z36" s="101"/>
      <c r="AA36" s="74"/>
    </row>
    <row r="37" spans="1:28" s="81" customFormat="1">
      <c r="A37" s="153"/>
      <c r="B37" s="102" t="s">
        <v>21</v>
      </c>
      <c r="C37" s="72" t="s">
        <v>39</v>
      </c>
      <c r="D37" s="72" t="s">
        <v>119</v>
      </c>
      <c r="E37" s="72">
        <f>190+60</f>
        <v>250</v>
      </c>
      <c r="F37" s="140">
        <f>19680+7105</f>
        <v>26785</v>
      </c>
      <c r="G37" s="140">
        <f>10380+4070+6410</f>
        <v>20860</v>
      </c>
      <c r="H37" s="145">
        <f t="shared" ref="H37:H53" si="4">G37-F37</f>
        <v>-5925</v>
      </c>
      <c r="I37" s="72" t="s">
        <v>120</v>
      </c>
      <c r="J37" s="72"/>
      <c r="K37" s="103"/>
      <c r="L37" s="103">
        <v>41407</v>
      </c>
      <c r="M37" s="72" t="s">
        <v>22</v>
      </c>
      <c r="N37" s="72"/>
      <c r="O37" s="104">
        <v>19</v>
      </c>
      <c r="P37" s="105"/>
      <c r="Q37" s="104">
        <v>15000</v>
      </c>
      <c r="R37" s="104">
        <f>58.25*E37</f>
        <v>14562.5</v>
      </c>
      <c r="S37" s="106">
        <f>-35*E37</f>
        <v>-8750</v>
      </c>
      <c r="T37" s="106">
        <v>2250</v>
      </c>
      <c r="U37" s="104">
        <f>E37*5</f>
        <v>1250</v>
      </c>
      <c r="V37" s="72"/>
      <c r="W37" s="104">
        <f>((O37*F37)+Q37+R37+S37+U37)/G37</f>
        <v>25.45433844678811</v>
      </c>
      <c r="X37" s="104">
        <f>((O37*F37)+Q37+R37+S37+T37+U37)/G37</f>
        <v>25.562200383509108</v>
      </c>
      <c r="Y37" s="104">
        <f t="shared" ref="Y37:Y53" si="5">W37*F37</f>
        <v>681794.45529721957</v>
      </c>
      <c r="Z37" s="107">
        <v>41414</v>
      </c>
      <c r="AA37" s="127">
        <v>24.9</v>
      </c>
      <c r="AB37" s="81">
        <v>26.5</v>
      </c>
    </row>
    <row r="38" spans="1:28" s="81" customFormat="1">
      <c r="A38" s="154"/>
      <c r="B38" s="89" t="s">
        <v>35</v>
      </c>
      <c r="C38" s="13" t="s">
        <v>70</v>
      </c>
      <c r="D38" s="13" t="s">
        <v>45</v>
      </c>
      <c r="E38" s="13" t="s">
        <v>36</v>
      </c>
      <c r="F38" s="95">
        <f>18349.17+449.97</f>
        <v>18799.14</v>
      </c>
      <c r="G38" s="90">
        <v>18775.599999999999</v>
      </c>
      <c r="H38" s="90">
        <f t="shared" si="4"/>
        <v>-23.540000000000873</v>
      </c>
      <c r="I38" s="163" t="s">
        <v>121</v>
      </c>
      <c r="J38" s="164"/>
      <c r="K38" s="91">
        <v>41404</v>
      </c>
      <c r="L38" s="91">
        <v>41407</v>
      </c>
      <c r="M38" s="96" t="s">
        <v>22</v>
      </c>
      <c r="N38" s="96" t="s">
        <v>122</v>
      </c>
      <c r="O38" s="92"/>
      <c r="P38" s="93">
        <v>1.887</v>
      </c>
      <c r="Q38" s="92"/>
      <c r="R38" s="92"/>
      <c r="S38" s="98">
        <v>12.17</v>
      </c>
      <c r="T38" s="98"/>
      <c r="U38" s="92"/>
      <c r="V38" s="92"/>
      <c r="W38" s="92">
        <f>IF(O38&gt;0,O38,((P38*S38)+(Q38+R38)/G38)+V38)</f>
        <v>22.964790000000001</v>
      </c>
      <c r="X38" s="92">
        <f>IF(O38&gt;0,O38,((P38*S38)+(Q38+R38+T38)/G38)+V38)</f>
        <v>22.964790000000001</v>
      </c>
      <c r="Y38" s="92">
        <f t="shared" si="5"/>
        <v>431718.30228060001</v>
      </c>
      <c r="Z38" s="94">
        <v>41407</v>
      </c>
      <c r="AA38" s="127"/>
    </row>
    <row r="39" spans="1:28" s="81" customFormat="1">
      <c r="A39" s="154"/>
      <c r="B39" s="89" t="s">
        <v>23</v>
      </c>
      <c r="C39" s="96" t="s">
        <v>24</v>
      </c>
      <c r="D39" s="96" t="s">
        <v>25</v>
      </c>
      <c r="E39" s="13" t="s">
        <v>37</v>
      </c>
      <c r="F39" s="95">
        <f>42814*0.4536</f>
        <v>19420.430400000001</v>
      </c>
      <c r="G39" s="90">
        <v>19312.96</v>
      </c>
      <c r="H39" s="90">
        <f t="shared" si="4"/>
        <v>-107.47040000000197</v>
      </c>
      <c r="I39" s="96" t="s">
        <v>123</v>
      </c>
      <c r="J39" s="74"/>
      <c r="K39" s="91">
        <v>41404</v>
      </c>
      <c r="L39" s="91">
        <v>41405</v>
      </c>
      <c r="M39" s="96" t="s">
        <v>33</v>
      </c>
      <c r="N39" s="13" t="s">
        <v>122</v>
      </c>
      <c r="O39" s="92"/>
      <c r="P39" s="146">
        <v>0.85609999999999997</v>
      </c>
      <c r="Q39" s="92"/>
      <c r="R39" s="92"/>
      <c r="S39" s="98">
        <v>12.154999999999999</v>
      </c>
      <c r="T39" s="98"/>
      <c r="U39" s="92"/>
      <c r="V39" s="92"/>
      <c r="W39" s="92">
        <f>((P39*2.2046*S39)+(Q39*S39)/G39)</f>
        <v>22.940837219299997</v>
      </c>
      <c r="X39" s="92">
        <f>IF(O39&gt;0,O39,((P39*2.2046*S39)+(Q39+R39+U39)/G39)+V39)</f>
        <v>22.940837219299997</v>
      </c>
      <c r="Y39" s="92">
        <f t="shared" si="5"/>
        <v>445520.93253514514</v>
      </c>
      <c r="Z39" s="94">
        <v>41407</v>
      </c>
      <c r="AA39" s="127"/>
    </row>
    <row r="40" spans="1:28" s="81" customFormat="1">
      <c r="A40" s="154"/>
      <c r="B40" s="89" t="s">
        <v>53</v>
      </c>
      <c r="C40" s="96" t="s">
        <v>54</v>
      </c>
      <c r="D40" s="96" t="s">
        <v>55</v>
      </c>
      <c r="E40" s="13" t="s">
        <v>124</v>
      </c>
      <c r="F40" s="95">
        <v>3008.24</v>
      </c>
      <c r="G40" s="90">
        <v>3008.24</v>
      </c>
      <c r="H40" s="90">
        <f t="shared" si="4"/>
        <v>0</v>
      </c>
      <c r="I40" s="96" t="s">
        <v>125</v>
      </c>
      <c r="J40" s="74"/>
      <c r="K40" s="91"/>
      <c r="L40" s="91">
        <v>41407</v>
      </c>
      <c r="M40" s="96" t="s">
        <v>22</v>
      </c>
      <c r="N40" s="13"/>
      <c r="O40" s="92">
        <v>56</v>
      </c>
      <c r="P40" s="146"/>
      <c r="Q40" s="92"/>
      <c r="R40" s="92"/>
      <c r="S40" s="98"/>
      <c r="T40" s="98"/>
      <c r="U40" s="92"/>
      <c r="V40" s="92"/>
      <c r="W40" s="92">
        <f>IF(O40&gt;0,O40,((P40*2.2046*S40)+(Q40+R40)/G40)+V40)</f>
        <v>56</v>
      </c>
      <c r="X40" s="92">
        <f>IF(O40&gt;0,O40,((P40*2.2046*S40)+(Q40+R40+T40)/G40)+V40)</f>
        <v>56</v>
      </c>
      <c r="Y40" s="92">
        <f t="shared" si="5"/>
        <v>168461.44</v>
      </c>
      <c r="Z40" s="94">
        <v>41414</v>
      </c>
      <c r="AA40" s="127"/>
    </row>
    <row r="41" spans="1:28" s="81" customFormat="1">
      <c r="A41" s="154"/>
      <c r="B41" s="89" t="s">
        <v>21</v>
      </c>
      <c r="C41" s="13" t="s">
        <v>39</v>
      </c>
      <c r="D41" s="13" t="s">
        <v>126</v>
      </c>
      <c r="E41" s="13">
        <f>190+60</f>
        <v>250</v>
      </c>
      <c r="F41" s="95">
        <f>22195+7530</f>
        <v>29725</v>
      </c>
      <c r="G41" s="90">
        <f>4610+19070</f>
        <v>23680</v>
      </c>
      <c r="H41" s="90">
        <f t="shared" si="4"/>
        <v>-6045</v>
      </c>
      <c r="I41" s="96" t="s">
        <v>127</v>
      </c>
      <c r="J41" s="13"/>
      <c r="K41" s="91"/>
      <c r="L41" s="91">
        <v>41408</v>
      </c>
      <c r="M41" s="96" t="s">
        <v>27</v>
      </c>
      <c r="N41" s="13"/>
      <c r="O41" s="92">
        <v>19</v>
      </c>
      <c r="P41" s="93"/>
      <c r="Q41" s="92">
        <v>15000</v>
      </c>
      <c r="R41" s="92">
        <f>58.25*E41</f>
        <v>14562.5</v>
      </c>
      <c r="S41" s="98">
        <f>-35*E41</f>
        <v>-8750</v>
      </c>
      <c r="T41" s="98">
        <v>2250</v>
      </c>
      <c r="U41" s="92">
        <f>E41*5</f>
        <v>1250</v>
      </c>
      <c r="V41" s="13"/>
      <c r="W41" s="92">
        <f>((O41*F41)+Q41+R41+S41+U41)/G41</f>
        <v>24.78198902027027</v>
      </c>
      <c r="X41" s="92">
        <f>((O41*F41)+Q41+R41+S41+T41+U41)/G41</f>
        <v>24.877005912162161</v>
      </c>
      <c r="Y41" s="92">
        <f t="shared" si="5"/>
        <v>736644.62362753379</v>
      </c>
      <c r="Z41" s="94">
        <v>41414</v>
      </c>
      <c r="AA41" s="127">
        <v>24.8</v>
      </c>
      <c r="AB41" s="81">
        <v>26.5</v>
      </c>
    </row>
    <row r="42" spans="1:28" s="81" customFormat="1">
      <c r="A42" s="154"/>
      <c r="B42" s="89" t="s">
        <v>23</v>
      </c>
      <c r="C42" s="13" t="s">
        <v>29</v>
      </c>
      <c r="D42" s="13" t="s">
        <v>29</v>
      </c>
      <c r="E42" s="13" t="s">
        <v>36</v>
      </c>
      <c r="F42" s="95">
        <f>41058*0.4536</f>
        <v>18623.908800000001</v>
      </c>
      <c r="G42" s="90">
        <v>18493.310000000001</v>
      </c>
      <c r="H42" s="90">
        <f t="shared" si="4"/>
        <v>-130.59879999999976</v>
      </c>
      <c r="I42" s="96" t="s">
        <v>128</v>
      </c>
      <c r="J42" s="97" t="s">
        <v>30</v>
      </c>
      <c r="K42" s="91">
        <v>41407</v>
      </c>
      <c r="L42" s="91">
        <v>41408</v>
      </c>
      <c r="M42" s="96" t="s">
        <v>28</v>
      </c>
      <c r="N42" s="96" t="s">
        <v>129</v>
      </c>
      <c r="O42" s="92"/>
      <c r="P42" s="146">
        <v>0.81630000000000003</v>
      </c>
      <c r="Q42" s="92">
        <v>17000</v>
      </c>
      <c r="R42" s="92">
        <v>7580</v>
      </c>
      <c r="S42" s="98">
        <v>12.17</v>
      </c>
      <c r="T42" s="99">
        <f>W42*F42*0.005</f>
        <v>2172.5202690832139</v>
      </c>
      <c r="V42" s="92">
        <v>0.1</v>
      </c>
      <c r="W42" s="92">
        <f>IF(O42&gt;0,O42,((P42*2.2046*S42)+(Q42+R42)/G42)+V42)</f>
        <v>23.330443597138039</v>
      </c>
      <c r="X42" s="92">
        <f>IF(O42&gt;0,O42,((P42*2.2046*S42)+(Q42+R42+T42)/G42)+V42)</f>
        <v>23.447919607061802</v>
      </c>
      <c r="Y42" s="92">
        <f t="shared" si="5"/>
        <v>434504.05381664279</v>
      </c>
      <c r="Z42" s="94">
        <v>41409</v>
      </c>
      <c r="AA42" s="74"/>
    </row>
    <row r="43" spans="1:28" s="81" customFormat="1">
      <c r="A43" s="154"/>
      <c r="B43" s="89" t="s">
        <v>23</v>
      </c>
      <c r="C43" s="13" t="s">
        <v>29</v>
      </c>
      <c r="D43" s="13" t="s">
        <v>29</v>
      </c>
      <c r="E43" s="13" t="s">
        <v>26</v>
      </c>
      <c r="F43" s="95">
        <f>39825*0.4536</f>
        <v>18064.62</v>
      </c>
      <c r="G43" s="90">
        <v>18042.16</v>
      </c>
      <c r="H43" s="90">
        <f t="shared" si="4"/>
        <v>-22.459999999999127</v>
      </c>
      <c r="I43" s="96" t="s">
        <v>130</v>
      </c>
      <c r="J43" s="97" t="s">
        <v>30</v>
      </c>
      <c r="K43" s="91">
        <v>41407</v>
      </c>
      <c r="L43" s="91">
        <v>41408</v>
      </c>
      <c r="M43" s="96" t="s">
        <v>28</v>
      </c>
      <c r="N43" s="96" t="s">
        <v>129</v>
      </c>
      <c r="O43" s="92"/>
      <c r="P43" s="146">
        <v>0.81630000000000003</v>
      </c>
      <c r="Q43" s="92">
        <v>17000</v>
      </c>
      <c r="R43" s="92">
        <v>7580</v>
      </c>
      <c r="S43" s="98">
        <v>12.17</v>
      </c>
      <c r="T43" s="99">
        <f>W43*F43*0.005</f>
        <v>2110.2799057904726</v>
      </c>
      <c r="V43" s="92">
        <v>0.1</v>
      </c>
      <c r="W43" s="92">
        <f>IF(O43&gt;0,O43,((P43*2.2046*S43)+(Q43+R43)/G43)+V43)</f>
        <v>23.363678901526551</v>
      </c>
      <c r="X43" s="92">
        <f>IF(O43&gt;0,O43,((P43*2.2046*S43)+(Q43+R43+T43)/G43)+V43)</f>
        <v>23.480642718818409</v>
      </c>
      <c r="Y43" s="92">
        <f t="shared" si="5"/>
        <v>422055.98115809454</v>
      </c>
      <c r="Z43" s="94">
        <v>41409</v>
      </c>
      <c r="AA43" s="74"/>
    </row>
    <row r="44" spans="1:28" s="81" customFormat="1">
      <c r="A44" s="154"/>
      <c r="B44" s="89" t="s">
        <v>21</v>
      </c>
      <c r="C44" s="13" t="s">
        <v>39</v>
      </c>
      <c r="D44" s="13" t="s">
        <v>131</v>
      </c>
      <c r="E44" s="13">
        <f>190+60</f>
        <v>250</v>
      </c>
      <c r="F44" s="95">
        <f>23365+6620</f>
        <v>29985</v>
      </c>
      <c r="G44" s="90">
        <f>11230+4750+7360</f>
        <v>23340</v>
      </c>
      <c r="H44" s="90">
        <f t="shared" si="4"/>
        <v>-6645</v>
      </c>
      <c r="I44" s="96" t="s">
        <v>132</v>
      </c>
      <c r="J44" s="13"/>
      <c r="K44" s="91"/>
      <c r="L44" s="91">
        <v>41409</v>
      </c>
      <c r="M44" s="96" t="s">
        <v>28</v>
      </c>
      <c r="N44" s="13"/>
      <c r="O44" s="92">
        <v>19.3</v>
      </c>
      <c r="P44" s="93"/>
      <c r="Q44" s="92">
        <v>15000</v>
      </c>
      <c r="R44" s="92">
        <f>58.25*E44</f>
        <v>14562.5</v>
      </c>
      <c r="S44" s="98">
        <f>-35*E44</f>
        <v>-8750</v>
      </c>
      <c r="T44" s="98">
        <v>2250</v>
      </c>
      <c r="U44" s="92">
        <f>E44*5</f>
        <v>1250</v>
      </c>
      <c r="V44" s="13"/>
      <c r="W44" s="92">
        <f>((O44*F44)+Q44+R44+S44+U44)/G44</f>
        <v>25.740059982862039</v>
      </c>
      <c r="X44" s="92">
        <f>((O44*F44)+Q44+R44+S44+T44+U44)/G44</f>
        <v>25.836461011139676</v>
      </c>
      <c r="Y44" s="92">
        <f t="shared" si="5"/>
        <v>771815.69858611829</v>
      </c>
      <c r="Z44" s="94">
        <v>41415</v>
      </c>
      <c r="AA44" s="127">
        <v>25.3</v>
      </c>
      <c r="AB44" s="81">
        <v>27</v>
      </c>
    </row>
    <row r="45" spans="1:28" s="81" customFormat="1">
      <c r="A45" s="154"/>
      <c r="B45" s="89" t="s">
        <v>21</v>
      </c>
      <c r="C45" s="13" t="s">
        <v>46</v>
      </c>
      <c r="D45" s="13" t="s">
        <v>52</v>
      </c>
      <c r="E45" s="13">
        <v>144</v>
      </c>
      <c r="F45" s="95">
        <v>11800</v>
      </c>
      <c r="G45" s="90">
        <v>11800</v>
      </c>
      <c r="H45" s="90">
        <f t="shared" si="4"/>
        <v>0</v>
      </c>
      <c r="I45" s="96" t="s">
        <v>133</v>
      </c>
      <c r="J45" s="13"/>
      <c r="K45" s="91"/>
      <c r="L45" s="91">
        <v>41409</v>
      </c>
      <c r="M45" s="96" t="s">
        <v>28</v>
      </c>
      <c r="N45" s="13"/>
      <c r="O45" s="92">
        <v>26.2</v>
      </c>
      <c r="P45" s="93"/>
      <c r="Q45" s="92"/>
      <c r="R45" s="92"/>
      <c r="S45" s="98"/>
      <c r="T45" s="99"/>
      <c r="U45" s="74"/>
      <c r="V45" s="92"/>
      <c r="W45" s="92">
        <f>IF(O45&gt;0,O45,((P45*2.2046*S45)+(Q45+R45)/G45)+V45)</f>
        <v>26.2</v>
      </c>
      <c r="X45" s="92">
        <f>IF(O45&gt;0,O45,((P45*2.2046*S45)+(Q45+R45+T45)/G45)+V45)</f>
        <v>26.2</v>
      </c>
      <c r="Y45" s="92">
        <f t="shared" si="5"/>
        <v>309160</v>
      </c>
      <c r="Z45" s="94">
        <v>41416</v>
      </c>
      <c r="AA45" s="127"/>
    </row>
    <row r="46" spans="1:28" s="81" customFormat="1">
      <c r="A46" s="154"/>
      <c r="B46" s="89" t="s">
        <v>23</v>
      </c>
      <c r="C46" s="96" t="s">
        <v>24</v>
      </c>
      <c r="D46" s="96" t="s">
        <v>25</v>
      </c>
      <c r="E46" s="13" t="s">
        <v>37</v>
      </c>
      <c r="F46" s="95">
        <f>42808*0.4536</f>
        <v>19417.7088</v>
      </c>
      <c r="G46" s="90">
        <v>19289.29</v>
      </c>
      <c r="H46" s="90">
        <f t="shared" si="4"/>
        <v>-128.41879999999946</v>
      </c>
      <c r="I46" s="96" t="s">
        <v>134</v>
      </c>
      <c r="K46" s="91">
        <v>41408</v>
      </c>
      <c r="L46" s="91">
        <v>41409</v>
      </c>
      <c r="M46" s="96" t="s">
        <v>28</v>
      </c>
      <c r="N46" s="13" t="s">
        <v>135</v>
      </c>
      <c r="O46" s="92"/>
      <c r="P46" s="146">
        <v>0.87129999999999996</v>
      </c>
      <c r="Q46" s="92"/>
      <c r="R46" s="92"/>
      <c r="S46" s="98">
        <v>12.26</v>
      </c>
      <c r="T46" s="98"/>
      <c r="U46" s="92"/>
      <c r="V46" s="92"/>
      <c r="W46" s="92">
        <f>((P46*2.2046*S46)+(Q46*S46)/G46)</f>
        <v>23.549841434799998</v>
      </c>
      <c r="X46" s="92">
        <f>IF(O46&gt;0,O46,((P46*2.2046*S46)+(Q46+R46+U46)/G46)+V46)</f>
        <v>23.549841434799998</v>
      </c>
      <c r="Y46" s="92">
        <f t="shared" si="5"/>
        <v>457283.96326712053</v>
      </c>
      <c r="Z46" s="94">
        <v>41409</v>
      </c>
      <c r="AA46" s="127"/>
    </row>
    <row r="47" spans="1:28" s="81" customFormat="1">
      <c r="A47" s="154"/>
      <c r="B47" s="89" t="s">
        <v>21</v>
      </c>
      <c r="C47" s="13" t="s">
        <v>39</v>
      </c>
      <c r="D47" s="13" t="s">
        <v>136</v>
      </c>
      <c r="E47" s="13">
        <f>190+60</f>
        <v>250</v>
      </c>
      <c r="F47" s="95">
        <f>16940+7240</f>
        <v>24180</v>
      </c>
      <c r="G47" s="90">
        <f>13890+4980</f>
        <v>18870</v>
      </c>
      <c r="H47" s="90">
        <f t="shared" si="4"/>
        <v>-5310</v>
      </c>
      <c r="I47" s="96" t="s">
        <v>137</v>
      </c>
      <c r="J47" s="13"/>
      <c r="K47" s="91"/>
      <c r="L47" s="91">
        <v>41410</v>
      </c>
      <c r="M47" s="96" t="s">
        <v>31</v>
      </c>
      <c r="N47" s="13"/>
      <c r="O47" s="92">
        <v>19.3</v>
      </c>
      <c r="P47" s="93"/>
      <c r="Q47" s="92">
        <v>15000</v>
      </c>
      <c r="R47" s="92">
        <f>58.25*E47</f>
        <v>14562.5</v>
      </c>
      <c r="S47" s="98">
        <f>-35*E47</f>
        <v>-8750</v>
      </c>
      <c r="T47" s="98">
        <v>2250</v>
      </c>
      <c r="U47" s="92">
        <f>E47*5</f>
        <v>1250</v>
      </c>
      <c r="V47" s="13"/>
      <c r="W47" s="92">
        <f>((O47*F47)+Q47+R47+S47+U47)/G47</f>
        <v>25.900185479597244</v>
      </c>
      <c r="X47" s="92">
        <f>((O47*F47)+Q47+R47+S47+T47+U47)/G47</f>
        <v>26.019422363540009</v>
      </c>
      <c r="Y47" s="92">
        <f t="shared" si="5"/>
        <v>626266.48489666136</v>
      </c>
      <c r="Z47" s="94">
        <v>41416</v>
      </c>
      <c r="AA47" s="127">
        <v>25.3</v>
      </c>
      <c r="AB47" s="81">
        <v>27</v>
      </c>
    </row>
    <row r="48" spans="1:28" s="81" customFormat="1">
      <c r="A48" s="154"/>
      <c r="B48" s="89" t="s">
        <v>23</v>
      </c>
      <c r="C48" s="13" t="s">
        <v>29</v>
      </c>
      <c r="D48" s="13" t="s">
        <v>29</v>
      </c>
      <c r="E48" s="13" t="s">
        <v>26</v>
      </c>
      <c r="F48" s="95">
        <f>39265*0.4536</f>
        <v>17810.603999999999</v>
      </c>
      <c r="G48" s="90">
        <v>17835.849999999999</v>
      </c>
      <c r="H48" s="90">
        <f t="shared" si="4"/>
        <v>25.245999999999185</v>
      </c>
      <c r="I48" s="96" t="s">
        <v>138</v>
      </c>
      <c r="J48" s="97" t="s">
        <v>30</v>
      </c>
      <c r="K48" s="91">
        <v>41409</v>
      </c>
      <c r="L48" s="91">
        <v>41410</v>
      </c>
      <c r="M48" s="96" t="s">
        <v>31</v>
      </c>
      <c r="N48" s="96" t="s">
        <v>139</v>
      </c>
      <c r="O48" s="92"/>
      <c r="P48" s="146">
        <v>0.80479999999999996</v>
      </c>
      <c r="Q48" s="92">
        <v>17000</v>
      </c>
      <c r="R48" s="92">
        <v>7580</v>
      </c>
      <c r="S48" s="98">
        <v>12.27</v>
      </c>
      <c r="T48" s="99">
        <f>W48*F48*0.005</f>
        <v>2070.3330164986578</v>
      </c>
      <c r="V48" s="92">
        <v>0.1</v>
      </c>
      <c r="W48" s="92">
        <f>IF(O48&gt;0,O48,((P48*2.2046*S48)+(Q48+R48)/G48)+V48)</f>
        <v>23.248318995792147</v>
      </c>
      <c r="X48" s="92">
        <f>IF(O48&gt;0,O48,((P48*2.2046*S48)+(Q48+R48+T48)/G48)+V48)</f>
        <v>23.364396055001475</v>
      </c>
      <c r="Y48" s="92">
        <f t="shared" si="5"/>
        <v>414066.60329973156</v>
      </c>
      <c r="Z48" s="94">
        <v>41410</v>
      </c>
      <c r="AA48" s="74"/>
    </row>
    <row r="49" spans="1:28" s="81" customFormat="1">
      <c r="A49" s="154"/>
      <c r="B49" s="89" t="s">
        <v>23</v>
      </c>
      <c r="C49" s="96" t="s">
        <v>24</v>
      </c>
      <c r="D49" s="96" t="s">
        <v>24</v>
      </c>
      <c r="E49" s="13" t="s">
        <v>37</v>
      </c>
      <c r="F49" s="95">
        <f>42784*0.4536</f>
        <v>19406.822400000001</v>
      </c>
      <c r="G49" s="90">
        <v>19331.14</v>
      </c>
      <c r="H49" s="90">
        <f t="shared" si="4"/>
        <v>-75.682400000001508</v>
      </c>
      <c r="I49" s="96" t="s">
        <v>140</v>
      </c>
      <c r="J49" s="97" t="s">
        <v>57</v>
      </c>
      <c r="K49" s="91">
        <v>41409</v>
      </c>
      <c r="L49" s="91">
        <v>41410</v>
      </c>
      <c r="M49" s="96" t="s">
        <v>31</v>
      </c>
      <c r="N49" s="13" t="s">
        <v>141</v>
      </c>
      <c r="O49" s="92"/>
      <c r="P49" s="146">
        <v>0.79979999999999996</v>
      </c>
      <c r="Q49" s="92">
        <v>17000</v>
      </c>
      <c r="R49" s="92">
        <v>7580</v>
      </c>
      <c r="S49" s="98">
        <v>12.018000000000001</v>
      </c>
      <c r="T49" s="99">
        <f>W49*F49*0.005</f>
        <v>2189.2963295229838</v>
      </c>
      <c r="V49" s="92">
        <v>0.1</v>
      </c>
      <c r="W49" s="92">
        <f>IF(O49&gt;0,O49,((P49*2.2046*S49)+(Q49+R49)/G49)+V49)</f>
        <v>22.562130825940713</v>
      </c>
      <c r="X49" s="92">
        <f>IF(O49&gt;0,O49,((P49*2.2046*S49)+(Q49+R49+T49)/G49)+V49)</f>
        <v>22.675383139540582</v>
      </c>
      <c r="Y49" s="92">
        <f t="shared" si="5"/>
        <v>437859.26590459677</v>
      </c>
      <c r="Z49" s="94">
        <v>41410</v>
      </c>
      <c r="AA49" s="127"/>
      <c r="AB49" s="81">
        <v>23.3</v>
      </c>
    </row>
    <row r="50" spans="1:28" s="81" customFormat="1">
      <c r="A50" s="154"/>
      <c r="B50" s="96" t="s">
        <v>21</v>
      </c>
      <c r="C50" s="96" t="s">
        <v>46</v>
      </c>
      <c r="D50" s="96" t="s">
        <v>52</v>
      </c>
      <c r="E50" s="13">
        <v>144</v>
      </c>
      <c r="F50" s="95">
        <v>13550</v>
      </c>
      <c r="G50" s="90">
        <v>13550</v>
      </c>
      <c r="H50" s="90">
        <f t="shared" si="4"/>
        <v>0</v>
      </c>
      <c r="I50" s="96" t="s">
        <v>142</v>
      </c>
      <c r="J50" s="13"/>
      <c r="K50" s="91"/>
      <c r="L50" s="91">
        <v>41411</v>
      </c>
      <c r="M50" s="96" t="s">
        <v>32</v>
      </c>
      <c r="N50" s="13"/>
      <c r="O50" s="92">
        <v>26.2</v>
      </c>
      <c r="P50" s="146"/>
      <c r="Q50" s="92"/>
      <c r="R50" s="92"/>
      <c r="S50" s="98"/>
      <c r="T50" s="98"/>
      <c r="U50" s="92">
        <f>E50*5</f>
        <v>720</v>
      </c>
      <c r="W50" s="92">
        <f>((O50*F50)+Q50+R50+S50+U50)/G50</f>
        <v>26.253136531365314</v>
      </c>
      <c r="X50" s="92">
        <f>((O50*F50)+R50+S50+T50+U50)/G50</f>
        <v>26.253136531365314</v>
      </c>
      <c r="Y50" s="92">
        <f t="shared" si="5"/>
        <v>355730</v>
      </c>
      <c r="Z50" s="94">
        <v>41418</v>
      </c>
      <c r="AB50" s="74"/>
    </row>
    <row r="51" spans="1:28" s="81" customFormat="1">
      <c r="A51" s="154"/>
      <c r="B51" s="89" t="s">
        <v>21</v>
      </c>
      <c r="C51" s="13" t="s">
        <v>39</v>
      </c>
      <c r="D51" s="13" t="s">
        <v>91</v>
      </c>
      <c r="E51" s="13">
        <f>190+60</f>
        <v>250</v>
      </c>
      <c r="F51" s="95">
        <f>21170+6980</f>
        <v>28150</v>
      </c>
      <c r="G51" s="90">
        <f>15760+6190</f>
        <v>21950</v>
      </c>
      <c r="H51" s="90">
        <f t="shared" si="4"/>
        <v>-6200</v>
      </c>
      <c r="I51" s="96" t="s">
        <v>143</v>
      </c>
      <c r="J51" s="13"/>
      <c r="K51" s="91"/>
      <c r="L51" s="91">
        <v>41411</v>
      </c>
      <c r="M51" s="96" t="s">
        <v>32</v>
      </c>
      <c r="N51" s="13"/>
      <c r="O51" s="92">
        <v>19.3</v>
      </c>
      <c r="P51" s="146"/>
      <c r="Q51" s="92">
        <v>15000</v>
      </c>
      <c r="R51" s="92">
        <f>58.25*E51</f>
        <v>14562.5</v>
      </c>
      <c r="S51" s="98">
        <f>-35*E51</f>
        <v>-8750</v>
      </c>
      <c r="T51" s="98">
        <v>2250</v>
      </c>
      <c r="U51" s="92">
        <f>E51*5</f>
        <v>1250</v>
      </c>
      <c r="V51" s="13"/>
      <c r="W51" s="92">
        <f>((O51*F51)+Q51+R51+S51+U51)/G51</f>
        <v>25.756605922551252</v>
      </c>
      <c r="X51" s="92">
        <f>((O51*F51)+Q51+R51+S51+T51+U51)/G51</f>
        <v>25.859111617312074</v>
      </c>
      <c r="Y51" s="92">
        <f t="shared" si="5"/>
        <v>725048.45671981771</v>
      </c>
      <c r="Z51" s="94">
        <v>41417</v>
      </c>
      <c r="AA51" s="127">
        <v>25.3</v>
      </c>
      <c r="AB51" s="81">
        <v>27</v>
      </c>
    </row>
    <row r="52" spans="1:28" s="81" customFormat="1">
      <c r="A52" s="154"/>
      <c r="B52" s="89" t="s">
        <v>35</v>
      </c>
      <c r="C52" s="13" t="s">
        <v>24</v>
      </c>
      <c r="D52" s="13" t="s">
        <v>24</v>
      </c>
      <c r="E52" s="13" t="s">
        <v>37</v>
      </c>
      <c r="F52" s="95">
        <f>42750*0.4536</f>
        <v>19391.400000000001</v>
      </c>
      <c r="G52" s="90">
        <v>19293.93</v>
      </c>
      <c r="H52" s="90">
        <f t="shared" si="4"/>
        <v>-97.470000000001164</v>
      </c>
      <c r="I52" s="96" t="s">
        <v>144</v>
      </c>
      <c r="J52" s="97" t="s">
        <v>30</v>
      </c>
      <c r="K52" s="91">
        <v>41411</v>
      </c>
      <c r="L52" s="91">
        <v>41412</v>
      </c>
      <c r="M52" s="96" t="s">
        <v>33</v>
      </c>
      <c r="N52" s="96" t="s">
        <v>145</v>
      </c>
      <c r="O52" s="92"/>
      <c r="P52" s="146">
        <v>0.79959999999999998</v>
      </c>
      <c r="Q52" s="92">
        <v>17000</v>
      </c>
      <c r="R52" s="92">
        <v>7580</v>
      </c>
      <c r="S52" s="98">
        <v>12.17</v>
      </c>
      <c r="T52" s="99">
        <f>W52*F52*0.005</f>
        <v>2213.2596821017728</v>
      </c>
      <c r="V52" s="92">
        <v>0.1</v>
      </c>
      <c r="W52" s="92">
        <f>IF(O52&gt;0,O52,((P52*2.2046*S52)+(Q52+R52)/G52)+V52)</f>
        <v>22.827229412025666</v>
      </c>
      <c r="X52" s="92">
        <f>IF(O52&gt;0,O52,((P52*2.2046*S52)+(Q52+R52+T52)/G52)+V52)</f>
        <v>22.941942157542094</v>
      </c>
      <c r="Y52" s="92">
        <f t="shared" si="5"/>
        <v>442651.93642035453</v>
      </c>
      <c r="Z52" s="94">
        <v>41412</v>
      </c>
      <c r="AA52" s="127"/>
      <c r="AB52" s="81">
        <v>23</v>
      </c>
    </row>
    <row r="53" spans="1:28" s="81" customFormat="1">
      <c r="A53" s="154"/>
      <c r="B53" s="89" t="s">
        <v>21</v>
      </c>
      <c r="C53" s="13" t="s">
        <v>39</v>
      </c>
      <c r="D53" s="13" t="s">
        <v>116</v>
      </c>
      <c r="E53" s="13">
        <v>250</v>
      </c>
      <c r="F53" s="95">
        <f>13530+14120</f>
        <v>27650</v>
      </c>
      <c r="G53" s="90">
        <f>5920+5350+10380</f>
        <v>21650</v>
      </c>
      <c r="H53" s="90">
        <f t="shared" si="4"/>
        <v>-6000</v>
      </c>
      <c r="I53" s="96" t="s">
        <v>146</v>
      </c>
      <c r="J53" s="13"/>
      <c r="K53" s="91"/>
      <c r="L53" s="91">
        <v>41413</v>
      </c>
      <c r="M53" s="96" t="s">
        <v>42</v>
      </c>
      <c r="N53" s="13"/>
      <c r="O53" s="92">
        <v>19.8</v>
      </c>
      <c r="P53" s="146"/>
      <c r="Q53" s="92">
        <v>15000</v>
      </c>
      <c r="R53" s="92">
        <f>58.25*E53</f>
        <v>14562.5</v>
      </c>
      <c r="S53" s="98">
        <f>-35*E53</f>
        <v>-8750</v>
      </c>
      <c r="T53" s="98">
        <v>2250</v>
      </c>
      <c r="U53" s="92">
        <f>E53*5</f>
        <v>1250</v>
      </c>
      <c r="V53" s="13"/>
      <c r="W53" s="92">
        <f>((O53*F53)+Q53+R53+S53+U53)/G53</f>
        <v>26.306351039260971</v>
      </c>
      <c r="X53" s="92">
        <f>((O53*F53)+Q53+R53+S53+T53+U53)/G53</f>
        <v>26.41027713625866</v>
      </c>
      <c r="Y53" s="92">
        <f t="shared" si="5"/>
        <v>727370.60623556585</v>
      </c>
      <c r="Z53" s="94">
        <v>41421</v>
      </c>
      <c r="AA53" s="127">
        <v>25.9</v>
      </c>
      <c r="AB53" s="81">
        <v>27.5</v>
      </c>
    </row>
    <row r="54" spans="1:28" s="81" customFormat="1" ht="15.75" thickBot="1">
      <c r="A54" s="154"/>
      <c r="B54" s="100"/>
      <c r="C54" s="83"/>
      <c r="D54" s="83"/>
      <c r="E54" s="83"/>
      <c r="F54" s="84"/>
      <c r="G54" s="84"/>
      <c r="H54" s="84"/>
      <c r="I54" s="85"/>
      <c r="J54" s="83"/>
      <c r="K54" s="86"/>
      <c r="L54" s="86"/>
      <c r="M54" s="83"/>
      <c r="N54" s="83"/>
      <c r="O54" s="87"/>
      <c r="P54" s="88"/>
      <c r="Q54" s="87"/>
      <c r="R54" s="87"/>
      <c r="S54" s="87"/>
      <c r="T54" s="87"/>
      <c r="U54" s="87"/>
      <c r="V54" s="87"/>
      <c r="W54" s="87"/>
      <c r="X54" s="87"/>
      <c r="Y54" s="87"/>
      <c r="Z54" s="101"/>
      <c r="AA54" s="74"/>
    </row>
    <row r="55" spans="1:28" s="81" customFormat="1">
      <c r="A55" s="147"/>
      <c r="B55" s="102" t="s">
        <v>21</v>
      </c>
      <c r="C55" s="72" t="s">
        <v>39</v>
      </c>
      <c r="D55" s="72" t="s">
        <v>147</v>
      </c>
      <c r="E55" s="72">
        <f>145+105</f>
        <v>250</v>
      </c>
      <c r="F55" s="140">
        <f>11355+6290+9195</f>
        <v>26840</v>
      </c>
      <c r="G55" s="140">
        <f>4220+8530+8240</f>
        <v>20990</v>
      </c>
      <c r="H55" s="145">
        <f t="shared" ref="H55:H79" si="6">G55-F55</f>
        <v>-5850</v>
      </c>
      <c r="I55" s="72" t="s">
        <v>148</v>
      </c>
      <c r="J55" s="72"/>
      <c r="K55" s="103"/>
      <c r="L55" s="103">
        <v>41414</v>
      </c>
      <c r="M55" s="72" t="s">
        <v>22</v>
      </c>
      <c r="N55" s="72"/>
      <c r="O55" s="104">
        <v>19.8</v>
      </c>
      <c r="P55" s="105"/>
      <c r="Q55" s="104">
        <v>15000</v>
      </c>
      <c r="R55" s="104">
        <f>58.25*E55</f>
        <v>14562.5</v>
      </c>
      <c r="S55" s="106">
        <f>-35*E55</f>
        <v>-8750</v>
      </c>
      <c r="T55" s="106">
        <v>2250</v>
      </c>
      <c r="U55" s="104">
        <f>E55*5</f>
        <v>1250</v>
      </c>
      <c r="V55" s="72"/>
      <c r="W55" s="104">
        <f>((O55*F55)+Q55+R55+S55+U55)/G55</f>
        <v>26.369437827536924</v>
      </c>
      <c r="X55" s="104">
        <f>((O55*F55)+Q55+R55+S55+T55+U55)/G55</f>
        <v>26.476631729394949</v>
      </c>
      <c r="Y55" s="104">
        <f t="shared" ref="Y55:Y79" si="7">W55*F55</f>
        <v>707755.71129109105</v>
      </c>
      <c r="Z55" s="107">
        <v>41421</v>
      </c>
      <c r="AA55" s="127">
        <v>25.9</v>
      </c>
      <c r="AB55" s="81">
        <v>27.5</v>
      </c>
    </row>
    <row r="56" spans="1:28" s="81" customFormat="1">
      <c r="A56" s="148"/>
      <c r="B56" s="96" t="s">
        <v>21</v>
      </c>
      <c r="C56" s="96" t="s">
        <v>46</v>
      </c>
      <c r="D56" s="96" t="s">
        <v>52</v>
      </c>
      <c r="E56" s="13">
        <v>149</v>
      </c>
      <c r="F56" s="95">
        <v>12350</v>
      </c>
      <c r="G56" s="90">
        <v>12350</v>
      </c>
      <c r="H56" s="90">
        <f t="shared" si="6"/>
        <v>0</v>
      </c>
      <c r="I56" s="96" t="s">
        <v>149</v>
      </c>
      <c r="J56" s="13"/>
      <c r="K56" s="91"/>
      <c r="L56" s="91">
        <v>41414</v>
      </c>
      <c r="M56" s="96" t="s">
        <v>22</v>
      </c>
      <c r="N56" s="13"/>
      <c r="O56" s="92">
        <v>26.2</v>
      </c>
      <c r="P56" s="93"/>
      <c r="Q56" s="92"/>
      <c r="R56" s="92"/>
      <c r="S56" s="98"/>
      <c r="T56" s="98"/>
      <c r="U56" s="92">
        <f>E56*5</f>
        <v>745</v>
      </c>
      <c r="W56" s="92">
        <f>((O56*F56)+Q56+R56+S56+U56)/G56</f>
        <v>26.260323886639675</v>
      </c>
      <c r="X56" s="92">
        <f>((O56*F56)+R56+S56+T56+U56)/G56</f>
        <v>26.260323886639675</v>
      </c>
      <c r="Y56" s="92">
        <f t="shared" si="7"/>
        <v>324315</v>
      </c>
      <c r="Z56" s="94">
        <v>41421</v>
      </c>
      <c r="AB56" s="74"/>
    </row>
    <row r="57" spans="1:28" s="81" customFormat="1">
      <c r="A57" s="148"/>
      <c r="B57" s="89" t="s">
        <v>35</v>
      </c>
      <c r="C57" s="13" t="s">
        <v>70</v>
      </c>
      <c r="D57" s="13" t="s">
        <v>45</v>
      </c>
      <c r="E57" s="13"/>
      <c r="F57" s="95">
        <v>18508.84</v>
      </c>
      <c r="G57" s="90">
        <v>18499.18</v>
      </c>
      <c r="H57" s="90">
        <f t="shared" si="6"/>
        <v>-9.6599999999998545</v>
      </c>
      <c r="I57" s="163" t="s">
        <v>150</v>
      </c>
      <c r="J57" s="13"/>
      <c r="K57" s="91">
        <v>41411</v>
      </c>
      <c r="L57" s="91">
        <v>41414</v>
      </c>
      <c r="M57" s="96" t="s">
        <v>31</v>
      </c>
      <c r="N57" s="96" t="s">
        <v>151</v>
      </c>
      <c r="O57" s="92"/>
      <c r="P57" s="93">
        <v>1.887</v>
      </c>
      <c r="Q57" s="92"/>
      <c r="R57" s="92"/>
      <c r="S57" s="98">
        <v>12.368</v>
      </c>
      <c r="T57" s="98"/>
      <c r="U57" s="92"/>
      <c r="V57" s="92"/>
      <c r="W57" s="92">
        <f>IF(O57&gt;0,O57,((P57*S57)+(Q57+R57)/G57)+V57)</f>
        <v>23.338416000000002</v>
      </c>
      <c r="X57" s="92">
        <f>IF(O57&gt;0,O57,((P57*S57)+(Q57+R57+T57)/G57)+V57)</f>
        <v>23.338416000000002</v>
      </c>
      <c r="Y57" s="92">
        <f t="shared" si="7"/>
        <v>431967.00759744004</v>
      </c>
      <c r="Z57" s="94">
        <v>41414</v>
      </c>
      <c r="AA57" s="127"/>
    </row>
    <row r="58" spans="1:28" s="81" customFormat="1">
      <c r="A58" s="148"/>
      <c r="B58" s="89" t="s">
        <v>23</v>
      </c>
      <c r="C58" s="96" t="s">
        <v>24</v>
      </c>
      <c r="D58" s="96" t="s">
        <v>25</v>
      </c>
      <c r="E58" s="13" t="s">
        <v>37</v>
      </c>
      <c r="F58" s="95">
        <f>42682*0.4536</f>
        <v>19360.555199999999</v>
      </c>
      <c r="G58" s="90">
        <v>19297.47</v>
      </c>
      <c r="H58" s="90">
        <f t="shared" si="6"/>
        <v>-63.085199999997712</v>
      </c>
      <c r="I58" s="96" t="s">
        <v>152</v>
      </c>
      <c r="K58" s="91">
        <v>41410</v>
      </c>
      <c r="L58" s="91">
        <v>41412</v>
      </c>
      <c r="M58" s="96" t="s">
        <v>33</v>
      </c>
      <c r="N58" s="13" t="s">
        <v>151</v>
      </c>
      <c r="O58" s="92"/>
      <c r="P58" s="146">
        <v>0.85599999999999998</v>
      </c>
      <c r="Q58" s="92"/>
      <c r="R58" s="92"/>
      <c r="S58" s="98">
        <v>12.368</v>
      </c>
      <c r="T58" s="98"/>
      <c r="U58" s="92"/>
      <c r="V58" s="92"/>
      <c r="W58" s="92">
        <f>((P58*2.2046*S58)+(Q58*S58)/G58)</f>
        <v>23.340117836800001</v>
      </c>
      <c r="X58" s="92">
        <f>IF(O58&gt;0,O58,((P58*2.2046*S58)+(Q58+R58+U58)/G58)+V58)</f>
        <v>23.340117836800001</v>
      </c>
      <c r="Y58" s="92">
        <f t="shared" si="7"/>
        <v>451877.63975387096</v>
      </c>
      <c r="Z58" s="94">
        <v>41414</v>
      </c>
      <c r="AA58" s="127"/>
    </row>
    <row r="59" spans="1:28" s="81" customFormat="1">
      <c r="A59" s="148"/>
      <c r="B59" s="89" t="s">
        <v>21</v>
      </c>
      <c r="C59" s="13" t="s">
        <v>39</v>
      </c>
      <c r="D59" s="13" t="s">
        <v>153</v>
      </c>
      <c r="E59" s="13">
        <f>195+55</f>
        <v>250</v>
      </c>
      <c r="F59" s="95">
        <f>20360+5900</f>
        <v>26260</v>
      </c>
      <c r="G59" s="90">
        <f>16290+4180</f>
        <v>20470</v>
      </c>
      <c r="H59" s="90">
        <f t="shared" si="6"/>
        <v>-5790</v>
      </c>
      <c r="I59" s="96" t="s">
        <v>154</v>
      </c>
      <c r="J59" s="13"/>
      <c r="K59" s="91"/>
      <c r="L59" s="91">
        <v>41415</v>
      </c>
      <c r="M59" s="96" t="s">
        <v>27</v>
      </c>
      <c r="N59" s="13"/>
      <c r="O59" s="92">
        <v>19.8</v>
      </c>
      <c r="P59" s="93"/>
      <c r="Q59" s="92">
        <v>15000</v>
      </c>
      <c r="R59" s="92">
        <f>58.25*E59</f>
        <v>14562.5</v>
      </c>
      <c r="S59" s="98">
        <f>-35*E59</f>
        <v>-8750</v>
      </c>
      <c r="T59" s="98">
        <v>2250</v>
      </c>
      <c r="U59" s="92">
        <f>E59*5</f>
        <v>1250</v>
      </c>
      <c r="V59" s="13"/>
      <c r="W59" s="92">
        <f>((O59*F59)+Q59+R59+S59+U59)/G59</f>
        <v>26.478285295554471</v>
      </c>
      <c r="X59" s="92">
        <f>((O59*F59)+Q59+R59+S59+T59+U59)/G59</f>
        <v>26.58820224719101</v>
      </c>
      <c r="Y59" s="92">
        <f t="shared" si="7"/>
        <v>695319.77186126041</v>
      </c>
      <c r="Z59" s="94">
        <v>41421</v>
      </c>
      <c r="AA59" s="127">
        <v>26</v>
      </c>
      <c r="AB59" s="81">
        <v>27.5</v>
      </c>
    </row>
    <row r="60" spans="1:28" s="81" customFormat="1">
      <c r="A60" s="148"/>
      <c r="B60" s="89" t="s">
        <v>61</v>
      </c>
      <c r="C60" s="13" t="s">
        <v>29</v>
      </c>
      <c r="D60" s="13" t="s">
        <v>29</v>
      </c>
      <c r="E60" s="13" t="s">
        <v>56</v>
      </c>
      <c r="F60" s="95">
        <f>41100*0.4536</f>
        <v>18642.96</v>
      </c>
      <c r="G60" s="90">
        <v>18642.96</v>
      </c>
      <c r="H60" s="90">
        <f t="shared" si="6"/>
        <v>0</v>
      </c>
      <c r="I60" s="96" t="s">
        <v>155</v>
      </c>
      <c r="J60" s="97" t="s">
        <v>30</v>
      </c>
      <c r="K60" s="91">
        <v>41414</v>
      </c>
      <c r="L60" s="91">
        <v>41415</v>
      </c>
      <c r="M60" s="96" t="s">
        <v>27</v>
      </c>
      <c r="N60" s="13"/>
      <c r="O60" s="92"/>
      <c r="P60" s="93">
        <v>0.68</v>
      </c>
      <c r="Q60" s="92">
        <v>17000</v>
      </c>
      <c r="R60" s="92">
        <v>7580</v>
      </c>
      <c r="S60" s="98">
        <v>12.371</v>
      </c>
      <c r="T60" s="99">
        <f>W60*F60*0.005</f>
        <v>1860.9563604264229</v>
      </c>
      <c r="V60" s="92">
        <v>0.1</v>
      </c>
      <c r="W60" s="92">
        <f>IF(O60&gt;0,O60,((P60*2.2046*S60)+(Q60+R60)/G60)+V60)</f>
        <v>19.964172646687253</v>
      </c>
      <c r="X60" s="92">
        <f>IF(O60&gt;0,O60,((P60*2.2046*S60)+(Q60+R60+T60)/G60)+V60)</f>
        <v>20.063993509920689</v>
      </c>
      <c r="Y60" s="92">
        <f t="shared" si="7"/>
        <v>372191.27208528458</v>
      </c>
      <c r="Z60" s="94">
        <v>41416</v>
      </c>
      <c r="AA60" s="127"/>
    </row>
    <row r="61" spans="1:28" s="81" customFormat="1">
      <c r="A61" s="148"/>
      <c r="B61" s="89" t="s">
        <v>23</v>
      </c>
      <c r="C61" s="13" t="s">
        <v>29</v>
      </c>
      <c r="D61" s="13" t="s">
        <v>29</v>
      </c>
      <c r="E61" s="13"/>
      <c r="F61" s="95"/>
      <c r="G61" s="90"/>
      <c r="H61" s="90">
        <f t="shared" si="6"/>
        <v>0</v>
      </c>
      <c r="I61" s="96" t="s">
        <v>156</v>
      </c>
      <c r="J61" s="155" t="s">
        <v>157</v>
      </c>
      <c r="K61" s="91">
        <v>41414</v>
      </c>
      <c r="L61" s="91">
        <v>41416</v>
      </c>
      <c r="M61" s="96" t="s">
        <v>28</v>
      </c>
      <c r="N61" s="96"/>
      <c r="O61" s="156"/>
      <c r="P61" s="157"/>
      <c r="Q61" s="156"/>
      <c r="R61" s="156"/>
      <c r="S61" s="98"/>
      <c r="T61" s="99"/>
      <c r="U61" s="158"/>
      <c r="V61" s="156"/>
      <c r="W61" s="156"/>
      <c r="X61" s="156"/>
      <c r="Y61" s="92">
        <f t="shared" si="7"/>
        <v>0</v>
      </c>
      <c r="Z61" s="94"/>
      <c r="AA61" s="74"/>
    </row>
    <row r="62" spans="1:28" s="81" customFormat="1">
      <c r="A62" s="148"/>
      <c r="B62" s="89" t="s">
        <v>23</v>
      </c>
      <c r="C62" s="13" t="s">
        <v>29</v>
      </c>
      <c r="D62" s="13" t="s">
        <v>29</v>
      </c>
      <c r="E62" s="13" t="s">
        <v>26</v>
      </c>
      <c r="F62" s="95">
        <f>39581*0.4536</f>
        <v>17953.941600000002</v>
      </c>
      <c r="G62" s="90">
        <v>17927.7</v>
      </c>
      <c r="H62" s="90">
        <f t="shared" si="6"/>
        <v>-26.241600000001199</v>
      </c>
      <c r="I62" s="96" t="s">
        <v>158</v>
      </c>
      <c r="J62" s="97" t="s">
        <v>30</v>
      </c>
      <c r="K62" s="91">
        <v>41414</v>
      </c>
      <c r="L62" s="91">
        <v>41415</v>
      </c>
      <c r="M62" s="96" t="s">
        <v>27</v>
      </c>
      <c r="N62" s="96" t="s">
        <v>159</v>
      </c>
      <c r="O62" s="92"/>
      <c r="P62" s="146">
        <v>0.81100000000000005</v>
      </c>
      <c r="Q62" s="92">
        <v>17000</v>
      </c>
      <c r="R62" s="92">
        <v>7580</v>
      </c>
      <c r="S62" s="98">
        <v>12.371</v>
      </c>
      <c r="T62" s="99">
        <f>W62*F62*0.005</f>
        <v>2117.627204750112</v>
      </c>
      <c r="V62" s="92">
        <v>0.1</v>
      </c>
      <c r="W62" s="92">
        <f>IF(O62&gt;0,O62,((P62*2.2046*S62)+(Q62+R62)/G62)+V62)</f>
        <v>23.589552109828762</v>
      </c>
      <c r="X62" s="92">
        <f>IF(O62&gt;0,O62,((P62*2.2046*S62)+(Q62+R62+T62)/G62)+V62)</f>
        <v>23.707672515946115</v>
      </c>
      <c r="Y62" s="92">
        <f t="shared" si="7"/>
        <v>423525.44095002243</v>
      </c>
      <c r="Z62" s="94">
        <v>41416</v>
      </c>
      <c r="AA62" s="74"/>
    </row>
    <row r="63" spans="1:28" s="81" customFormat="1">
      <c r="A63" s="148"/>
      <c r="B63" s="89" t="s">
        <v>21</v>
      </c>
      <c r="C63" s="13" t="s">
        <v>39</v>
      </c>
      <c r="D63" s="13" t="s">
        <v>160</v>
      </c>
      <c r="E63" s="13">
        <f>190+60</f>
        <v>250</v>
      </c>
      <c r="F63" s="95">
        <f>20930+6995</f>
        <v>27925</v>
      </c>
      <c r="G63" s="90">
        <f>8900+8600+4300</f>
        <v>21800</v>
      </c>
      <c r="H63" s="90">
        <f t="shared" si="6"/>
        <v>-6125</v>
      </c>
      <c r="I63" s="96" t="s">
        <v>161</v>
      </c>
      <c r="J63" s="13"/>
      <c r="K63" s="91"/>
      <c r="L63" s="91">
        <v>41416</v>
      </c>
      <c r="M63" s="96" t="s">
        <v>28</v>
      </c>
      <c r="N63" s="13"/>
      <c r="O63" s="92">
        <v>19.8</v>
      </c>
      <c r="P63" s="93"/>
      <c r="Q63" s="92">
        <v>15000</v>
      </c>
      <c r="R63" s="92">
        <f>58.25*E63</f>
        <v>14562.5</v>
      </c>
      <c r="S63" s="98">
        <f>-35*E63</f>
        <v>-8750</v>
      </c>
      <c r="T63" s="98">
        <v>2250</v>
      </c>
      <c r="U63" s="92">
        <f>E63*5</f>
        <v>1250</v>
      </c>
      <c r="V63" s="13"/>
      <c r="W63" s="92">
        <f>((O63*F63)+Q63+R63+S63+U63)/G63</f>
        <v>26.375114678899081</v>
      </c>
      <c r="X63" s="92">
        <f>((O63*F63)+Q63+R63+S63+T63+U63)/G63</f>
        <v>26.478325688073394</v>
      </c>
      <c r="Y63" s="92">
        <f t="shared" si="7"/>
        <v>736525.07740825682</v>
      </c>
      <c r="Z63" s="94">
        <v>41422</v>
      </c>
      <c r="AA63" s="127">
        <v>25.9</v>
      </c>
      <c r="AB63" s="81">
        <v>27.5</v>
      </c>
    </row>
    <row r="64" spans="1:28" s="81" customFormat="1">
      <c r="A64" s="148"/>
      <c r="B64" s="89" t="s">
        <v>21</v>
      </c>
      <c r="C64" s="13" t="s">
        <v>46</v>
      </c>
      <c r="D64" s="13" t="s">
        <v>52</v>
      </c>
      <c r="E64" s="13">
        <v>150</v>
      </c>
      <c r="F64" s="95">
        <v>12260</v>
      </c>
      <c r="G64" s="90">
        <v>12260</v>
      </c>
      <c r="H64" s="90">
        <f t="shared" si="6"/>
        <v>0</v>
      </c>
      <c r="I64" s="96" t="s">
        <v>162</v>
      </c>
      <c r="J64" s="13"/>
      <c r="K64" s="91"/>
      <c r="L64" s="91">
        <v>41416</v>
      </c>
      <c r="M64" s="96" t="s">
        <v>28</v>
      </c>
      <c r="N64" s="13"/>
      <c r="O64" s="92">
        <v>26.4</v>
      </c>
      <c r="P64" s="93"/>
      <c r="Q64" s="92"/>
      <c r="R64" s="92"/>
      <c r="S64" s="98"/>
      <c r="T64" s="99"/>
      <c r="U64" s="74"/>
      <c r="V64" s="92"/>
      <c r="W64" s="92">
        <f>IF(O64&gt;0,O64,((P64*2.2046*S64)+(Q64+R64)/G64)+V64)</f>
        <v>26.4</v>
      </c>
      <c r="X64" s="92">
        <f>IF(O64&gt;0,O64,((P64*2.2046*S64)+(Q64+R64+T64)/G64)+V64)</f>
        <v>26.4</v>
      </c>
      <c r="Y64" s="92">
        <f t="shared" si="7"/>
        <v>323664</v>
      </c>
      <c r="Z64" s="94">
        <v>41423</v>
      </c>
      <c r="AA64" s="127"/>
    </row>
    <row r="65" spans="1:28" s="81" customFormat="1">
      <c r="A65" s="148"/>
      <c r="B65" s="89" t="s">
        <v>23</v>
      </c>
      <c r="C65" s="96" t="s">
        <v>24</v>
      </c>
      <c r="D65" s="96" t="s">
        <v>25</v>
      </c>
      <c r="E65" s="13" t="s">
        <v>37</v>
      </c>
      <c r="F65" s="95">
        <f>42628*0.4536</f>
        <v>19336.060799999999</v>
      </c>
      <c r="G65" s="90">
        <v>19220.2</v>
      </c>
      <c r="H65" s="90">
        <f t="shared" si="6"/>
        <v>-115.86079999999856</v>
      </c>
      <c r="I65" s="96" t="s">
        <v>163</v>
      </c>
      <c r="K65" s="91">
        <v>41414</v>
      </c>
      <c r="L65" s="91">
        <v>41416</v>
      </c>
      <c r="M65" s="96" t="s">
        <v>28</v>
      </c>
      <c r="N65" s="13" t="s">
        <v>164</v>
      </c>
      <c r="O65" s="92"/>
      <c r="P65" s="146">
        <v>0.86599999999999999</v>
      </c>
      <c r="Q65" s="92"/>
      <c r="R65" s="92"/>
      <c r="S65" s="98">
        <v>12.371</v>
      </c>
      <c r="T65" s="98"/>
      <c r="U65" s="92"/>
      <c r="V65" s="92"/>
      <c r="W65" s="92">
        <f>((P65*2.2046*S65)+(Q65*S65)/G65)</f>
        <v>23.618510315600002</v>
      </c>
      <c r="X65" s="92">
        <f>IF(O65&gt;0,O65,((P65*2.2046*S65)+(Q65+R65+U65)/G65)+V65)</f>
        <v>23.618510315600002</v>
      </c>
      <c r="Y65" s="92">
        <f t="shared" si="7"/>
        <v>456688.95146786881</v>
      </c>
      <c r="Z65" s="94">
        <v>41416</v>
      </c>
      <c r="AA65" s="127"/>
    </row>
    <row r="66" spans="1:28" s="81" customFormat="1">
      <c r="A66" s="148"/>
      <c r="B66" s="89" t="s">
        <v>61</v>
      </c>
      <c r="C66" s="96" t="s">
        <v>165</v>
      </c>
      <c r="D66" s="96" t="s">
        <v>45</v>
      </c>
      <c r="E66" s="13" t="s">
        <v>166</v>
      </c>
      <c r="F66" s="95">
        <v>159.6</v>
      </c>
      <c r="G66" s="90">
        <v>159.6</v>
      </c>
      <c r="H66" s="90">
        <f t="shared" si="6"/>
        <v>0</v>
      </c>
      <c r="I66" s="163" t="s">
        <v>167</v>
      </c>
      <c r="K66" s="91"/>
      <c r="L66" s="91">
        <v>41416</v>
      </c>
      <c r="M66" s="96" t="s">
        <v>28</v>
      </c>
      <c r="N66" s="13"/>
      <c r="O66" s="92">
        <v>17.5</v>
      </c>
      <c r="P66" s="146"/>
      <c r="Q66" s="92"/>
      <c r="R66" s="92"/>
      <c r="S66" s="98"/>
      <c r="T66" s="98"/>
      <c r="U66" s="92"/>
      <c r="V66" s="92"/>
      <c r="W66" s="92">
        <f t="shared" ref="W66:W67" si="8">IF(O66&gt;0,O66,((P66*2.2046*S66)+(Q66+R66)/G66)+V66)</f>
        <v>17.5</v>
      </c>
      <c r="X66" s="92">
        <f t="shared" ref="X66:X67" si="9">IF(O66&gt;0,O66,((P66*2.2046*S66)+(Q66+R66+T66)/G66)+V66)</f>
        <v>17.5</v>
      </c>
      <c r="Y66" s="92">
        <f t="shared" si="7"/>
        <v>2793</v>
      </c>
      <c r="Z66" s="94">
        <v>41430</v>
      </c>
      <c r="AA66" s="127"/>
    </row>
    <row r="67" spans="1:28" s="81" customFormat="1">
      <c r="A67" s="148"/>
      <c r="B67" s="89" t="s">
        <v>168</v>
      </c>
      <c r="C67" s="96" t="s">
        <v>169</v>
      </c>
      <c r="D67" s="96" t="s">
        <v>45</v>
      </c>
      <c r="E67" s="13" t="s">
        <v>170</v>
      </c>
      <c r="F67" s="95">
        <v>1018.15</v>
      </c>
      <c r="G67" s="90">
        <v>1018.15</v>
      </c>
      <c r="H67" s="90">
        <f t="shared" si="6"/>
        <v>0</v>
      </c>
      <c r="I67" s="163" t="s">
        <v>167</v>
      </c>
      <c r="K67" s="91"/>
      <c r="L67" s="91">
        <v>41416</v>
      </c>
      <c r="M67" s="96" t="s">
        <v>28</v>
      </c>
      <c r="N67" s="13"/>
      <c r="O67" s="92">
        <v>55</v>
      </c>
      <c r="P67" s="146"/>
      <c r="Q67" s="92"/>
      <c r="R67" s="92"/>
      <c r="S67" s="98"/>
      <c r="T67" s="98"/>
      <c r="U67" s="92"/>
      <c r="V67" s="92"/>
      <c r="W67" s="92">
        <f t="shared" si="8"/>
        <v>55</v>
      </c>
      <c r="X67" s="92">
        <f t="shared" si="9"/>
        <v>55</v>
      </c>
      <c r="Y67" s="92">
        <f t="shared" si="7"/>
        <v>55998.25</v>
      </c>
      <c r="Z67" s="94">
        <v>41430</v>
      </c>
      <c r="AA67" s="127"/>
    </row>
    <row r="68" spans="1:28" s="81" customFormat="1">
      <c r="A68" s="148"/>
      <c r="B68" s="89" t="s">
        <v>21</v>
      </c>
      <c r="C68" s="13" t="s">
        <v>39</v>
      </c>
      <c r="D68" s="13" t="s">
        <v>38</v>
      </c>
      <c r="E68" s="13">
        <v>250</v>
      </c>
      <c r="F68" s="95">
        <f>6440+19930</f>
        <v>26370</v>
      </c>
      <c r="G68" s="90">
        <f>14690+5700</f>
        <v>20390</v>
      </c>
      <c r="H68" s="90">
        <f t="shared" si="6"/>
        <v>-5980</v>
      </c>
      <c r="I68" s="96" t="s">
        <v>171</v>
      </c>
      <c r="J68" s="13"/>
      <c r="K68" s="91"/>
      <c r="L68" s="91">
        <v>41417</v>
      </c>
      <c r="M68" s="96" t="s">
        <v>31</v>
      </c>
      <c r="N68" s="13"/>
      <c r="O68" s="92">
        <v>19.8</v>
      </c>
      <c r="P68" s="93"/>
      <c r="Q68" s="92">
        <v>15000</v>
      </c>
      <c r="R68" s="92">
        <f>58.25*E68</f>
        <v>14562.5</v>
      </c>
      <c r="S68" s="98">
        <f>-35*E68</f>
        <v>-8750</v>
      </c>
      <c r="T68" s="98">
        <v>2250</v>
      </c>
      <c r="U68" s="92">
        <f>E68*5</f>
        <v>1250</v>
      </c>
      <c r="V68" s="13"/>
      <c r="W68" s="92">
        <f>((O68*F68)+Q68+R68+S68+U68)/G68</f>
        <v>26.688989700833741</v>
      </c>
      <c r="X68" s="92">
        <f>((O68*F68)+Q68+R68+S68+T68+U68)/G68</f>
        <v>26.799337910740558</v>
      </c>
      <c r="Y68" s="92">
        <f t="shared" si="7"/>
        <v>703788.65841098572</v>
      </c>
      <c r="Z68" s="94">
        <v>41423</v>
      </c>
      <c r="AA68" s="127">
        <v>26.1</v>
      </c>
      <c r="AB68" s="81">
        <v>27.5</v>
      </c>
    </row>
    <row r="69" spans="1:28">
      <c r="A69" s="148"/>
      <c r="B69" s="89" t="s">
        <v>51</v>
      </c>
      <c r="C69" s="96" t="s">
        <v>48</v>
      </c>
      <c r="D69" s="96" t="s">
        <v>49</v>
      </c>
      <c r="E69" s="13" t="s">
        <v>172</v>
      </c>
      <c r="F69" s="95">
        <v>18217.759999999998</v>
      </c>
      <c r="G69" s="90">
        <v>18217.759999999998</v>
      </c>
      <c r="H69" s="90">
        <f t="shared" si="6"/>
        <v>0</v>
      </c>
      <c r="I69" s="96" t="s">
        <v>173</v>
      </c>
      <c r="L69" s="91">
        <v>41417</v>
      </c>
      <c r="M69" s="96" t="s">
        <v>31</v>
      </c>
      <c r="O69" s="92">
        <v>24.6</v>
      </c>
      <c r="V69" s="92"/>
      <c r="W69" s="92">
        <f>IF(O69&gt;0,O69,((P69*2.2046*S69)+(Q69+R69)/G69)+V69)</f>
        <v>24.6</v>
      </c>
      <c r="X69" s="92">
        <f>IF(O69&gt;0,O69,((P69*2.2046*S69)+(Q69+R69+T69)/G69)+V69)</f>
        <v>24.6</v>
      </c>
      <c r="Y69" s="92">
        <f t="shared" si="7"/>
        <v>448156.89600000001</v>
      </c>
      <c r="Z69" s="94">
        <v>41431</v>
      </c>
      <c r="AA69" s="127"/>
    </row>
    <row r="70" spans="1:28" s="81" customFormat="1">
      <c r="A70" s="148"/>
      <c r="B70" s="89" t="s">
        <v>23</v>
      </c>
      <c r="C70" s="13" t="s">
        <v>29</v>
      </c>
      <c r="D70" s="13" t="s">
        <v>29</v>
      </c>
      <c r="E70" s="13" t="s">
        <v>26</v>
      </c>
      <c r="F70" s="95">
        <f>39420*0.4536</f>
        <v>17880.912</v>
      </c>
      <c r="G70" s="90">
        <v>17870.400000000001</v>
      </c>
      <c r="H70" s="90">
        <f t="shared" si="6"/>
        <v>-10.511999999998807</v>
      </c>
      <c r="I70" s="96" t="s">
        <v>174</v>
      </c>
      <c r="J70" s="97" t="s">
        <v>30</v>
      </c>
      <c r="K70" s="91">
        <v>41416</v>
      </c>
      <c r="L70" s="91">
        <v>41417</v>
      </c>
      <c r="M70" s="96" t="s">
        <v>31</v>
      </c>
      <c r="N70" s="96" t="s">
        <v>175</v>
      </c>
      <c r="O70" s="92"/>
      <c r="P70" s="146">
        <v>0.8054</v>
      </c>
      <c r="Q70" s="92">
        <v>17000</v>
      </c>
      <c r="R70" s="92">
        <v>7606</v>
      </c>
      <c r="S70" s="98">
        <v>12.327999999999999</v>
      </c>
      <c r="T70" s="99">
        <f>W70*F70*0.005</f>
        <v>2089.0558880297021</v>
      </c>
      <c r="V70" s="92">
        <v>0.1</v>
      </c>
      <c r="W70" s="92">
        <f>IF(O70&gt;0,O70,((P70*2.2046*S70)+(Q70+R70)/G70)+V70)</f>
        <v>23.366323686730318</v>
      </c>
      <c r="X70" s="92">
        <f>IF(O70&gt;0,O70,((P70*2.2046*S70)+(Q70+R70+T70)/G70)+V70)</f>
        <v>23.483224029645399</v>
      </c>
      <c r="Y70" s="92">
        <f t="shared" si="7"/>
        <v>417811.17760594038</v>
      </c>
      <c r="Z70" s="94">
        <v>41418</v>
      </c>
      <c r="AA70" s="74"/>
    </row>
    <row r="71" spans="1:28" s="81" customFormat="1">
      <c r="A71" s="148"/>
      <c r="B71" s="89" t="s">
        <v>23</v>
      </c>
      <c r="C71" s="96" t="s">
        <v>24</v>
      </c>
      <c r="D71" s="96" t="s">
        <v>24</v>
      </c>
      <c r="E71" s="13" t="s">
        <v>37</v>
      </c>
      <c r="F71" s="95">
        <f>42524*0.4536</f>
        <v>19288.886399999999</v>
      </c>
      <c r="G71" s="90">
        <v>19258.36</v>
      </c>
      <c r="H71" s="90">
        <f t="shared" si="6"/>
        <v>-30.52639999999883</v>
      </c>
      <c r="I71" s="96" t="s">
        <v>176</v>
      </c>
      <c r="J71" s="97" t="s">
        <v>177</v>
      </c>
      <c r="K71" s="91">
        <v>41416</v>
      </c>
      <c r="L71" s="91">
        <v>41417</v>
      </c>
      <c r="M71" s="96" t="s">
        <v>31</v>
      </c>
      <c r="N71" s="13" t="s">
        <v>178</v>
      </c>
      <c r="O71" s="92"/>
      <c r="P71" s="146">
        <v>0.8004</v>
      </c>
      <c r="Q71" s="92">
        <v>17500</v>
      </c>
      <c r="R71" s="92">
        <v>7606</v>
      </c>
      <c r="S71" s="98">
        <v>12.27</v>
      </c>
      <c r="T71" s="99">
        <f>W71*F71*0.005</f>
        <v>2223.5085776674555</v>
      </c>
      <c r="V71" s="92">
        <v>0.1</v>
      </c>
      <c r="W71" s="92">
        <f>IF(O71&gt;0,O71,((P71*2.2046*S71)+(Q71+R71)/G71)+V71)</f>
        <v>23.054815416067314</v>
      </c>
      <c r="X71" s="92">
        <f>IF(O71&gt;0,O71,((P71*2.2046*S71)+(Q71+R71+T71)/G71)+V71)</f>
        <v>23.170272213928992</v>
      </c>
      <c r="Y71" s="92">
        <f t="shared" si="7"/>
        <v>444701.71553349111</v>
      </c>
      <c r="Z71" s="94">
        <v>41417</v>
      </c>
      <c r="AA71" s="127"/>
    </row>
    <row r="72" spans="1:28" s="81" customFormat="1">
      <c r="A72" s="148"/>
      <c r="B72" s="89" t="s">
        <v>51</v>
      </c>
      <c r="C72" s="96" t="s">
        <v>48</v>
      </c>
      <c r="D72" s="96" t="s">
        <v>49</v>
      </c>
      <c r="E72" s="13" t="s">
        <v>172</v>
      </c>
      <c r="F72" s="95">
        <v>18217.759999999998</v>
      </c>
      <c r="G72" s="90">
        <v>18217.759999999998</v>
      </c>
      <c r="H72" s="90">
        <f t="shared" si="6"/>
        <v>0</v>
      </c>
      <c r="I72" s="96" t="s">
        <v>173</v>
      </c>
      <c r="J72" s="13"/>
      <c r="K72" s="91"/>
      <c r="L72" s="91">
        <v>41417</v>
      </c>
      <c r="M72" s="96" t="s">
        <v>31</v>
      </c>
      <c r="N72" s="13"/>
      <c r="O72" s="92">
        <v>54.6</v>
      </c>
      <c r="P72" s="146"/>
      <c r="Q72" s="92"/>
      <c r="R72" s="92"/>
      <c r="S72" s="98"/>
      <c r="T72" s="99"/>
      <c r="V72" s="92"/>
      <c r="W72" s="92">
        <f>IF(O72&gt;0,O72,((P72*2.2046*S72)+(Q72+R72)/G72)+V72)</f>
        <v>54.6</v>
      </c>
      <c r="X72" s="92">
        <f>IF(O72&gt;0,O72,((P72*2.2046*S72)+(Q72+R72+T72)/G72)+V72)</f>
        <v>54.6</v>
      </c>
      <c r="Y72" s="92">
        <f t="shared" si="7"/>
        <v>994689.696</v>
      </c>
      <c r="Z72" s="94">
        <v>41431</v>
      </c>
      <c r="AA72" s="127"/>
    </row>
    <row r="73" spans="1:28" s="81" customFormat="1">
      <c r="A73" s="148"/>
      <c r="B73" s="96" t="s">
        <v>21</v>
      </c>
      <c r="C73" s="96" t="s">
        <v>46</v>
      </c>
      <c r="D73" s="96" t="s">
        <v>52</v>
      </c>
      <c r="E73" s="13">
        <v>150</v>
      </c>
      <c r="F73" s="95">
        <v>12730</v>
      </c>
      <c r="G73" s="90">
        <v>12730</v>
      </c>
      <c r="H73" s="90">
        <f t="shared" si="6"/>
        <v>0</v>
      </c>
      <c r="I73" s="96" t="s">
        <v>179</v>
      </c>
      <c r="J73" s="13"/>
      <c r="K73" s="91"/>
      <c r="L73" s="91">
        <v>41418</v>
      </c>
      <c r="M73" s="96" t="s">
        <v>32</v>
      </c>
      <c r="N73" s="13"/>
      <c r="O73" s="92">
        <v>26.8</v>
      </c>
      <c r="P73" s="93"/>
      <c r="Q73" s="92"/>
      <c r="R73" s="92"/>
      <c r="S73" s="98"/>
      <c r="T73" s="98"/>
      <c r="U73" s="92">
        <f>E73*5</f>
        <v>750</v>
      </c>
      <c r="W73" s="92">
        <f>((O73*F73)+Q73+R73+S73+U73)/G73</f>
        <v>26.858915946582876</v>
      </c>
      <c r="X73" s="92">
        <f>((O73*F73)+R73+S73+T73+U73)/G73</f>
        <v>26.858915946582876</v>
      </c>
      <c r="Y73" s="92">
        <f t="shared" si="7"/>
        <v>341914</v>
      </c>
      <c r="Z73" s="94">
        <v>41425</v>
      </c>
      <c r="AB73" s="74"/>
    </row>
    <row r="74" spans="1:28" s="81" customFormat="1">
      <c r="A74" s="148"/>
      <c r="B74" s="89" t="s">
        <v>21</v>
      </c>
      <c r="C74" s="13" t="s">
        <v>39</v>
      </c>
      <c r="D74" s="96" t="s">
        <v>50</v>
      </c>
      <c r="E74" s="13">
        <v>247</v>
      </c>
      <c r="F74" s="95">
        <f>21660+6745</f>
        <v>28405</v>
      </c>
      <c r="G74" s="90">
        <f>15720+6710</f>
        <v>22430</v>
      </c>
      <c r="H74" s="90">
        <f t="shared" si="6"/>
        <v>-5975</v>
      </c>
      <c r="I74" s="96" t="s">
        <v>180</v>
      </c>
      <c r="J74" s="13"/>
      <c r="K74" s="91"/>
      <c r="L74" s="91">
        <v>41418</v>
      </c>
      <c r="M74" s="96" t="s">
        <v>32</v>
      </c>
      <c r="N74" s="13"/>
      <c r="O74" s="92">
        <v>19.8</v>
      </c>
      <c r="P74" s="93"/>
      <c r="Q74" s="92">
        <v>15000</v>
      </c>
      <c r="R74" s="92">
        <f>58.25*E74</f>
        <v>14387.75</v>
      </c>
      <c r="S74" s="98">
        <f>-35*E74</f>
        <v>-8645</v>
      </c>
      <c r="T74" s="98">
        <v>2250</v>
      </c>
      <c r="U74" s="92">
        <f>E74*5</f>
        <v>1235</v>
      </c>
      <c r="V74" s="13"/>
      <c r="W74" s="92">
        <f>((O74*F74)+Q74+R74+S74+U74)/G74</f>
        <v>26.054246544806063</v>
      </c>
      <c r="X74" s="92">
        <f>((O74*F74)+Q74+R74+S74+T74+U74)/G74</f>
        <v>26.154558626839055</v>
      </c>
      <c r="Y74" s="92">
        <f t="shared" si="7"/>
        <v>740070.87310521619</v>
      </c>
      <c r="Z74" s="94">
        <v>41424</v>
      </c>
      <c r="AA74" s="127">
        <v>25.9</v>
      </c>
      <c r="AB74" s="81">
        <v>27.5</v>
      </c>
    </row>
    <row r="75" spans="1:28" s="81" customFormat="1">
      <c r="A75" s="148"/>
      <c r="B75" s="89" t="s">
        <v>23</v>
      </c>
      <c r="C75" s="96" t="s">
        <v>24</v>
      </c>
      <c r="D75" s="96" t="s">
        <v>24</v>
      </c>
      <c r="E75" s="13" t="s">
        <v>37</v>
      </c>
      <c r="F75" s="95">
        <f>42528*0.4536</f>
        <v>19290.700799999999</v>
      </c>
      <c r="G75" s="90">
        <v>19211.080000000002</v>
      </c>
      <c r="H75" s="90">
        <f t="shared" si="6"/>
        <v>-79.620799999996962</v>
      </c>
      <c r="I75" s="96" t="s">
        <v>181</v>
      </c>
      <c r="J75" s="97" t="s">
        <v>30</v>
      </c>
      <c r="K75" s="91">
        <v>41418</v>
      </c>
      <c r="L75" s="91">
        <v>41419</v>
      </c>
      <c r="M75" s="96" t="s">
        <v>33</v>
      </c>
      <c r="N75" s="13" t="s">
        <v>182</v>
      </c>
      <c r="O75" s="92"/>
      <c r="P75" s="93">
        <v>0.77900000000000003</v>
      </c>
      <c r="Q75" s="92">
        <v>17000</v>
      </c>
      <c r="R75" s="92">
        <v>7619</v>
      </c>
      <c r="S75" s="98">
        <v>12.368</v>
      </c>
      <c r="T75" s="99">
        <f>W75*F75*0.005</f>
        <v>2181.9806143575593</v>
      </c>
      <c r="V75" s="92">
        <v>0.1</v>
      </c>
      <c r="W75" s="92">
        <f>IF(O75&gt;0,O75,((P75*2.2046*S75)+(Q75+R75)/G75)+V75)</f>
        <v>22.622097942212232</v>
      </c>
      <c r="X75" s="92">
        <f>IF(O75&gt;0,O75,((P75*2.2046*S75)+(Q75+R75+T75)/G75)+V75)</f>
        <v>22.735677221167791</v>
      </c>
      <c r="Y75" s="92">
        <f t="shared" si="7"/>
        <v>436396.12287151185</v>
      </c>
      <c r="Z75" s="94">
        <v>41419</v>
      </c>
      <c r="AA75" s="127"/>
    </row>
    <row r="76" spans="1:28" s="81" customFormat="1">
      <c r="A76" s="148"/>
      <c r="B76" s="89" t="s">
        <v>23</v>
      </c>
      <c r="C76" s="96" t="s">
        <v>29</v>
      </c>
      <c r="D76" s="96" t="s">
        <v>29</v>
      </c>
      <c r="E76" s="13" t="s">
        <v>65</v>
      </c>
      <c r="F76" s="95">
        <f>16727*0.4536</f>
        <v>7587.3671999999997</v>
      </c>
      <c r="G76" s="90">
        <v>7560</v>
      </c>
      <c r="H76" s="90">
        <f t="shared" si="6"/>
        <v>-27.367199999999684</v>
      </c>
      <c r="I76" s="74" t="s">
        <v>183</v>
      </c>
      <c r="J76" s="97" t="s">
        <v>44</v>
      </c>
      <c r="K76" s="91">
        <v>41418</v>
      </c>
      <c r="L76" s="91">
        <v>41419</v>
      </c>
      <c r="M76" s="96" t="s">
        <v>33</v>
      </c>
      <c r="N76" s="96" t="s">
        <v>184</v>
      </c>
      <c r="O76" s="92"/>
      <c r="P76" s="146">
        <v>0.78400000000000003</v>
      </c>
      <c r="Q76" s="92">
        <f>(17500*F76)/(F76+F77)</f>
        <v>7474.6565548235531</v>
      </c>
      <c r="R76" s="92">
        <f>(7619*F76)/(F76+F77)</f>
        <v>3254.2519023543232</v>
      </c>
      <c r="S76" s="98">
        <v>12.49</v>
      </c>
      <c r="T76" s="99">
        <f>W76*F76*0.005</f>
        <v>876.60509315446302</v>
      </c>
      <c r="V76" s="92">
        <v>0.1</v>
      </c>
      <c r="W76" s="92">
        <f>IF(O76&gt;0,O76,((P76*2.2046*S76)+(Q76+R76)/G76)+V76)</f>
        <v>23.106963721340993</v>
      </c>
      <c r="X76" s="92">
        <f>IF(O76&gt;0,O76,((P76*2.2046*S76)+(Q76+R76+T76)/G76)+V76)</f>
        <v>23.222916775991056</v>
      </c>
      <c r="Y76" s="92">
        <f t="shared" si="7"/>
        <v>175321.01863089259</v>
      </c>
      <c r="Z76" s="94">
        <v>41421</v>
      </c>
      <c r="AA76" s="127"/>
    </row>
    <row r="77" spans="1:28" s="81" customFormat="1">
      <c r="A77" s="148"/>
      <c r="B77" s="89" t="s">
        <v>66</v>
      </c>
      <c r="C77" s="96" t="s">
        <v>29</v>
      </c>
      <c r="D77" s="96" t="s">
        <v>29</v>
      </c>
      <c r="E77" s="13" t="s">
        <v>67</v>
      </c>
      <c r="F77" s="95">
        <f>22435*0.4536</f>
        <v>10176.516</v>
      </c>
      <c r="G77" s="90">
        <v>10160</v>
      </c>
      <c r="H77" s="90">
        <f t="shared" si="6"/>
        <v>-16.515999999999622</v>
      </c>
      <c r="I77" s="74" t="s">
        <v>183</v>
      </c>
      <c r="J77" s="13"/>
      <c r="K77" s="91"/>
      <c r="L77" s="91">
        <v>41419</v>
      </c>
      <c r="M77" s="96" t="s">
        <v>33</v>
      </c>
      <c r="N77" s="96"/>
      <c r="O77" s="92"/>
      <c r="P77" s="93">
        <v>0.55000000000000004</v>
      </c>
      <c r="Q77" s="92">
        <f>(17500*F77)/(F77+F76)</f>
        <v>10025.343445176446</v>
      </c>
      <c r="R77" s="92">
        <f>(7619*F77)/(F77+F76)</f>
        <v>4364.7480976456773</v>
      </c>
      <c r="S77" s="98">
        <v>12.49</v>
      </c>
      <c r="T77" s="99">
        <f>W77*F77*0.005</f>
        <v>847.74689524354994</v>
      </c>
      <c r="V77" s="92">
        <v>0.1</v>
      </c>
      <c r="W77" s="92">
        <f>IF(O77&gt;0,O77,((P77*2.2046*S77)+(Q77+R77)/G77)+V77)</f>
        <v>16.660847292797456</v>
      </c>
      <c r="X77" s="92">
        <f>IF(O77&gt;0,O77,((P77*2.2046*S77)+(Q77+R77+T77)/G77)+V77)</f>
        <v>16.744286947841111</v>
      </c>
      <c r="Y77" s="92">
        <f t="shared" si="7"/>
        <v>169549.37904870999</v>
      </c>
      <c r="Z77" s="94">
        <v>41421</v>
      </c>
      <c r="AA77" s="127"/>
    </row>
    <row r="78" spans="1:28" s="81" customFormat="1">
      <c r="A78" s="148"/>
      <c r="B78" s="89" t="s">
        <v>21</v>
      </c>
      <c r="C78" s="13" t="s">
        <v>39</v>
      </c>
      <c r="D78" s="96" t="s">
        <v>38</v>
      </c>
      <c r="E78" s="13">
        <v>250</v>
      </c>
      <c r="F78" s="95">
        <f>20860+5600</f>
        <v>26460</v>
      </c>
      <c r="G78" s="90">
        <f>6570+5120+8950</f>
        <v>20640</v>
      </c>
      <c r="H78" s="90">
        <f t="shared" si="6"/>
        <v>-5820</v>
      </c>
      <c r="I78" s="96" t="s">
        <v>185</v>
      </c>
      <c r="J78" s="13"/>
      <c r="K78" s="91"/>
      <c r="L78" s="91">
        <v>41420</v>
      </c>
      <c r="M78" s="96" t="s">
        <v>42</v>
      </c>
      <c r="N78" s="13"/>
      <c r="O78" s="92">
        <v>20</v>
      </c>
      <c r="P78" s="93"/>
      <c r="Q78" s="92">
        <v>15000</v>
      </c>
      <c r="R78" s="92">
        <f>58.25*E78</f>
        <v>14562.5</v>
      </c>
      <c r="S78" s="98">
        <f>-35*E78</f>
        <v>-8750</v>
      </c>
      <c r="T78" s="98">
        <v>2250</v>
      </c>
      <c r="U78" s="92">
        <f>E78*5</f>
        <v>1250</v>
      </c>
      <c r="V78" s="13"/>
      <c r="W78" s="92">
        <f>((O78*F78)+Q78+R78+S78+U78)/G78</f>
        <v>26.70845445736434</v>
      </c>
      <c r="X78" s="92">
        <f>((O78*F78)+Q78+R78+S78+T78+U78)/G78</f>
        <v>26.817466085271317</v>
      </c>
      <c r="Y78" s="92">
        <f t="shared" si="7"/>
        <v>706705.7049418604</v>
      </c>
      <c r="Z78" s="94">
        <v>41428</v>
      </c>
      <c r="AA78" s="127">
        <v>26.15</v>
      </c>
      <c r="AB78" s="81">
        <v>27.5</v>
      </c>
    </row>
    <row r="79" spans="1:28" s="81" customFormat="1">
      <c r="A79" s="148"/>
      <c r="B79" s="96" t="s">
        <v>21</v>
      </c>
      <c r="C79" s="96" t="s">
        <v>46</v>
      </c>
      <c r="D79" s="96" t="s">
        <v>52</v>
      </c>
      <c r="E79" s="13">
        <v>150</v>
      </c>
      <c r="F79" s="95">
        <v>12860</v>
      </c>
      <c r="G79" s="90">
        <v>12860</v>
      </c>
      <c r="H79" s="90">
        <f t="shared" si="6"/>
        <v>0</v>
      </c>
      <c r="I79" s="96" t="s">
        <v>186</v>
      </c>
      <c r="J79" s="13"/>
      <c r="K79" s="91"/>
      <c r="L79" s="91">
        <v>41420</v>
      </c>
      <c r="M79" s="96" t="s">
        <v>42</v>
      </c>
      <c r="N79" s="13"/>
      <c r="O79" s="92">
        <v>26.8</v>
      </c>
      <c r="P79" s="93"/>
      <c r="Q79" s="92"/>
      <c r="R79" s="92"/>
      <c r="S79" s="98"/>
      <c r="T79" s="98"/>
      <c r="U79" s="92">
        <f>E79*5</f>
        <v>750</v>
      </c>
      <c r="W79" s="92">
        <f>((O79*F79)+Q79+R79+S79+U79)/G79</f>
        <v>26.85832037325039</v>
      </c>
      <c r="X79" s="92">
        <f>((O79*F79)+R79+S79+T79+U79)/G79</f>
        <v>26.85832037325039</v>
      </c>
      <c r="Y79" s="92">
        <f t="shared" si="7"/>
        <v>345398</v>
      </c>
      <c r="Z79" s="94">
        <v>41428</v>
      </c>
      <c r="AB79" s="74"/>
    </row>
    <row r="80" spans="1:28" s="81" customFormat="1" ht="15.75" thickBot="1">
      <c r="A80" s="148"/>
      <c r="B80" s="100"/>
      <c r="C80" s="83"/>
      <c r="D80" s="83"/>
      <c r="E80" s="83"/>
      <c r="F80" s="84"/>
      <c r="G80" s="84"/>
      <c r="H80" s="84"/>
      <c r="I80" s="85"/>
      <c r="J80" s="83"/>
      <c r="K80" s="86"/>
      <c r="L80" s="86"/>
      <c r="M80" s="83"/>
      <c r="N80" s="83"/>
      <c r="O80" s="87"/>
      <c r="P80" s="88"/>
      <c r="Q80" s="87"/>
      <c r="R80" s="87"/>
      <c r="S80" s="87"/>
      <c r="T80" s="87"/>
      <c r="U80" s="87"/>
      <c r="V80" s="87"/>
      <c r="W80" s="87"/>
      <c r="X80" s="87"/>
      <c r="Y80" s="87"/>
      <c r="Z80" s="101"/>
      <c r="AA80" s="74"/>
    </row>
    <row r="81" spans="1:28" s="81" customFormat="1">
      <c r="A81" s="159"/>
      <c r="B81" s="102" t="s">
        <v>21</v>
      </c>
      <c r="C81" s="72" t="s">
        <v>39</v>
      </c>
      <c r="D81" s="72" t="s">
        <v>40</v>
      </c>
      <c r="E81" s="72">
        <v>250</v>
      </c>
      <c r="F81" s="140">
        <f>19630+6930</f>
        <v>26560</v>
      </c>
      <c r="G81" s="140">
        <f>10580+4210+6050</f>
        <v>20840</v>
      </c>
      <c r="H81" s="145">
        <f t="shared" ref="H81:H98" si="10">G81-F81</f>
        <v>-5720</v>
      </c>
      <c r="I81" s="72" t="s">
        <v>187</v>
      </c>
      <c r="J81" s="72"/>
      <c r="K81" s="103"/>
      <c r="L81" s="103">
        <v>41421</v>
      </c>
      <c r="M81" s="72" t="s">
        <v>22</v>
      </c>
      <c r="N81" s="72"/>
      <c r="O81" s="104">
        <v>20</v>
      </c>
      <c r="P81" s="105"/>
      <c r="Q81" s="104">
        <v>15000</v>
      </c>
      <c r="R81" s="104">
        <f>58.25*E81</f>
        <v>14562.5</v>
      </c>
      <c r="S81" s="106">
        <f>-35*E81</f>
        <v>-8750</v>
      </c>
      <c r="T81" s="106">
        <v>2250</v>
      </c>
      <c r="U81" s="104">
        <f>E81*5</f>
        <v>1250</v>
      </c>
      <c r="V81" s="72"/>
      <c r="W81" s="104">
        <f>((O81*F81)+Q81+R81+S81+U81)/G81</f>
        <v>26.548104606525911</v>
      </c>
      <c r="X81" s="104">
        <f>((O81*F81)+Q81+R81+S81+T81+U81)/G81</f>
        <v>26.656070057581573</v>
      </c>
      <c r="Y81" s="104">
        <f t="shared" ref="Y81:Y98" si="11">W81*F81</f>
        <v>705117.65834932821</v>
      </c>
      <c r="Z81" s="107">
        <v>41428</v>
      </c>
      <c r="AA81" s="127"/>
    </row>
    <row r="82" spans="1:28" s="81" customFormat="1">
      <c r="A82" s="160"/>
      <c r="B82" s="89" t="s">
        <v>35</v>
      </c>
      <c r="C82" s="13" t="s">
        <v>70</v>
      </c>
      <c r="D82" s="13" t="s">
        <v>45</v>
      </c>
      <c r="E82" s="13"/>
      <c r="F82" s="95">
        <v>18764.66</v>
      </c>
      <c r="G82" s="90">
        <v>18767</v>
      </c>
      <c r="H82" s="90">
        <f t="shared" si="10"/>
        <v>2.3400000000001455</v>
      </c>
      <c r="I82" s="163" t="s">
        <v>188</v>
      </c>
      <c r="J82" s="13"/>
      <c r="K82" s="91">
        <v>41418</v>
      </c>
      <c r="L82" s="91">
        <v>41421</v>
      </c>
      <c r="M82" s="96" t="s">
        <v>31</v>
      </c>
      <c r="N82" s="96" t="s">
        <v>189</v>
      </c>
      <c r="O82" s="92"/>
      <c r="P82" s="93">
        <v>1.855</v>
      </c>
      <c r="Q82" s="92"/>
      <c r="R82" s="92"/>
      <c r="S82" s="98">
        <v>12.528</v>
      </c>
      <c r="T82" s="98"/>
      <c r="U82" s="92"/>
      <c r="V82" s="92"/>
      <c r="W82" s="92">
        <f>IF(O82&gt;0,O82,((P82*S82)+(Q82+R82)/G82)+V82)</f>
        <v>23.239440000000002</v>
      </c>
      <c r="X82" s="92">
        <f>IF(O82&gt;0,O82,((P82*S82)+(Q82+R82+T82)/G82)+V82)</f>
        <v>23.239440000000002</v>
      </c>
      <c r="Y82" s="92">
        <f t="shared" si="11"/>
        <v>436080.19019040006</v>
      </c>
      <c r="Z82" s="94">
        <v>41421</v>
      </c>
      <c r="AA82" s="127"/>
    </row>
    <row r="83" spans="1:28" s="81" customFormat="1">
      <c r="A83" s="160"/>
      <c r="B83" s="89" t="s">
        <v>23</v>
      </c>
      <c r="C83" s="96" t="s">
        <v>24</v>
      </c>
      <c r="D83" s="96" t="s">
        <v>25</v>
      </c>
      <c r="E83" s="13" t="s">
        <v>37</v>
      </c>
      <c r="F83" s="95">
        <f>42586*0.4536</f>
        <v>19317.009600000001</v>
      </c>
      <c r="G83" s="90">
        <v>19222.03</v>
      </c>
      <c r="H83" s="90">
        <f t="shared" si="10"/>
        <v>-94.979600000002392</v>
      </c>
      <c r="I83" s="96" t="s">
        <v>190</v>
      </c>
      <c r="K83" s="91">
        <v>41418</v>
      </c>
      <c r="L83" s="91">
        <v>41419</v>
      </c>
      <c r="M83" s="96" t="s">
        <v>33</v>
      </c>
      <c r="N83" s="13" t="s">
        <v>189</v>
      </c>
      <c r="O83" s="92"/>
      <c r="P83" s="146">
        <v>0.84150000000000003</v>
      </c>
      <c r="Q83" s="92"/>
      <c r="R83" s="92"/>
      <c r="S83" s="98">
        <v>12.528</v>
      </c>
      <c r="T83" s="98"/>
      <c r="U83" s="92"/>
      <c r="V83" s="92"/>
      <c r="W83" s="92">
        <f>((P83*2.2046*S83)+(Q83*S83)/G83)</f>
        <v>23.241581035200003</v>
      </c>
      <c r="X83" s="92">
        <f>IF(O83&gt;0,O83,((P83*2.2046*S83)+(Q83+R83+U83)/G83)+V83)</f>
        <v>23.241581035200003</v>
      </c>
      <c r="Y83" s="92">
        <f t="shared" si="11"/>
        <v>448957.84397613641</v>
      </c>
      <c r="Z83" s="94">
        <v>41421</v>
      </c>
      <c r="AA83" s="127"/>
    </row>
    <row r="84" spans="1:28" s="81" customFormat="1">
      <c r="A84" s="160"/>
      <c r="B84" s="89" t="s">
        <v>21</v>
      </c>
      <c r="C84" s="13" t="s">
        <v>39</v>
      </c>
      <c r="D84" s="13" t="s">
        <v>50</v>
      </c>
      <c r="E84" s="13">
        <v>250</v>
      </c>
      <c r="F84" s="95">
        <f>20470+6960</f>
        <v>27430</v>
      </c>
      <c r="G84" s="90">
        <f>4560+16960</f>
        <v>21520</v>
      </c>
      <c r="H84" s="90">
        <f t="shared" si="10"/>
        <v>-5910</v>
      </c>
      <c r="I84" s="96" t="s">
        <v>191</v>
      </c>
      <c r="J84" s="13"/>
      <c r="K84" s="91"/>
      <c r="L84" s="91">
        <v>41422</v>
      </c>
      <c r="M84" s="96" t="s">
        <v>27</v>
      </c>
      <c r="N84" s="13"/>
      <c r="O84" s="92">
        <v>20</v>
      </c>
      <c r="P84" s="93"/>
      <c r="Q84" s="92">
        <v>15000</v>
      </c>
      <c r="R84" s="92">
        <f>58.25*E84</f>
        <v>14562.5</v>
      </c>
      <c r="S84" s="98">
        <f>-35*E84</f>
        <v>-8750</v>
      </c>
      <c r="T84" s="98">
        <v>2250</v>
      </c>
      <c r="U84" s="92">
        <f>E84*5</f>
        <v>1250</v>
      </c>
      <c r="V84" s="13"/>
      <c r="W84" s="92">
        <f>((O84*F84)+Q84+R84+S84+U84)/G84</f>
        <v>26.517774163568774</v>
      </c>
      <c r="X84" s="92">
        <f>((O84*F84)+Q84+R84+S84+T84+U84)/G84</f>
        <v>26.622328066914498</v>
      </c>
      <c r="Y84" s="92">
        <f t="shared" si="11"/>
        <v>727382.54530669143</v>
      </c>
      <c r="Z84" s="94">
        <v>41428</v>
      </c>
      <c r="AA84" s="127">
        <v>26.1</v>
      </c>
      <c r="AB84" s="81">
        <v>27.5</v>
      </c>
    </row>
    <row r="85" spans="1:28" s="81" customFormat="1">
      <c r="A85" s="160"/>
      <c r="B85" s="89" t="s">
        <v>192</v>
      </c>
      <c r="C85" s="13" t="s">
        <v>24</v>
      </c>
      <c r="D85" s="13" t="s">
        <v>111</v>
      </c>
      <c r="E85" s="13" t="s">
        <v>193</v>
      </c>
      <c r="F85" s="95">
        <v>2956.5</v>
      </c>
      <c r="G85" s="90">
        <v>2956.5</v>
      </c>
      <c r="H85" s="90">
        <f t="shared" si="10"/>
        <v>0</v>
      </c>
      <c r="I85" s="96" t="s">
        <v>194</v>
      </c>
      <c r="J85" s="13"/>
      <c r="K85" s="91"/>
      <c r="L85" s="91">
        <v>41422</v>
      </c>
      <c r="M85" s="96" t="s">
        <v>27</v>
      </c>
      <c r="N85" s="13"/>
      <c r="O85" s="92">
        <v>30.5</v>
      </c>
      <c r="P85" s="93"/>
      <c r="Q85" s="92"/>
      <c r="R85" s="92"/>
      <c r="S85" s="98"/>
      <c r="T85" s="98"/>
      <c r="U85" s="92"/>
      <c r="V85" s="92"/>
      <c r="W85" s="92">
        <f>IF(O85&gt;0,O85,((P85*2.2046*S85)+(Q85+R85)/G85)+V85)</f>
        <v>30.5</v>
      </c>
      <c r="X85" s="92">
        <f>IF(O85&gt;0,O85,((P85*2.2046*S85)+(Q85+R85+T85)/G85)+V85)</f>
        <v>30.5</v>
      </c>
      <c r="Y85" s="92">
        <f t="shared" si="11"/>
        <v>90173.25</v>
      </c>
      <c r="Z85" s="94">
        <v>41430</v>
      </c>
      <c r="AA85" s="127"/>
    </row>
    <row r="86" spans="1:28" s="81" customFormat="1">
      <c r="A86" s="160"/>
      <c r="B86" s="89" t="s">
        <v>23</v>
      </c>
      <c r="C86" s="13" t="s">
        <v>29</v>
      </c>
      <c r="D86" s="13" t="s">
        <v>29</v>
      </c>
      <c r="E86" s="13" t="s">
        <v>36</v>
      </c>
      <c r="F86" s="95">
        <f>40978*0.4536</f>
        <v>18587.620800000001</v>
      </c>
      <c r="G86" s="90">
        <v>18418.71</v>
      </c>
      <c r="H86" s="90">
        <f t="shared" si="10"/>
        <v>-168.91080000000147</v>
      </c>
      <c r="I86" s="96" t="s">
        <v>195</v>
      </c>
      <c r="J86" s="161" t="s">
        <v>30</v>
      </c>
      <c r="K86" s="91">
        <v>41421</v>
      </c>
      <c r="L86" s="91">
        <v>41422</v>
      </c>
      <c r="M86" s="96" t="s">
        <v>27</v>
      </c>
      <c r="N86" s="96" t="s">
        <v>196</v>
      </c>
      <c r="O86" s="92"/>
      <c r="P86" s="146">
        <v>0.77049999999999996</v>
      </c>
      <c r="Q86" s="92">
        <v>17000</v>
      </c>
      <c r="R86" s="92">
        <v>7619</v>
      </c>
      <c r="S86" s="98">
        <v>12.51</v>
      </c>
      <c r="T86" s="99">
        <f>W86*F86*0.005</f>
        <v>2108.4561120583098</v>
      </c>
      <c r="V86" s="92">
        <v>0.1</v>
      </c>
      <c r="W86" s="92">
        <f>IF(O86&gt;0,O86,((P86*2.2046*S86)+(Q86+R86)/G86)+V86)</f>
        <v>22.686670174144176</v>
      </c>
      <c r="X86" s="92">
        <f>IF(O86&gt;0,O86,((P86*2.2046*S86)+(Q86+R86+T86)/G86)+V86)</f>
        <v>22.801143777999076</v>
      </c>
      <c r="Y86" s="92">
        <f t="shared" si="11"/>
        <v>421691.22241166193</v>
      </c>
      <c r="Z86" s="94">
        <v>41423</v>
      </c>
      <c r="AA86" s="74"/>
    </row>
    <row r="87" spans="1:28" s="81" customFormat="1">
      <c r="A87" s="160"/>
      <c r="B87" s="89" t="s">
        <v>23</v>
      </c>
      <c r="C87" s="13" t="s">
        <v>29</v>
      </c>
      <c r="D87" s="13" t="s">
        <v>29</v>
      </c>
      <c r="E87" s="13" t="s">
        <v>26</v>
      </c>
      <c r="F87" s="95">
        <f>40106*0.4536</f>
        <v>18192.081600000001</v>
      </c>
      <c r="G87" s="90">
        <v>18198.96</v>
      </c>
      <c r="H87" s="90">
        <f t="shared" si="10"/>
        <v>6.8783999999977823</v>
      </c>
      <c r="I87" s="96" t="s">
        <v>197</v>
      </c>
      <c r="J87" s="161" t="s">
        <v>30</v>
      </c>
      <c r="K87" s="91">
        <v>41421</v>
      </c>
      <c r="L87" s="91">
        <v>37039</v>
      </c>
      <c r="M87" s="96" t="s">
        <v>27</v>
      </c>
      <c r="N87" s="96" t="s">
        <v>196</v>
      </c>
      <c r="O87" s="92"/>
      <c r="P87" s="146">
        <v>0.77049999999999996</v>
      </c>
      <c r="Q87" s="92">
        <v>17000</v>
      </c>
      <c r="R87" s="92">
        <v>7619</v>
      </c>
      <c r="S87" s="98">
        <v>12.51</v>
      </c>
      <c r="T87" s="99">
        <f>W87*F87*0.005</f>
        <v>2065.0568423192926</v>
      </c>
      <c r="V87" s="92">
        <v>0.1</v>
      </c>
      <c r="W87" s="92">
        <f>IF(O87&gt;0,O87,((P87*2.2046*S87)+(Q87+R87)/G87)+V87)</f>
        <v>22.702809801812812</v>
      </c>
      <c r="X87" s="92">
        <f>IF(O87&gt;0,O87,((P87*2.2046*S87)+(Q87+R87+T87)/G87)+V87)</f>
        <v>22.816280947544179</v>
      </c>
      <c r="Y87" s="92">
        <f t="shared" si="11"/>
        <v>413011.36846385855</v>
      </c>
      <c r="Z87" s="94">
        <v>41423</v>
      </c>
      <c r="AA87" s="74"/>
    </row>
    <row r="88" spans="1:28" s="81" customFormat="1">
      <c r="A88" s="160"/>
      <c r="B88" s="89" t="s">
        <v>63</v>
      </c>
      <c r="C88" s="96" t="s">
        <v>29</v>
      </c>
      <c r="D88" s="96" t="s">
        <v>29</v>
      </c>
      <c r="E88" s="13" t="s">
        <v>62</v>
      </c>
      <c r="F88" s="95">
        <f>20400*0.4536</f>
        <v>9253.44</v>
      </c>
      <c r="G88" s="90">
        <v>9253.44</v>
      </c>
      <c r="H88" s="90">
        <f t="shared" si="10"/>
        <v>0</v>
      </c>
      <c r="I88" s="81" t="s">
        <v>198</v>
      </c>
      <c r="J88" s="161" t="s">
        <v>64</v>
      </c>
      <c r="K88" s="91">
        <v>41421</v>
      </c>
      <c r="L88" s="91">
        <v>41422</v>
      </c>
      <c r="M88" s="96" t="s">
        <v>27</v>
      </c>
      <c r="N88" s="96"/>
      <c r="O88" s="92"/>
      <c r="P88" s="146">
        <v>1.32</v>
      </c>
      <c r="Q88" s="92">
        <f>(17500*F88)/(F88+F89)</f>
        <v>8750</v>
      </c>
      <c r="R88" s="92">
        <f>(7619*F88)/(F88+F89)</f>
        <v>3809.4999999999995</v>
      </c>
      <c r="S88" s="98">
        <v>12.51</v>
      </c>
      <c r="T88" s="99">
        <f>W88*F88*0.005</f>
        <v>1751.7816693123843</v>
      </c>
      <c r="V88" s="92">
        <v>0.1</v>
      </c>
      <c r="W88" s="92">
        <f>IF(O88&gt;0,O88,((P88*2.2046*S88)+(Q88+R88)/G88)+V88)</f>
        <v>37.862279742720204</v>
      </c>
      <c r="X88" s="92">
        <f>IF(O88&gt;0,O88,((P88*2.2046*S88)+(Q88+R88+T88)/G88)+V88)</f>
        <v>38.051591141433804</v>
      </c>
      <c r="Y88" s="92">
        <f t="shared" si="11"/>
        <v>350356.33386247687</v>
      </c>
      <c r="Z88" s="94">
        <v>41423</v>
      </c>
      <c r="AA88" s="127"/>
    </row>
    <row r="89" spans="1:28" s="81" customFormat="1">
      <c r="A89" s="160"/>
      <c r="B89" s="89" t="s">
        <v>199</v>
      </c>
      <c r="C89" s="96" t="s">
        <v>29</v>
      </c>
      <c r="D89" s="96" t="s">
        <v>29</v>
      </c>
      <c r="E89" s="13" t="s">
        <v>200</v>
      </c>
      <c r="F89" s="95">
        <f>20400*0.4536</f>
        <v>9253.44</v>
      </c>
      <c r="G89" s="90">
        <v>9253.44</v>
      </c>
      <c r="H89" s="90">
        <f t="shared" si="10"/>
        <v>0</v>
      </c>
      <c r="I89" s="81" t="s">
        <v>198</v>
      </c>
      <c r="J89" s="13"/>
      <c r="K89" s="91"/>
      <c r="L89" s="91">
        <v>41423</v>
      </c>
      <c r="M89" s="96" t="s">
        <v>28</v>
      </c>
      <c r="N89" s="96"/>
      <c r="O89" s="92"/>
      <c r="P89" s="93">
        <v>0.69</v>
      </c>
      <c r="Q89" s="92">
        <f>(17500*F89)/(F89+F88)</f>
        <v>8750</v>
      </c>
      <c r="R89" s="92">
        <f>(7619*F89)/(F89+F88)</f>
        <v>3809.4999999999995</v>
      </c>
      <c r="S89" s="98">
        <v>12.51</v>
      </c>
      <c r="T89" s="99">
        <f>W89*F89*0.005</f>
        <v>947.88379577692808</v>
      </c>
      <c r="V89" s="92">
        <v>0.1</v>
      </c>
      <c r="W89" s="92">
        <f>IF(O89&gt;0,O89,((P89*2.2046*S89)+(Q89+R89)/G89)+V89)</f>
        <v>20.487165762720199</v>
      </c>
      <c r="X89" s="92">
        <f>IF(O89&gt;0,O89,((P89*2.2046*S89)+(Q89+R89+T89)/G89)+V89)</f>
        <v>20.5896015915338</v>
      </c>
      <c r="Y89" s="92">
        <f t="shared" si="11"/>
        <v>189576.7591553856</v>
      </c>
      <c r="Z89" s="94">
        <v>41423</v>
      </c>
      <c r="AA89" s="127"/>
    </row>
    <row r="90" spans="1:28" s="81" customFormat="1">
      <c r="A90" s="160"/>
      <c r="B90" s="89" t="s">
        <v>21</v>
      </c>
      <c r="C90" s="13" t="s">
        <v>39</v>
      </c>
      <c r="D90" s="13" t="s">
        <v>201</v>
      </c>
      <c r="E90" s="13">
        <f>190+60</f>
        <v>250</v>
      </c>
      <c r="F90" s="95">
        <f>19300+6150</f>
        <v>25450</v>
      </c>
      <c r="G90" s="90">
        <f>5380+3970+10210</f>
        <v>19560</v>
      </c>
      <c r="H90" s="90">
        <f t="shared" si="10"/>
        <v>-5890</v>
      </c>
      <c r="I90" s="96" t="s">
        <v>202</v>
      </c>
      <c r="J90" s="13"/>
      <c r="K90" s="91"/>
      <c r="L90" s="91">
        <v>41423</v>
      </c>
      <c r="M90" s="96" t="s">
        <v>28</v>
      </c>
      <c r="N90" s="13"/>
      <c r="O90" s="92">
        <v>20</v>
      </c>
      <c r="P90" s="93"/>
      <c r="Q90" s="92">
        <v>15000</v>
      </c>
      <c r="R90" s="92">
        <f>58.25*E90</f>
        <v>14562.5</v>
      </c>
      <c r="S90" s="98">
        <f>-35*E90</f>
        <v>-8750</v>
      </c>
      <c r="T90" s="98">
        <v>2250</v>
      </c>
      <c r="U90" s="92">
        <f>E90*5</f>
        <v>1250</v>
      </c>
      <c r="V90" s="13"/>
      <c r="W90" s="92">
        <f>((O90*F90)+Q90+R90+S90+U90)/G90</f>
        <v>27.150434560327199</v>
      </c>
      <c r="X90" s="92">
        <f>((O90*F90)+Q90+R90+S90+T90+U90)/G90</f>
        <v>27.265465235173824</v>
      </c>
      <c r="Y90" s="92">
        <f t="shared" si="11"/>
        <v>690978.55956032721</v>
      </c>
      <c r="Z90" s="94">
        <v>41429</v>
      </c>
      <c r="AA90" s="127">
        <v>26.5</v>
      </c>
      <c r="AB90" s="81">
        <v>27.5</v>
      </c>
    </row>
    <row r="91" spans="1:28" s="81" customFormat="1">
      <c r="A91" s="160"/>
      <c r="B91" s="89" t="s">
        <v>21</v>
      </c>
      <c r="C91" s="13" t="s">
        <v>46</v>
      </c>
      <c r="D91" s="13" t="s">
        <v>52</v>
      </c>
      <c r="E91" s="13">
        <v>148</v>
      </c>
      <c r="F91" s="95">
        <v>14080</v>
      </c>
      <c r="G91" s="90">
        <v>14080</v>
      </c>
      <c r="H91" s="90">
        <f t="shared" si="10"/>
        <v>0</v>
      </c>
      <c r="I91" s="149"/>
      <c r="J91" s="13"/>
      <c r="K91" s="91"/>
      <c r="L91" s="91">
        <v>41423</v>
      </c>
      <c r="M91" s="96" t="s">
        <v>28</v>
      </c>
      <c r="N91" s="13"/>
      <c r="O91" s="92">
        <v>26.8</v>
      </c>
      <c r="P91" s="93"/>
      <c r="Q91" s="92"/>
      <c r="R91" s="92"/>
      <c r="S91" s="98"/>
      <c r="T91" s="99"/>
      <c r="U91" s="74"/>
      <c r="V91" s="92"/>
      <c r="W91" s="92">
        <f>IF(O91&gt;0,O91,((P91*2.2046*S91)+(Q91+R91)/G91)+V91)</f>
        <v>26.8</v>
      </c>
      <c r="X91" s="92">
        <f>IF(O91&gt;0,O91,((P91*2.2046*S91)+(Q91+R91+T91)/G91)+V91)</f>
        <v>26.8</v>
      </c>
      <c r="Y91" s="92">
        <f t="shared" si="11"/>
        <v>377344</v>
      </c>
      <c r="Z91" s="94">
        <v>41430</v>
      </c>
      <c r="AA91" s="127"/>
    </row>
    <row r="92" spans="1:28" s="81" customFormat="1">
      <c r="A92" s="160"/>
      <c r="B92" s="89" t="s">
        <v>23</v>
      </c>
      <c r="C92" s="96" t="s">
        <v>24</v>
      </c>
      <c r="D92" s="96" t="s">
        <v>25</v>
      </c>
      <c r="E92" s="13" t="s">
        <v>37</v>
      </c>
      <c r="F92" s="95">
        <f>43217*0.4536</f>
        <v>19603.231199999998</v>
      </c>
      <c r="G92" s="90">
        <v>19477.93</v>
      </c>
      <c r="H92" s="90">
        <f t="shared" si="10"/>
        <v>-125.30119999999806</v>
      </c>
      <c r="I92" s="96" t="s">
        <v>203</v>
      </c>
      <c r="K92" s="91">
        <v>41418</v>
      </c>
      <c r="L92" s="91">
        <v>41421</v>
      </c>
      <c r="M92" s="96" t="s">
        <v>22</v>
      </c>
      <c r="N92" s="13" t="s">
        <v>204</v>
      </c>
      <c r="O92" s="92"/>
      <c r="P92" s="146">
        <v>0.82550000000000001</v>
      </c>
      <c r="Q92" s="92"/>
      <c r="R92" s="92"/>
      <c r="S92" s="98">
        <v>12.693</v>
      </c>
      <c r="T92" s="98"/>
      <c r="U92" s="92"/>
      <c r="V92" s="92"/>
      <c r="W92" s="92">
        <f>((P92*2.2046*S92)+(Q92*S92)/G92)</f>
        <v>23.099956428900001</v>
      </c>
      <c r="X92" s="92">
        <f>IF(O92&gt;0,O92,((P92*2.2046*S92)+(Q92+R92+U92)/G92)+V92)</f>
        <v>23.099956428900001</v>
      </c>
      <c r="Y92" s="92">
        <f t="shared" si="11"/>
        <v>452833.78658565303</v>
      </c>
      <c r="Z92" s="94">
        <v>41423</v>
      </c>
      <c r="AA92" s="127"/>
    </row>
    <row r="93" spans="1:28" s="81" customFormat="1">
      <c r="A93" s="160"/>
      <c r="B93" s="89" t="s">
        <v>21</v>
      </c>
      <c r="C93" s="13" t="s">
        <v>39</v>
      </c>
      <c r="D93" s="96" t="s">
        <v>38</v>
      </c>
      <c r="E93" s="13">
        <v>250</v>
      </c>
      <c r="F93" s="95">
        <f>5990+18410</f>
        <v>24400</v>
      </c>
      <c r="G93" s="90">
        <f>4970+13820</f>
        <v>18790</v>
      </c>
      <c r="H93" s="90">
        <f t="shared" si="10"/>
        <v>-5610</v>
      </c>
      <c r="I93" s="96" t="s">
        <v>205</v>
      </c>
      <c r="J93" s="13"/>
      <c r="K93" s="91"/>
      <c r="L93" s="91">
        <v>41424</v>
      </c>
      <c r="M93" s="96" t="s">
        <v>31</v>
      </c>
      <c r="N93" s="13"/>
      <c r="O93" s="92">
        <v>20</v>
      </c>
      <c r="P93" s="93"/>
      <c r="Q93" s="92">
        <v>15000</v>
      </c>
      <c r="R93" s="92">
        <f>58.25*E93</f>
        <v>14562.5</v>
      </c>
      <c r="S93" s="98">
        <f>-35*E93</f>
        <v>-8750</v>
      </c>
      <c r="T93" s="98">
        <v>2250</v>
      </c>
      <c r="U93" s="92">
        <f>E93*5</f>
        <v>1250</v>
      </c>
      <c r="V93" s="13"/>
      <c r="W93" s="92">
        <f>((O93*F93)+Q93+R93+S93+U93)/G93</f>
        <v>27.145423097392229</v>
      </c>
      <c r="X93" s="92">
        <f>((O93*F93)+Q93+R93+S93+T93+U93)/G93</f>
        <v>27.265167642362957</v>
      </c>
      <c r="Y93" s="92">
        <f t="shared" si="11"/>
        <v>662348.32357637037</v>
      </c>
      <c r="Z93" s="94">
        <v>41430</v>
      </c>
      <c r="AA93" s="127">
        <v>26.5</v>
      </c>
      <c r="AB93" s="81">
        <v>27.5</v>
      </c>
    </row>
    <row r="94" spans="1:28">
      <c r="A94" s="160"/>
      <c r="B94" s="89" t="s">
        <v>51</v>
      </c>
      <c r="C94" s="13" t="s">
        <v>48</v>
      </c>
      <c r="D94" s="13" t="s">
        <v>49</v>
      </c>
      <c r="E94" s="13" t="s">
        <v>206</v>
      </c>
      <c r="F94" s="95">
        <v>18682.830000000002</v>
      </c>
      <c r="G94" s="95">
        <v>18682.099999999999</v>
      </c>
      <c r="H94" s="90">
        <f t="shared" si="10"/>
        <v>-0.73000000000320142</v>
      </c>
      <c r="I94" s="96" t="s">
        <v>207</v>
      </c>
      <c r="L94" s="91">
        <v>41424</v>
      </c>
      <c r="M94" s="96" t="s">
        <v>31</v>
      </c>
      <c r="O94" s="92">
        <v>55.5</v>
      </c>
      <c r="V94" s="92">
        <v>0.1</v>
      </c>
      <c r="W94" s="92">
        <f>IF(O94&gt;0,O94,((P94*2.2046*S94)+(Q94+R94)/G94)+V94)</f>
        <v>55.5</v>
      </c>
      <c r="X94" s="92">
        <f>IF(O94&gt;0,O94,((P94*2.2046*S94)+(Q94+R94+T94)/G94)+V94)</f>
        <v>55.5</v>
      </c>
      <c r="Y94" s="92">
        <f t="shared" si="11"/>
        <v>1036897.0650000001</v>
      </c>
      <c r="Z94" s="94">
        <v>41440</v>
      </c>
      <c r="AA94" s="127"/>
    </row>
    <row r="95" spans="1:28" s="81" customFormat="1">
      <c r="A95" s="160"/>
      <c r="B95" s="89" t="s">
        <v>23</v>
      </c>
      <c r="C95" s="13" t="s">
        <v>29</v>
      </c>
      <c r="D95" s="13" t="s">
        <v>29</v>
      </c>
      <c r="E95" s="13" t="s">
        <v>26</v>
      </c>
      <c r="F95" s="95">
        <f>38573*0.4536</f>
        <v>17496.712800000001</v>
      </c>
      <c r="G95" s="90">
        <v>17470.73</v>
      </c>
      <c r="H95" s="90">
        <f t="shared" si="10"/>
        <v>-25.982800000001589</v>
      </c>
      <c r="I95" s="96" t="s">
        <v>208</v>
      </c>
      <c r="J95" s="161" t="s">
        <v>30</v>
      </c>
      <c r="K95" s="91">
        <v>41424</v>
      </c>
      <c r="L95" s="91">
        <v>41425</v>
      </c>
      <c r="M95" s="96" t="s">
        <v>32</v>
      </c>
      <c r="N95" s="96" t="s">
        <v>209</v>
      </c>
      <c r="O95" s="92"/>
      <c r="P95" s="146">
        <v>0.7742</v>
      </c>
      <c r="Q95" s="92">
        <v>17000</v>
      </c>
      <c r="R95" s="92">
        <v>7632</v>
      </c>
      <c r="S95" s="98">
        <v>12.798</v>
      </c>
      <c r="T95" s="99">
        <f>W95*F95*0.005</f>
        <v>2043.0512883285926</v>
      </c>
      <c r="V95" s="92">
        <v>0.1</v>
      </c>
      <c r="W95" s="92">
        <f>IF(O95&gt;0,O95,((P95*2.2046*S95)+(Q95+R95)/G95)+V95)</f>
        <v>23.353544310661512</v>
      </c>
      <c r="X95" s="92">
        <f>IF(O95&gt;0,O95,((P95*2.2046*S95)+(Q95+R95+T95)/G95)+V95)</f>
        <v>23.470485691378205</v>
      </c>
      <c r="Y95" s="92">
        <f t="shared" si="11"/>
        <v>408610.2576657185</v>
      </c>
      <c r="Z95" s="94">
        <v>41425</v>
      </c>
      <c r="AA95" s="74"/>
    </row>
    <row r="96" spans="1:28" s="81" customFormat="1">
      <c r="A96" s="160"/>
      <c r="B96" s="89" t="s">
        <v>23</v>
      </c>
      <c r="C96" s="96" t="s">
        <v>24</v>
      </c>
      <c r="D96" s="96" t="s">
        <v>24</v>
      </c>
      <c r="E96" s="13" t="s">
        <v>37</v>
      </c>
      <c r="F96" s="95">
        <f>42820*0.4536</f>
        <v>19423.152000000002</v>
      </c>
      <c r="G96" s="90">
        <v>19288.46</v>
      </c>
      <c r="H96" s="90">
        <f t="shared" si="10"/>
        <v>-134.69200000000274</v>
      </c>
      <c r="I96" s="96" t="s">
        <v>210</v>
      </c>
      <c r="J96" s="161" t="s">
        <v>211</v>
      </c>
      <c r="K96" s="91">
        <v>41424</v>
      </c>
      <c r="L96" s="91">
        <v>41425</v>
      </c>
      <c r="M96" s="96" t="s">
        <v>31</v>
      </c>
      <c r="N96" s="13" t="s">
        <v>212</v>
      </c>
      <c r="O96" s="92"/>
      <c r="P96" s="146">
        <v>0.76919999999999999</v>
      </c>
      <c r="Q96" s="92">
        <v>17000</v>
      </c>
      <c r="R96" s="92">
        <v>7632</v>
      </c>
      <c r="S96" s="98">
        <v>12.49</v>
      </c>
      <c r="T96" s="99">
        <f>W96*F96*0.005</f>
        <v>2190.6697428719608</v>
      </c>
      <c r="V96" s="92">
        <v>0.1</v>
      </c>
      <c r="W96" s="92">
        <f>IF(O96&gt;0,O96,((P96*2.2046*S96)+(Q96+R96)/G96)+V96)</f>
        <v>22.557304219953185</v>
      </c>
      <c r="X96" s="92">
        <f>IF(O96&gt;0,O96,((P96*2.2046*S96)+(Q96+R96+T96)/G96)+V96)</f>
        <v>22.670878333328329</v>
      </c>
      <c r="Y96" s="92">
        <f t="shared" si="11"/>
        <v>438133.94857439218</v>
      </c>
      <c r="Z96" s="94">
        <v>41424</v>
      </c>
      <c r="AA96" s="127"/>
    </row>
    <row r="97" spans="1:27" s="81" customFormat="1">
      <c r="A97" s="160"/>
      <c r="B97" s="89" t="s">
        <v>21</v>
      </c>
      <c r="C97" s="13" t="s">
        <v>39</v>
      </c>
      <c r="D97" s="96" t="s">
        <v>213</v>
      </c>
      <c r="E97" s="13">
        <f>190+60</f>
        <v>250</v>
      </c>
      <c r="F97" s="95">
        <f>21520+5670</f>
        <v>27190</v>
      </c>
      <c r="G97" s="90">
        <f>14940+6340</f>
        <v>21280</v>
      </c>
      <c r="H97" s="90">
        <f t="shared" si="10"/>
        <v>-5910</v>
      </c>
      <c r="I97" s="96" t="s">
        <v>214</v>
      </c>
      <c r="J97" s="13"/>
      <c r="K97" s="91"/>
      <c r="L97" s="91">
        <v>41425</v>
      </c>
      <c r="M97" s="96" t="s">
        <v>32</v>
      </c>
      <c r="N97" s="13"/>
      <c r="O97" s="92">
        <v>20</v>
      </c>
      <c r="P97" s="93"/>
      <c r="Q97" s="92">
        <v>15000</v>
      </c>
      <c r="R97" s="92">
        <f>58.25*E97</f>
        <v>14562.5</v>
      </c>
      <c r="S97" s="98">
        <f>-35*E97</f>
        <v>-8750</v>
      </c>
      <c r="T97" s="98">
        <v>2250</v>
      </c>
      <c r="U97" s="92">
        <f>E97*5</f>
        <v>1250</v>
      </c>
      <c r="V97" s="13"/>
      <c r="W97" s="92">
        <f>((O97*F97)+Q97+R97+S97+U97)/G97</f>
        <v>26.591282894736842</v>
      </c>
      <c r="X97" s="92">
        <f>((O97*F97)+Q97+R97+S97+T97+U97)/G97</f>
        <v>26.697015977443609</v>
      </c>
      <c r="Y97" s="92">
        <f t="shared" si="11"/>
        <v>723016.98190789472</v>
      </c>
      <c r="Z97" s="94">
        <v>41431</v>
      </c>
      <c r="AA97" s="127">
        <v>26.1</v>
      </c>
    </row>
    <row r="98" spans="1:27" s="81" customFormat="1" ht="15.75" thickBot="1">
      <c r="A98" s="160"/>
      <c r="B98" s="100" t="s">
        <v>192</v>
      </c>
      <c r="C98" s="83" t="s">
        <v>24</v>
      </c>
      <c r="D98" s="83" t="s">
        <v>25</v>
      </c>
      <c r="E98" s="83" t="s">
        <v>215</v>
      </c>
      <c r="F98" s="84">
        <f>40617.9*0.4536</f>
        <v>18424.279440000002</v>
      </c>
      <c r="G98" s="84">
        <v>18420</v>
      </c>
      <c r="H98" s="84">
        <f t="shared" si="10"/>
        <v>-4.2794400000020687</v>
      </c>
      <c r="I98" s="85" t="s">
        <v>216</v>
      </c>
      <c r="J98" s="83"/>
      <c r="K98" s="86"/>
      <c r="L98" s="86">
        <v>41425</v>
      </c>
      <c r="M98" s="83" t="s">
        <v>32</v>
      </c>
      <c r="N98" s="83"/>
      <c r="O98" s="87"/>
      <c r="P98" s="88">
        <v>1.1000000000000001</v>
      </c>
      <c r="Q98" s="87"/>
      <c r="R98" s="87"/>
      <c r="S98" s="162">
        <v>12.85</v>
      </c>
      <c r="T98" s="87"/>
      <c r="U98" s="87"/>
      <c r="V98" s="87"/>
      <c r="W98" s="87">
        <f>((P98*2.2046*S98)+(Q98*S98)/G98)</f>
        <v>31.162021000000003</v>
      </c>
      <c r="X98" s="87">
        <f>IF(O98&gt;0,O98,((P98*2.2046*S98)+(Q98+R98+U98)/G98)+V98)</f>
        <v>31.162021000000003</v>
      </c>
      <c r="Y98" s="87">
        <f t="shared" si="11"/>
        <v>574137.78281914839</v>
      </c>
      <c r="Z98" s="101">
        <v>41432</v>
      </c>
      <c r="AA98" s="12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239"/>
  <sheetViews>
    <sheetView workbookViewId="0">
      <selection sqref="A1:XFD1048576"/>
    </sheetView>
  </sheetViews>
  <sheetFormatPr baseColWidth="10" defaultRowHeight="15"/>
  <cols>
    <col min="1" max="1" width="28.140625" customWidth="1"/>
    <col min="2" max="2" width="11.85546875" customWidth="1"/>
    <col min="4" max="4" width="12.42578125" style="15" customWidth="1"/>
    <col min="5" max="5" width="17.42578125" style="15" customWidth="1"/>
    <col min="257" max="257" width="25.140625" customWidth="1"/>
    <col min="258" max="258" width="11.85546875" customWidth="1"/>
    <col min="260" max="260" width="12.42578125" customWidth="1"/>
    <col min="261" max="261" width="17.42578125" customWidth="1"/>
    <col min="513" max="513" width="25.140625" customWidth="1"/>
    <col min="514" max="514" width="11.85546875" customWidth="1"/>
    <col min="516" max="516" width="12.42578125" customWidth="1"/>
    <col min="517" max="517" width="17.42578125" customWidth="1"/>
    <col min="769" max="769" width="25.140625" customWidth="1"/>
    <col min="770" max="770" width="11.85546875" customWidth="1"/>
    <col min="772" max="772" width="12.42578125" customWidth="1"/>
    <col min="773" max="773" width="17.42578125" customWidth="1"/>
    <col min="1025" max="1025" width="25.140625" customWidth="1"/>
    <col min="1026" max="1026" width="11.85546875" customWidth="1"/>
    <col min="1028" max="1028" width="12.42578125" customWidth="1"/>
    <col min="1029" max="1029" width="17.42578125" customWidth="1"/>
    <col min="1281" max="1281" width="25.140625" customWidth="1"/>
    <col min="1282" max="1282" width="11.85546875" customWidth="1"/>
    <col min="1284" max="1284" width="12.42578125" customWidth="1"/>
    <col min="1285" max="1285" width="17.42578125" customWidth="1"/>
    <col min="1537" max="1537" width="25.140625" customWidth="1"/>
    <col min="1538" max="1538" width="11.85546875" customWidth="1"/>
    <col min="1540" max="1540" width="12.42578125" customWidth="1"/>
    <col min="1541" max="1541" width="17.42578125" customWidth="1"/>
    <col min="1793" max="1793" width="25.140625" customWidth="1"/>
    <col min="1794" max="1794" width="11.85546875" customWidth="1"/>
    <col min="1796" max="1796" width="12.42578125" customWidth="1"/>
    <col min="1797" max="1797" width="17.42578125" customWidth="1"/>
    <col min="2049" max="2049" width="25.140625" customWidth="1"/>
    <col min="2050" max="2050" width="11.85546875" customWidth="1"/>
    <col min="2052" max="2052" width="12.42578125" customWidth="1"/>
    <col min="2053" max="2053" width="17.42578125" customWidth="1"/>
    <col min="2305" max="2305" width="25.140625" customWidth="1"/>
    <col min="2306" max="2306" width="11.85546875" customWidth="1"/>
    <col min="2308" max="2308" width="12.42578125" customWidth="1"/>
    <col min="2309" max="2309" width="17.42578125" customWidth="1"/>
    <col min="2561" max="2561" width="25.140625" customWidth="1"/>
    <col min="2562" max="2562" width="11.85546875" customWidth="1"/>
    <col min="2564" max="2564" width="12.42578125" customWidth="1"/>
    <col min="2565" max="2565" width="17.42578125" customWidth="1"/>
    <col min="2817" max="2817" width="25.140625" customWidth="1"/>
    <col min="2818" max="2818" width="11.85546875" customWidth="1"/>
    <col min="2820" max="2820" width="12.42578125" customWidth="1"/>
    <col min="2821" max="2821" width="17.42578125" customWidth="1"/>
    <col min="3073" max="3073" width="25.140625" customWidth="1"/>
    <col min="3074" max="3074" width="11.85546875" customWidth="1"/>
    <col min="3076" max="3076" width="12.42578125" customWidth="1"/>
    <col min="3077" max="3077" width="17.42578125" customWidth="1"/>
    <col min="3329" max="3329" width="25.140625" customWidth="1"/>
    <col min="3330" max="3330" width="11.85546875" customWidth="1"/>
    <col min="3332" max="3332" width="12.42578125" customWidth="1"/>
    <col min="3333" max="3333" width="17.42578125" customWidth="1"/>
    <col min="3585" max="3585" width="25.140625" customWidth="1"/>
    <col min="3586" max="3586" width="11.85546875" customWidth="1"/>
    <col min="3588" max="3588" width="12.42578125" customWidth="1"/>
    <col min="3589" max="3589" width="17.42578125" customWidth="1"/>
    <col min="3841" max="3841" width="25.140625" customWidth="1"/>
    <col min="3842" max="3842" width="11.85546875" customWidth="1"/>
    <col min="3844" max="3844" width="12.42578125" customWidth="1"/>
    <col min="3845" max="3845" width="17.42578125" customWidth="1"/>
    <col min="4097" max="4097" width="25.140625" customWidth="1"/>
    <col min="4098" max="4098" width="11.85546875" customWidth="1"/>
    <col min="4100" max="4100" width="12.42578125" customWidth="1"/>
    <col min="4101" max="4101" width="17.42578125" customWidth="1"/>
    <col min="4353" max="4353" width="25.140625" customWidth="1"/>
    <col min="4354" max="4354" width="11.85546875" customWidth="1"/>
    <col min="4356" max="4356" width="12.42578125" customWidth="1"/>
    <col min="4357" max="4357" width="17.42578125" customWidth="1"/>
    <col min="4609" max="4609" width="25.140625" customWidth="1"/>
    <col min="4610" max="4610" width="11.85546875" customWidth="1"/>
    <col min="4612" max="4612" width="12.42578125" customWidth="1"/>
    <col min="4613" max="4613" width="17.42578125" customWidth="1"/>
    <col min="4865" max="4865" width="25.140625" customWidth="1"/>
    <col min="4866" max="4866" width="11.85546875" customWidth="1"/>
    <col min="4868" max="4868" width="12.42578125" customWidth="1"/>
    <col min="4869" max="4869" width="17.42578125" customWidth="1"/>
    <col min="5121" max="5121" width="25.140625" customWidth="1"/>
    <col min="5122" max="5122" width="11.85546875" customWidth="1"/>
    <col min="5124" max="5124" width="12.42578125" customWidth="1"/>
    <col min="5125" max="5125" width="17.42578125" customWidth="1"/>
    <col min="5377" max="5377" width="25.140625" customWidth="1"/>
    <col min="5378" max="5378" width="11.85546875" customWidth="1"/>
    <col min="5380" max="5380" width="12.42578125" customWidth="1"/>
    <col min="5381" max="5381" width="17.42578125" customWidth="1"/>
    <col min="5633" max="5633" width="25.140625" customWidth="1"/>
    <col min="5634" max="5634" width="11.85546875" customWidth="1"/>
    <col min="5636" max="5636" width="12.42578125" customWidth="1"/>
    <col min="5637" max="5637" width="17.42578125" customWidth="1"/>
    <col min="5889" max="5889" width="25.140625" customWidth="1"/>
    <col min="5890" max="5890" width="11.85546875" customWidth="1"/>
    <col min="5892" max="5892" width="12.42578125" customWidth="1"/>
    <col min="5893" max="5893" width="17.42578125" customWidth="1"/>
    <col min="6145" max="6145" width="25.140625" customWidth="1"/>
    <col min="6146" max="6146" width="11.85546875" customWidth="1"/>
    <col min="6148" max="6148" width="12.42578125" customWidth="1"/>
    <col min="6149" max="6149" width="17.42578125" customWidth="1"/>
    <col min="6401" max="6401" width="25.140625" customWidth="1"/>
    <col min="6402" max="6402" width="11.85546875" customWidth="1"/>
    <col min="6404" max="6404" width="12.42578125" customWidth="1"/>
    <col min="6405" max="6405" width="17.42578125" customWidth="1"/>
    <col min="6657" max="6657" width="25.140625" customWidth="1"/>
    <col min="6658" max="6658" width="11.85546875" customWidth="1"/>
    <col min="6660" max="6660" width="12.42578125" customWidth="1"/>
    <col min="6661" max="6661" width="17.42578125" customWidth="1"/>
    <col min="6913" max="6913" width="25.140625" customWidth="1"/>
    <col min="6914" max="6914" width="11.85546875" customWidth="1"/>
    <col min="6916" max="6916" width="12.42578125" customWidth="1"/>
    <col min="6917" max="6917" width="17.42578125" customWidth="1"/>
    <col min="7169" max="7169" width="25.140625" customWidth="1"/>
    <col min="7170" max="7170" width="11.85546875" customWidth="1"/>
    <col min="7172" max="7172" width="12.42578125" customWidth="1"/>
    <col min="7173" max="7173" width="17.42578125" customWidth="1"/>
    <col min="7425" max="7425" width="25.140625" customWidth="1"/>
    <col min="7426" max="7426" width="11.85546875" customWidth="1"/>
    <col min="7428" max="7428" width="12.42578125" customWidth="1"/>
    <col min="7429" max="7429" width="17.42578125" customWidth="1"/>
    <col min="7681" max="7681" width="25.140625" customWidth="1"/>
    <col min="7682" max="7682" width="11.85546875" customWidth="1"/>
    <col min="7684" max="7684" width="12.42578125" customWidth="1"/>
    <col min="7685" max="7685" width="17.42578125" customWidth="1"/>
    <col min="7937" max="7937" width="25.140625" customWidth="1"/>
    <col min="7938" max="7938" width="11.85546875" customWidth="1"/>
    <col min="7940" max="7940" width="12.42578125" customWidth="1"/>
    <col min="7941" max="7941" width="17.42578125" customWidth="1"/>
    <col min="8193" max="8193" width="25.140625" customWidth="1"/>
    <col min="8194" max="8194" width="11.85546875" customWidth="1"/>
    <col min="8196" max="8196" width="12.42578125" customWidth="1"/>
    <col min="8197" max="8197" width="17.42578125" customWidth="1"/>
    <col min="8449" max="8449" width="25.140625" customWidth="1"/>
    <col min="8450" max="8450" width="11.85546875" customWidth="1"/>
    <col min="8452" max="8452" width="12.42578125" customWidth="1"/>
    <col min="8453" max="8453" width="17.42578125" customWidth="1"/>
    <col min="8705" max="8705" width="25.140625" customWidth="1"/>
    <col min="8706" max="8706" width="11.85546875" customWidth="1"/>
    <col min="8708" max="8708" width="12.42578125" customWidth="1"/>
    <col min="8709" max="8709" width="17.42578125" customWidth="1"/>
    <col min="8961" max="8961" width="25.140625" customWidth="1"/>
    <col min="8962" max="8962" width="11.85546875" customWidth="1"/>
    <col min="8964" max="8964" width="12.42578125" customWidth="1"/>
    <col min="8965" max="8965" width="17.42578125" customWidth="1"/>
    <col min="9217" max="9217" width="25.140625" customWidth="1"/>
    <col min="9218" max="9218" width="11.85546875" customWidth="1"/>
    <col min="9220" max="9220" width="12.42578125" customWidth="1"/>
    <col min="9221" max="9221" width="17.42578125" customWidth="1"/>
    <col min="9473" max="9473" width="25.140625" customWidth="1"/>
    <col min="9474" max="9474" width="11.85546875" customWidth="1"/>
    <col min="9476" max="9476" width="12.42578125" customWidth="1"/>
    <col min="9477" max="9477" width="17.42578125" customWidth="1"/>
    <col min="9729" max="9729" width="25.140625" customWidth="1"/>
    <col min="9730" max="9730" width="11.85546875" customWidth="1"/>
    <col min="9732" max="9732" width="12.42578125" customWidth="1"/>
    <col min="9733" max="9733" width="17.42578125" customWidth="1"/>
    <col min="9985" max="9985" width="25.140625" customWidth="1"/>
    <col min="9986" max="9986" width="11.85546875" customWidth="1"/>
    <col min="9988" max="9988" width="12.42578125" customWidth="1"/>
    <col min="9989" max="9989" width="17.42578125" customWidth="1"/>
    <col min="10241" max="10241" width="25.140625" customWidth="1"/>
    <col min="10242" max="10242" width="11.85546875" customWidth="1"/>
    <col min="10244" max="10244" width="12.42578125" customWidth="1"/>
    <col min="10245" max="10245" width="17.42578125" customWidth="1"/>
    <col min="10497" max="10497" width="25.140625" customWidth="1"/>
    <col min="10498" max="10498" width="11.85546875" customWidth="1"/>
    <col min="10500" max="10500" width="12.42578125" customWidth="1"/>
    <col min="10501" max="10501" width="17.42578125" customWidth="1"/>
    <col min="10753" max="10753" width="25.140625" customWidth="1"/>
    <col min="10754" max="10754" width="11.85546875" customWidth="1"/>
    <col min="10756" max="10756" width="12.42578125" customWidth="1"/>
    <col min="10757" max="10757" width="17.42578125" customWidth="1"/>
    <col min="11009" max="11009" width="25.140625" customWidth="1"/>
    <col min="11010" max="11010" width="11.85546875" customWidth="1"/>
    <col min="11012" max="11012" width="12.42578125" customWidth="1"/>
    <col min="11013" max="11013" width="17.42578125" customWidth="1"/>
    <col min="11265" max="11265" width="25.140625" customWidth="1"/>
    <col min="11266" max="11266" width="11.85546875" customWidth="1"/>
    <col min="11268" max="11268" width="12.42578125" customWidth="1"/>
    <col min="11269" max="11269" width="17.42578125" customWidth="1"/>
    <col min="11521" max="11521" width="25.140625" customWidth="1"/>
    <col min="11522" max="11522" width="11.85546875" customWidth="1"/>
    <col min="11524" max="11524" width="12.42578125" customWidth="1"/>
    <col min="11525" max="11525" width="17.42578125" customWidth="1"/>
    <col min="11777" max="11777" width="25.140625" customWidth="1"/>
    <col min="11778" max="11778" width="11.85546875" customWidth="1"/>
    <col min="11780" max="11780" width="12.42578125" customWidth="1"/>
    <col min="11781" max="11781" width="17.42578125" customWidth="1"/>
    <col min="12033" max="12033" width="25.140625" customWidth="1"/>
    <col min="12034" max="12034" width="11.85546875" customWidth="1"/>
    <col min="12036" max="12036" width="12.42578125" customWidth="1"/>
    <col min="12037" max="12037" width="17.42578125" customWidth="1"/>
    <col min="12289" max="12289" width="25.140625" customWidth="1"/>
    <col min="12290" max="12290" width="11.85546875" customWidth="1"/>
    <col min="12292" max="12292" width="12.42578125" customWidth="1"/>
    <col min="12293" max="12293" width="17.42578125" customWidth="1"/>
    <col min="12545" max="12545" width="25.140625" customWidth="1"/>
    <col min="12546" max="12546" width="11.85546875" customWidth="1"/>
    <col min="12548" max="12548" width="12.42578125" customWidth="1"/>
    <col min="12549" max="12549" width="17.42578125" customWidth="1"/>
    <col min="12801" max="12801" width="25.140625" customWidth="1"/>
    <col min="12802" max="12802" width="11.85546875" customWidth="1"/>
    <col min="12804" max="12804" width="12.42578125" customWidth="1"/>
    <col min="12805" max="12805" width="17.42578125" customWidth="1"/>
    <col min="13057" max="13057" width="25.140625" customWidth="1"/>
    <col min="13058" max="13058" width="11.85546875" customWidth="1"/>
    <col min="13060" max="13060" width="12.42578125" customWidth="1"/>
    <col min="13061" max="13061" width="17.42578125" customWidth="1"/>
    <col min="13313" max="13313" width="25.140625" customWidth="1"/>
    <col min="13314" max="13314" width="11.85546875" customWidth="1"/>
    <col min="13316" max="13316" width="12.42578125" customWidth="1"/>
    <col min="13317" max="13317" width="17.42578125" customWidth="1"/>
    <col min="13569" max="13569" width="25.140625" customWidth="1"/>
    <col min="13570" max="13570" width="11.85546875" customWidth="1"/>
    <col min="13572" max="13572" width="12.42578125" customWidth="1"/>
    <col min="13573" max="13573" width="17.42578125" customWidth="1"/>
    <col min="13825" max="13825" width="25.140625" customWidth="1"/>
    <col min="13826" max="13826" width="11.85546875" customWidth="1"/>
    <col min="13828" max="13828" width="12.42578125" customWidth="1"/>
    <col min="13829" max="13829" width="17.42578125" customWidth="1"/>
    <col min="14081" max="14081" width="25.140625" customWidth="1"/>
    <col min="14082" max="14082" width="11.85546875" customWidth="1"/>
    <col min="14084" max="14084" width="12.42578125" customWidth="1"/>
    <col min="14085" max="14085" width="17.42578125" customWidth="1"/>
    <col min="14337" max="14337" width="25.140625" customWidth="1"/>
    <col min="14338" max="14338" width="11.85546875" customWidth="1"/>
    <col min="14340" max="14340" width="12.42578125" customWidth="1"/>
    <col min="14341" max="14341" width="17.42578125" customWidth="1"/>
    <col min="14593" max="14593" width="25.140625" customWidth="1"/>
    <col min="14594" max="14594" width="11.85546875" customWidth="1"/>
    <col min="14596" max="14596" width="12.42578125" customWidth="1"/>
    <col min="14597" max="14597" width="17.42578125" customWidth="1"/>
    <col min="14849" max="14849" width="25.140625" customWidth="1"/>
    <col min="14850" max="14850" width="11.85546875" customWidth="1"/>
    <col min="14852" max="14852" width="12.42578125" customWidth="1"/>
    <col min="14853" max="14853" width="17.42578125" customWidth="1"/>
    <col min="15105" max="15105" width="25.140625" customWidth="1"/>
    <col min="15106" max="15106" width="11.85546875" customWidth="1"/>
    <col min="15108" max="15108" width="12.42578125" customWidth="1"/>
    <col min="15109" max="15109" width="17.42578125" customWidth="1"/>
    <col min="15361" max="15361" width="25.140625" customWidth="1"/>
    <col min="15362" max="15362" width="11.85546875" customWidth="1"/>
    <col min="15364" max="15364" width="12.42578125" customWidth="1"/>
    <col min="15365" max="15365" width="17.42578125" customWidth="1"/>
    <col min="15617" max="15617" width="25.140625" customWidth="1"/>
    <col min="15618" max="15618" width="11.85546875" customWidth="1"/>
    <col min="15620" max="15620" width="12.42578125" customWidth="1"/>
    <col min="15621" max="15621" width="17.42578125" customWidth="1"/>
    <col min="15873" max="15873" width="25.140625" customWidth="1"/>
    <col min="15874" max="15874" width="11.85546875" customWidth="1"/>
    <col min="15876" max="15876" width="12.42578125" customWidth="1"/>
    <col min="15877" max="15877" width="17.42578125" customWidth="1"/>
    <col min="16129" max="16129" width="25.14062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>
      <c r="B2" s="1"/>
    </row>
    <row r="4" spans="1:5">
      <c r="E4" s="17"/>
    </row>
    <row r="5" spans="1:5">
      <c r="B5" s="14"/>
    </row>
    <row r="6" spans="1:5">
      <c r="A6" s="1"/>
      <c r="B6" s="14"/>
      <c r="E6" s="18"/>
    </row>
    <row r="7" spans="1:5" ht="15.75" thickBot="1">
      <c r="A7" s="1"/>
      <c r="B7" s="14"/>
      <c r="E7" s="19"/>
    </row>
    <row r="8" spans="1:5" ht="15.75" thickTop="1">
      <c r="A8" s="20"/>
      <c r="B8" s="21"/>
      <c r="C8" s="22"/>
      <c r="D8" s="23"/>
      <c r="E8" s="24"/>
    </row>
    <row r="9" spans="1:5">
      <c r="A9" s="25"/>
      <c r="B9" s="26"/>
      <c r="C9" s="27"/>
      <c r="D9" s="28"/>
      <c r="E9" s="29"/>
    </row>
    <row r="10" spans="1:5">
      <c r="A10" s="30"/>
      <c r="B10" s="31"/>
      <c r="C10" s="32"/>
      <c r="D10" s="33"/>
      <c r="E10" s="34"/>
    </row>
    <row r="11" spans="1:5">
      <c r="A11" s="30"/>
      <c r="B11" s="31"/>
      <c r="C11" s="32"/>
      <c r="D11" s="33"/>
      <c r="E11" s="34"/>
    </row>
    <row r="12" spans="1:5">
      <c r="A12" s="30"/>
      <c r="B12" s="31"/>
      <c r="C12" s="32"/>
      <c r="D12" s="33"/>
      <c r="E12" s="34"/>
    </row>
    <row r="13" spans="1:5">
      <c r="A13" s="30"/>
      <c r="B13" s="31"/>
      <c r="C13" s="32"/>
      <c r="D13" s="33"/>
      <c r="E13" s="34"/>
    </row>
    <row r="14" spans="1:5">
      <c r="A14" s="30"/>
      <c r="B14" s="31"/>
      <c r="C14" s="32"/>
      <c r="D14" s="28"/>
      <c r="E14" s="35"/>
    </row>
    <row r="15" spans="1:5">
      <c r="A15" s="25"/>
      <c r="B15" s="36"/>
      <c r="C15" s="37"/>
      <c r="D15" s="33"/>
      <c r="E15" s="38"/>
    </row>
    <row r="16" spans="1:5">
      <c r="A16" s="25"/>
      <c r="B16" s="26"/>
      <c r="C16" s="39"/>
      <c r="D16" s="33"/>
      <c r="E16" s="38"/>
    </row>
    <row r="17" spans="1:5">
      <c r="A17" s="30"/>
      <c r="B17" s="31"/>
      <c r="C17" s="40"/>
      <c r="D17" s="41"/>
      <c r="E17" s="42"/>
    </row>
    <row r="18" spans="1:5">
      <c r="A18" s="30"/>
      <c r="B18" s="31"/>
      <c r="C18" s="40"/>
      <c r="D18" s="41"/>
      <c r="E18" s="34"/>
    </row>
    <row r="19" spans="1:5">
      <c r="A19" s="43"/>
      <c r="B19" s="7"/>
      <c r="C19" s="7"/>
      <c r="D19" s="8"/>
      <c r="E19" s="34"/>
    </row>
    <row r="20" spans="1:5">
      <c r="A20" s="30"/>
      <c r="B20" s="7"/>
      <c r="C20" s="7"/>
      <c r="D20" s="8"/>
      <c r="E20" s="34"/>
    </row>
    <row r="21" spans="1:5">
      <c r="A21" s="30"/>
      <c r="B21" s="7"/>
      <c r="C21" s="7"/>
      <c r="D21" s="8"/>
      <c r="E21" s="34"/>
    </row>
    <row r="22" spans="1:5">
      <c r="A22" s="30"/>
      <c r="B22" s="11"/>
      <c r="C22" s="7"/>
      <c r="D22" s="8"/>
      <c r="E22" s="34"/>
    </row>
    <row r="23" spans="1:5">
      <c r="A23" s="30"/>
      <c r="B23" s="11"/>
      <c r="C23" s="7"/>
      <c r="D23" s="8"/>
      <c r="E23" s="34"/>
    </row>
    <row r="24" spans="1:5">
      <c r="A24" s="30"/>
      <c r="B24" s="11"/>
      <c r="C24" s="7"/>
      <c r="D24" s="8"/>
      <c r="E24" s="34"/>
    </row>
    <row r="25" spans="1:5">
      <c r="A25" s="30"/>
      <c r="B25" s="11"/>
      <c r="C25" s="7"/>
      <c r="D25" s="8"/>
      <c r="E25" s="34"/>
    </row>
    <row r="26" spans="1:5">
      <c r="A26" s="30"/>
      <c r="B26" s="11"/>
      <c r="C26" s="7"/>
      <c r="D26" s="8"/>
      <c r="E26" s="34"/>
    </row>
    <row r="27" spans="1:5">
      <c r="A27" s="30"/>
      <c r="B27" s="11"/>
      <c r="C27" s="7"/>
      <c r="D27" s="8"/>
      <c r="E27" s="34"/>
    </row>
    <row r="28" spans="1:5">
      <c r="A28" s="30"/>
      <c r="B28" s="11"/>
      <c r="C28" s="7"/>
      <c r="D28" s="8"/>
      <c r="E28" s="34"/>
    </row>
    <row r="29" spans="1:5">
      <c r="A29" s="30"/>
      <c r="B29" s="11"/>
      <c r="C29" s="7"/>
      <c r="D29" s="8"/>
      <c r="E29" s="34"/>
    </row>
    <row r="30" spans="1:5">
      <c r="A30" s="30"/>
      <c r="B30" s="11"/>
      <c r="C30" s="11"/>
      <c r="D30" s="8"/>
      <c r="E30" s="34"/>
    </row>
    <row r="31" spans="1:5">
      <c r="A31" s="30"/>
      <c r="B31" s="11"/>
      <c r="C31" s="7"/>
      <c r="D31" s="8"/>
      <c r="E31" s="34"/>
    </row>
    <row r="32" spans="1:5">
      <c r="A32" s="30"/>
      <c r="B32" s="11"/>
      <c r="C32" s="7"/>
      <c r="D32" s="8"/>
      <c r="E32" s="34"/>
    </row>
    <row r="33" spans="1:5">
      <c r="A33" s="30"/>
      <c r="B33" s="11"/>
      <c r="C33" s="7"/>
      <c r="D33" s="8"/>
      <c r="E33" s="34"/>
    </row>
    <row r="34" spans="1:5">
      <c r="A34" s="30"/>
      <c r="B34" s="11"/>
      <c r="C34" s="7"/>
      <c r="D34" s="8"/>
      <c r="E34" s="34"/>
    </row>
    <row r="35" spans="1:5">
      <c r="A35" s="30"/>
      <c r="B35" s="11"/>
      <c r="C35" s="7"/>
      <c r="D35" s="8"/>
      <c r="E35" s="34"/>
    </row>
    <row r="36" spans="1:5">
      <c r="A36" s="30"/>
      <c r="B36" s="11"/>
      <c r="C36" s="7"/>
      <c r="D36" s="8"/>
      <c r="E36" s="34"/>
    </row>
    <row r="37" spans="1:5">
      <c r="A37" s="30"/>
      <c r="B37" s="11"/>
      <c r="C37" s="7"/>
      <c r="D37" s="8"/>
      <c r="E37" s="34"/>
    </row>
    <row r="38" spans="1:5">
      <c r="A38" s="30"/>
      <c r="B38" s="11"/>
      <c r="C38" s="11"/>
      <c r="D38" s="8"/>
      <c r="E38" s="34"/>
    </row>
    <row r="39" spans="1:5">
      <c r="A39" s="30"/>
      <c r="B39" s="11"/>
      <c r="C39" s="7"/>
      <c r="D39" s="8"/>
      <c r="E39" s="34"/>
    </row>
    <row r="40" spans="1:5">
      <c r="A40" s="30"/>
      <c r="B40" s="11"/>
      <c r="C40" s="11"/>
      <c r="D40" s="8"/>
      <c r="E40" s="34"/>
    </row>
    <row r="41" spans="1:5">
      <c r="A41" s="30"/>
      <c r="B41" s="11"/>
      <c r="C41" s="11"/>
      <c r="D41" s="8"/>
      <c r="E41" s="34"/>
    </row>
    <row r="42" spans="1:5">
      <c r="A42" s="30"/>
      <c r="B42" s="11"/>
      <c r="C42" s="11"/>
      <c r="D42" s="8"/>
      <c r="E42" s="34"/>
    </row>
    <row r="43" spans="1:5">
      <c r="A43" s="30"/>
      <c r="B43" s="11"/>
      <c r="C43" s="11"/>
      <c r="D43" s="8"/>
      <c r="E43" s="34"/>
    </row>
    <row r="44" spans="1:5">
      <c r="A44" s="30"/>
      <c r="B44" s="11"/>
      <c r="C44" s="11"/>
      <c r="D44" s="8"/>
      <c r="E44" s="34"/>
    </row>
    <row r="45" spans="1:5">
      <c r="A45" s="30"/>
      <c r="B45" s="11"/>
      <c r="C45" s="11"/>
      <c r="D45" s="8"/>
      <c r="E45" s="34"/>
    </row>
    <row r="46" spans="1:5">
      <c r="A46" s="30"/>
      <c r="B46" s="11"/>
      <c r="C46" s="11"/>
      <c r="D46" s="8"/>
      <c r="E46" s="34"/>
    </row>
    <row r="47" spans="1:5">
      <c r="A47" s="30"/>
      <c r="B47" s="11"/>
      <c r="C47" s="11"/>
      <c r="D47" s="8"/>
      <c r="E47" s="34"/>
    </row>
    <row r="48" spans="1:5">
      <c r="A48" s="30"/>
      <c r="B48" s="11"/>
      <c r="C48" s="11"/>
      <c r="D48" s="8"/>
      <c r="E48" s="34"/>
    </row>
    <row r="49" spans="1:5">
      <c r="A49" s="30"/>
      <c r="B49" s="11"/>
      <c r="C49" s="11"/>
      <c r="D49" s="8"/>
      <c r="E49" s="34"/>
    </row>
    <row r="50" spans="1:5">
      <c r="A50" s="30"/>
      <c r="B50" s="11"/>
      <c r="C50" s="7"/>
      <c r="D50" s="8"/>
      <c r="E50" s="34"/>
    </row>
    <row r="51" spans="1:5">
      <c r="A51" s="30"/>
      <c r="B51" s="11"/>
      <c r="C51" s="11"/>
      <c r="D51" s="8"/>
      <c r="E51" s="34"/>
    </row>
    <row r="52" spans="1:5">
      <c r="A52" s="30"/>
      <c r="B52" s="11"/>
      <c r="C52" s="7"/>
      <c r="D52" s="8"/>
      <c r="E52" s="34"/>
    </row>
    <row r="53" spans="1:5">
      <c r="A53" s="43"/>
      <c r="B53" s="7"/>
      <c r="C53" s="7"/>
      <c r="D53" s="44"/>
      <c r="E53" s="35"/>
    </row>
    <row r="54" spans="1:5">
      <c r="A54" s="43"/>
      <c r="B54" s="7"/>
      <c r="C54" s="7"/>
      <c r="D54" s="8"/>
      <c r="E54" s="34"/>
    </row>
    <row r="55" spans="1:5">
      <c r="A55" s="43"/>
      <c r="B55" s="7"/>
      <c r="C55" s="7"/>
      <c r="D55" s="45"/>
      <c r="E55" s="35"/>
    </row>
    <row r="56" spans="1:5" ht="15.75" thickBot="1">
      <c r="A56" s="46"/>
      <c r="B56" s="47"/>
      <c r="C56" s="47"/>
      <c r="D56" s="48"/>
      <c r="E56" s="49"/>
    </row>
    <row r="57" spans="1:5" ht="15.75" thickTop="1">
      <c r="A57" s="50"/>
      <c r="B57" s="22"/>
      <c r="C57" s="22"/>
      <c r="D57" s="23"/>
      <c r="E57" s="24"/>
    </row>
    <row r="58" spans="1:5">
      <c r="A58" s="25"/>
      <c r="B58" s="6"/>
      <c r="C58" s="7"/>
      <c r="D58" s="8"/>
      <c r="E58" s="34"/>
    </row>
    <row r="59" spans="1:5">
      <c r="A59" s="25"/>
      <c r="B59" s="26"/>
      <c r="C59" s="39"/>
      <c r="D59" s="28"/>
      <c r="E59" s="29"/>
    </row>
    <row r="60" spans="1:5">
      <c r="A60" s="43"/>
      <c r="B60" s="7"/>
      <c r="C60" s="7"/>
      <c r="D60" s="8"/>
      <c r="E60" s="34"/>
    </row>
    <row r="61" spans="1:5">
      <c r="A61" s="43"/>
      <c r="B61" s="7"/>
      <c r="C61" s="7"/>
      <c r="D61" s="8"/>
      <c r="E61" s="34"/>
    </row>
    <row r="62" spans="1:5">
      <c r="A62" s="43"/>
      <c r="B62" s="7"/>
      <c r="C62" s="7"/>
      <c r="D62" s="8"/>
      <c r="E62" s="34"/>
    </row>
    <row r="63" spans="1:5">
      <c r="A63" s="43"/>
      <c r="B63" s="7"/>
      <c r="C63" s="11"/>
      <c r="D63" s="8"/>
      <c r="E63" s="34"/>
    </row>
    <row r="64" spans="1:5">
      <c r="A64" s="43"/>
      <c r="B64" s="7"/>
      <c r="C64" s="11"/>
      <c r="D64" s="8"/>
      <c r="E64" s="34"/>
    </row>
    <row r="65" spans="1:5">
      <c r="A65" s="43"/>
      <c r="B65" s="7"/>
      <c r="C65" s="7"/>
      <c r="D65" s="44"/>
      <c r="E65" s="35"/>
    </row>
    <row r="66" spans="1:5">
      <c r="A66" s="43"/>
      <c r="B66" s="7"/>
      <c r="C66" s="7"/>
      <c r="D66" s="8"/>
      <c r="E66" s="34"/>
    </row>
    <row r="67" spans="1:5">
      <c r="A67" s="25"/>
      <c r="B67" s="7"/>
      <c r="C67" s="7"/>
      <c r="D67" s="8"/>
      <c r="E67" s="34"/>
    </row>
    <row r="68" spans="1:5">
      <c r="A68" s="43"/>
      <c r="B68" s="7"/>
      <c r="C68" s="7"/>
      <c r="D68" s="8"/>
      <c r="E68" s="34"/>
    </row>
    <row r="69" spans="1:5">
      <c r="A69" s="43"/>
      <c r="B69" s="7"/>
      <c r="C69" s="7"/>
      <c r="D69" s="8"/>
      <c r="E69" s="34"/>
    </row>
    <row r="70" spans="1:5">
      <c r="A70" s="43"/>
      <c r="B70" s="7"/>
      <c r="C70" s="7"/>
      <c r="D70" s="8"/>
      <c r="E70" s="34"/>
    </row>
    <row r="71" spans="1:5">
      <c r="A71" s="43"/>
      <c r="B71" s="11"/>
      <c r="C71" s="7"/>
      <c r="D71" s="8"/>
      <c r="E71" s="34"/>
    </row>
    <row r="72" spans="1:5">
      <c r="A72" s="43"/>
      <c r="B72" s="11"/>
      <c r="C72" s="7"/>
      <c r="D72" s="8"/>
      <c r="E72" s="34"/>
    </row>
    <row r="73" spans="1:5">
      <c r="A73" s="43"/>
      <c r="B73" s="7"/>
      <c r="C73" s="7"/>
      <c r="D73" s="8"/>
      <c r="E73" s="34"/>
    </row>
    <row r="74" spans="1:5">
      <c r="A74" s="43"/>
      <c r="B74" s="11"/>
      <c r="C74" s="7"/>
      <c r="D74" s="8"/>
      <c r="E74" s="34"/>
    </row>
    <row r="75" spans="1:5">
      <c r="A75" s="43"/>
      <c r="B75" s="11"/>
      <c r="C75" s="7"/>
      <c r="D75" s="8"/>
      <c r="E75" s="34"/>
    </row>
    <row r="76" spans="1:5">
      <c r="A76" s="43"/>
      <c r="B76" s="11"/>
      <c r="C76" s="7"/>
      <c r="D76" s="8"/>
      <c r="E76" s="34"/>
    </row>
    <row r="77" spans="1:5">
      <c r="A77" s="43"/>
      <c r="B77" s="11"/>
      <c r="C77" s="7"/>
      <c r="D77" s="8"/>
      <c r="E77" s="34"/>
    </row>
    <row r="78" spans="1:5">
      <c r="A78" s="43"/>
      <c r="B78" s="7"/>
      <c r="C78" s="7"/>
      <c r="D78" s="8"/>
      <c r="E78" s="34"/>
    </row>
    <row r="79" spans="1:5">
      <c r="A79" s="43"/>
      <c r="B79" s="11"/>
      <c r="C79" s="7"/>
      <c r="D79" s="8"/>
      <c r="E79" s="34"/>
    </row>
    <row r="80" spans="1:5">
      <c r="A80" s="43"/>
      <c r="B80" s="11"/>
      <c r="C80" s="7"/>
      <c r="D80" s="8"/>
      <c r="E80" s="34"/>
    </row>
    <row r="81" spans="1:5">
      <c r="A81" s="43"/>
      <c r="B81" s="11"/>
      <c r="C81" s="7"/>
      <c r="D81" s="8"/>
      <c r="E81" s="34"/>
    </row>
    <row r="82" spans="1:5">
      <c r="A82" s="43"/>
      <c r="B82" s="11"/>
      <c r="C82" s="7"/>
      <c r="D82" s="8"/>
      <c r="E82" s="34"/>
    </row>
    <row r="83" spans="1:5">
      <c r="A83" s="43"/>
      <c r="B83" s="11"/>
      <c r="C83" s="7"/>
      <c r="D83" s="8"/>
      <c r="E83" s="34"/>
    </row>
    <row r="84" spans="1:5">
      <c r="A84" s="43"/>
      <c r="B84" s="11"/>
      <c r="C84" s="7"/>
      <c r="D84" s="8"/>
      <c r="E84" s="34"/>
    </row>
    <row r="85" spans="1:5">
      <c r="A85" s="43"/>
      <c r="B85" s="11"/>
      <c r="C85" s="7"/>
      <c r="D85" s="8"/>
      <c r="E85" s="34"/>
    </row>
    <row r="86" spans="1:5">
      <c r="A86" s="43"/>
      <c r="B86" s="11"/>
      <c r="C86" s="7"/>
      <c r="D86" s="8"/>
      <c r="E86" s="34"/>
    </row>
    <row r="87" spans="1:5">
      <c r="A87" s="43"/>
      <c r="B87" s="11"/>
      <c r="C87" s="7"/>
      <c r="D87" s="8"/>
      <c r="E87" s="34"/>
    </row>
    <row r="88" spans="1:5">
      <c r="A88" s="43"/>
      <c r="B88" s="11"/>
      <c r="C88" s="7"/>
      <c r="D88" s="8"/>
      <c r="E88" s="34"/>
    </row>
    <row r="89" spans="1:5">
      <c r="A89" s="43"/>
      <c r="B89" s="7"/>
      <c r="C89" s="7"/>
      <c r="D89" s="8"/>
      <c r="E89" s="34"/>
    </row>
    <row r="90" spans="1:5">
      <c r="A90" s="43"/>
      <c r="B90" s="7"/>
      <c r="C90" s="7"/>
      <c r="D90" s="44"/>
      <c r="E90" s="35"/>
    </row>
    <row r="91" spans="1:5">
      <c r="A91" s="43"/>
      <c r="B91" s="7"/>
      <c r="C91" s="7"/>
      <c r="D91" s="8"/>
      <c r="E91" s="34"/>
    </row>
    <row r="92" spans="1:5">
      <c r="A92" s="43"/>
      <c r="B92" s="7"/>
      <c r="C92" s="7"/>
      <c r="D92" s="45"/>
      <c r="E92" s="35"/>
    </row>
    <row r="93" spans="1:5" ht="15.75" thickBot="1">
      <c r="A93" s="46"/>
      <c r="B93" s="47"/>
      <c r="C93" s="47"/>
      <c r="D93" s="48"/>
      <c r="E93" s="49"/>
    </row>
    <row r="94" spans="1:5" ht="15.75" thickTop="1">
      <c r="A94" s="50"/>
      <c r="B94" s="22"/>
      <c r="C94" s="22"/>
      <c r="D94" s="23"/>
      <c r="E94" s="24"/>
    </row>
    <row r="95" spans="1:5">
      <c r="A95" s="25"/>
      <c r="B95" s="6"/>
      <c r="C95" s="7"/>
      <c r="D95" s="8"/>
      <c r="E95" s="34"/>
    </row>
    <row r="96" spans="1:5">
      <c r="A96" s="25"/>
      <c r="B96" s="26"/>
      <c r="C96" s="39"/>
      <c r="D96" s="28"/>
      <c r="E96" s="29"/>
    </row>
    <row r="97" spans="1:5">
      <c r="A97" s="43"/>
      <c r="B97" s="9"/>
      <c r="C97" s="7"/>
      <c r="D97" s="8"/>
      <c r="E97" s="34"/>
    </row>
    <row r="98" spans="1:5">
      <c r="A98" s="43"/>
      <c r="B98" s="7"/>
      <c r="C98" s="7"/>
      <c r="D98" s="8"/>
      <c r="E98" s="34"/>
    </row>
    <row r="99" spans="1:5">
      <c r="A99" s="43"/>
      <c r="B99" s="7"/>
      <c r="C99" s="7"/>
      <c r="D99" s="8"/>
      <c r="E99" s="34"/>
    </row>
    <row r="100" spans="1:5">
      <c r="A100" s="30"/>
      <c r="B100" s="7"/>
      <c r="C100" s="7"/>
      <c r="D100" s="8"/>
      <c r="E100" s="34"/>
    </row>
    <row r="101" spans="1:5">
      <c r="A101" s="30"/>
      <c r="B101" s="7"/>
      <c r="C101" s="11"/>
      <c r="D101" s="8"/>
      <c r="E101" s="34"/>
    </row>
    <row r="102" spans="1:5">
      <c r="A102" s="43"/>
      <c r="B102" s="7"/>
      <c r="C102" s="11"/>
      <c r="D102" s="8"/>
      <c r="E102" s="34"/>
    </row>
    <row r="103" spans="1:5">
      <c r="A103" s="43"/>
      <c r="B103" s="7"/>
      <c r="C103" s="11"/>
      <c r="D103" s="8"/>
      <c r="E103" s="34"/>
    </row>
    <row r="104" spans="1:5">
      <c r="A104" s="43"/>
      <c r="B104" s="11"/>
      <c r="C104" s="11"/>
      <c r="D104" s="8"/>
      <c r="E104" s="34"/>
    </row>
    <row r="105" spans="1:5">
      <c r="A105" s="43"/>
      <c r="B105" s="7"/>
      <c r="C105" s="11"/>
      <c r="D105" s="8"/>
      <c r="E105" s="34"/>
    </row>
    <row r="106" spans="1:5">
      <c r="A106" s="43"/>
      <c r="B106" s="11"/>
      <c r="C106" s="11"/>
      <c r="D106" s="8"/>
      <c r="E106" s="34"/>
    </row>
    <row r="107" spans="1:5">
      <c r="A107" s="43"/>
      <c r="B107" s="11"/>
      <c r="C107" s="11"/>
      <c r="D107" s="8"/>
      <c r="E107" s="34"/>
    </row>
    <row r="108" spans="1:5">
      <c r="A108" s="43"/>
      <c r="B108" s="7"/>
      <c r="C108" s="11"/>
      <c r="D108" s="8"/>
      <c r="E108" s="34"/>
    </row>
    <row r="109" spans="1:5">
      <c r="A109" s="43"/>
      <c r="B109" s="7"/>
      <c r="C109" s="11"/>
      <c r="D109" s="8"/>
      <c r="E109" s="34"/>
    </row>
    <row r="110" spans="1:5">
      <c r="A110" s="43"/>
      <c r="B110" s="7"/>
      <c r="C110" s="11"/>
      <c r="D110" s="8"/>
      <c r="E110" s="34"/>
    </row>
    <row r="111" spans="1:5">
      <c r="A111" s="43"/>
      <c r="B111" s="7"/>
      <c r="C111" s="11"/>
      <c r="D111" s="8"/>
      <c r="E111" s="34"/>
    </row>
    <row r="112" spans="1:5">
      <c r="A112" s="43"/>
      <c r="B112" s="7"/>
      <c r="C112" s="11"/>
      <c r="D112" s="8"/>
      <c r="E112" s="34"/>
    </row>
    <row r="113" spans="1:5">
      <c r="A113" s="43"/>
      <c r="B113" s="7"/>
      <c r="C113" s="11"/>
      <c r="D113" s="8"/>
      <c r="E113" s="34"/>
    </row>
    <row r="114" spans="1:5">
      <c r="A114" s="43"/>
      <c r="B114" s="7"/>
      <c r="C114" s="11"/>
      <c r="D114" s="8"/>
      <c r="E114" s="34"/>
    </row>
    <row r="115" spans="1:5">
      <c r="A115" s="43"/>
      <c r="B115" s="7"/>
      <c r="C115" s="11"/>
      <c r="D115" s="45"/>
      <c r="E115" s="35"/>
    </row>
    <row r="116" spans="1:5">
      <c r="A116" s="43"/>
      <c r="B116" s="7"/>
      <c r="C116" s="11"/>
      <c r="D116" s="44"/>
      <c r="E116" s="35"/>
    </row>
    <row r="117" spans="1:5" ht="15.75" thickBot="1">
      <c r="A117" s="46"/>
      <c r="B117" s="47"/>
      <c r="C117" s="47"/>
      <c r="D117" s="48"/>
      <c r="E117" s="49"/>
    </row>
    <row r="118" spans="1:5" ht="15.75" thickTop="1">
      <c r="A118" s="43"/>
      <c r="B118" s="7"/>
      <c r="C118" s="7"/>
      <c r="D118" s="8"/>
      <c r="E118" s="34"/>
    </row>
    <row r="119" spans="1:5">
      <c r="A119" s="25"/>
      <c r="B119" s="7"/>
      <c r="C119" s="7"/>
      <c r="D119" s="8"/>
      <c r="E119" s="34"/>
    </row>
    <row r="120" spans="1:5">
      <c r="A120" s="25"/>
      <c r="B120" s="26"/>
      <c r="C120" s="39"/>
      <c r="D120" s="28"/>
      <c r="E120" s="29"/>
    </row>
    <row r="121" spans="1:5">
      <c r="A121" s="43"/>
      <c r="B121" s="7"/>
      <c r="C121" s="7"/>
      <c r="D121" s="8"/>
      <c r="E121" s="34"/>
    </row>
    <row r="122" spans="1:5">
      <c r="A122" s="43"/>
      <c r="B122" s="7"/>
      <c r="C122" s="7"/>
      <c r="D122" s="8"/>
      <c r="E122" s="34"/>
    </row>
    <row r="123" spans="1:5">
      <c r="A123" s="43"/>
      <c r="B123" s="7"/>
      <c r="C123" s="7"/>
      <c r="D123" s="8"/>
      <c r="E123" s="34"/>
    </row>
    <row r="124" spans="1:5">
      <c r="A124" s="43"/>
      <c r="B124" s="7"/>
      <c r="C124" s="7"/>
      <c r="D124" s="8"/>
      <c r="E124" s="34"/>
    </row>
    <row r="125" spans="1:5">
      <c r="A125" s="43"/>
      <c r="B125" s="11"/>
      <c r="C125" s="7"/>
      <c r="D125" s="8"/>
      <c r="E125" s="34"/>
    </row>
    <row r="126" spans="1:5">
      <c r="A126" s="43"/>
      <c r="B126" s="7"/>
      <c r="C126" s="7"/>
      <c r="D126" s="8"/>
      <c r="E126" s="34"/>
    </row>
    <row r="127" spans="1:5">
      <c r="A127" s="43"/>
      <c r="B127" s="7"/>
      <c r="C127" s="7"/>
      <c r="D127" s="45"/>
      <c r="E127" s="35"/>
    </row>
    <row r="128" spans="1:5" ht="15.75" thickBot="1">
      <c r="A128" s="46"/>
      <c r="B128" s="47"/>
      <c r="C128" s="47"/>
      <c r="D128" s="48"/>
      <c r="E128" s="49"/>
    </row>
    <row r="129" spans="1:5" ht="15.75" thickTop="1">
      <c r="A129" s="43"/>
      <c r="B129" s="7"/>
      <c r="C129" s="7"/>
      <c r="D129" s="8"/>
      <c r="E129" s="34"/>
    </row>
    <row r="130" spans="1:5">
      <c r="A130" s="25"/>
      <c r="B130" s="7"/>
      <c r="C130" s="7"/>
      <c r="D130" s="8"/>
      <c r="E130" s="34"/>
    </row>
    <row r="131" spans="1:5">
      <c r="A131" s="25"/>
      <c r="B131" s="26"/>
      <c r="C131" s="39"/>
      <c r="D131" s="28"/>
      <c r="E131" s="29"/>
    </row>
    <row r="132" spans="1:5">
      <c r="A132" s="43"/>
      <c r="B132" s="11"/>
      <c r="C132" s="7"/>
      <c r="D132" s="8"/>
      <c r="E132" s="34"/>
    </row>
    <row r="133" spans="1:5">
      <c r="A133" s="30"/>
      <c r="B133" s="11"/>
      <c r="C133" s="7"/>
      <c r="D133" s="8"/>
      <c r="E133" s="34"/>
    </row>
    <row r="134" spans="1:5">
      <c r="A134" s="43"/>
      <c r="B134" s="7"/>
      <c r="C134" s="7"/>
      <c r="D134" s="8"/>
      <c r="E134" s="34"/>
    </row>
    <row r="135" spans="1:5">
      <c r="A135" s="43"/>
      <c r="B135" s="7"/>
      <c r="C135" s="7"/>
      <c r="D135" s="8"/>
      <c r="E135" s="34"/>
    </row>
    <row r="136" spans="1:5">
      <c r="A136" s="43"/>
      <c r="B136" s="11"/>
      <c r="C136" s="7"/>
      <c r="D136" s="8"/>
      <c r="E136" s="34"/>
    </row>
    <row r="137" spans="1:5">
      <c r="A137" s="43"/>
      <c r="B137" s="11"/>
      <c r="C137" s="7"/>
      <c r="D137" s="8"/>
      <c r="E137" s="34"/>
    </row>
    <row r="138" spans="1:5">
      <c r="A138" s="43"/>
      <c r="B138" s="11"/>
      <c r="C138" s="7"/>
      <c r="D138" s="45"/>
      <c r="E138" s="35"/>
    </row>
    <row r="139" spans="1:5">
      <c r="A139" s="43"/>
      <c r="B139" s="11"/>
      <c r="C139" s="7"/>
      <c r="D139" s="8"/>
      <c r="E139" s="34"/>
    </row>
    <row r="140" spans="1:5">
      <c r="A140" s="25"/>
      <c r="B140" s="11"/>
      <c r="C140" s="7"/>
      <c r="D140" s="8"/>
      <c r="E140" s="34"/>
    </row>
    <row r="141" spans="1:5">
      <c r="A141" s="30"/>
      <c r="B141" s="31"/>
      <c r="C141" s="7"/>
      <c r="D141" s="33"/>
      <c r="E141" s="34"/>
    </row>
    <row r="142" spans="1:5">
      <c r="A142" s="43"/>
      <c r="B142" s="7"/>
      <c r="C142" s="7"/>
      <c r="D142" s="8"/>
      <c r="E142" s="34"/>
    </row>
    <row r="143" spans="1:5">
      <c r="A143" s="43"/>
      <c r="B143" s="7"/>
      <c r="C143" s="7"/>
      <c r="D143" s="8"/>
      <c r="E143" s="34"/>
    </row>
    <row r="144" spans="1:5">
      <c r="A144" s="43"/>
      <c r="B144" s="11"/>
      <c r="C144" s="7"/>
      <c r="D144" s="8"/>
      <c r="E144" s="34"/>
    </row>
    <row r="145" spans="1:5">
      <c r="A145" s="43"/>
      <c r="B145" s="11"/>
      <c r="C145" s="7"/>
      <c r="D145" s="8"/>
      <c r="E145" s="34"/>
    </row>
    <row r="146" spans="1:5">
      <c r="A146" s="43"/>
      <c r="B146" s="11"/>
      <c r="C146" s="7"/>
      <c r="D146" s="8"/>
      <c r="E146" s="34"/>
    </row>
    <row r="147" spans="1:5">
      <c r="A147" s="43"/>
      <c r="B147" s="11"/>
      <c r="C147" s="7"/>
      <c r="D147" s="8"/>
      <c r="E147" s="34"/>
    </row>
    <row r="148" spans="1:5">
      <c r="A148" s="43"/>
      <c r="B148" s="11"/>
      <c r="C148" s="7"/>
      <c r="D148" s="8"/>
      <c r="E148" s="34"/>
    </row>
    <row r="149" spans="1:5">
      <c r="A149" s="43"/>
      <c r="B149" s="11"/>
      <c r="C149" s="7"/>
      <c r="D149" s="8"/>
      <c r="E149" s="34"/>
    </row>
    <row r="150" spans="1:5">
      <c r="A150" s="43"/>
      <c r="B150" s="11"/>
      <c r="C150" s="7"/>
      <c r="D150" s="8"/>
      <c r="E150" s="34"/>
    </row>
    <row r="151" spans="1:5">
      <c r="A151" s="43"/>
      <c r="B151" s="11"/>
      <c r="C151" s="7"/>
      <c r="D151" s="8"/>
      <c r="E151" s="34"/>
    </row>
    <row r="152" spans="1:5">
      <c r="A152" s="43"/>
      <c r="B152" s="11"/>
      <c r="C152" s="7"/>
      <c r="D152" s="8"/>
      <c r="E152" s="34"/>
    </row>
    <row r="153" spans="1:5">
      <c r="A153" s="43"/>
      <c r="B153" s="11"/>
      <c r="C153" s="7"/>
      <c r="D153" s="8"/>
      <c r="E153" s="34"/>
    </row>
    <row r="154" spans="1:5">
      <c r="A154" s="43"/>
      <c r="B154" s="11"/>
      <c r="C154" s="7"/>
      <c r="D154" s="8"/>
      <c r="E154" s="34"/>
    </row>
    <row r="155" spans="1:5">
      <c r="A155" s="43"/>
      <c r="B155" s="11"/>
      <c r="C155" s="7"/>
      <c r="D155" s="8"/>
      <c r="E155" s="34"/>
    </row>
    <row r="156" spans="1:5">
      <c r="A156" s="43"/>
      <c r="B156" s="11"/>
      <c r="C156" s="7"/>
      <c r="D156" s="8"/>
      <c r="E156" s="34"/>
    </row>
    <row r="157" spans="1:5">
      <c r="A157" s="43"/>
      <c r="B157" s="11"/>
      <c r="C157" s="7"/>
      <c r="D157" s="8"/>
      <c r="E157" s="34"/>
    </row>
    <row r="158" spans="1:5">
      <c r="A158" s="43"/>
      <c r="B158" s="11"/>
      <c r="C158" s="7"/>
      <c r="D158" s="8"/>
      <c r="E158" s="34"/>
    </row>
    <row r="159" spans="1:5">
      <c r="A159" s="43"/>
      <c r="B159" s="11"/>
      <c r="C159" s="7"/>
      <c r="D159" s="8"/>
      <c r="E159" s="34"/>
    </row>
    <row r="160" spans="1:5">
      <c r="A160" s="43"/>
      <c r="B160" s="11"/>
      <c r="C160" s="7"/>
      <c r="D160" s="8"/>
      <c r="E160" s="34"/>
    </row>
    <row r="161" spans="1:5">
      <c r="A161" s="43"/>
      <c r="B161" s="11"/>
      <c r="C161" s="7"/>
      <c r="D161" s="45"/>
      <c r="E161" s="35"/>
    </row>
    <row r="162" spans="1:5">
      <c r="A162" s="43"/>
      <c r="B162" s="11"/>
      <c r="C162" s="7"/>
      <c r="D162" s="8"/>
      <c r="E162" s="34"/>
    </row>
    <row r="163" spans="1:5">
      <c r="A163" s="25"/>
      <c r="B163" s="11"/>
      <c r="C163" s="7"/>
      <c r="D163" s="8"/>
      <c r="E163" s="34"/>
    </row>
    <row r="164" spans="1:5">
      <c r="A164" s="43"/>
      <c r="B164" s="11"/>
      <c r="C164" s="7"/>
      <c r="D164" s="8"/>
      <c r="E164" s="34"/>
    </row>
    <row r="165" spans="1:5">
      <c r="A165" s="43"/>
      <c r="B165" s="11"/>
      <c r="C165" s="7"/>
      <c r="D165" s="8"/>
      <c r="E165" s="34"/>
    </row>
    <row r="166" spans="1:5">
      <c r="A166" s="43"/>
      <c r="B166" s="11"/>
      <c r="C166" s="7"/>
      <c r="D166" s="8"/>
      <c r="E166" s="34"/>
    </row>
    <row r="167" spans="1:5">
      <c r="A167" s="43"/>
      <c r="B167" s="11"/>
      <c r="C167" s="7"/>
      <c r="D167" s="8"/>
      <c r="E167" s="34"/>
    </row>
    <row r="168" spans="1:5">
      <c r="A168" s="43"/>
      <c r="B168" s="11"/>
      <c r="C168" s="7"/>
      <c r="D168" s="8"/>
      <c r="E168" s="34"/>
    </row>
    <row r="169" spans="1:5">
      <c r="A169" s="43"/>
      <c r="B169" s="11"/>
      <c r="C169" s="7"/>
      <c r="D169" s="8"/>
      <c r="E169" s="34"/>
    </row>
    <row r="170" spans="1:5">
      <c r="A170" s="43"/>
      <c r="B170" s="11"/>
      <c r="C170" s="7"/>
      <c r="D170" s="8"/>
      <c r="E170" s="34"/>
    </row>
    <row r="171" spans="1:5">
      <c r="A171" s="43"/>
      <c r="B171" s="11"/>
      <c r="C171" s="7"/>
      <c r="D171" s="8"/>
      <c r="E171" s="34"/>
    </row>
    <row r="172" spans="1:5">
      <c r="A172" s="43"/>
      <c r="B172" s="11"/>
      <c r="C172" s="7"/>
      <c r="D172" s="8"/>
      <c r="E172" s="34"/>
    </row>
    <row r="173" spans="1:5">
      <c r="A173" s="43"/>
      <c r="B173" s="11"/>
      <c r="C173" s="7"/>
      <c r="D173" s="8"/>
      <c r="E173" s="34"/>
    </row>
    <row r="174" spans="1:5">
      <c r="A174" s="43"/>
      <c r="B174" s="11"/>
      <c r="C174" s="7"/>
      <c r="D174" s="8"/>
      <c r="E174" s="34"/>
    </row>
    <row r="175" spans="1:5">
      <c r="A175" s="43"/>
      <c r="B175" s="11"/>
      <c r="C175" s="7"/>
      <c r="D175" s="8"/>
      <c r="E175" s="34"/>
    </row>
    <row r="176" spans="1:5">
      <c r="A176" s="43"/>
      <c r="B176" s="11"/>
      <c r="C176" s="7"/>
      <c r="D176" s="8"/>
      <c r="E176" s="34"/>
    </row>
    <row r="177" spans="1:5">
      <c r="A177" s="43"/>
      <c r="B177" s="11"/>
      <c r="C177" s="7"/>
      <c r="D177" s="8"/>
      <c r="E177" s="34"/>
    </row>
    <row r="178" spans="1:5">
      <c r="A178" s="43"/>
      <c r="B178" s="11"/>
      <c r="C178" s="7"/>
      <c r="D178" s="8"/>
      <c r="E178" s="34"/>
    </row>
    <row r="179" spans="1:5">
      <c r="A179" s="43"/>
      <c r="B179" s="11"/>
      <c r="C179" s="7"/>
      <c r="D179" s="8"/>
      <c r="E179" s="34"/>
    </row>
    <row r="180" spans="1:5">
      <c r="A180" s="43"/>
      <c r="B180" s="11"/>
      <c r="C180" s="7"/>
      <c r="D180" s="8"/>
      <c r="E180" s="34"/>
    </row>
    <row r="181" spans="1:5">
      <c r="A181" s="43"/>
      <c r="B181" s="11"/>
      <c r="C181" s="7"/>
      <c r="D181" s="8"/>
      <c r="E181" s="34"/>
    </row>
    <row r="182" spans="1:5">
      <c r="A182" s="43"/>
      <c r="B182" s="11"/>
      <c r="C182" s="7"/>
      <c r="D182" s="8"/>
      <c r="E182" s="34"/>
    </row>
    <row r="183" spans="1:5">
      <c r="A183" s="43"/>
      <c r="B183" s="11"/>
      <c r="C183" s="7"/>
      <c r="D183" s="8"/>
      <c r="E183" s="34"/>
    </row>
    <row r="184" spans="1:5">
      <c r="A184" s="43"/>
      <c r="B184" s="11"/>
      <c r="C184" s="7"/>
      <c r="D184" s="8"/>
      <c r="E184" s="34"/>
    </row>
    <row r="185" spans="1:5">
      <c r="A185" s="43"/>
      <c r="B185" s="11"/>
      <c r="C185" s="7"/>
      <c r="D185" s="8"/>
      <c r="E185" s="34"/>
    </row>
    <row r="186" spans="1:5">
      <c r="A186" s="43"/>
      <c r="B186" s="11"/>
      <c r="C186" s="7"/>
      <c r="D186" s="8"/>
      <c r="E186" s="34"/>
    </row>
    <row r="187" spans="1:5">
      <c r="A187" s="43"/>
      <c r="B187" s="11"/>
      <c r="C187" s="7"/>
      <c r="D187" s="8"/>
      <c r="E187" s="34"/>
    </row>
    <row r="188" spans="1:5">
      <c r="A188" s="43"/>
      <c r="B188" s="11"/>
      <c r="C188" s="11"/>
      <c r="D188" s="8"/>
      <c r="E188" s="34"/>
    </row>
    <row r="189" spans="1:5">
      <c r="A189" s="43"/>
      <c r="B189" s="11"/>
      <c r="C189" s="11"/>
      <c r="D189" s="8"/>
      <c r="E189" s="34"/>
    </row>
    <row r="190" spans="1:5">
      <c r="A190" s="43"/>
      <c r="B190" s="11"/>
      <c r="C190" s="11"/>
      <c r="D190" s="8"/>
      <c r="E190" s="34"/>
    </row>
    <row r="191" spans="1:5">
      <c r="A191" s="43"/>
      <c r="B191" s="11"/>
      <c r="C191" s="11"/>
      <c r="D191" s="8"/>
      <c r="E191" s="34"/>
    </row>
    <row r="192" spans="1:5">
      <c r="A192" s="43"/>
      <c r="B192" s="11"/>
      <c r="C192" s="11"/>
      <c r="D192" s="8"/>
      <c r="E192" s="34"/>
    </row>
    <row r="193" spans="1:5">
      <c r="A193" s="43"/>
      <c r="B193" s="11"/>
      <c r="C193" s="11"/>
      <c r="D193" s="8"/>
      <c r="E193" s="34"/>
    </row>
    <row r="194" spans="1:5">
      <c r="A194" s="43"/>
      <c r="B194" s="11"/>
      <c r="C194" s="11"/>
      <c r="D194" s="8"/>
      <c r="E194" s="34"/>
    </row>
    <row r="195" spans="1:5">
      <c r="A195" s="43"/>
      <c r="B195" s="11"/>
      <c r="C195" s="11"/>
      <c r="D195" s="8"/>
      <c r="E195" s="34"/>
    </row>
    <row r="196" spans="1:5">
      <c r="A196" s="43"/>
      <c r="B196" s="11"/>
      <c r="C196" s="11"/>
      <c r="D196" s="8"/>
      <c r="E196" s="34"/>
    </row>
    <row r="197" spans="1:5">
      <c r="A197" s="43"/>
      <c r="B197" s="11"/>
      <c r="C197" s="11"/>
      <c r="D197" s="8"/>
      <c r="E197" s="34"/>
    </row>
    <row r="198" spans="1:5">
      <c r="A198" s="43"/>
      <c r="B198" s="11"/>
      <c r="C198" s="11"/>
      <c r="D198" s="8"/>
      <c r="E198" s="34"/>
    </row>
    <row r="199" spans="1:5">
      <c r="A199" s="43"/>
      <c r="B199" s="11"/>
      <c r="C199" s="11"/>
      <c r="D199" s="8"/>
      <c r="E199" s="34"/>
    </row>
    <row r="200" spans="1:5">
      <c r="A200" s="43"/>
      <c r="B200" s="11"/>
      <c r="C200" s="11"/>
      <c r="D200" s="8"/>
      <c r="E200" s="34"/>
    </row>
    <row r="201" spans="1:5">
      <c r="A201" s="43"/>
      <c r="B201" s="11"/>
      <c r="C201" s="11"/>
      <c r="D201" s="8"/>
      <c r="E201" s="34"/>
    </row>
    <row r="202" spans="1:5">
      <c r="A202" s="43"/>
      <c r="B202" s="11"/>
      <c r="C202" s="11"/>
      <c r="D202" s="8"/>
      <c r="E202" s="34"/>
    </row>
    <row r="203" spans="1:5">
      <c r="A203" s="43"/>
      <c r="B203" s="11"/>
      <c r="C203" s="11"/>
      <c r="D203" s="8"/>
      <c r="E203" s="34"/>
    </row>
    <row r="204" spans="1:5">
      <c r="A204" s="43"/>
      <c r="B204" s="11"/>
      <c r="C204" s="11"/>
      <c r="D204" s="8"/>
      <c r="E204" s="34"/>
    </row>
    <row r="205" spans="1:5">
      <c r="A205" s="43"/>
      <c r="B205" s="11"/>
      <c r="C205" s="7"/>
      <c r="D205" s="8"/>
      <c r="E205" s="34"/>
    </row>
    <row r="206" spans="1:5">
      <c r="A206" s="43"/>
      <c r="B206" s="11"/>
      <c r="C206" s="7"/>
      <c r="D206" s="45"/>
      <c r="E206" s="35"/>
    </row>
    <row r="207" spans="1:5">
      <c r="A207" s="43"/>
      <c r="B207" s="11"/>
      <c r="C207" s="7"/>
      <c r="D207" s="8"/>
      <c r="E207" s="34"/>
    </row>
    <row r="208" spans="1:5">
      <c r="A208" s="43"/>
      <c r="B208" s="11"/>
      <c r="C208" s="7"/>
      <c r="D208" s="8"/>
      <c r="E208" s="34"/>
    </row>
    <row r="209" spans="1:5">
      <c r="A209" s="43"/>
      <c r="B209" s="11"/>
      <c r="C209" s="7"/>
      <c r="D209" s="8"/>
      <c r="E209" s="34"/>
    </row>
    <row r="210" spans="1:5">
      <c r="A210" s="43"/>
      <c r="B210" s="11"/>
      <c r="C210" s="7"/>
      <c r="D210" s="8"/>
      <c r="E210" s="34"/>
    </row>
    <row r="211" spans="1:5">
      <c r="A211" s="43"/>
      <c r="B211" s="11"/>
      <c r="C211" s="7"/>
      <c r="D211" s="8"/>
      <c r="E211" s="34"/>
    </row>
    <row r="212" spans="1:5">
      <c r="A212" s="43"/>
      <c r="B212" s="11"/>
      <c r="C212" s="7"/>
      <c r="D212" s="8"/>
      <c r="E212" s="34"/>
    </row>
    <row r="213" spans="1:5">
      <c r="A213" s="43"/>
      <c r="B213" s="11"/>
      <c r="C213" s="7"/>
      <c r="D213" s="8"/>
      <c r="E213" s="34"/>
    </row>
    <row r="214" spans="1:5">
      <c r="A214" s="43"/>
      <c r="B214" s="11"/>
      <c r="C214" s="7"/>
      <c r="D214" s="8"/>
      <c r="E214" s="34"/>
    </row>
    <row r="215" spans="1:5">
      <c r="A215" s="43"/>
      <c r="B215" s="11"/>
      <c r="C215" s="7"/>
      <c r="D215" s="8"/>
      <c r="E215" s="34"/>
    </row>
    <row r="216" spans="1:5">
      <c r="A216" s="43"/>
      <c r="B216" s="11"/>
      <c r="C216" s="7"/>
      <c r="D216" s="8"/>
      <c r="E216" s="34"/>
    </row>
    <row r="217" spans="1:5">
      <c r="A217" s="43"/>
      <c r="B217" s="11"/>
      <c r="C217" s="7"/>
      <c r="D217" s="8"/>
      <c r="E217" s="34"/>
    </row>
    <row r="218" spans="1:5">
      <c r="A218" s="43"/>
      <c r="B218" s="11"/>
      <c r="C218" s="11"/>
      <c r="D218" s="8"/>
      <c r="E218" s="34"/>
    </row>
    <row r="219" spans="1:5">
      <c r="A219" s="43"/>
      <c r="B219" s="11"/>
      <c r="C219" s="11"/>
      <c r="D219" s="8"/>
      <c r="E219" s="34"/>
    </row>
    <row r="220" spans="1:5">
      <c r="A220" s="43"/>
      <c r="B220" s="11"/>
      <c r="C220" s="11"/>
      <c r="D220" s="8"/>
      <c r="E220" s="34"/>
    </row>
    <row r="221" spans="1:5">
      <c r="A221" s="43"/>
      <c r="B221" s="11"/>
      <c r="C221" s="11"/>
      <c r="D221" s="8"/>
      <c r="E221" s="34"/>
    </row>
    <row r="222" spans="1:5">
      <c r="A222" s="43"/>
      <c r="B222" s="11"/>
      <c r="C222" s="7"/>
      <c r="D222" s="8"/>
      <c r="E222" s="34"/>
    </row>
    <row r="223" spans="1:5">
      <c r="A223" s="43"/>
      <c r="B223" s="11"/>
      <c r="C223" s="7"/>
      <c r="D223" s="45"/>
      <c r="E223" s="35"/>
    </row>
    <row r="224" spans="1:5">
      <c r="A224" s="43"/>
      <c r="B224" s="11"/>
      <c r="C224" s="7"/>
      <c r="D224" s="8"/>
      <c r="E224" s="34"/>
    </row>
    <row r="225" spans="1:5">
      <c r="A225" s="43"/>
      <c r="B225" s="11"/>
      <c r="C225" s="7"/>
      <c r="D225" s="8"/>
      <c r="E225" s="34"/>
    </row>
    <row r="226" spans="1:5">
      <c r="A226" s="43"/>
      <c r="B226" s="11"/>
      <c r="C226" s="7"/>
      <c r="D226" s="8"/>
      <c r="E226" s="34"/>
    </row>
    <row r="227" spans="1:5">
      <c r="A227" s="43"/>
      <c r="B227" s="11"/>
      <c r="C227" s="7"/>
      <c r="D227" s="8"/>
      <c r="E227" s="34"/>
    </row>
    <row r="228" spans="1:5">
      <c r="A228" s="43"/>
      <c r="B228" s="11"/>
      <c r="C228" s="7"/>
      <c r="D228" s="8"/>
      <c r="E228" s="34"/>
    </row>
    <row r="229" spans="1:5">
      <c r="A229" s="43"/>
      <c r="B229" s="11"/>
      <c r="C229" s="11"/>
      <c r="D229" s="8"/>
      <c r="E229" s="34"/>
    </row>
    <row r="230" spans="1:5">
      <c r="A230" s="43"/>
      <c r="B230" s="11"/>
      <c r="C230" s="11"/>
      <c r="D230" s="8"/>
      <c r="E230" s="34"/>
    </row>
    <row r="231" spans="1:5">
      <c r="A231" s="43"/>
      <c r="B231" s="11"/>
      <c r="C231" s="7"/>
      <c r="D231" s="8"/>
      <c r="E231" s="34"/>
    </row>
    <row r="232" spans="1:5">
      <c r="A232" s="43"/>
      <c r="B232" s="11"/>
      <c r="C232" s="7"/>
      <c r="D232" s="45"/>
      <c r="E232" s="35"/>
    </row>
    <row r="233" spans="1:5">
      <c r="A233" s="43"/>
      <c r="B233" s="7"/>
      <c r="C233" s="7"/>
      <c r="D233" s="8"/>
      <c r="E233" s="34"/>
    </row>
    <row r="234" spans="1:5">
      <c r="A234" s="43"/>
      <c r="B234" s="7"/>
      <c r="C234" s="7"/>
      <c r="D234" s="45"/>
      <c r="E234" s="35"/>
    </row>
    <row r="235" spans="1:5" ht="15.75" thickBot="1">
      <c r="A235" s="43"/>
      <c r="B235" s="7"/>
      <c r="C235" s="7"/>
      <c r="D235" s="8"/>
      <c r="E235" s="34"/>
    </row>
    <row r="236" spans="1:5" ht="15.75" thickTop="1">
      <c r="A236" s="50"/>
      <c r="B236" s="22"/>
      <c r="C236" s="22"/>
      <c r="D236" s="23"/>
      <c r="E236" s="24"/>
    </row>
    <row r="237" spans="1:5" ht="15.75">
      <c r="A237" s="43"/>
      <c r="B237" s="7"/>
      <c r="C237" s="5"/>
      <c r="D237" s="141"/>
      <c r="E237" s="142"/>
    </row>
    <row r="238" spans="1:5" ht="15.75" thickBot="1">
      <c r="A238" s="46"/>
      <c r="B238" s="47"/>
      <c r="C238" s="47"/>
      <c r="D238" s="48"/>
      <c r="E238" s="49"/>
    </row>
    <row r="239" spans="1:5" ht="15.75" thickTop="1">
      <c r="D239"/>
      <c r="E239"/>
    </row>
  </sheetData>
  <pageMargins left="0.44" right="0.38" top="0.74803149606299213" bottom="0.74803149606299213" header="0.31496062992125984" footer="0.31496062992125984"/>
  <pageSetup scale="7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sqref="A1:XFD1048576"/>
    </sheetView>
  </sheetViews>
  <sheetFormatPr baseColWidth="10" defaultRowHeight="15"/>
  <cols>
    <col min="2" max="2" width="31.85546875" customWidth="1"/>
    <col min="3" max="3" width="12.28515625" style="108" bestFit="1" customWidth="1"/>
    <col min="4" max="4" width="11.42578125" style="109"/>
    <col min="5" max="5" width="15.140625" style="10" customWidth="1"/>
    <col min="6" max="6" width="15.7109375" customWidth="1"/>
    <col min="258" max="258" width="31.85546875" customWidth="1"/>
    <col min="259" max="259" width="12.28515625" bestFit="1" customWidth="1"/>
    <col min="261" max="261" width="15.140625" customWidth="1"/>
    <col min="262" max="262" width="15.7109375" customWidth="1"/>
    <col min="514" max="514" width="31.85546875" customWidth="1"/>
    <col min="515" max="515" width="12.28515625" bestFit="1" customWidth="1"/>
    <col min="517" max="517" width="15.140625" customWidth="1"/>
    <col min="518" max="518" width="15.7109375" customWidth="1"/>
    <col min="770" max="770" width="31.85546875" customWidth="1"/>
    <col min="771" max="771" width="12.28515625" bestFit="1" customWidth="1"/>
    <col min="773" max="773" width="15.140625" customWidth="1"/>
    <col min="774" max="774" width="15.7109375" customWidth="1"/>
    <col min="1026" max="1026" width="31.85546875" customWidth="1"/>
    <col min="1027" max="1027" width="12.28515625" bestFit="1" customWidth="1"/>
    <col min="1029" max="1029" width="15.140625" customWidth="1"/>
    <col min="1030" max="1030" width="15.7109375" customWidth="1"/>
    <col min="1282" max="1282" width="31.85546875" customWidth="1"/>
    <col min="1283" max="1283" width="12.28515625" bestFit="1" customWidth="1"/>
    <col min="1285" max="1285" width="15.140625" customWidth="1"/>
    <col min="1286" max="1286" width="15.7109375" customWidth="1"/>
    <col min="1538" max="1538" width="31.85546875" customWidth="1"/>
    <col min="1539" max="1539" width="12.28515625" bestFit="1" customWidth="1"/>
    <col min="1541" max="1541" width="15.140625" customWidth="1"/>
    <col min="1542" max="1542" width="15.7109375" customWidth="1"/>
    <col min="1794" max="1794" width="31.85546875" customWidth="1"/>
    <col min="1795" max="1795" width="12.28515625" bestFit="1" customWidth="1"/>
    <col min="1797" max="1797" width="15.140625" customWidth="1"/>
    <col min="1798" max="1798" width="15.7109375" customWidth="1"/>
    <col min="2050" max="2050" width="31.85546875" customWidth="1"/>
    <col min="2051" max="2051" width="12.28515625" bestFit="1" customWidth="1"/>
    <col min="2053" max="2053" width="15.140625" customWidth="1"/>
    <col min="2054" max="2054" width="15.7109375" customWidth="1"/>
    <col min="2306" max="2306" width="31.85546875" customWidth="1"/>
    <col min="2307" max="2307" width="12.28515625" bestFit="1" customWidth="1"/>
    <col min="2309" max="2309" width="15.140625" customWidth="1"/>
    <col min="2310" max="2310" width="15.7109375" customWidth="1"/>
    <col min="2562" max="2562" width="31.85546875" customWidth="1"/>
    <col min="2563" max="2563" width="12.28515625" bestFit="1" customWidth="1"/>
    <col min="2565" max="2565" width="15.140625" customWidth="1"/>
    <col min="2566" max="2566" width="15.7109375" customWidth="1"/>
    <col min="2818" max="2818" width="31.85546875" customWidth="1"/>
    <col min="2819" max="2819" width="12.28515625" bestFit="1" customWidth="1"/>
    <col min="2821" max="2821" width="15.140625" customWidth="1"/>
    <col min="2822" max="2822" width="15.7109375" customWidth="1"/>
    <col min="3074" max="3074" width="31.85546875" customWidth="1"/>
    <col min="3075" max="3075" width="12.28515625" bestFit="1" customWidth="1"/>
    <col min="3077" max="3077" width="15.140625" customWidth="1"/>
    <col min="3078" max="3078" width="15.7109375" customWidth="1"/>
    <col min="3330" max="3330" width="31.85546875" customWidth="1"/>
    <col min="3331" max="3331" width="12.28515625" bestFit="1" customWidth="1"/>
    <col min="3333" max="3333" width="15.140625" customWidth="1"/>
    <col min="3334" max="3334" width="15.7109375" customWidth="1"/>
    <col min="3586" max="3586" width="31.85546875" customWidth="1"/>
    <col min="3587" max="3587" width="12.28515625" bestFit="1" customWidth="1"/>
    <col min="3589" max="3589" width="15.140625" customWidth="1"/>
    <col min="3590" max="3590" width="15.7109375" customWidth="1"/>
    <col min="3842" max="3842" width="31.85546875" customWidth="1"/>
    <col min="3843" max="3843" width="12.28515625" bestFit="1" customWidth="1"/>
    <col min="3845" max="3845" width="15.140625" customWidth="1"/>
    <col min="3846" max="3846" width="15.7109375" customWidth="1"/>
    <col min="4098" max="4098" width="31.85546875" customWidth="1"/>
    <col min="4099" max="4099" width="12.28515625" bestFit="1" customWidth="1"/>
    <col min="4101" max="4101" width="15.140625" customWidth="1"/>
    <col min="4102" max="4102" width="15.7109375" customWidth="1"/>
    <col min="4354" max="4354" width="31.85546875" customWidth="1"/>
    <col min="4355" max="4355" width="12.28515625" bestFit="1" customWidth="1"/>
    <col min="4357" max="4357" width="15.140625" customWidth="1"/>
    <col min="4358" max="4358" width="15.7109375" customWidth="1"/>
    <col min="4610" max="4610" width="31.85546875" customWidth="1"/>
    <col min="4611" max="4611" width="12.28515625" bestFit="1" customWidth="1"/>
    <col min="4613" max="4613" width="15.140625" customWidth="1"/>
    <col min="4614" max="4614" width="15.7109375" customWidth="1"/>
    <col min="4866" max="4866" width="31.85546875" customWidth="1"/>
    <col min="4867" max="4867" width="12.28515625" bestFit="1" customWidth="1"/>
    <col min="4869" max="4869" width="15.140625" customWidth="1"/>
    <col min="4870" max="4870" width="15.7109375" customWidth="1"/>
    <col min="5122" max="5122" width="31.85546875" customWidth="1"/>
    <col min="5123" max="5123" width="12.28515625" bestFit="1" customWidth="1"/>
    <col min="5125" max="5125" width="15.140625" customWidth="1"/>
    <col min="5126" max="5126" width="15.7109375" customWidth="1"/>
    <col min="5378" max="5378" width="31.85546875" customWidth="1"/>
    <col min="5379" max="5379" width="12.28515625" bestFit="1" customWidth="1"/>
    <col min="5381" max="5381" width="15.140625" customWidth="1"/>
    <col min="5382" max="5382" width="15.7109375" customWidth="1"/>
    <col min="5634" max="5634" width="31.85546875" customWidth="1"/>
    <col min="5635" max="5635" width="12.28515625" bestFit="1" customWidth="1"/>
    <col min="5637" max="5637" width="15.140625" customWidth="1"/>
    <col min="5638" max="5638" width="15.7109375" customWidth="1"/>
    <col min="5890" max="5890" width="31.85546875" customWidth="1"/>
    <col min="5891" max="5891" width="12.28515625" bestFit="1" customWidth="1"/>
    <col min="5893" max="5893" width="15.140625" customWidth="1"/>
    <col min="5894" max="5894" width="15.7109375" customWidth="1"/>
    <col min="6146" max="6146" width="31.85546875" customWidth="1"/>
    <col min="6147" max="6147" width="12.28515625" bestFit="1" customWidth="1"/>
    <col min="6149" max="6149" width="15.140625" customWidth="1"/>
    <col min="6150" max="6150" width="15.7109375" customWidth="1"/>
    <col min="6402" max="6402" width="31.85546875" customWidth="1"/>
    <col min="6403" max="6403" width="12.28515625" bestFit="1" customWidth="1"/>
    <col min="6405" max="6405" width="15.140625" customWidth="1"/>
    <col min="6406" max="6406" width="15.7109375" customWidth="1"/>
    <col min="6658" max="6658" width="31.85546875" customWidth="1"/>
    <col min="6659" max="6659" width="12.28515625" bestFit="1" customWidth="1"/>
    <col min="6661" max="6661" width="15.140625" customWidth="1"/>
    <col min="6662" max="6662" width="15.7109375" customWidth="1"/>
    <col min="6914" max="6914" width="31.85546875" customWidth="1"/>
    <col min="6915" max="6915" width="12.28515625" bestFit="1" customWidth="1"/>
    <col min="6917" max="6917" width="15.140625" customWidth="1"/>
    <col min="6918" max="6918" width="15.7109375" customWidth="1"/>
    <col min="7170" max="7170" width="31.85546875" customWidth="1"/>
    <col min="7171" max="7171" width="12.28515625" bestFit="1" customWidth="1"/>
    <col min="7173" max="7173" width="15.140625" customWidth="1"/>
    <col min="7174" max="7174" width="15.7109375" customWidth="1"/>
    <col min="7426" max="7426" width="31.85546875" customWidth="1"/>
    <col min="7427" max="7427" width="12.28515625" bestFit="1" customWidth="1"/>
    <col min="7429" max="7429" width="15.140625" customWidth="1"/>
    <col min="7430" max="7430" width="15.7109375" customWidth="1"/>
    <col min="7682" max="7682" width="31.85546875" customWidth="1"/>
    <col min="7683" max="7683" width="12.28515625" bestFit="1" customWidth="1"/>
    <col min="7685" max="7685" width="15.140625" customWidth="1"/>
    <col min="7686" max="7686" width="15.7109375" customWidth="1"/>
    <col min="7938" max="7938" width="31.85546875" customWidth="1"/>
    <col min="7939" max="7939" width="12.28515625" bestFit="1" customWidth="1"/>
    <col min="7941" max="7941" width="15.140625" customWidth="1"/>
    <col min="7942" max="7942" width="15.7109375" customWidth="1"/>
    <col min="8194" max="8194" width="31.85546875" customWidth="1"/>
    <col min="8195" max="8195" width="12.28515625" bestFit="1" customWidth="1"/>
    <col min="8197" max="8197" width="15.140625" customWidth="1"/>
    <col min="8198" max="8198" width="15.7109375" customWidth="1"/>
    <col min="8450" max="8450" width="31.85546875" customWidth="1"/>
    <col min="8451" max="8451" width="12.28515625" bestFit="1" customWidth="1"/>
    <col min="8453" max="8453" width="15.140625" customWidth="1"/>
    <col min="8454" max="8454" width="15.7109375" customWidth="1"/>
    <col min="8706" max="8706" width="31.85546875" customWidth="1"/>
    <col min="8707" max="8707" width="12.28515625" bestFit="1" customWidth="1"/>
    <col min="8709" max="8709" width="15.140625" customWidth="1"/>
    <col min="8710" max="8710" width="15.7109375" customWidth="1"/>
    <col min="8962" max="8962" width="31.85546875" customWidth="1"/>
    <col min="8963" max="8963" width="12.28515625" bestFit="1" customWidth="1"/>
    <col min="8965" max="8965" width="15.140625" customWidth="1"/>
    <col min="8966" max="8966" width="15.7109375" customWidth="1"/>
    <col min="9218" max="9218" width="31.85546875" customWidth="1"/>
    <col min="9219" max="9219" width="12.28515625" bestFit="1" customWidth="1"/>
    <col min="9221" max="9221" width="15.140625" customWidth="1"/>
    <col min="9222" max="9222" width="15.7109375" customWidth="1"/>
    <col min="9474" max="9474" width="31.85546875" customWidth="1"/>
    <col min="9475" max="9475" width="12.28515625" bestFit="1" customWidth="1"/>
    <col min="9477" max="9477" width="15.140625" customWidth="1"/>
    <col min="9478" max="9478" width="15.7109375" customWidth="1"/>
    <col min="9730" max="9730" width="31.85546875" customWidth="1"/>
    <col min="9731" max="9731" width="12.28515625" bestFit="1" customWidth="1"/>
    <col min="9733" max="9733" width="15.140625" customWidth="1"/>
    <col min="9734" max="9734" width="15.7109375" customWidth="1"/>
    <col min="9986" max="9986" width="31.85546875" customWidth="1"/>
    <col min="9987" max="9987" width="12.28515625" bestFit="1" customWidth="1"/>
    <col min="9989" max="9989" width="15.140625" customWidth="1"/>
    <col min="9990" max="9990" width="15.7109375" customWidth="1"/>
    <col min="10242" max="10242" width="31.85546875" customWidth="1"/>
    <col min="10243" max="10243" width="12.28515625" bestFit="1" customWidth="1"/>
    <col min="10245" max="10245" width="15.140625" customWidth="1"/>
    <col min="10246" max="10246" width="15.7109375" customWidth="1"/>
    <col min="10498" max="10498" width="31.85546875" customWidth="1"/>
    <col min="10499" max="10499" width="12.28515625" bestFit="1" customWidth="1"/>
    <col min="10501" max="10501" width="15.140625" customWidth="1"/>
    <col min="10502" max="10502" width="15.7109375" customWidth="1"/>
    <col min="10754" max="10754" width="31.85546875" customWidth="1"/>
    <col min="10755" max="10755" width="12.28515625" bestFit="1" customWidth="1"/>
    <col min="10757" max="10757" width="15.140625" customWidth="1"/>
    <col min="10758" max="10758" width="15.7109375" customWidth="1"/>
    <col min="11010" max="11010" width="31.85546875" customWidth="1"/>
    <col min="11011" max="11011" width="12.28515625" bestFit="1" customWidth="1"/>
    <col min="11013" max="11013" width="15.140625" customWidth="1"/>
    <col min="11014" max="11014" width="15.7109375" customWidth="1"/>
    <col min="11266" max="11266" width="31.85546875" customWidth="1"/>
    <col min="11267" max="11267" width="12.28515625" bestFit="1" customWidth="1"/>
    <col min="11269" max="11269" width="15.140625" customWidth="1"/>
    <col min="11270" max="11270" width="15.7109375" customWidth="1"/>
    <col min="11522" max="11522" width="31.85546875" customWidth="1"/>
    <col min="11523" max="11523" width="12.28515625" bestFit="1" customWidth="1"/>
    <col min="11525" max="11525" width="15.140625" customWidth="1"/>
    <col min="11526" max="11526" width="15.7109375" customWidth="1"/>
    <col min="11778" max="11778" width="31.85546875" customWidth="1"/>
    <col min="11779" max="11779" width="12.28515625" bestFit="1" customWidth="1"/>
    <col min="11781" max="11781" width="15.140625" customWidth="1"/>
    <col min="11782" max="11782" width="15.7109375" customWidth="1"/>
    <col min="12034" max="12034" width="31.85546875" customWidth="1"/>
    <col min="12035" max="12035" width="12.28515625" bestFit="1" customWidth="1"/>
    <col min="12037" max="12037" width="15.140625" customWidth="1"/>
    <col min="12038" max="12038" width="15.7109375" customWidth="1"/>
    <col min="12290" max="12290" width="31.85546875" customWidth="1"/>
    <col min="12291" max="12291" width="12.28515625" bestFit="1" customWidth="1"/>
    <col min="12293" max="12293" width="15.140625" customWidth="1"/>
    <col min="12294" max="12294" width="15.7109375" customWidth="1"/>
    <col min="12546" max="12546" width="31.85546875" customWidth="1"/>
    <col min="12547" max="12547" width="12.28515625" bestFit="1" customWidth="1"/>
    <col min="12549" max="12549" width="15.140625" customWidth="1"/>
    <col min="12550" max="12550" width="15.7109375" customWidth="1"/>
    <col min="12802" max="12802" width="31.85546875" customWidth="1"/>
    <col min="12803" max="12803" width="12.28515625" bestFit="1" customWidth="1"/>
    <col min="12805" max="12805" width="15.140625" customWidth="1"/>
    <col min="12806" max="12806" width="15.7109375" customWidth="1"/>
    <col min="13058" max="13058" width="31.85546875" customWidth="1"/>
    <col min="13059" max="13059" width="12.28515625" bestFit="1" customWidth="1"/>
    <col min="13061" max="13061" width="15.140625" customWidth="1"/>
    <col min="13062" max="13062" width="15.7109375" customWidth="1"/>
    <col min="13314" max="13314" width="31.85546875" customWidth="1"/>
    <col min="13315" max="13315" width="12.28515625" bestFit="1" customWidth="1"/>
    <col min="13317" max="13317" width="15.140625" customWidth="1"/>
    <col min="13318" max="13318" width="15.7109375" customWidth="1"/>
    <col min="13570" max="13570" width="31.85546875" customWidth="1"/>
    <col min="13571" max="13571" width="12.28515625" bestFit="1" customWidth="1"/>
    <col min="13573" max="13573" width="15.140625" customWidth="1"/>
    <col min="13574" max="13574" width="15.7109375" customWidth="1"/>
    <col min="13826" max="13826" width="31.85546875" customWidth="1"/>
    <col min="13827" max="13827" width="12.28515625" bestFit="1" customWidth="1"/>
    <col min="13829" max="13829" width="15.140625" customWidth="1"/>
    <col min="13830" max="13830" width="15.7109375" customWidth="1"/>
    <col min="14082" max="14082" width="31.85546875" customWidth="1"/>
    <col min="14083" max="14083" width="12.28515625" bestFit="1" customWidth="1"/>
    <col min="14085" max="14085" width="15.140625" customWidth="1"/>
    <col min="14086" max="14086" width="15.7109375" customWidth="1"/>
    <col min="14338" max="14338" width="31.85546875" customWidth="1"/>
    <col min="14339" max="14339" width="12.28515625" bestFit="1" customWidth="1"/>
    <col min="14341" max="14341" width="15.140625" customWidth="1"/>
    <col min="14342" max="14342" width="15.7109375" customWidth="1"/>
    <col min="14594" max="14594" width="31.85546875" customWidth="1"/>
    <col min="14595" max="14595" width="12.28515625" bestFit="1" customWidth="1"/>
    <col min="14597" max="14597" width="15.140625" customWidth="1"/>
    <col min="14598" max="14598" width="15.7109375" customWidth="1"/>
    <col min="14850" max="14850" width="31.85546875" customWidth="1"/>
    <col min="14851" max="14851" width="12.28515625" bestFit="1" customWidth="1"/>
    <col min="14853" max="14853" width="15.140625" customWidth="1"/>
    <col min="14854" max="14854" width="15.7109375" customWidth="1"/>
    <col min="15106" max="15106" width="31.85546875" customWidth="1"/>
    <col min="15107" max="15107" width="12.28515625" bestFit="1" customWidth="1"/>
    <col min="15109" max="15109" width="15.140625" customWidth="1"/>
    <col min="15110" max="15110" width="15.7109375" customWidth="1"/>
    <col min="15362" max="15362" width="31.85546875" customWidth="1"/>
    <col min="15363" max="15363" width="12.28515625" bestFit="1" customWidth="1"/>
    <col min="15365" max="15365" width="15.140625" customWidth="1"/>
    <col min="15366" max="15366" width="15.7109375" customWidth="1"/>
    <col min="15618" max="15618" width="31.85546875" customWidth="1"/>
    <col min="15619" max="15619" width="12.28515625" bestFit="1" customWidth="1"/>
    <col min="15621" max="15621" width="15.140625" customWidth="1"/>
    <col min="15622" max="15622" width="15.7109375" customWidth="1"/>
    <col min="15874" max="15874" width="31.85546875" customWidth="1"/>
    <col min="15875" max="15875" width="12.28515625" bestFit="1" customWidth="1"/>
    <col min="15877" max="15877" width="15.140625" customWidth="1"/>
    <col min="15878" max="15878" width="15.7109375" customWidth="1"/>
    <col min="16130" max="16130" width="31.85546875" customWidth="1"/>
    <col min="16131" max="16131" width="12.28515625" bestFit="1" customWidth="1"/>
    <col min="16133" max="16133" width="15.140625" customWidth="1"/>
    <col min="16134" max="16134" width="15.7109375" customWidth="1"/>
  </cols>
  <sheetData>
    <row r="1" spans="1:6" ht="39" customHeight="1"/>
    <row r="2" spans="1:6" s="73" customFormat="1" ht="34.5" customHeight="1">
      <c r="C2" s="110"/>
      <c r="D2" s="111"/>
      <c r="F2" s="112"/>
    </row>
    <row r="3" spans="1:6">
      <c r="F3" s="4"/>
    </row>
    <row r="4" spans="1:6">
      <c r="A4" s="4"/>
      <c r="B4" s="4"/>
      <c r="F4" s="4"/>
    </row>
    <row r="5" spans="1:6">
      <c r="A5" s="4"/>
      <c r="B5" s="4"/>
      <c r="F5" s="4"/>
    </row>
    <row r="6" spans="1:6">
      <c r="A6" s="4"/>
      <c r="B6" s="4"/>
      <c r="F6" s="4"/>
    </row>
    <row r="7" spans="1:6">
      <c r="A7" s="4"/>
      <c r="B7" s="4"/>
      <c r="F7" s="4"/>
    </row>
    <row r="8" spans="1:6">
      <c r="A8" s="4"/>
      <c r="B8" s="4"/>
      <c r="F8" s="4"/>
    </row>
    <row r="9" spans="1:6">
      <c r="A9" s="4"/>
      <c r="B9" s="4"/>
      <c r="F9" s="4"/>
    </row>
    <row r="10" spans="1:6">
      <c r="B10" s="4"/>
      <c r="F10" s="4"/>
    </row>
    <row r="11" spans="1:6">
      <c r="B11" s="4"/>
      <c r="F11" s="4"/>
    </row>
    <row r="12" spans="1:6">
      <c r="B12" s="4"/>
      <c r="F12" s="4"/>
    </row>
    <row r="13" spans="1:6">
      <c r="B13" s="4"/>
      <c r="F13" s="4"/>
    </row>
    <row r="14" spans="1:6">
      <c r="B14" s="4"/>
      <c r="F14" s="4"/>
    </row>
    <row r="15" spans="1:6">
      <c r="B15" s="4"/>
      <c r="F15" s="4"/>
    </row>
    <row r="16" spans="1:6">
      <c r="B16" s="4"/>
      <c r="F16" s="4"/>
    </row>
    <row r="17" spans="1:6">
      <c r="A17" s="4"/>
      <c r="B17" s="4"/>
      <c r="F17" s="4"/>
    </row>
    <row r="18" spans="1:6">
      <c r="A18" s="4"/>
      <c r="B18" s="4"/>
      <c r="F18" s="4"/>
    </row>
    <row r="19" spans="1:6">
      <c r="B19" s="4"/>
      <c r="F19" s="4"/>
    </row>
    <row r="20" spans="1:6">
      <c r="A20" s="4"/>
      <c r="B20" s="4"/>
      <c r="F20" s="4"/>
    </row>
    <row r="21" spans="1:6">
      <c r="A21" s="4"/>
      <c r="B21" s="4"/>
      <c r="F21" s="4"/>
    </row>
    <row r="22" spans="1:6">
      <c r="F22" s="4"/>
    </row>
    <row r="23" spans="1:6">
      <c r="B23" s="4"/>
    </row>
    <row r="24" spans="1:6">
      <c r="A24" s="4"/>
      <c r="B24" s="4"/>
      <c r="F24" s="4"/>
    </row>
    <row r="25" spans="1:6">
      <c r="A25" s="4"/>
      <c r="B25" s="4"/>
      <c r="F25" s="4"/>
    </row>
    <row r="26" spans="1:6">
      <c r="A26" s="4"/>
      <c r="B26" s="4"/>
      <c r="F26" s="4"/>
    </row>
    <row r="27" spans="1:6">
      <c r="A27" s="4"/>
      <c r="B27" s="4"/>
      <c r="F27" s="4"/>
    </row>
    <row r="28" spans="1:6">
      <c r="B28" s="4"/>
      <c r="F28" s="4"/>
    </row>
    <row r="29" spans="1:6">
      <c r="B29" s="4"/>
      <c r="F29" s="4"/>
    </row>
    <row r="30" spans="1:6">
      <c r="B30" s="4"/>
      <c r="F30" s="4"/>
    </row>
    <row r="31" spans="1:6">
      <c r="B31" s="4"/>
      <c r="F31" s="4"/>
    </row>
    <row r="32" spans="1:6">
      <c r="A32" s="4"/>
      <c r="B32" s="4"/>
      <c r="F32" s="4"/>
    </row>
    <row r="33" spans="2:5">
      <c r="B33" s="4"/>
    </row>
    <row r="34" spans="2:5">
      <c r="B34" s="4"/>
    </row>
    <row r="35" spans="2:5" ht="15.75">
      <c r="E35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0"/>
  <sheetViews>
    <sheetView workbookViewId="0">
      <selection sqref="A1:XFD1048576"/>
    </sheetView>
  </sheetViews>
  <sheetFormatPr baseColWidth="10" defaultRowHeight="15"/>
  <cols>
    <col min="1" max="1" width="25.7109375" customWidth="1"/>
    <col min="2" max="2" width="12.85546875" style="14" customWidth="1"/>
    <col min="3" max="3" width="8.42578125" customWidth="1"/>
    <col min="5" max="5" width="12.5703125" customWidth="1"/>
    <col min="257" max="257" width="25.7109375" customWidth="1"/>
    <col min="258" max="258" width="12.85546875" customWidth="1"/>
    <col min="259" max="259" width="8.42578125" customWidth="1"/>
    <col min="261" max="261" width="12.5703125" customWidth="1"/>
    <col min="513" max="513" width="25.7109375" customWidth="1"/>
    <col min="514" max="514" width="12.85546875" customWidth="1"/>
    <col min="515" max="515" width="8.42578125" customWidth="1"/>
    <col min="517" max="517" width="12.5703125" customWidth="1"/>
    <col min="769" max="769" width="25.7109375" customWidth="1"/>
    <col min="770" max="770" width="12.85546875" customWidth="1"/>
    <col min="771" max="771" width="8.42578125" customWidth="1"/>
    <col min="773" max="773" width="12.5703125" customWidth="1"/>
    <col min="1025" max="1025" width="25.7109375" customWidth="1"/>
    <col min="1026" max="1026" width="12.85546875" customWidth="1"/>
    <col min="1027" max="1027" width="8.42578125" customWidth="1"/>
    <col min="1029" max="1029" width="12.5703125" customWidth="1"/>
    <col min="1281" max="1281" width="25.7109375" customWidth="1"/>
    <col min="1282" max="1282" width="12.85546875" customWidth="1"/>
    <col min="1283" max="1283" width="8.42578125" customWidth="1"/>
    <col min="1285" max="1285" width="12.5703125" customWidth="1"/>
    <col min="1537" max="1537" width="25.7109375" customWidth="1"/>
    <col min="1538" max="1538" width="12.85546875" customWidth="1"/>
    <col min="1539" max="1539" width="8.42578125" customWidth="1"/>
    <col min="1541" max="1541" width="12.5703125" customWidth="1"/>
    <col min="1793" max="1793" width="25.7109375" customWidth="1"/>
    <col min="1794" max="1794" width="12.85546875" customWidth="1"/>
    <col min="1795" max="1795" width="8.42578125" customWidth="1"/>
    <col min="1797" max="1797" width="12.5703125" customWidth="1"/>
    <col min="2049" max="2049" width="25.7109375" customWidth="1"/>
    <col min="2050" max="2050" width="12.85546875" customWidth="1"/>
    <col min="2051" max="2051" width="8.42578125" customWidth="1"/>
    <col min="2053" max="2053" width="12.5703125" customWidth="1"/>
    <col min="2305" max="2305" width="25.7109375" customWidth="1"/>
    <col min="2306" max="2306" width="12.85546875" customWidth="1"/>
    <col min="2307" max="2307" width="8.42578125" customWidth="1"/>
    <col min="2309" max="2309" width="12.5703125" customWidth="1"/>
    <col min="2561" max="2561" width="25.7109375" customWidth="1"/>
    <col min="2562" max="2562" width="12.85546875" customWidth="1"/>
    <col min="2563" max="2563" width="8.42578125" customWidth="1"/>
    <col min="2565" max="2565" width="12.5703125" customWidth="1"/>
    <col min="2817" max="2817" width="25.7109375" customWidth="1"/>
    <col min="2818" max="2818" width="12.85546875" customWidth="1"/>
    <col min="2819" max="2819" width="8.42578125" customWidth="1"/>
    <col min="2821" max="2821" width="12.5703125" customWidth="1"/>
    <col min="3073" max="3073" width="25.7109375" customWidth="1"/>
    <col min="3074" max="3074" width="12.85546875" customWidth="1"/>
    <col min="3075" max="3075" width="8.42578125" customWidth="1"/>
    <col min="3077" max="3077" width="12.5703125" customWidth="1"/>
    <col min="3329" max="3329" width="25.7109375" customWidth="1"/>
    <col min="3330" max="3330" width="12.85546875" customWidth="1"/>
    <col min="3331" max="3331" width="8.42578125" customWidth="1"/>
    <col min="3333" max="3333" width="12.5703125" customWidth="1"/>
    <col min="3585" max="3585" width="25.7109375" customWidth="1"/>
    <col min="3586" max="3586" width="12.85546875" customWidth="1"/>
    <col min="3587" max="3587" width="8.42578125" customWidth="1"/>
    <col min="3589" max="3589" width="12.5703125" customWidth="1"/>
    <col min="3841" max="3841" width="25.7109375" customWidth="1"/>
    <col min="3842" max="3842" width="12.85546875" customWidth="1"/>
    <col min="3843" max="3843" width="8.42578125" customWidth="1"/>
    <col min="3845" max="3845" width="12.5703125" customWidth="1"/>
    <col min="4097" max="4097" width="25.7109375" customWidth="1"/>
    <col min="4098" max="4098" width="12.85546875" customWidth="1"/>
    <col min="4099" max="4099" width="8.42578125" customWidth="1"/>
    <col min="4101" max="4101" width="12.5703125" customWidth="1"/>
    <col min="4353" max="4353" width="25.7109375" customWidth="1"/>
    <col min="4354" max="4354" width="12.85546875" customWidth="1"/>
    <col min="4355" max="4355" width="8.42578125" customWidth="1"/>
    <col min="4357" max="4357" width="12.5703125" customWidth="1"/>
    <col min="4609" max="4609" width="25.7109375" customWidth="1"/>
    <col min="4610" max="4610" width="12.85546875" customWidth="1"/>
    <col min="4611" max="4611" width="8.42578125" customWidth="1"/>
    <col min="4613" max="4613" width="12.5703125" customWidth="1"/>
    <col min="4865" max="4865" width="25.7109375" customWidth="1"/>
    <col min="4866" max="4866" width="12.85546875" customWidth="1"/>
    <col min="4867" max="4867" width="8.42578125" customWidth="1"/>
    <col min="4869" max="4869" width="12.5703125" customWidth="1"/>
    <col min="5121" max="5121" width="25.7109375" customWidth="1"/>
    <col min="5122" max="5122" width="12.85546875" customWidth="1"/>
    <col min="5123" max="5123" width="8.42578125" customWidth="1"/>
    <col min="5125" max="5125" width="12.5703125" customWidth="1"/>
    <col min="5377" max="5377" width="25.7109375" customWidth="1"/>
    <col min="5378" max="5378" width="12.85546875" customWidth="1"/>
    <col min="5379" max="5379" width="8.42578125" customWidth="1"/>
    <col min="5381" max="5381" width="12.5703125" customWidth="1"/>
    <col min="5633" max="5633" width="25.7109375" customWidth="1"/>
    <col min="5634" max="5634" width="12.85546875" customWidth="1"/>
    <col min="5635" max="5635" width="8.42578125" customWidth="1"/>
    <col min="5637" max="5637" width="12.5703125" customWidth="1"/>
    <col min="5889" max="5889" width="25.7109375" customWidth="1"/>
    <col min="5890" max="5890" width="12.85546875" customWidth="1"/>
    <col min="5891" max="5891" width="8.42578125" customWidth="1"/>
    <col min="5893" max="5893" width="12.5703125" customWidth="1"/>
    <col min="6145" max="6145" width="25.7109375" customWidth="1"/>
    <col min="6146" max="6146" width="12.85546875" customWidth="1"/>
    <col min="6147" max="6147" width="8.42578125" customWidth="1"/>
    <col min="6149" max="6149" width="12.5703125" customWidth="1"/>
    <col min="6401" max="6401" width="25.7109375" customWidth="1"/>
    <col min="6402" max="6402" width="12.85546875" customWidth="1"/>
    <col min="6403" max="6403" width="8.42578125" customWidth="1"/>
    <col min="6405" max="6405" width="12.5703125" customWidth="1"/>
    <col min="6657" max="6657" width="25.7109375" customWidth="1"/>
    <col min="6658" max="6658" width="12.85546875" customWidth="1"/>
    <col min="6659" max="6659" width="8.42578125" customWidth="1"/>
    <col min="6661" max="6661" width="12.5703125" customWidth="1"/>
    <col min="6913" max="6913" width="25.7109375" customWidth="1"/>
    <col min="6914" max="6914" width="12.85546875" customWidth="1"/>
    <col min="6915" max="6915" width="8.42578125" customWidth="1"/>
    <col min="6917" max="6917" width="12.5703125" customWidth="1"/>
    <col min="7169" max="7169" width="25.7109375" customWidth="1"/>
    <col min="7170" max="7170" width="12.85546875" customWidth="1"/>
    <col min="7171" max="7171" width="8.42578125" customWidth="1"/>
    <col min="7173" max="7173" width="12.5703125" customWidth="1"/>
    <col min="7425" max="7425" width="25.7109375" customWidth="1"/>
    <col min="7426" max="7426" width="12.85546875" customWidth="1"/>
    <col min="7427" max="7427" width="8.42578125" customWidth="1"/>
    <col min="7429" max="7429" width="12.5703125" customWidth="1"/>
    <col min="7681" max="7681" width="25.7109375" customWidth="1"/>
    <col min="7682" max="7682" width="12.85546875" customWidth="1"/>
    <col min="7683" max="7683" width="8.42578125" customWidth="1"/>
    <col min="7685" max="7685" width="12.5703125" customWidth="1"/>
    <col min="7937" max="7937" width="25.7109375" customWidth="1"/>
    <col min="7938" max="7938" width="12.85546875" customWidth="1"/>
    <col min="7939" max="7939" width="8.42578125" customWidth="1"/>
    <col min="7941" max="7941" width="12.5703125" customWidth="1"/>
    <col min="8193" max="8193" width="25.7109375" customWidth="1"/>
    <col min="8194" max="8194" width="12.85546875" customWidth="1"/>
    <col min="8195" max="8195" width="8.42578125" customWidth="1"/>
    <col min="8197" max="8197" width="12.5703125" customWidth="1"/>
    <col min="8449" max="8449" width="25.7109375" customWidth="1"/>
    <col min="8450" max="8450" width="12.85546875" customWidth="1"/>
    <col min="8451" max="8451" width="8.42578125" customWidth="1"/>
    <col min="8453" max="8453" width="12.5703125" customWidth="1"/>
    <col min="8705" max="8705" width="25.7109375" customWidth="1"/>
    <col min="8706" max="8706" width="12.85546875" customWidth="1"/>
    <col min="8707" max="8707" width="8.42578125" customWidth="1"/>
    <col min="8709" max="8709" width="12.5703125" customWidth="1"/>
    <col min="8961" max="8961" width="25.7109375" customWidth="1"/>
    <col min="8962" max="8962" width="12.85546875" customWidth="1"/>
    <col min="8963" max="8963" width="8.42578125" customWidth="1"/>
    <col min="8965" max="8965" width="12.5703125" customWidth="1"/>
    <col min="9217" max="9217" width="25.7109375" customWidth="1"/>
    <col min="9218" max="9218" width="12.85546875" customWidth="1"/>
    <col min="9219" max="9219" width="8.42578125" customWidth="1"/>
    <col min="9221" max="9221" width="12.5703125" customWidth="1"/>
    <col min="9473" max="9473" width="25.7109375" customWidth="1"/>
    <col min="9474" max="9474" width="12.85546875" customWidth="1"/>
    <col min="9475" max="9475" width="8.42578125" customWidth="1"/>
    <col min="9477" max="9477" width="12.5703125" customWidth="1"/>
    <col min="9729" max="9729" width="25.7109375" customWidth="1"/>
    <col min="9730" max="9730" width="12.85546875" customWidth="1"/>
    <col min="9731" max="9731" width="8.42578125" customWidth="1"/>
    <col min="9733" max="9733" width="12.5703125" customWidth="1"/>
    <col min="9985" max="9985" width="25.7109375" customWidth="1"/>
    <col min="9986" max="9986" width="12.85546875" customWidth="1"/>
    <col min="9987" max="9987" width="8.42578125" customWidth="1"/>
    <col min="9989" max="9989" width="12.5703125" customWidth="1"/>
    <col min="10241" max="10241" width="25.7109375" customWidth="1"/>
    <col min="10242" max="10242" width="12.85546875" customWidth="1"/>
    <col min="10243" max="10243" width="8.42578125" customWidth="1"/>
    <col min="10245" max="10245" width="12.5703125" customWidth="1"/>
    <col min="10497" max="10497" width="25.7109375" customWidth="1"/>
    <col min="10498" max="10498" width="12.85546875" customWidth="1"/>
    <col min="10499" max="10499" width="8.42578125" customWidth="1"/>
    <col min="10501" max="10501" width="12.5703125" customWidth="1"/>
    <col min="10753" max="10753" width="25.7109375" customWidth="1"/>
    <col min="10754" max="10754" width="12.85546875" customWidth="1"/>
    <col min="10755" max="10755" width="8.42578125" customWidth="1"/>
    <col min="10757" max="10757" width="12.5703125" customWidth="1"/>
    <col min="11009" max="11009" width="25.7109375" customWidth="1"/>
    <col min="11010" max="11010" width="12.85546875" customWidth="1"/>
    <col min="11011" max="11011" width="8.42578125" customWidth="1"/>
    <col min="11013" max="11013" width="12.5703125" customWidth="1"/>
    <col min="11265" max="11265" width="25.7109375" customWidth="1"/>
    <col min="11266" max="11266" width="12.85546875" customWidth="1"/>
    <col min="11267" max="11267" width="8.42578125" customWidth="1"/>
    <col min="11269" max="11269" width="12.5703125" customWidth="1"/>
    <col min="11521" max="11521" width="25.7109375" customWidth="1"/>
    <col min="11522" max="11522" width="12.85546875" customWidth="1"/>
    <col min="11523" max="11523" width="8.42578125" customWidth="1"/>
    <col min="11525" max="11525" width="12.5703125" customWidth="1"/>
    <col min="11777" max="11777" width="25.7109375" customWidth="1"/>
    <col min="11778" max="11778" width="12.85546875" customWidth="1"/>
    <col min="11779" max="11779" width="8.42578125" customWidth="1"/>
    <col min="11781" max="11781" width="12.5703125" customWidth="1"/>
    <col min="12033" max="12033" width="25.7109375" customWidth="1"/>
    <col min="12034" max="12034" width="12.85546875" customWidth="1"/>
    <col min="12035" max="12035" width="8.42578125" customWidth="1"/>
    <col min="12037" max="12037" width="12.5703125" customWidth="1"/>
    <col min="12289" max="12289" width="25.7109375" customWidth="1"/>
    <col min="12290" max="12290" width="12.85546875" customWidth="1"/>
    <col min="12291" max="12291" width="8.42578125" customWidth="1"/>
    <col min="12293" max="12293" width="12.5703125" customWidth="1"/>
    <col min="12545" max="12545" width="25.7109375" customWidth="1"/>
    <col min="12546" max="12546" width="12.85546875" customWidth="1"/>
    <col min="12547" max="12547" width="8.42578125" customWidth="1"/>
    <col min="12549" max="12549" width="12.5703125" customWidth="1"/>
    <col min="12801" max="12801" width="25.7109375" customWidth="1"/>
    <col min="12802" max="12802" width="12.85546875" customWidth="1"/>
    <col min="12803" max="12803" width="8.42578125" customWidth="1"/>
    <col min="12805" max="12805" width="12.5703125" customWidth="1"/>
    <col min="13057" max="13057" width="25.7109375" customWidth="1"/>
    <col min="13058" max="13058" width="12.85546875" customWidth="1"/>
    <col min="13059" max="13059" width="8.42578125" customWidth="1"/>
    <col min="13061" max="13061" width="12.5703125" customWidth="1"/>
    <col min="13313" max="13313" width="25.7109375" customWidth="1"/>
    <col min="13314" max="13314" width="12.85546875" customWidth="1"/>
    <col min="13315" max="13315" width="8.42578125" customWidth="1"/>
    <col min="13317" max="13317" width="12.5703125" customWidth="1"/>
    <col min="13569" max="13569" width="25.7109375" customWidth="1"/>
    <col min="13570" max="13570" width="12.85546875" customWidth="1"/>
    <col min="13571" max="13571" width="8.42578125" customWidth="1"/>
    <col min="13573" max="13573" width="12.5703125" customWidth="1"/>
    <col min="13825" max="13825" width="25.7109375" customWidth="1"/>
    <col min="13826" max="13826" width="12.85546875" customWidth="1"/>
    <col min="13827" max="13827" width="8.42578125" customWidth="1"/>
    <col min="13829" max="13829" width="12.5703125" customWidth="1"/>
    <col min="14081" max="14081" width="25.7109375" customWidth="1"/>
    <col min="14082" max="14082" width="12.85546875" customWidth="1"/>
    <col min="14083" max="14083" width="8.42578125" customWidth="1"/>
    <col min="14085" max="14085" width="12.5703125" customWidth="1"/>
    <col min="14337" max="14337" width="25.7109375" customWidth="1"/>
    <col min="14338" max="14338" width="12.85546875" customWidth="1"/>
    <col min="14339" max="14339" width="8.42578125" customWidth="1"/>
    <col min="14341" max="14341" width="12.5703125" customWidth="1"/>
    <col min="14593" max="14593" width="25.7109375" customWidth="1"/>
    <col min="14594" max="14594" width="12.85546875" customWidth="1"/>
    <col min="14595" max="14595" width="8.42578125" customWidth="1"/>
    <col min="14597" max="14597" width="12.5703125" customWidth="1"/>
    <col min="14849" max="14849" width="25.7109375" customWidth="1"/>
    <col min="14850" max="14850" width="12.85546875" customWidth="1"/>
    <col min="14851" max="14851" width="8.42578125" customWidth="1"/>
    <col min="14853" max="14853" width="12.5703125" customWidth="1"/>
    <col min="15105" max="15105" width="25.7109375" customWidth="1"/>
    <col min="15106" max="15106" width="12.85546875" customWidth="1"/>
    <col min="15107" max="15107" width="8.42578125" customWidth="1"/>
    <col min="15109" max="15109" width="12.5703125" customWidth="1"/>
    <col min="15361" max="15361" width="25.7109375" customWidth="1"/>
    <col min="15362" max="15362" width="12.85546875" customWidth="1"/>
    <col min="15363" max="15363" width="8.42578125" customWidth="1"/>
    <col min="15365" max="15365" width="12.5703125" customWidth="1"/>
    <col min="15617" max="15617" width="25.7109375" customWidth="1"/>
    <col min="15618" max="15618" width="12.85546875" customWidth="1"/>
    <col min="15619" max="15619" width="8.42578125" customWidth="1"/>
    <col min="15621" max="15621" width="12.5703125" customWidth="1"/>
    <col min="15873" max="15873" width="25.7109375" customWidth="1"/>
    <col min="15874" max="15874" width="12.85546875" customWidth="1"/>
    <col min="15875" max="15875" width="8.42578125" customWidth="1"/>
    <col min="15877" max="15877" width="12.5703125" customWidth="1"/>
    <col min="16129" max="16129" width="25.7109375" customWidth="1"/>
    <col min="16130" max="16130" width="12.85546875" customWidth="1"/>
    <col min="16131" max="16131" width="8.42578125" customWidth="1"/>
    <col min="16133" max="16133" width="12.5703125" customWidth="1"/>
  </cols>
  <sheetData>
    <row r="1" spans="1:5">
      <c r="A1" s="1"/>
      <c r="E1" s="17"/>
    </row>
    <row r="2" spans="1:5">
      <c r="A2" s="1"/>
      <c r="E2" s="18"/>
    </row>
    <row r="3" spans="1:5">
      <c r="A3" s="1"/>
      <c r="D3" s="15"/>
      <c r="E3" s="51"/>
    </row>
    <row r="4" spans="1:5">
      <c r="A4" s="1"/>
      <c r="D4" s="15"/>
      <c r="E4" s="10"/>
    </row>
    <row r="5" spans="1:5">
      <c r="A5" s="1"/>
      <c r="B5" s="52"/>
      <c r="C5" s="53"/>
      <c r="D5" s="54"/>
      <c r="E5" s="55"/>
    </row>
    <row r="6" spans="1:5" hidden="1">
      <c r="A6" s="56"/>
      <c r="B6" s="57"/>
      <c r="C6" s="58"/>
      <c r="D6" s="15"/>
      <c r="E6" s="10"/>
    </row>
    <row r="7" spans="1:5" hidden="1">
      <c r="A7" s="4"/>
      <c r="B7" s="57"/>
      <c r="C7" s="58"/>
      <c r="D7" s="15"/>
      <c r="E7" s="10"/>
    </row>
    <row r="8" spans="1:5">
      <c r="A8" s="4"/>
      <c r="B8" s="57"/>
      <c r="C8" s="58"/>
      <c r="D8" s="15"/>
      <c r="E8" s="10"/>
    </row>
    <row r="9" spans="1:5">
      <c r="A9" s="4"/>
      <c r="B9" s="57"/>
      <c r="C9" s="58"/>
      <c r="D9" s="15"/>
      <c r="E9" s="10"/>
    </row>
    <row r="10" spans="1:5" hidden="1">
      <c r="A10" s="4"/>
      <c r="B10" s="57"/>
      <c r="C10" s="58"/>
      <c r="D10" s="15"/>
      <c r="E10" s="10"/>
    </row>
    <row r="11" spans="1:5" hidden="1">
      <c r="A11" s="4"/>
      <c r="B11" s="57"/>
      <c r="C11" s="58"/>
      <c r="D11" s="15"/>
      <c r="E11" s="10"/>
    </row>
    <row r="12" spans="1:5">
      <c r="A12" s="4"/>
      <c r="B12" s="57"/>
      <c r="C12" s="58"/>
      <c r="D12" s="15"/>
      <c r="E12" s="10"/>
    </row>
    <row r="13" spans="1:5">
      <c r="A13" s="4"/>
      <c r="B13" s="57"/>
      <c r="C13" s="58"/>
      <c r="D13" s="15"/>
      <c r="E13" s="10"/>
    </row>
    <row r="14" spans="1:5">
      <c r="A14" s="4"/>
      <c r="B14" s="57"/>
      <c r="C14" s="58"/>
      <c r="D14" s="15"/>
      <c r="E14" s="10"/>
    </row>
    <row r="15" spans="1:5">
      <c r="A15" s="4"/>
      <c r="B15" s="57"/>
      <c r="C15" s="58"/>
      <c r="D15" s="15"/>
      <c r="E15" s="10"/>
    </row>
    <row r="16" spans="1:5" hidden="1">
      <c r="A16" s="4"/>
      <c r="B16" s="57"/>
      <c r="C16" s="58"/>
      <c r="D16" s="15"/>
      <c r="E16" s="10"/>
    </row>
    <row r="17" spans="1:5">
      <c r="A17" s="4"/>
      <c r="B17" s="57"/>
      <c r="C17" s="58"/>
      <c r="D17" s="15"/>
      <c r="E17" s="10"/>
    </row>
    <row r="18" spans="1:5">
      <c r="A18" s="4"/>
      <c r="B18" s="57"/>
      <c r="C18" s="58"/>
      <c r="D18" s="15"/>
      <c r="E18" s="10"/>
    </row>
    <row r="19" spans="1:5">
      <c r="A19" s="4"/>
      <c r="B19" s="57"/>
      <c r="C19" s="58"/>
      <c r="D19" s="15"/>
      <c r="E19" s="10"/>
    </row>
    <row r="20" spans="1:5">
      <c r="A20" s="4"/>
      <c r="B20" s="57"/>
      <c r="C20" s="58"/>
      <c r="D20" s="15"/>
      <c r="E20" s="10"/>
    </row>
    <row r="21" spans="1:5">
      <c r="A21" s="4"/>
      <c r="B21" s="57"/>
      <c r="C21" s="58"/>
      <c r="D21" s="15"/>
      <c r="E21" s="10"/>
    </row>
    <row r="22" spans="1:5">
      <c r="A22" s="4"/>
      <c r="B22" s="57"/>
      <c r="C22" s="58"/>
      <c r="D22" s="15"/>
      <c r="E22" s="10"/>
    </row>
    <row r="23" spans="1:5">
      <c r="A23" s="4"/>
      <c r="B23" s="57"/>
      <c r="C23" s="58"/>
      <c r="D23" s="15"/>
      <c r="E23" s="10"/>
    </row>
    <row r="24" spans="1:5">
      <c r="A24" s="4"/>
      <c r="B24" s="57"/>
      <c r="C24" s="58"/>
      <c r="D24" s="15"/>
      <c r="E24" s="10"/>
    </row>
    <row r="25" spans="1:5">
      <c r="A25" s="4"/>
      <c r="B25" s="57"/>
      <c r="C25" s="58"/>
      <c r="D25" s="15"/>
      <c r="E25" s="10"/>
    </row>
    <row r="26" spans="1:5">
      <c r="A26" s="4"/>
      <c r="B26" s="57"/>
      <c r="C26" s="58"/>
      <c r="D26" s="15"/>
      <c r="E26" s="10"/>
    </row>
    <row r="27" spans="1:5">
      <c r="A27" s="4"/>
      <c r="B27" s="57"/>
      <c r="C27" s="58"/>
      <c r="D27" s="15"/>
      <c r="E27" s="10"/>
    </row>
    <row r="28" spans="1:5">
      <c r="A28" s="4"/>
      <c r="B28" s="57"/>
      <c r="C28" s="58"/>
      <c r="D28" s="15"/>
      <c r="E28" s="10"/>
    </row>
    <row r="29" spans="1:5">
      <c r="A29" s="4"/>
      <c r="B29" s="57"/>
      <c r="C29" s="58"/>
      <c r="D29" s="15"/>
      <c r="E29" s="10"/>
    </row>
    <row r="30" spans="1:5">
      <c r="A30" s="4"/>
      <c r="B30" s="57"/>
      <c r="C30" s="58"/>
      <c r="D30" s="15"/>
      <c r="E30" s="10"/>
    </row>
    <row r="31" spans="1:5">
      <c r="A31" s="4"/>
      <c r="B31" s="57"/>
      <c r="C31" s="58"/>
      <c r="D31" s="15"/>
      <c r="E31" s="10"/>
    </row>
    <row r="32" spans="1:5">
      <c r="A32" s="4"/>
      <c r="B32" s="57"/>
      <c r="C32" s="58"/>
      <c r="D32" s="15"/>
      <c r="E32" s="10"/>
    </row>
    <row r="33" spans="1:5" ht="12" customHeight="1">
      <c r="A33" s="4"/>
      <c r="B33" s="57"/>
      <c r="C33" s="58"/>
      <c r="D33" s="15"/>
      <c r="E33" s="10"/>
    </row>
    <row r="34" spans="1:5">
      <c r="A34" s="4"/>
      <c r="B34" s="57"/>
      <c r="C34" s="58"/>
      <c r="D34" s="15"/>
      <c r="E34" s="10"/>
    </row>
    <row r="35" spans="1:5">
      <c r="A35" s="4"/>
      <c r="B35" s="57"/>
      <c r="C35" s="58"/>
      <c r="D35" s="15"/>
      <c r="E35" s="10"/>
    </row>
    <row r="36" spans="1:5">
      <c r="A36" s="4"/>
      <c r="B36" s="57"/>
      <c r="C36" s="58"/>
      <c r="D36" s="15"/>
      <c r="E36" s="10"/>
    </row>
    <row r="37" spans="1:5">
      <c r="A37" s="4"/>
      <c r="B37" s="57"/>
      <c r="C37" s="58"/>
      <c r="D37" s="15"/>
      <c r="E37" s="10"/>
    </row>
    <row r="38" spans="1:5">
      <c r="A38" s="4"/>
      <c r="B38" s="57"/>
      <c r="C38" s="58"/>
      <c r="D38" s="15"/>
      <c r="E38" s="10"/>
    </row>
    <row r="39" spans="1:5">
      <c r="A39" s="4"/>
      <c r="B39" s="57"/>
      <c r="C39" s="58"/>
      <c r="D39" s="15"/>
      <c r="E39" s="10"/>
    </row>
    <row r="40" spans="1:5">
      <c r="A40" s="4"/>
      <c r="B40" s="57"/>
      <c r="C40" s="58"/>
      <c r="D40" s="15"/>
      <c r="E40" s="10"/>
    </row>
    <row r="41" spans="1:5">
      <c r="A41" s="4"/>
      <c r="B41" s="57"/>
      <c r="C41" s="58"/>
      <c r="D41" s="15"/>
      <c r="E41" s="10"/>
    </row>
    <row r="42" spans="1:5">
      <c r="A42" s="4"/>
      <c r="B42" s="57"/>
      <c r="C42" s="58"/>
      <c r="D42" s="15"/>
      <c r="E42" s="10"/>
    </row>
    <row r="43" spans="1:5">
      <c r="A43" s="4"/>
      <c r="B43" s="57"/>
      <c r="C43" s="58"/>
      <c r="D43" s="15"/>
      <c r="E43" s="10"/>
    </row>
    <row r="44" spans="1:5">
      <c r="A44" s="4"/>
      <c r="B44" s="57"/>
      <c r="C44" s="58"/>
      <c r="D44" s="15"/>
      <c r="E44" s="10"/>
    </row>
    <row r="45" spans="1:5">
      <c r="A45" s="4"/>
      <c r="B45" s="57"/>
      <c r="C45" s="58"/>
      <c r="D45" s="15"/>
      <c r="E45" s="10"/>
    </row>
    <row r="46" spans="1:5">
      <c r="A46" s="4"/>
      <c r="B46" s="57"/>
      <c r="C46" s="58"/>
      <c r="D46" s="15"/>
      <c r="E46" s="10"/>
    </row>
    <row r="47" spans="1:5">
      <c r="A47" s="4"/>
      <c r="B47" s="57"/>
      <c r="C47" s="58"/>
      <c r="D47" s="15"/>
      <c r="E47" s="10"/>
    </row>
    <row r="48" spans="1:5">
      <c r="A48" s="4"/>
      <c r="B48" s="57"/>
      <c r="C48" s="58"/>
      <c r="D48" s="15"/>
      <c r="E48" s="10"/>
    </row>
    <row r="49" spans="1:5" hidden="1">
      <c r="A49" s="4"/>
      <c r="B49" s="57"/>
      <c r="C49" s="58"/>
      <c r="D49" s="15"/>
      <c r="E49" s="10"/>
    </row>
    <row r="50" spans="1:5">
      <c r="A50" s="4"/>
      <c r="B50" s="57"/>
      <c r="C50" s="58"/>
      <c r="D50" s="15"/>
      <c r="E50" s="10"/>
    </row>
    <row r="51" spans="1:5">
      <c r="A51" s="4"/>
      <c r="B51" s="57"/>
      <c r="C51" s="58"/>
      <c r="D51" s="15"/>
      <c r="E51" s="10"/>
    </row>
    <row r="52" spans="1:5">
      <c r="A52" s="4"/>
      <c r="B52" s="57"/>
      <c r="C52" s="58"/>
      <c r="D52" s="15"/>
      <c r="E52" s="10"/>
    </row>
    <row r="53" spans="1:5" hidden="1">
      <c r="A53" s="4"/>
      <c r="B53" s="57"/>
      <c r="C53" s="58"/>
      <c r="D53" s="15"/>
      <c r="E53" s="10"/>
    </row>
    <row r="54" spans="1:5" hidden="1">
      <c r="A54" s="4"/>
      <c r="B54" s="57"/>
      <c r="C54" s="58"/>
      <c r="D54" s="15"/>
      <c r="E54" s="10"/>
    </row>
    <row r="55" spans="1:5" hidden="1">
      <c r="A55" s="4"/>
      <c r="B55" s="57"/>
      <c r="C55" s="58"/>
      <c r="D55" s="15"/>
      <c r="E55" s="10"/>
    </row>
    <row r="56" spans="1:5">
      <c r="A56" s="4"/>
      <c r="B56" s="57"/>
      <c r="C56" s="58"/>
      <c r="D56" s="15"/>
      <c r="E56" s="10"/>
    </row>
    <row r="57" spans="1:5">
      <c r="A57" s="4"/>
      <c r="B57" s="57"/>
      <c r="C57" s="58"/>
      <c r="D57" s="15"/>
      <c r="E57" s="10"/>
    </row>
    <row r="58" spans="1:5">
      <c r="A58" s="4"/>
      <c r="B58" s="57"/>
      <c r="C58" s="58"/>
      <c r="D58" s="15"/>
      <c r="E58" s="10"/>
    </row>
    <row r="59" spans="1:5">
      <c r="A59" s="4"/>
      <c r="B59" s="57"/>
      <c r="C59" s="58"/>
      <c r="D59" s="15"/>
      <c r="E59" s="10"/>
    </row>
    <row r="60" spans="1:5">
      <c r="A60" s="4"/>
      <c r="B60" s="57"/>
      <c r="C60" s="58"/>
      <c r="D60" s="15"/>
      <c r="E60" s="10"/>
    </row>
    <row r="61" spans="1:5">
      <c r="A61" s="4"/>
      <c r="B61" s="57"/>
      <c r="C61" s="58"/>
      <c r="D61" s="15"/>
      <c r="E61" s="10"/>
    </row>
    <row r="62" spans="1:5" hidden="1">
      <c r="A62" s="4"/>
      <c r="B62" s="57"/>
      <c r="C62" s="58"/>
      <c r="D62" s="15"/>
      <c r="E62" s="10"/>
    </row>
    <row r="63" spans="1:5">
      <c r="A63" s="4"/>
      <c r="B63" s="57"/>
      <c r="C63" s="58"/>
      <c r="D63" s="15"/>
      <c r="E63" s="10"/>
    </row>
    <row r="64" spans="1:5">
      <c r="A64" s="4"/>
      <c r="B64" s="57"/>
      <c r="C64" s="58"/>
      <c r="D64" s="15"/>
      <c r="E64" s="10"/>
    </row>
    <row r="65" spans="1:5">
      <c r="A65" s="4"/>
      <c r="B65" s="57"/>
      <c r="C65" s="58"/>
      <c r="D65" s="15"/>
      <c r="E65" s="10"/>
    </row>
    <row r="66" spans="1:5">
      <c r="A66" s="4"/>
      <c r="B66" s="57"/>
      <c r="C66" s="58"/>
      <c r="D66" s="15"/>
      <c r="E66" s="10"/>
    </row>
    <row r="67" spans="1:5">
      <c r="A67" s="4"/>
      <c r="B67" s="57"/>
      <c r="C67" s="58"/>
      <c r="D67" s="15"/>
      <c r="E67" s="10"/>
    </row>
    <row r="68" spans="1:5">
      <c r="A68" s="4"/>
      <c r="B68" s="57"/>
      <c r="C68" s="58"/>
      <c r="D68" s="15"/>
      <c r="E68" s="10"/>
    </row>
    <row r="69" spans="1:5">
      <c r="A69" s="4"/>
      <c r="B69" s="57"/>
      <c r="C69" s="58"/>
      <c r="D69" s="15"/>
      <c r="E69" s="10"/>
    </row>
    <row r="70" spans="1:5">
      <c r="A70" s="4"/>
      <c r="B70" s="57"/>
      <c r="C70" s="58"/>
      <c r="D70" s="15"/>
      <c r="E70" s="10"/>
    </row>
    <row r="71" spans="1:5">
      <c r="A71" s="4"/>
      <c r="B71" s="57"/>
      <c r="C71" s="58"/>
      <c r="D71" s="15"/>
      <c r="E71" s="10"/>
    </row>
    <row r="72" spans="1:5">
      <c r="A72" s="4"/>
      <c r="B72" s="57"/>
      <c r="C72" s="58"/>
      <c r="D72" s="15"/>
      <c r="E72" s="10"/>
    </row>
    <row r="73" spans="1:5">
      <c r="A73" s="4"/>
      <c r="B73" s="57"/>
      <c r="C73" s="58"/>
      <c r="D73" s="15"/>
      <c r="E73" s="10"/>
    </row>
    <row r="74" spans="1:5">
      <c r="A74" s="4"/>
      <c r="B74" s="57"/>
      <c r="C74" s="58"/>
      <c r="D74" s="15"/>
      <c r="E74" s="10"/>
    </row>
    <row r="75" spans="1:5">
      <c r="A75" s="4"/>
      <c r="B75" s="57"/>
      <c r="C75" s="58"/>
      <c r="D75" s="15"/>
      <c r="E75" s="10"/>
    </row>
    <row r="76" spans="1:5">
      <c r="A76" s="4"/>
      <c r="B76" s="57"/>
      <c r="C76" s="58"/>
      <c r="D76" s="15"/>
      <c r="E76" s="10"/>
    </row>
    <row r="77" spans="1:5">
      <c r="A77" s="4"/>
      <c r="B77" s="57"/>
      <c r="C77" s="58"/>
      <c r="D77" s="15"/>
      <c r="E77" s="10"/>
    </row>
    <row r="78" spans="1:5">
      <c r="A78" s="4"/>
      <c r="B78" s="59"/>
      <c r="C78" s="60"/>
      <c r="D78" s="15"/>
      <c r="E78" s="10"/>
    </row>
    <row r="79" spans="1:5">
      <c r="A79" s="4"/>
      <c r="B79" s="59"/>
      <c r="C79" s="60"/>
      <c r="D79" s="15"/>
      <c r="E79" s="10"/>
    </row>
    <row r="80" spans="1:5">
      <c r="A80" s="4"/>
      <c r="B80" s="59"/>
      <c r="C80" s="60"/>
      <c r="D80" s="15"/>
      <c r="E80" s="10"/>
    </row>
    <row r="81" spans="1:5">
      <c r="A81" s="4"/>
      <c r="B81" s="6"/>
      <c r="C81" s="7"/>
      <c r="D81" s="15"/>
      <c r="E81" s="10"/>
    </row>
    <row r="82" spans="1:5">
      <c r="A82" s="1"/>
      <c r="B82" s="6"/>
      <c r="C82" s="7"/>
      <c r="D82" s="15"/>
      <c r="E82" s="10"/>
    </row>
    <row r="83" spans="1:5">
      <c r="A83" s="4"/>
      <c r="B83" s="57"/>
      <c r="C83" s="57"/>
      <c r="D83" s="15"/>
      <c r="E83" s="10"/>
    </row>
    <row r="84" spans="1:5">
      <c r="A84" s="4"/>
      <c r="B84" s="57"/>
      <c r="C84" s="57"/>
      <c r="D84" s="15"/>
      <c r="E84" s="10"/>
    </row>
    <row r="85" spans="1:5">
      <c r="A85" s="4"/>
      <c r="B85" s="57"/>
      <c r="C85" s="57"/>
      <c r="D85" s="15"/>
      <c r="E85" s="10"/>
    </row>
    <row r="86" spans="1:5">
      <c r="A86" s="4"/>
      <c r="B86" s="57"/>
      <c r="C86" s="57"/>
      <c r="D86" s="15"/>
      <c r="E86" s="10"/>
    </row>
    <row r="87" spans="1:5">
      <c r="A87" s="4"/>
      <c r="B87" s="6"/>
      <c r="C87" s="7"/>
      <c r="D87" s="15"/>
      <c r="E87" s="10"/>
    </row>
    <row r="88" spans="1:5">
      <c r="A88" s="1"/>
      <c r="B88" s="6"/>
      <c r="C88" s="7"/>
      <c r="D88" s="15"/>
      <c r="E88" s="10"/>
    </row>
    <row r="89" spans="1:5">
      <c r="A89" s="4"/>
      <c r="B89" s="57"/>
      <c r="C89" s="58"/>
      <c r="D89" s="15"/>
      <c r="E89" s="10"/>
    </row>
    <row r="90" spans="1:5">
      <c r="A90" s="4"/>
      <c r="B90" s="57"/>
      <c r="C90" s="58"/>
      <c r="D90" s="15"/>
      <c r="E90" s="10"/>
    </row>
    <row r="91" spans="1:5">
      <c r="A91" s="4"/>
      <c r="B91" s="57"/>
      <c r="C91" s="58"/>
      <c r="D91" s="15"/>
      <c r="E91" s="10"/>
    </row>
    <row r="92" spans="1:5">
      <c r="A92" s="4"/>
      <c r="B92" s="57"/>
      <c r="C92" s="58"/>
      <c r="D92" s="15"/>
      <c r="E92" s="10"/>
    </row>
    <row r="93" spans="1:5">
      <c r="A93" s="4"/>
      <c r="B93" s="57"/>
      <c r="C93" s="58"/>
      <c r="D93" s="15"/>
      <c r="E93" s="10"/>
    </row>
    <row r="94" spans="1:5">
      <c r="A94" s="4"/>
      <c r="B94" s="57"/>
      <c r="C94" s="58"/>
      <c r="D94" s="15"/>
      <c r="E94" s="10"/>
    </row>
    <row r="95" spans="1:5">
      <c r="A95" s="4"/>
      <c r="B95" s="57"/>
      <c r="C95" s="58"/>
      <c r="D95" s="15"/>
      <c r="E95" s="10"/>
    </row>
    <row r="96" spans="1:5">
      <c r="A96" s="4"/>
      <c r="B96" s="57"/>
      <c r="C96" s="58"/>
      <c r="D96" s="15"/>
      <c r="E96" s="10"/>
    </row>
    <row r="97" spans="1:5">
      <c r="A97" s="4"/>
      <c r="B97" s="57"/>
      <c r="C97" s="58"/>
      <c r="D97" s="15"/>
      <c r="E97" s="10"/>
    </row>
    <row r="98" spans="1:5">
      <c r="A98" s="4"/>
      <c r="B98" s="57"/>
      <c r="C98" s="58"/>
      <c r="D98" s="15"/>
      <c r="E98" s="10"/>
    </row>
    <row r="99" spans="1:5">
      <c r="A99" s="4"/>
      <c r="B99" s="57"/>
      <c r="C99" s="58"/>
      <c r="D99" s="15"/>
      <c r="E99" s="10"/>
    </row>
    <row r="100" spans="1:5">
      <c r="A100" s="4"/>
      <c r="B100" s="57"/>
      <c r="C100" s="58"/>
      <c r="D100" s="15"/>
      <c r="E100" s="10"/>
    </row>
    <row r="101" spans="1:5">
      <c r="A101" s="4"/>
      <c r="B101" s="57"/>
      <c r="C101" s="58"/>
      <c r="D101" s="15"/>
      <c r="E101" s="10"/>
    </row>
    <row r="102" spans="1:5">
      <c r="A102" s="4"/>
      <c r="B102" s="57"/>
      <c r="C102" s="58"/>
      <c r="D102" s="15"/>
      <c r="E102" s="10"/>
    </row>
    <row r="103" spans="1:5">
      <c r="A103" s="4"/>
      <c r="B103" s="57"/>
      <c r="C103" s="58"/>
      <c r="D103" s="15"/>
      <c r="E103" s="10"/>
    </row>
    <row r="104" spans="1:5">
      <c r="A104" s="4"/>
      <c r="B104" s="57"/>
      <c r="C104" s="58"/>
      <c r="D104" s="15"/>
      <c r="E104" s="10"/>
    </row>
    <row r="105" spans="1:5">
      <c r="A105" s="4"/>
      <c r="B105" s="59"/>
      <c r="C105" s="60"/>
      <c r="D105" s="15"/>
      <c r="E105" s="10"/>
    </row>
    <row r="106" spans="1:5">
      <c r="A106" s="4"/>
      <c r="B106" s="6"/>
      <c r="C106" s="7"/>
      <c r="D106" s="15"/>
      <c r="E106" s="10"/>
    </row>
    <row r="107" spans="1:5">
      <c r="A107" s="4"/>
      <c r="B107" s="57"/>
      <c r="C107" s="58"/>
      <c r="D107" s="15"/>
      <c r="E107" s="10"/>
    </row>
    <row r="108" spans="1:5">
      <c r="A108" s="4"/>
      <c r="B108" s="57"/>
      <c r="C108" s="58"/>
      <c r="D108" s="15"/>
      <c r="E108" s="10"/>
    </row>
    <row r="109" spans="1:5">
      <c r="A109" s="4"/>
      <c r="B109" s="57"/>
      <c r="C109" s="58"/>
      <c r="D109" s="15"/>
      <c r="E109" s="10"/>
    </row>
    <row r="110" spans="1:5">
      <c r="A110" s="4"/>
      <c r="B110" s="57"/>
      <c r="C110" s="58"/>
      <c r="D110" s="15"/>
      <c r="E110" s="10"/>
    </row>
    <row r="111" spans="1:5">
      <c r="A111" s="4"/>
      <c r="B111" s="57"/>
      <c r="C111" s="58"/>
      <c r="D111" s="15"/>
      <c r="E111" s="10"/>
    </row>
    <row r="112" spans="1:5">
      <c r="A112" s="4"/>
      <c r="B112" s="59"/>
      <c r="C112" s="60"/>
      <c r="D112" s="15"/>
      <c r="E112" s="10"/>
    </row>
    <row r="113" spans="1:5">
      <c r="A113" s="4"/>
      <c r="B113" s="6"/>
      <c r="C113" s="7"/>
      <c r="D113" s="15"/>
      <c r="E113" s="10"/>
    </row>
    <row r="114" spans="1:5">
      <c r="A114" s="4"/>
      <c r="B114" s="57"/>
      <c r="C114" s="58"/>
      <c r="D114" s="15"/>
      <c r="E114" s="10"/>
    </row>
    <row r="115" spans="1:5">
      <c r="A115" s="4"/>
      <c r="B115" s="57"/>
      <c r="C115" s="58"/>
      <c r="D115" s="15"/>
      <c r="E115" s="10"/>
    </row>
    <row r="116" spans="1:5">
      <c r="A116" s="4"/>
      <c r="B116" s="57"/>
      <c r="C116" s="58"/>
      <c r="D116" s="15"/>
      <c r="E116" s="10"/>
    </row>
    <row r="117" spans="1:5">
      <c r="A117" s="4"/>
      <c r="B117" s="57"/>
      <c r="C117" s="58"/>
      <c r="D117" s="15"/>
      <c r="E117" s="10"/>
    </row>
    <row r="118" spans="1:5">
      <c r="A118" s="4"/>
      <c r="B118" s="57"/>
      <c r="C118" s="58"/>
      <c r="D118" s="15"/>
      <c r="E118" s="10"/>
    </row>
    <row r="119" spans="1:5">
      <c r="A119" s="4"/>
      <c r="B119" s="57"/>
      <c r="C119" s="58"/>
      <c r="D119" s="15"/>
      <c r="E119" s="10"/>
    </row>
    <row r="120" spans="1:5">
      <c r="A120" s="4"/>
      <c r="B120" s="59"/>
      <c r="C120" s="60"/>
      <c r="D120" s="15"/>
      <c r="E120" s="10"/>
    </row>
    <row r="121" spans="1:5">
      <c r="A121" s="4"/>
      <c r="B121" s="59"/>
      <c r="C121" s="60"/>
      <c r="D121" s="15"/>
      <c r="E121" s="10"/>
    </row>
    <row r="122" spans="1:5">
      <c r="A122" s="4"/>
      <c r="B122" s="59"/>
      <c r="C122" s="60"/>
      <c r="D122" s="15"/>
      <c r="E122" s="10"/>
    </row>
    <row r="123" spans="1:5">
      <c r="A123" s="4"/>
      <c r="B123" s="59"/>
      <c r="C123" s="60"/>
      <c r="D123" s="15"/>
      <c r="E123" s="10"/>
    </row>
    <row r="124" spans="1:5">
      <c r="A124" s="4"/>
      <c r="B124" s="59"/>
      <c r="C124" s="60"/>
      <c r="D124" s="15"/>
      <c r="E124" s="10"/>
    </row>
    <row r="125" spans="1:5">
      <c r="A125" s="4"/>
      <c r="B125" s="59"/>
      <c r="C125" s="60"/>
      <c r="D125" s="15"/>
      <c r="E125" s="10"/>
    </row>
    <row r="126" spans="1:5">
      <c r="A126" s="4"/>
      <c r="B126" s="6"/>
      <c r="C126" s="7"/>
      <c r="D126" s="15"/>
      <c r="E126" s="10"/>
    </row>
    <row r="127" spans="1:5">
      <c r="B127" s="57"/>
      <c r="C127" s="58"/>
      <c r="D127" s="15"/>
      <c r="E127" s="10"/>
    </row>
    <row r="128" spans="1:5">
      <c r="A128" s="4"/>
      <c r="B128" s="6"/>
      <c r="C128" s="7"/>
      <c r="D128" s="15"/>
      <c r="E128" s="10"/>
    </row>
    <row r="129" spans="1:5">
      <c r="B129" s="6"/>
      <c r="C129" s="7"/>
      <c r="D129" s="15"/>
      <c r="E129" s="10"/>
    </row>
    <row r="130" spans="1:5">
      <c r="A130" s="61"/>
      <c r="B130" s="2"/>
      <c r="C130" s="1"/>
      <c r="D130" s="16"/>
      <c r="E13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8"/>
  <sheetViews>
    <sheetView workbookViewId="0">
      <selection activeCell="E30" sqref="E30"/>
    </sheetView>
  </sheetViews>
  <sheetFormatPr baseColWidth="10" defaultRowHeight="15"/>
  <cols>
    <col min="1" max="1" width="25.7109375" customWidth="1"/>
    <col min="2" max="2" width="12.85546875" style="14" customWidth="1"/>
    <col min="3" max="3" width="8.42578125" customWidth="1"/>
    <col min="5" max="5" width="12.5703125" customWidth="1"/>
    <col min="257" max="257" width="25.7109375" customWidth="1"/>
    <col min="258" max="258" width="12.85546875" customWidth="1"/>
    <col min="259" max="259" width="8.42578125" customWidth="1"/>
    <col min="261" max="261" width="12.5703125" customWidth="1"/>
    <col min="513" max="513" width="25.7109375" customWidth="1"/>
    <col min="514" max="514" width="12.85546875" customWidth="1"/>
    <col min="515" max="515" width="8.42578125" customWidth="1"/>
    <col min="517" max="517" width="12.5703125" customWidth="1"/>
    <col min="769" max="769" width="25.7109375" customWidth="1"/>
    <col min="770" max="770" width="12.85546875" customWidth="1"/>
    <col min="771" max="771" width="8.42578125" customWidth="1"/>
    <col min="773" max="773" width="12.5703125" customWidth="1"/>
    <col min="1025" max="1025" width="25.7109375" customWidth="1"/>
    <col min="1026" max="1026" width="12.85546875" customWidth="1"/>
    <col min="1027" max="1027" width="8.42578125" customWidth="1"/>
    <col min="1029" max="1029" width="12.5703125" customWidth="1"/>
    <col min="1281" max="1281" width="25.7109375" customWidth="1"/>
    <col min="1282" max="1282" width="12.85546875" customWidth="1"/>
    <col min="1283" max="1283" width="8.42578125" customWidth="1"/>
    <col min="1285" max="1285" width="12.5703125" customWidth="1"/>
    <col min="1537" max="1537" width="25.7109375" customWidth="1"/>
    <col min="1538" max="1538" width="12.85546875" customWidth="1"/>
    <col min="1539" max="1539" width="8.42578125" customWidth="1"/>
    <col min="1541" max="1541" width="12.5703125" customWidth="1"/>
    <col min="1793" max="1793" width="25.7109375" customWidth="1"/>
    <col min="1794" max="1794" width="12.85546875" customWidth="1"/>
    <col min="1795" max="1795" width="8.42578125" customWidth="1"/>
    <col min="1797" max="1797" width="12.5703125" customWidth="1"/>
    <col min="2049" max="2049" width="25.7109375" customWidth="1"/>
    <col min="2050" max="2050" width="12.85546875" customWidth="1"/>
    <col min="2051" max="2051" width="8.42578125" customWidth="1"/>
    <col min="2053" max="2053" width="12.5703125" customWidth="1"/>
    <col min="2305" max="2305" width="25.7109375" customWidth="1"/>
    <col min="2306" max="2306" width="12.85546875" customWidth="1"/>
    <col min="2307" max="2307" width="8.42578125" customWidth="1"/>
    <col min="2309" max="2309" width="12.5703125" customWidth="1"/>
    <col min="2561" max="2561" width="25.7109375" customWidth="1"/>
    <col min="2562" max="2562" width="12.85546875" customWidth="1"/>
    <col min="2563" max="2563" width="8.42578125" customWidth="1"/>
    <col min="2565" max="2565" width="12.5703125" customWidth="1"/>
    <col min="2817" max="2817" width="25.7109375" customWidth="1"/>
    <col min="2818" max="2818" width="12.85546875" customWidth="1"/>
    <col min="2819" max="2819" width="8.42578125" customWidth="1"/>
    <col min="2821" max="2821" width="12.5703125" customWidth="1"/>
    <col min="3073" max="3073" width="25.7109375" customWidth="1"/>
    <col min="3074" max="3074" width="12.85546875" customWidth="1"/>
    <col min="3075" max="3075" width="8.42578125" customWidth="1"/>
    <col min="3077" max="3077" width="12.5703125" customWidth="1"/>
    <col min="3329" max="3329" width="25.7109375" customWidth="1"/>
    <col min="3330" max="3330" width="12.85546875" customWidth="1"/>
    <col min="3331" max="3331" width="8.42578125" customWidth="1"/>
    <col min="3333" max="3333" width="12.5703125" customWidth="1"/>
    <col min="3585" max="3585" width="25.7109375" customWidth="1"/>
    <col min="3586" max="3586" width="12.85546875" customWidth="1"/>
    <col min="3587" max="3587" width="8.42578125" customWidth="1"/>
    <col min="3589" max="3589" width="12.5703125" customWidth="1"/>
    <col min="3841" max="3841" width="25.7109375" customWidth="1"/>
    <col min="3842" max="3842" width="12.85546875" customWidth="1"/>
    <col min="3843" max="3843" width="8.42578125" customWidth="1"/>
    <col min="3845" max="3845" width="12.5703125" customWidth="1"/>
    <col min="4097" max="4097" width="25.7109375" customWidth="1"/>
    <col min="4098" max="4098" width="12.85546875" customWidth="1"/>
    <col min="4099" max="4099" width="8.42578125" customWidth="1"/>
    <col min="4101" max="4101" width="12.5703125" customWidth="1"/>
    <col min="4353" max="4353" width="25.7109375" customWidth="1"/>
    <col min="4354" max="4354" width="12.85546875" customWidth="1"/>
    <col min="4355" max="4355" width="8.42578125" customWidth="1"/>
    <col min="4357" max="4357" width="12.5703125" customWidth="1"/>
    <col min="4609" max="4609" width="25.7109375" customWidth="1"/>
    <col min="4610" max="4610" width="12.85546875" customWidth="1"/>
    <col min="4611" max="4611" width="8.42578125" customWidth="1"/>
    <col min="4613" max="4613" width="12.5703125" customWidth="1"/>
    <col min="4865" max="4865" width="25.7109375" customWidth="1"/>
    <col min="4866" max="4866" width="12.85546875" customWidth="1"/>
    <col min="4867" max="4867" width="8.42578125" customWidth="1"/>
    <col min="4869" max="4869" width="12.5703125" customWidth="1"/>
    <col min="5121" max="5121" width="25.7109375" customWidth="1"/>
    <col min="5122" max="5122" width="12.85546875" customWidth="1"/>
    <col min="5123" max="5123" width="8.42578125" customWidth="1"/>
    <col min="5125" max="5125" width="12.5703125" customWidth="1"/>
    <col min="5377" max="5377" width="25.7109375" customWidth="1"/>
    <col min="5378" max="5378" width="12.85546875" customWidth="1"/>
    <col min="5379" max="5379" width="8.42578125" customWidth="1"/>
    <col min="5381" max="5381" width="12.5703125" customWidth="1"/>
    <col min="5633" max="5633" width="25.7109375" customWidth="1"/>
    <col min="5634" max="5634" width="12.85546875" customWidth="1"/>
    <col min="5635" max="5635" width="8.42578125" customWidth="1"/>
    <col min="5637" max="5637" width="12.5703125" customWidth="1"/>
    <col min="5889" max="5889" width="25.7109375" customWidth="1"/>
    <col min="5890" max="5890" width="12.85546875" customWidth="1"/>
    <col min="5891" max="5891" width="8.42578125" customWidth="1"/>
    <col min="5893" max="5893" width="12.5703125" customWidth="1"/>
    <col min="6145" max="6145" width="25.7109375" customWidth="1"/>
    <col min="6146" max="6146" width="12.85546875" customWidth="1"/>
    <col min="6147" max="6147" width="8.42578125" customWidth="1"/>
    <col min="6149" max="6149" width="12.5703125" customWidth="1"/>
    <col min="6401" max="6401" width="25.7109375" customWidth="1"/>
    <col min="6402" max="6402" width="12.85546875" customWidth="1"/>
    <col min="6403" max="6403" width="8.42578125" customWidth="1"/>
    <col min="6405" max="6405" width="12.5703125" customWidth="1"/>
    <col min="6657" max="6657" width="25.7109375" customWidth="1"/>
    <col min="6658" max="6658" width="12.85546875" customWidth="1"/>
    <col min="6659" max="6659" width="8.42578125" customWidth="1"/>
    <col min="6661" max="6661" width="12.5703125" customWidth="1"/>
    <col min="6913" max="6913" width="25.7109375" customWidth="1"/>
    <col min="6914" max="6914" width="12.85546875" customWidth="1"/>
    <col min="6915" max="6915" width="8.42578125" customWidth="1"/>
    <col min="6917" max="6917" width="12.5703125" customWidth="1"/>
    <col min="7169" max="7169" width="25.7109375" customWidth="1"/>
    <col min="7170" max="7170" width="12.85546875" customWidth="1"/>
    <col min="7171" max="7171" width="8.42578125" customWidth="1"/>
    <col min="7173" max="7173" width="12.5703125" customWidth="1"/>
    <col min="7425" max="7425" width="25.7109375" customWidth="1"/>
    <col min="7426" max="7426" width="12.85546875" customWidth="1"/>
    <col min="7427" max="7427" width="8.42578125" customWidth="1"/>
    <col min="7429" max="7429" width="12.5703125" customWidth="1"/>
    <col min="7681" max="7681" width="25.7109375" customWidth="1"/>
    <col min="7682" max="7682" width="12.85546875" customWidth="1"/>
    <col min="7683" max="7683" width="8.42578125" customWidth="1"/>
    <col min="7685" max="7685" width="12.5703125" customWidth="1"/>
    <col min="7937" max="7937" width="25.7109375" customWidth="1"/>
    <col min="7938" max="7938" width="12.85546875" customWidth="1"/>
    <col min="7939" max="7939" width="8.42578125" customWidth="1"/>
    <col min="7941" max="7941" width="12.5703125" customWidth="1"/>
    <col min="8193" max="8193" width="25.7109375" customWidth="1"/>
    <col min="8194" max="8194" width="12.85546875" customWidth="1"/>
    <col min="8195" max="8195" width="8.42578125" customWidth="1"/>
    <col min="8197" max="8197" width="12.5703125" customWidth="1"/>
    <col min="8449" max="8449" width="25.7109375" customWidth="1"/>
    <col min="8450" max="8450" width="12.85546875" customWidth="1"/>
    <col min="8451" max="8451" width="8.42578125" customWidth="1"/>
    <col min="8453" max="8453" width="12.5703125" customWidth="1"/>
    <col min="8705" max="8705" width="25.7109375" customWidth="1"/>
    <col min="8706" max="8706" width="12.85546875" customWidth="1"/>
    <col min="8707" max="8707" width="8.42578125" customWidth="1"/>
    <col min="8709" max="8709" width="12.5703125" customWidth="1"/>
    <col min="8961" max="8961" width="25.7109375" customWidth="1"/>
    <col min="8962" max="8962" width="12.85546875" customWidth="1"/>
    <col min="8963" max="8963" width="8.42578125" customWidth="1"/>
    <col min="8965" max="8965" width="12.5703125" customWidth="1"/>
    <col min="9217" max="9217" width="25.7109375" customWidth="1"/>
    <col min="9218" max="9218" width="12.85546875" customWidth="1"/>
    <col min="9219" max="9219" width="8.42578125" customWidth="1"/>
    <col min="9221" max="9221" width="12.5703125" customWidth="1"/>
    <col min="9473" max="9473" width="25.7109375" customWidth="1"/>
    <col min="9474" max="9474" width="12.85546875" customWidth="1"/>
    <col min="9475" max="9475" width="8.42578125" customWidth="1"/>
    <col min="9477" max="9477" width="12.5703125" customWidth="1"/>
    <col min="9729" max="9729" width="25.7109375" customWidth="1"/>
    <col min="9730" max="9730" width="12.85546875" customWidth="1"/>
    <col min="9731" max="9731" width="8.42578125" customWidth="1"/>
    <col min="9733" max="9733" width="12.5703125" customWidth="1"/>
    <col min="9985" max="9985" width="25.7109375" customWidth="1"/>
    <col min="9986" max="9986" width="12.85546875" customWidth="1"/>
    <col min="9987" max="9987" width="8.42578125" customWidth="1"/>
    <col min="9989" max="9989" width="12.5703125" customWidth="1"/>
    <col min="10241" max="10241" width="25.7109375" customWidth="1"/>
    <col min="10242" max="10242" width="12.85546875" customWidth="1"/>
    <col min="10243" max="10243" width="8.42578125" customWidth="1"/>
    <col min="10245" max="10245" width="12.5703125" customWidth="1"/>
    <col min="10497" max="10497" width="25.7109375" customWidth="1"/>
    <col min="10498" max="10498" width="12.85546875" customWidth="1"/>
    <col min="10499" max="10499" width="8.42578125" customWidth="1"/>
    <col min="10501" max="10501" width="12.5703125" customWidth="1"/>
    <col min="10753" max="10753" width="25.7109375" customWidth="1"/>
    <col min="10754" max="10754" width="12.85546875" customWidth="1"/>
    <col min="10755" max="10755" width="8.42578125" customWidth="1"/>
    <col min="10757" max="10757" width="12.5703125" customWidth="1"/>
    <col min="11009" max="11009" width="25.7109375" customWidth="1"/>
    <col min="11010" max="11010" width="12.85546875" customWidth="1"/>
    <col min="11011" max="11011" width="8.42578125" customWidth="1"/>
    <col min="11013" max="11013" width="12.5703125" customWidth="1"/>
    <col min="11265" max="11265" width="25.7109375" customWidth="1"/>
    <col min="11266" max="11266" width="12.85546875" customWidth="1"/>
    <col min="11267" max="11267" width="8.42578125" customWidth="1"/>
    <col min="11269" max="11269" width="12.5703125" customWidth="1"/>
    <col min="11521" max="11521" width="25.7109375" customWidth="1"/>
    <col min="11522" max="11522" width="12.85546875" customWidth="1"/>
    <col min="11523" max="11523" width="8.42578125" customWidth="1"/>
    <col min="11525" max="11525" width="12.5703125" customWidth="1"/>
    <col min="11777" max="11777" width="25.7109375" customWidth="1"/>
    <col min="11778" max="11778" width="12.85546875" customWidth="1"/>
    <col min="11779" max="11779" width="8.42578125" customWidth="1"/>
    <col min="11781" max="11781" width="12.5703125" customWidth="1"/>
    <col min="12033" max="12033" width="25.7109375" customWidth="1"/>
    <col min="12034" max="12034" width="12.85546875" customWidth="1"/>
    <col min="12035" max="12035" width="8.42578125" customWidth="1"/>
    <col min="12037" max="12037" width="12.5703125" customWidth="1"/>
    <col min="12289" max="12289" width="25.7109375" customWidth="1"/>
    <col min="12290" max="12290" width="12.85546875" customWidth="1"/>
    <col min="12291" max="12291" width="8.42578125" customWidth="1"/>
    <col min="12293" max="12293" width="12.5703125" customWidth="1"/>
    <col min="12545" max="12545" width="25.7109375" customWidth="1"/>
    <col min="12546" max="12546" width="12.85546875" customWidth="1"/>
    <col min="12547" max="12547" width="8.42578125" customWidth="1"/>
    <col min="12549" max="12549" width="12.5703125" customWidth="1"/>
    <col min="12801" max="12801" width="25.7109375" customWidth="1"/>
    <col min="12802" max="12802" width="12.85546875" customWidth="1"/>
    <col min="12803" max="12803" width="8.42578125" customWidth="1"/>
    <col min="12805" max="12805" width="12.5703125" customWidth="1"/>
    <col min="13057" max="13057" width="25.7109375" customWidth="1"/>
    <col min="13058" max="13058" width="12.85546875" customWidth="1"/>
    <col min="13059" max="13059" width="8.42578125" customWidth="1"/>
    <col min="13061" max="13061" width="12.5703125" customWidth="1"/>
    <col min="13313" max="13313" width="25.7109375" customWidth="1"/>
    <col min="13314" max="13314" width="12.85546875" customWidth="1"/>
    <col min="13315" max="13315" width="8.42578125" customWidth="1"/>
    <col min="13317" max="13317" width="12.5703125" customWidth="1"/>
    <col min="13569" max="13569" width="25.7109375" customWidth="1"/>
    <col min="13570" max="13570" width="12.85546875" customWidth="1"/>
    <col min="13571" max="13571" width="8.42578125" customWidth="1"/>
    <col min="13573" max="13573" width="12.5703125" customWidth="1"/>
    <col min="13825" max="13825" width="25.7109375" customWidth="1"/>
    <col min="13826" max="13826" width="12.85546875" customWidth="1"/>
    <col min="13827" max="13827" width="8.42578125" customWidth="1"/>
    <col min="13829" max="13829" width="12.5703125" customWidth="1"/>
    <col min="14081" max="14081" width="25.7109375" customWidth="1"/>
    <col min="14082" max="14082" width="12.85546875" customWidth="1"/>
    <col min="14083" max="14083" width="8.42578125" customWidth="1"/>
    <col min="14085" max="14085" width="12.5703125" customWidth="1"/>
    <col min="14337" max="14337" width="25.7109375" customWidth="1"/>
    <col min="14338" max="14338" width="12.85546875" customWidth="1"/>
    <col min="14339" max="14339" width="8.42578125" customWidth="1"/>
    <col min="14341" max="14341" width="12.5703125" customWidth="1"/>
    <col min="14593" max="14593" width="25.7109375" customWidth="1"/>
    <col min="14594" max="14594" width="12.85546875" customWidth="1"/>
    <col min="14595" max="14595" width="8.42578125" customWidth="1"/>
    <col min="14597" max="14597" width="12.5703125" customWidth="1"/>
    <col min="14849" max="14849" width="25.7109375" customWidth="1"/>
    <col min="14850" max="14850" width="12.85546875" customWidth="1"/>
    <col min="14851" max="14851" width="8.42578125" customWidth="1"/>
    <col min="14853" max="14853" width="12.5703125" customWidth="1"/>
    <col min="15105" max="15105" width="25.7109375" customWidth="1"/>
    <col min="15106" max="15106" width="12.85546875" customWidth="1"/>
    <col min="15107" max="15107" width="8.42578125" customWidth="1"/>
    <col min="15109" max="15109" width="12.5703125" customWidth="1"/>
    <col min="15361" max="15361" width="25.7109375" customWidth="1"/>
    <col min="15362" max="15362" width="12.85546875" customWidth="1"/>
    <col min="15363" max="15363" width="8.42578125" customWidth="1"/>
    <col min="15365" max="15365" width="12.5703125" customWidth="1"/>
    <col min="15617" max="15617" width="25.7109375" customWidth="1"/>
    <col min="15618" max="15618" width="12.85546875" customWidth="1"/>
    <col min="15619" max="15619" width="8.42578125" customWidth="1"/>
    <col min="15621" max="15621" width="12.5703125" customWidth="1"/>
    <col min="15873" max="15873" width="25.7109375" customWidth="1"/>
    <col min="15874" max="15874" width="12.85546875" customWidth="1"/>
    <col min="15875" max="15875" width="8.42578125" customWidth="1"/>
    <col min="15877" max="15877" width="12.5703125" customWidth="1"/>
    <col min="16129" max="16129" width="25.7109375" customWidth="1"/>
    <col min="16130" max="16130" width="12.85546875" customWidth="1"/>
    <col min="16131" max="16131" width="8.42578125" customWidth="1"/>
    <col min="16133" max="16133" width="12.5703125" customWidth="1"/>
  </cols>
  <sheetData>
    <row r="1" spans="1:5">
      <c r="A1" s="1"/>
      <c r="E1" s="17"/>
    </row>
    <row r="2" spans="1:5">
      <c r="A2" s="1"/>
      <c r="E2" s="18"/>
    </row>
    <row r="3" spans="1:5">
      <c r="A3" s="1"/>
      <c r="D3" s="15"/>
      <c r="E3" s="51"/>
    </row>
    <row r="4" spans="1:5">
      <c r="A4" s="1"/>
      <c r="D4" s="15"/>
      <c r="E4" s="10"/>
    </row>
    <row r="5" spans="1:5" ht="16.5" customHeight="1">
      <c r="A5" s="1"/>
      <c r="B5" s="52"/>
      <c r="C5" s="53"/>
      <c r="D5" s="54"/>
      <c r="E5" s="55"/>
    </row>
    <row r="6" spans="1:5">
      <c r="A6" s="56"/>
      <c r="B6" s="57"/>
      <c r="C6" s="58"/>
      <c r="D6" s="15"/>
      <c r="E6" s="10"/>
    </row>
    <row r="7" spans="1:5" hidden="1">
      <c r="A7" s="4"/>
      <c r="B7" s="57"/>
      <c r="C7" s="58"/>
      <c r="D7" s="15"/>
      <c r="E7" s="10"/>
    </row>
    <row r="8" spans="1:5" hidden="1">
      <c r="A8" s="4"/>
      <c r="B8" s="57"/>
      <c r="C8" s="58"/>
      <c r="D8" s="15"/>
      <c r="E8" s="10"/>
    </row>
    <row r="9" spans="1:5" hidden="1">
      <c r="A9" s="4"/>
      <c r="B9" s="57"/>
      <c r="C9" s="58"/>
      <c r="D9" s="15"/>
      <c r="E9" s="10"/>
    </row>
    <row r="10" spans="1:5" hidden="1">
      <c r="A10" s="4"/>
      <c r="B10" s="57"/>
      <c r="C10" s="58"/>
      <c r="D10" s="15"/>
      <c r="E10" s="10"/>
    </row>
    <row r="11" spans="1:5">
      <c r="A11" s="4"/>
      <c r="B11" s="57"/>
      <c r="C11" s="58"/>
      <c r="D11" s="15"/>
      <c r="E11" s="10"/>
    </row>
    <row r="12" spans="1:5" hidden="1">
      <c r="A12" s="4"/>
      <c r="B12" s="57"/>
      <c r="C12" s="58"/>
      <c r="D12" s="15"/>
      <c r="E12" s="10"/>
    </row>
    <row r="13" spans="1:5" hidden="1">
      <c r="A13" s="4"/>
      <c r="B13" s="57"/>
      <c r="C13" s="58"/>
      <c r="D13" s="15"/>
      <c r="E13" s="10"/>
    </row>
    <row r="14" spans="1:5" hidden="1">
      <c r="A14" s="4"/>
      <c r="B14" s="57"/>
      <c r="C14" s="58"/>
      <c r="D14" s="15"/>
      <c r="E14" s="10"/>
    </row>
    <row r="15" spans="1:5">
      <c r="A15" s="4"/>
      <c r="B15" s="57"/>
      <c r="C15" s="58"/>
      <c r="D15" s="15"/>
      <c r="E15" s="10"/>
    </row>
    <row r="16" spans="1:5" hidden="1">
      <c r="A16" s="4"/>
      <c r="B16" s="57"/>
      <c r="C16" s="58"/>
      <c r="D16" s="15"/>
      <c r="E16" s="10"/>
    </row>
    <row r="17" spans="1:5" hidden="1">
      <c r="A17" s="4"/>
      <c r="B17" s="57"/>
      <c r="C17" s="58"/>
      <c r="D17" s="15"/>
      <c r="E17" s="10"/>
    </row>
    <row r="18" spans="1:5" hidden="1">
      <c r="A18" s="4"/>
      <c r="B18" s="57"/>
      <c r="C18" s="58"/>
      <c r="D18" s="15"/>
      <c r="E18" s="10"/>
    </row>
    <row r="19" spans="1:5">
      <c r="A19" s="4"/>
      <c r="B19" s="57"/>
      <c r="C19" s="58"/>
      <c r="D19" s="15"/>
      <c r="E19" s="10"/>
    </row>
    <row r="20" spans="1:5" hidden="1">
      <c r="A20" s="4"/>
      <c r="B20" s="57"/>
      <c r="C20" s="58"/>
      <c r="D20" s="15"/>
      <c r="E20" s="10"/>
    </row>
    <row r="21" spans="1:5">
      <c r="A21" s="4"/>
      <c r="B21" s="57"/>
      <c r="C21" s="58"/>
      <c r="D21" s="15"/>
      <c r="E21" s="10"/>
    </row>
    <row r="22" spans="1:5" hidden="1">
      <c r="A22" s="4"/>
      <c r="B22" s="57"/>
      <c r="C22" s="58"/>
      <c r="D22" s="15"/>
      <c r="E22" s="10"/>
    </row>
    <row r="23" spans="1:5" hidden="1">
      <c r="A23" s="4"/>
      <c r="B23" s="57"/>
      <c r="C23" s="58"/>
      <c r="D23" s="15"/>
      <c r="E23" s="10"/>
    </row>
    <row r="24" spans="1:5" hidden="1">
      <c r="A24" s="4"/>
      <c r="B24" s="57"/>
      <c r="C24" s="58"/>
      <c r="D24" s="15"/>
      <c r="E24" s="10"/>
    </row>
    <row r="25" spans="1:5" hidden="1">
      <c r="A25" s="4"/>
      <c r="B25" s="57"/>
      <c r="C25" s="58"/>
      <c r="D25" s="15"/>
      <c r="E25" s="10"/>
    </row>
    <row r="26" spans="1:5">
      <c r="A26" s="4"/>
      <c r="B26" s="57"/>
      <c r="C26" s="58"/>
      <c r="D26" s="15"/>
      <c r="E26" s="10"/>
    </row>
    <row r="27" spans="1:5" hidden="1">
      <c r="A27" s="4"/>
      <c r="B27" s="57"/>
      <c r="C27" s="58"/>
      <c r="D27" s="15"/>
      <c r="E27" s="10"/>
    </row>
    <row r="28" spans="1:5" hidden="1">
      <c r="A28" s="4"/>
      <c r="B28" s="57"/>
      <c r="C28" s="58"/>
      <c r="D28" s="15"/>
      <c r="E28" s="10"/>
    </row>
    <row r="29" spans="1:5">
      <c r="A29" s="4"/>
      <c r="B29" s="57"/>
      <c r="C29" s="58"/>
      <c r="D29" s="15"/>
      <c r="E29" s="10"/>
    </row>
    <row r="30" spans="1:5">
      <c r="A30" s="4"/>
      <c r="B30" s="57"/>
      <c r="C30" s="58"/>
      <c r="D30" s="15"/>
      <c r="E30" s="10"/>
    </row>
    <row r="31" spans="1:5">
      <c r="A31" s="4"/>
      <c r="B31" s="57"/>
      <c r="C31" s="58"/>
      <c r="D31" s="15"/>
      <c r="E31" s="10"/>
    </row>
    <row r="32" spans="1:5" hidden="1">
      <c r="A32" s="4"/>
      <c r="B32" s="57"/>
      <c r="C32" s="58"/>
      <c r="D32" s="15"/>
      <c r="E32" s="10"/>
    </row>
    <row r="33" spans="1:5">
      <c r="A33" s="4"/>
      <c r="B33" s="57"/>
      <c r="C33" s="58"/>
      <c r="D33" s="15"/>
      <c r="E33" s="10"/>
    </row>
    <row r="34" spans="1:5" hidden="1">
      <c r="A34" s="4"/>
      <c r="B34" s="57"/>
      <c r="C34" s="58"/>
      <c r="D34" s="15"/>
      <c r="E34" s="10"/>
    </row>
    <row r="35" spans="1:5">
      <c r="A35" s="4"/>
      <c r="B35" s="57"/>
      <c r="C35" s="58"/>
      <c r="D35" s="15"/>
      <c r="E35" s="10"/>
    </row>
    <row r="36" spans="1:5" hidden="1">
      <c r="A36" s="4"/>
      <c r="B36" s="57"/>
      <c r="C36" s="58"/>
      <c r="D36" s="15"/>
      <c r="E36" s="10"/>
    </row>
    <row r="37" spans="1:5">
      <c r="A37" s="4"/>
      <c r="B37" s="57"/>
      <c r="C37" s="58"/>
      <c r="D37" s="15"/>
      <c r="E37" s="10"/>
    </row>
    <row r="38" spans="1:5" hidden="1">
      <c r="A38" s="4"/>
      <c r="B38" s="57"/>
      <c r="C38" s="58"/>
      <c r="D38" s="15"/>
      <c r="E38" s="10"/>
    </row>
    <row r="39" spans="1:5" hidden="1">
      <c r="A39" s="4"/>
      <c r="B39" s="57"/>
      <c r="C39" s="58"/>
      <c r="D39" s="15"/>
      <c r="E39" s="10"/>
    </row>
    <row r="40" spans="1:5" hidden="1">
      <c r="A40" s="4"/>
      <c r="B40" s="57"/>
      <c r="C40" s="58"/>
      <c r="D40" s="15"/>
      <c r="E40" s="10"/>
    </row>
    <row r="41" spans="1:5">
      <c r="A41" s="4"/>
      <c r="B41" s="57"/>
      <c r="C41" s="58"/>
      <c r="D41" s="15"/>
      <c r="E41" s="10"/>
    </row>
    <row r="42" spans="1:5" hidden="1">
      <c r="A42" s="4"/>
      <c r="B42" s="57"/>
      <c r="C42" s="58"/>
      <c r="D42" s="15"/>
      <c r="E42" s="10"/>
    </row>
    <row r="43" spans="1:5" hidden="1">
      <c r="A43" s="4"/>
      <c r="B43" s="57"/>
      <c r="C43" s="58"/>
      <c r="D43" s="15"/>
      <c r="E43" s="10"/>
    </row>
    <row r="44" spans="1:5">
      <c r="A44" s="4"/>
      <c r="B44" s="57"/>
      <c r="C44" s="58"/>
      <c r="D44" s="15"/>
      <c r="E44" s="10"/>
    </row>
    <row r="45" spans="1:5" hidden="1">
      <c r="A45" s="4"/>
      <c r="B45" s="57"/>
      <c r="C45" s="58"/>
      <c r="D45" s="15"/>
      <c r="E45" s="10"/>
    </row>
    <row r="46" spans="1:5" hidden="1">
      <c r="A46" s="4"/>
      <c r="B46" s="57"/>
      <c r="C46" s="58"/>
      <c r="D46" s="15"/>
      <c r="E46" s="10"/>
    </row>
    <row r="47" spans="1:5" hidden="1">
      <c r="A47" s="4"/>
      <c r="B47" s="57"/>
      <c r="C47" s="58"/>
      <c r="D47" s="15"/>
      <c r="E47" s="10"/>
    </row>
    <row r="48" spans="1:5">
      <c r="A48" s="4"/>
      <c r="B48" s="57"/>
      <c r="C48" s="58"/>
      <c r="D48" s="15"/>
      <c r="E48" s="10"/>
    </row>
    <row r="49" spans="1:5" hidden="1">
      <c r="A49" s="4"/>
      <c r="B49" s="57"/>
      <c r="C49" s="58"/>
      <c r="D49" s="15"/>
      <c r="E49" s="10"/>
    </row>
    <row r="50" spans="1:5">
      <c r="A50" s="4"/>
      <c r="B50" s="57"/>
      <c r="C50" s="58"/>
      <c r="D50" s="15"/>
      <c r="E50" s="10"/>
    </row>
    <row r="51" spans="1:5">
      <c r="A51" s="4"/>
      <c r="B51" s="57"/>
      <c r="C51" s="58"/>
      <c r="D51" s="15"/>
      <c r="E51" s="10"/>
    </row>
    <row r="52" spans="1:5" hidden="1">
      <c r="A52" s="4"/>
      <c r="B52" s="57"/>
      <c r="C52" s="58"/>
      <c r="D52" s="15"/>
      <c r="E52" s="10"/>
    </row>
    <row r="53" spans="1:5" hidden="1">
      <c r="A53" s="4"/>
      <c r="B53" s="57"/>
      <c r="C53" s="58"/>
      <c r="D53" s="15"/>
      <c r="E53" s="10"/>
    </row>
    <row r="54" spans="1:5" hidden="1">
      <c r="A54" s="4"/>
      <c r="B54" s="57"/>
      <c r="C54" s="58"/>
      <c r="D54" s="15"/>
      <c r="E54" s="10"/>
    </row>
    <row r="55" spans="1:5">
      <c r="A55" s="4"/>
      <c r="B55" s="57"/>
      <c r="C55" s="58"/>
      <c r="D55" s="15"/>
      <c r="E55" s="10"/>
    </row>
    <row r="56" spans="1:5" hidden="1">
      <c r="A56" s="4"/>
      <c r="B56" s="57"/>
      <c r="C56" s="58"/>
      <c r="D56" s="15"/>
      <c r="E56" s="10"/>
    </row>
    <row r="57" spans="1:5">
      <c r="A57" s="4"/>
      <c r="B57" s="57"/>
      <c r="C57" s="58"/>
      <c r="D57" s="15"/>
      <c r="E57" s="10"/>
    </row>
    <row r="58" spans="1:5">
      <c r="A58" s="4"/>
      <c r="B58" s="57"/>
      <c r="C58" s="58"/>
      <c r="D58" s="15"/>
      <c r="E58" s="10"/>
    </row>
    <row r="59" spans="1:5">
      <c r="A59" s="4"/>
      <c r="B59" s="57"/>
      <c r="C59" s="58"/>
      <c r="D59" s="15"/>
      <c r="E59" s="10"/>
    </row>
    <row r="60" spans="1:5" hidden="1">
      <c r="A60" s="4"/>
      <c r="B60" s="57"/>
      <c r="C60" s="58"/>
      <c r="D60" s="15"/>
      <c r="E60" s="10"/>
    </row>
    <row r="61" spans="1:5" hidden="1">
      <c r="A61" s="4"/>
      <c r="B61" s="57"/>
      <c r="C61" s="58"/>
      <c r="D61" s="15"/>
      <c r="E61" s="10"/>
    </row>
    <row r="62" spans="1:5">
      <c r="A62" s="4"/>
      <c r="B62" s="57"/>
      <c r="C62" s="58"/>
      <c r="D62" s="15"/>
      <c r="E62" s="10"/>
    </row>
    <row r="63" spans="1:5">
      <c r="A63" s="4"/>
      <c r="B63" s="57"/>
      <c r="C63" s="58"/>
      <c r="D63" s="15"/>
      <c r="E63" s="10"/>
    </row>
    <row r="64" spans="1:5" hidden="1">
      <c r="A64" s="4"/>
      <c r="B64" s="57"/>
      <c r="C64" s="58"/>
      <c r="D64" s="15"/>
      <c r="E64" s="10"/>
    </row>
    <row r="65" spans="1:5" hidden="1">
      <c r="A65" s="4"/>
      <c r="B65" s="57"/>
      <c r="C65" s="58"/>
      <c r="D65" s="15"/>
      <c r="E65" s="10"/>
    </row>
    <row r="66" spans="1:5" hidden="1">
      <c r="A66" s="4"/>
      <c r="B66" s="57"/>
      <c r="C66" s="58"/>
      <c r="D66" s="15"/>
      <c r="E66" s="10"/>
    </row>
    <row r="67" spans="1:5">
      <c r="A67" s="4"/>
      <c r="B67" s="57"/>
      <c r="C67" s="58"/>
      <c r="D67" s="15"/>
      <c r="E67" s="10"/>
    </row>
    <row r="68" spans="1:5" hidden="1">
      <c r="A68" s="4"/>
      <c r="B68" s="57"/>
      <c r="C68" s="58"/>
      <c r="D68" s="15"/>
      <c r="E68" s="10"/>
    </row>
    <row r="69" spans="1:5" hidden="1">
      <c r="A69" s="4"/>
      <c r="B69" s="57"/>
      <c r="C69" s="58"/>
      <c r="D69" s="15"/>
      <c r="E69" s="10"/>
    </row>
    <row r="70" spans="1:5">
      <c r="A70" s="4"/>
      <c r="B70" s="57"/>
      <c r="C70" s="58"/>
      <c r="D70" s="15"/>
      <c r="E70" s="10"/>
    </row>
    <row r="71" spans="1:5" hidden="1">
      <c r="A71" s="4"/>
      <c r="B71" s="57"/>
      <c r="C71" s="58"/>
      <c r="D71" s="15"/>
      <c r="E71" s="10"/>
    </row>
    <row r="72" spans="1:5" hidden="1">
      <c r="A72" s="4"/>
      <c r="B72" s="57"/>
      <c r="C72" s="58"/>
      <c r="D72" s="15"/>
      <c r="E72" s="10"/>
    </row>
    <row r="73" spans="1:5" hidden="1">
      <c r="A73" s="4"/>
      <c r="B73" s="57"/>
      <c r="C73" s="58"/>
      <c r="D73" s="15"/>
      <c r="E73" s="10"/>
    </row>
    <row r="74" spans="1:5" hidden="1">
      <c r="A74" s="4"/>
      <c r="B74" s="57"/>
      <c r="C74" s="58"/>
      <c r="D74" s="15"/>
      <c r="E74" s="10"/>
    </row>
    <row r="75" spans="1:5">
      <c r="A75" s="4"/>
      <c r="B75" s="57"/>
      <c r="C75" s="58"/>
      <c r="D75" s="15"/>
      <c r="E75" s="10"/>
    </row>
    <row r="76" spans="1:5">
      <c r="A76" s="4"/>
      <c r="B76" s="59"/>
      <c r="C76" s="60"/>
      <c r="D76" s="15"/>
      <c r="E76" s="10"/>
    </row>
    <row r="77" spans="1:5" hidden="1">
      <c r="A77" s="4"/>
      <c r="B77" s="59"/>
      <c r="C77" s="60"/>
      <c r="D77" s="15"/>
      <c r="E77" s="10"/>
    </row>
    <row r="78" spans="1:5" hidden="1">
      <c r="A78" s="4"/>
      <c r="B78" s="59"/>
      <c r="C78" s="60"/>
      <c r="D78" s="15"/>
      <c r="E78" s="10"/>
    </row>
    <row r="79" spans="1:5">
      <c r="A79" s="4"/>
      <c r="B79" s="6"/>
      <c r="C79" s="7"/>
      <c r="D79" s="15"/>
      <c r="E79" s="10"/>
    </row>
    <row r="80" spans="1:5">
      <c r="A80" s="1"/>
      <c r="B80" s="6"/>
      <c r="C80" s="7"/>
      <c r="D80" s="15"/>
      <c r="E80" s="10"/>
    </row>
    <row r="81" spans="1:5" hidden="1">
      <c r="A81" s="4"/>
      <c r="B81" s="57"/>
      <c r="C81" s="57"/>
      <c r="D81" s="15"/>
      <c r="E81" s="10"/>
    </row>
    <row r="82" spans="1:5" hidden="1">
      <c r="A82" s="4"/>
      <c r="B82" s="57"/>
      <c r="C82" s="57"/>
      <c r="D82" s="15"/>
      <c r="E82" s="10"/>
    </row>
    <row r="83" spans="1:5">
      <c r="A83" s="4"/>
      <c r="B83" s="57"/>
      <c r="C83" s="57"/>
      <c r="D83" s="15"/>
      <c r="E83" s="10"/>
    </row>
    <row r="84" spans="1:5" hidden="1">
      <c r="A84" s="4"/>
      <c r="B84" s="57"/>
      <c r="C84" s="57"/>
      <c r="D84" s="15"/>
      <c r="E84" s="10"/>
    </row>
    <row r="85" spans="1:5">
      <c r="A85" s="4"/>
      <c r="B85" s="6"/>
      <c r="C85" s="7"/>
      <c r="D85" s="15"/>
      <c r="E85" s="10"/>
    </row>
    <row r="86" spans="1:5">
      <c r="A86" s="1"/>
      <c r="B86" s="6"/>
      <c r="C86" s="7"/>
      <c r="D86" s="15"/>
      <c r="E86" s="10"/>
    </row>
    <row r="87" spans="1:5" hidden="1">
      <c r="A87" s="4"/>
      <c r="B87" s="57"/>
      <c r="C87" s="58"/>
      <c r="D87" s="15"/>
      <c r="E87" s="10"/>
    </row>
    <row r="88" spans="1:5" hidden="1">
      <c r="A88" s="4"/>
      <c r="B88" s="57"/>
      <c r="C88" s="58"/>
      <c r="D88" s="15"/>
      <c r="E88" s="10"/>
    </row>
    <row r="89" spans="1:5">
      <c r="A89" s="4"/>
      <c r="B89" s="57"/>
      <c r="C89" s="58"/>
      <c r="D89" s="15"/>
      <c r="E89" s="10"/>
    </row>
    <row r="90" spans="1:5">
      <c r="A90" s="4"/>
      <c r="B90" s="57"/>
      <c r="C90" s="58"/>
      <c r="D90" s="15"/>
      <c r="E90" s="10"/>
    </row>
    <row r="91" spans="1:5" hidden="1">
      <c r="A91" s="4"/>
      <c r="B91" s="57"/>
      <c r="C91" s="58"/>
      <c r="D91" s="15"/>
      <c r="E91" s="10"/>
    </row>
    <row r="92" spans="1:5" hidden="1">
      <c r="A92" s="4"/>
      <c r="B92" s="57"/>
      <c r="C92" s="58"/>
      <c r="D92" s="15"/>
      <c r="E92" s="10"/>
    </row>
    <row r="93" spans="1:5">
      <c r="A93" s="4"/>
      <c r="B93" s="57"/>
      <c r="C93" s="58"/>
      <c r="D93" s="15"/>
      <c r="E93" s="10"/>
    </row>
    <row r="94" spans="1:5" hidden="1">
      <c r="A94" s="4"/>
      <c r="B94" s="57"/>
      <c r="C94" s="58"/>
      <c r="D94" s="15"/>
      <c r="E94" s="10"/>
    </row>
    <row r="95" spans="1:5" ht="14.25" hidden="1" customHeight="1">
      <c r="A95" s="4"/>
      <c r="B95" s="57"/>
      <c r="C95" s="58"/>
      <c r="D95" s="15"/>
      <c r="E95" s="10"/>
    </row>
    <row r="96" spans="1:5">
      <c r="A96" s="4"/>
      <c r="B96" s="57"/>
      <c r="C96" s="58"/>
      <c r="D96" s="15"/>
      <c r="E96" s="10"/>
    </row>
    <row r="97" spans="1:5" hidden="1">
      <c r="A97" s="4"/>
      <c r="B97" s="57"/>
      <c r="C97" s="58"/>
      <c r="D97" s="15"/>
      <c r="E97" s="10"/>
    </row>
    <row r="98" spans="1:5">
      <c r="A98" s="4"/>
      <c r="B98" s="57"/>
      <c r="C98" s="58"/>
      <c r="D98" s="15"/>
      <c r="E98" s="10"/>
    </row>
    <row r="99" spans="1:5" hidden="1">
      <c r="A99" s="4"/>
      <c r="B99" s="57"/>
      <c r="C99" s="58"/>
      <c r="D99" s="15"/>
      <c r="E99" s="10"/>
    </row>
    <row r="100" spans="1:5" hidden="1">
      <c r="A100" s="4"/>
      <c r="B100" s="57"/>
      <c r="C100" s="58"/>
      <c r="D100" s="15"/>
      <c r="E100" s="10"/>
    </row>
    <row r="101" spans="1:5" hidden="1">
      <c r="A101" s="4"/>
      <c r="B101" s="57"/>
      <c r="C101" s="58"/>
      <c r="D101" s="15"/>
      <c r="E101" s="10"/>
    </row>
    <row r="102" spans="1:5">
      <c r="A102" s="4"/>
      <c r="B102" s="57"/>
      <c r="C102" s="58"/>
      <c r="D102" s="15"/>
      <c r="E102" s="10"/>
    </row>
    <row r="103" spans="1:5">
      <c r="A103" s="4"/>
      <c r="B103" s="59"/>
      <c r="C103" s="60"/>
      <c r="D103" s="15"/>
      <c r="E103" s="10"/>
    </row>
    <row r="104" spans="1:5">
      <c r="A104" s="4"/>
      <c r="B104" s="6"/>
      <c r="C104" s="7"/>
      <c r="D104" s="15"/>
      <c r="E104" s="10"/>
    </row>
    <row r="105" spans="1:5" hidden="1">
      <c r="A105" s="4"/>
      <c r="B105" s="57"/>
      <c r="C105" s="58"/>
      <c r="D105" s="15"/>
      <c r="E105" s="10"/>
    </row>
    <row r="106" spans="1:5" hidden="1">
      <c r="A106" s="4"/>
      <c r="B106" s="57"/>
      <c r="C106" s="58"/>
      <c r="D106" s="15"/>
      <c r="E106" s="10"/>
    </row>
    <row r="107" spans="1:5" hidden="1">
      <c r="A107" s="4"/>
      <c r="B107" s="57"/>
      <c r="C107" s="58"/>
      <c r="D107" s="15"/>
      <c r="E107" s="10"/>
    </row>
    <row r="108" spans="1:5" hidden="1">
      <c r="A108" s="4"/>
      <c r="B108" s="57"/>
      <c r="C108" s="58"/>
      <c r="D108" s="15"/>
      <c r="E108" s="10"/>
    </row>
    <row r="109" spans="1:5" hidden="1">
      <c r="A109" s="4"/>
      <c r="B109" s="57"/>
      <c r="C109" s="58"/>
      <c r="D109" s="15"/>
      <c r="E109" s="10"/>
    </row>
    <row r="110" spans="1:5" hidden="1">
      <c r="A110" s="4"/>
      <c r="B110" s="59"/>
      <c r="C110" s="60"/>
      <c r="D110" s="15"/>
      <c r="E110" s="10"/>
    </row>
    <row r="111" spans="1:5" hidden="1">
      <c r="A111" s="4"/>
      <c r="B111" s="6"/>
      <c r="C111" s="7"/>
      <c r="D111" s="15"/>
      <c r="E111" s="10"/>
    </row>
    <row r="112" spans="1:5" hidden="1">
      <c r="A112" s="4"/>
      <c r="B112" s="57"/>
      <c r="C112" s="58"/>
      <c r="D112" s="15"/>
      <c r="E112" s="10"/>
    </row>
    <row r="113" spans="1:5" hidden="1">
      <c r="A113" s="4"/>
      <c r="B113" s="57"/>
      <c r="C113" s="58"/>
      <c r="D113" s="15"/>
      <c r="E113" s="10"/>
    </row>
    <row r="114" spans="1:5" hidden="1">
      <c r="A114" s="4"/>
      <c r="B114" s="57"/>
      <c r="C114" s="58"/>
      <c r="D114" s="15"/>
      <c r="E114" s="10"/>
    </row>
    <row r="115" spans="1:5">
      <c r="A115" s="4"/>
      <c r="B115" s="57"/>
      <c r="C115" s="58"/>
      <c r="D115" s="15"/>
      <c r="E115" s="10"/>
    </row>
    <row r="116" spans="1:5">
      <c r="A116" s="4"/>
      <c r="B116" s="57"/>
      <c r="C116" s="58"/>
      <c r="D116" s="15"/>
      <c r="E116" s="10"/>
    </row>
    <row r="117" spans="1:5">
      <c r="A117" s="4"/>
      <c r="B117" s="57"/>
      <c r="C117" s="58"/>
      <c r="D117" s="15"/>
      <c r="E117" s="10"/>
    </row>
    <row r="118" spans="1:5">
      <c r="A118" s="4"/>
      <c r="B118" s="59"/>
      <c r="C118" s="60"/>
      <c r="D118" s="15"/>
      <c r="E118" s="10"/>
    </row>
    <row r="119" spans="1:5" hidden="1">
      <c r="A119" s="4"/>
      <c r="B119" s="59"/>
      <c r="C119" s="60"/>
      <c r="D119" s="15"/>
      <c r="E119" s="10"/>
    </row>
    <row r="120" spans="1:5" hidden="1">
      <c r="A120" s="4"/>
      <c r="B120" s="59"/>
      <c r="C120" s="60"/>
      <c r="D120" s="15"/>
      <c r="E120" s="10"/>
    </row>
    <row r="121" spans="1:5" hidden="1">
      <c r="A121" s="4"/>
      <c r="B121" s="59"/>
      <c r="C121" s="60"/>
      <c r="D121" s="15"/>
      <c r="E121" s="10"/>
    </row>
    <row r="122" spans="1:5">
      <c r="A122" s="4"/>
      <c r="B122" s="59"/>
      <c r="C122" s="60"/>
      <c r="D122" s="15"/>
      <c r="E122" s="10"/>
    </row>
    <row r="123" spans="1:5" hidden="1">
      <c r="A123" s="4"/>
      <c r="B123" s="59"/>
      <c r="C123" s="60"/>
      <c r="D123" s="15"/>
      <c r="E123" s="10"/>
    </row>
    <row r="124" spans="1:5">
      <c r="A124" s="4"/>
      <c r="B124" s="6"/>
      <c r="C124" s="7"/>
      <c r="D124" s="15"/>
      <c r="E124" s="10"/>
    </row>
    <row r="125" spans="1:5">
      <c r="B125" s="57"/>
      <c r="C125" s="58"/>
      <c r="D125" s="15"/>
      <c r="E125" s="10"/>
    </row>
    <row r="126" spans="1:5">
      <c r="A126" s="4"/>
      <c r="B126" s="6"/>
      <c r="C126" s="7"/>
      <c r="D126" s="15"/>
      <c r="E126" s="10"/>
    </row>
    <row r="127" spans="1:5">
      <c r="B127" s="6"/>
      <c r="C127" s="7"/>
      <c r="D127" s="15"/>
      <c r="E127" s="10"/>
    </row>
    <row r="128" spans="1:5">
      <c r="A128" s="61"/>
      <c r="B128" s="2"/>
      <c r="C128" s="1"/>
      <c r="D128" s="16"/>
      <c r="E128" s="62"/>
    </row>
  </sheetData>
  <pageMargins left="0.7" right="0.7" top="0.3" bottom="0.34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Deuda</vt:lpstr>
      <vt:lpstr>compras</vt:lpstr>
      <vt:lpstr>Central</vt:lpstr>
      <vt:lpstr>Cic</vt:lpstr>
      <vt:lpstr>Herr</vt:lpstr>
      <vt:lpstr>11 sur</vt:lpstr>
      <vt:lpstr>Central!Área_de_impresión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2013-02-27T22:30:29Z</cp:lastPrinted>
  <dcterms:created xsi:type="dcterms:W3CDTF">2011-09-01T14:27:58Z</dcterms:created>
  <dcterms:modified xsi:type="dcterms:W3CDTF">2013-06-07T20:04:04Z</dcterms:modified>
</cp:coreProperties>
</file>