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45" windowWidth="23715" windowHeight="10035" activeTab="1"/>
  </bookViews>
  <sheets>
    <sheet name="Deuda" sheetId="1" r:id="rId1"/>
    <sheet name="compras" sheetId="2" r:id="rId2"/>
    <sheet name="Alm Gral" sheetId="8" r:id="rId3"/>
    <sheet name="Central" sheetId="10" r:id="rId4"/>
    <sheet name="Herr" sheetId="6" r:id="rId5"/>
    <sheet name="CIC" sheetId="7" r:id="rId6"/>
  </sheets>
  <definedNames>
    <definedName name="_xlnm.Print_Area" localSheetId="2">'Alm Gral'!$A$1:$F$28</definedName>
    <definedName name="_xlnm.Print_Area" localSheetId="3">Central!$A$1:$J$6</definedName>
  </definedNames>
  <calcPr calcId="144525"/>
</workbook>
</file>

<file path=xl/calcChain.xml><?xml version="1.0" encoding="utf-8"?>
<calcChain xmlns="http://schemas.openxmlformats.org/spreadsheetml/2006/main">
  <c r="U104" i="2" l="1"/>
  <c r="S104" i="2"/>
  <c r="R104" i="2"/>
  <c r="G104" i="2"/>
  <c r="F104" i="2"/>
  <c r="X104" i="2" s="1"/>
  <c r="Y104" i="2" s="1"/>
  <c r="U103" i="2"/>
  <c r="W103" i="2" s="1"/>
  <c r="T103" i="2" s="1"/>
  <c r="X103" i="2" s="1"/>
  <c r="Y103" i="2" s="1"/>
  <c r="H103" i="2"/>
  <c r="W102" i="2"/>
  <c r="F102" i="2"/>
  <c r="T102" i="2" s="1"/>
  <c r="X102" i="2" s="1"/>
  <c r="Y102" i="2" s="1"/>
  <c r="W101" i="2"/>
  <c r="F101" i="2"/>
  <c r="T101" i="2" s="1"/>
  <c r="X101" i="2" s="1"/>
  <c r="Y101" i="2" s="1"/>
  <c r="W100" i="2"/>
  <c r="F100" i="2"/>
  <c r="T100" i="2" s="1"/>
  <c r="X100" i="2" s="1"/>
  <c r="Y100" i="2" s="1"/>
  <c r="W99" i="2"/>
  <c r="F99" i="2"/>
  <c r="T99" i="2" s="1"/>
  <c r="X99" i="2" s="1"/>
  <c r="Y99" i="2" s="1"/>
  <c r="F98" i="2"/>
  <c r="H98" i="2" s="1"/>
  <c r="X97" i="2"/>
  <c r="Y97" i="2" s="1"/>
  <c r="W97" i="2"/>
  <c r="H97" i="2"/>
  <c r="X96" i="2"/>
  <c r="Y96" i="2" s="1"/>
  <c r="W96" i="2"/>
  <c r="H96" i="2"/>
  <c r="U95" i="2"/>
  <c r="G95" i="2"/>
  <c r="H95" i="2" s="1"/>
  <c r="U93" i="2"/>
  <c r="G93" i="2"/>
  <c r="H93" i="2" s="1"/>
  <c r="U92" i="2"/>
  <c r="S92" i="2"/>
  <c r="R92" i="2"/>
  <c r="G92" i="2"/>
  <c r="H92" i="2" s="1"/>
  <c r="G91" i="2"/>
  <c r="H91" i="2" s="1"/>
  <c r="E91" i="2"/>
  <c r="U91" i="2" s="1"/>
  <c r="W90" i="2"/>
  <c r="F90" i="2"/>
  <c r="T90" i="2" s="1"/>
  <c r="X90" i="2" s="1"/>
  <c r="Y90" i="2" s="1"/>
  <c r="W89" i="2"/>
  <c r="F89" i="2"/>
  <c r="T89" i="2" s="1"/>
  <c r="X89" i="2" s="1"/>
  <c r="Y89" i="2" s="1"/>
  <c r="W88" i="2"/>
  <c r="F88" i="2"/>
  <c r="T88" i="2" s="1"/>
  <c r="X88" i="2" s="1"/>
  <c r="Y88" i="2" s="1"/>
  <c r="U87" i="2"/>
  <c r="S87" i="2"/>
  <c r="R87" i="2"/>
  <c r="X87" i="2" s="1"/>
  <c r="Y87" i="2" s="1"/>
  <c r="H87" i="2"/>
  <c r="W86" i="2"/>
  <c r="F86" i="2"/>
  <c r="T86" i="2" s="1"/>
  <c r="X86" i="2" s="1"/>
  <c r="Y86" i="2" s="1"/>
  <c r="W85" i="2"/>
  <c r="F85" i="2"/>
  <c r="T85" i="2" s="1"/>
  <c r="X85" i="2" s="1"/>
  <c r="Y85" i="2" s="1"/>
  <c r="U84" i="2"/>
  <c r="S84" i="2"/>
  <c r="R84" i="2"/>
  <c r="G84" i="2"/>
  <c r="H84" i="2" s="1"/>
  <c r="F83" i="2"/>
  <c r="H83" i="2" s="1"/>
  <c r="X82" i="2"/>
  <c r="Y82" i="2" s="1"/>
  <c r="W82" i="2"/>
  <c r="H82" i="2"/>
  <c r="U81" i="2"/>
  <c r="X81" i="2" s="1"/>
  <c r="Y81" i="2" s="1"/>
  <c r="H81" i="2"/>
  <c r="W80" i="2"/>
  <c r="F80" i="2"/>
  <c r="T80" i="2" s="1"/>
  <c r="X80" i="2" s="1"/>
  <c r="Y80" i="2" s="1"/>
  <c r="U79" i="2"/>
  <c r="S79" i="2"/>
  <c r="R79" i="2"/>
  <c r="G79" i="2"/>
  <c r="H79" i="2" s="1"/>
  <c r="U78" i="2"/>
  <c r="X78" i="2" s="1"/>
  <c r="Y78" i="2" s="1"/>
  <c r="H78" i="2"/>
  <c r="W77" i="2"/>
  <c r="F77" i="2"/>
  <c r="T77" i="2" s="1"/>
  <c r="X77" i="2" s="1"/>
  <c r="Y77" i="2" s="1"/>
  <c r="W76" i="2"/>
  <c r="F76" i="2"/>
  <c r="T76" i="2" s="1"/>
  <c r="X76" i="2" s="1"/>
  <c r="Y76" i="2" s="1"/>
  <c r="X75" i="2"/>
  <c r="Y75" i="2" s="1"/>
  <c r="W75" i="2"/>
  <c r="H75" i="2"/>
  <c r="X74" i="2"/>
  <c r="Y74" i="2" s="1"/>
  <c r="W74" i="2"/>
  <c r="H74" i="2"/>
  <c r="X73" i="2"/>
  <c r="Y73" i="2" s="1"/>
  <c r="W73" i="2"/>
  <c r="H73" i="2"/>
  <c r="G72" i="2"/>
  <c r="H72" i="2" s="1"/>
  <c r="E72" i="2"/>
  <c r="U72" i="2" s="1"/>
  <c r="U70" i="2"/>
  <c r="S70" i="2"/>
  <c r="R70" i="2"/>
  <c r="G70" i="2"/>
  <c r="H70" i="2" s="1"/>
  <c r="G69" i="2"/>
  <c r="H69" i="2" s="1"/>
  <c r="E69" i="2"/>
  <c r="U69" i="2" s="1"/>
  <c r="G68" i="2"/>
  <c r="F68" i="2"/>
  <c r="E68" i="2"/>
  <c r="U68" i="2" s="1"/>
  <c r="U67" i="2"/>
  <c r="S67" i="2"/>
  <c r="R67" i="2"/>
  <c r="G67" i="2"/>
  <c r="H67" i="2" s="1"/>
  <c r="X66" i="2"/>
  <c r="W66" i="2"/>
  <c r="F66" i="2"/>
  <c r="H66" i="2" s="1"/>
  <c r="W65" i="2"/>
  <c r="F65" i="2"/>
  <c r="T65" i="2" s="1"/>
  <c r="X65" i="2" s="1"/>
  <c r="Y65" i="2" s="1"/>
  <c r="W64" i="2"/>
  <c r="F64" i="2"/>
  <c r="T64" i="2" s="1"/>
  <c r="X64" i="2" s="1"/>
  <c r="Y64" i="2" s="1"/>
  <c r="X63" i="2"/>
  <c r="W63" i="2"/>
  <c r="F63" i="2"/>
  <c r="H63" i="2" s="1"/>
  <c r="W62" i="2"/>
  <c r="F62" i="2"/>
  <c r="T62" i="2" s="1"/>
  <c r="X62" i="2" s="1"/>
  <c r="Y62" i="2" s="1"/>
  <c r="W61" i="2"/>
  <c r="F61" i="2"/>
  <c r="T61" i="2" s="1"/>
  <c r="X61" i="2" s="1"/>
  <c r="Y61" i="2" s="1"/>
  <c r="W60" i="2"/>
  <c r="F60" i="2"/>
  <c r="T60" i="2" s="1"/>
  <c r="X60" i="2" s="1"/>
  <c r="Y60" i="2" s="1"/>
  <c r="U59" i="2"/>
  <c r="S59" i="2"/>
  <c r="R59" i="2"/>
  <c r="G59" i="2"/>
  <c r="H59" i="2" s="1"/>
  <c r="U58" i="2"/>
  <c r="S58" i="2"/>
  <c r="R58" i="2"/>
  <c r="G58" i="2"/>
  <c r="H58" i="2" s="1"/>
  <c r="G57" i="2"/>
  <c r="X57" i="2" s="1"/>
  <c r="Y57" i="2" s="1"/>
  <c r="W56" i="2"/>
  <c r="F56" i="2"/>
  <c r="T56" i="2" s="1"/>
  <c r="X56" i="2" s="1"/>
  <c r="Y56" i="2" s="1"/>
  <c r="U55" i="2"/>
  <c r="S55" i="2"/>
  <c r="R55" i="2"/>
  <c r="G55" i="2"/>
  <c r="H55" i="2" s="1"/>
  <c r="W54" i="2"/>
  <c r="F54" i="2"/>
  <c r="T54" i="2" s="1"/>
  <c r="X54" i="2" s="1"/>
  <c r="Y54" i="2" s="1"/>
  <c r="W53" i="2"/>
  <c r="F53" i="2"/>
  <c r="T53" i="2" s="1"/>
  <c r="X53" i="2" s="1"/>
  <c r="Y53" i="2" s="1"/>
  <c r="W52" i="2"/>
  <c r="F52" i="2"/>
  <c r="T52" i="2" s="1"/>
  <c r="X52" i="2" s="1"/>
  <c r="Y52" i="2" s="1"/>
  <c r="U51" i="2"/>
  <c r="G51" i="2"/>
  <c r="H51" i="2" s="1"/>
  <c r="W50" i="2"/>
  <c r="F50" i="2"/>
  <c r="T50" i="2" s="1"/>
  <c r="X50" i="2" s="1"/>
  <c r="Y50" i="2" s="1"/>
  <c r="W49" i="2"/>
  <c r="F49" i="2"/>
  <c r="T49" i="2" s="1"/>
  <c r="X49" i="2" s="1"/>
  <c r="Y49" i="2" s="1"/>
  <c r="W48" i="2"/>
  <c r="F48" i="2"/>
  <c r="T48" i="2" s="1"/>
  <c r="X48" i="2" s="1"/>
  <c r="Y48" i="2" s="1"/>
  <c r="W47" i="2"/>
  <c r="F47" i="2"/>
  <c r="T47" i="2" s="1"/>
  <c r="X47" i="2" s="1"/>
  <c r="Y47" i="2" s="1"/>
  <c r="X46" i="2"/>
  <c r="Y46" i="2" s="1"/>
  <c r="W46" i="2"/>
  <c r="H46" i="2"/>
  <c r="U45" i="2"/>
  <c r="G45" i="2"/>
  <c r="H45" i="2" s="1"/>
  <c r="U43" i="2"/>
  <c r="G43" i="2"/>
  <c r="H43" i="2" s="1"/>
  <c r="G42" i="2"/>
  <c r="F42" i="2"/>
  <c r="E42" i="2"/>
  <c r="U42" i="2" s="1"/>
  <c r="X41" i="2"/>
  <c r="W41" i="2"/>
  <c r="F41" i="2"/>
  <c r="H41" i="2" s="1"/>
  <c r="W40" i="2"/>
  <c r="F40" i="2"/>
  <c r="T40" i="2" s="1"/>
  <c r="X40" i="2" s="1"/>
  <c r="Y40" i="2" s="1"/>
  <c r="W39" i="2"/>
  <c r="F39" i="2"/>
  <c r="T39" i="2" s="1"/>
  <c r="X39" i="2" s="1"/>
  <c r="Y39" i="2" s="1"/>
  <c r="W38" i="2"/>
  <c r="F38" i="2"/>
  <c r="T38" i="2" s="1"/>
  <c r="X38" i="2" s="1"/>
  <c r="Y38" i="2" s="1"/>
  <c r="W37" i="2"/>
  <c r="F37" i="2"/>
  <c r="T37" i="2" s="1"/>
  <c r="X37" i="2" s="1"/>
  <c r="Y37" i="2" s="1"/>
  <c r="U36" i="2"/>
  <c r="S36" i="2"/>
  <c r="R36" i="2"/>
  <c r="G36" i="2"/>
  <c r="H36" i="2" s="1"/>
  <c r="U35" i="2"/>
  <c r="S35" i="2"/>
  <c r="R35" i="2"/>
  <c r="G35" i="2"/>
  <c r="H35" i="2" s="1"/>
  <c r="X34" i="2"/>
  <c r="Y34" i="2" s="1"/>
  <c r="W34" i="2"/>
  <c r="H34" i="2"/>
  <c r="W33" i="2"/>
  <c r="F33" i="2"/>
  <c r="T33" i="2" s="1"/>
  <c r="X33" i="2" s="1"/>
  <c r="Y33" i="2" s="1"/>
  <c r="U32" i="2"/>
  <c r="X32" i="2" s="1"/>
  <c r="Y32" i="2" s="1"/>
  <c r="H32" i="2"/>
  <c r="W31" i="2"/>
  <c r="F31" i="2"/>
  <c r="T31" i="2" s="1"/>
  <c r="X31" i="2" s="1"/>
  <c r="Y31" i="2" s="1"/>
  <c r="W30" i="2"/>
  <c r="F30" i="2"/>
  <c r="T30" i="2" s="1"/>
  <c r="X30" i="2" s="1"/>
  <c r="Y30" i="2" s="1"/>
  <c r="W29" i="2"/>
  <c r="F29" i="2"/>
  <c r="T29" i="2" s="1"/>
  <c r="X29" i="2" s="1"/>
  <c r="Y29" i="2" s="1"/>
  <c r="W28" i="2"/>
  <c r="F28" i="2"/>
  <c r="T28" i="2" s="1"/>
  <c r="X28" i="2" s="1"/>
  <c r="Y28" i="2" s="1"/>
  <c r="X27" i="2"/>
  <c r="Y27" i="2" s="1"/>
  <c r="W27" i="2"/>
  <c r="H27" i="2"/>
  <c r="U26" i="2"/>
  <c r="G26" i="2"/>
  <c r="H26" i="2" s="1"/>
  <c r="U24" i="2"/>
  <c r="G24" i="2"/>
  <c r="H24" i="2" s="1"/>
  <c r="X23" i="2"/>
  <c r="W23" i="2"/>
  <c r="F23" i="2"/>
  <c r="H23" i="2" s="1"/>
  <c r="W22" i="2"/>
  <c r="F22" i="2"/>
  <c r="T22" i="2" s="1"/>
  <c r="X22" i="2" s="1"/>
  <c r="Y22" i="2" s="1"/>
  <c r="W21" i="2"/>
  <c r="F21" i="2"/>
  <c r="T21" i="2" s="1"/>
  <c r="X21" i="2" s="1"/>
  <c r="Y21" i="2" s="1"/>
  <c r="W20" i="2"/>
  <c r="F20" i="2"/>
  <c r="T20" i="2" s="1"/>
  <c r="X20" i="2" s="1"/>
  <c r="Y20" i="2" s="1"/>
  <c r="W19" i="2"/>
  <c r="F19" i="2"/>
  <c r="T19" i="2" s="1"/>
  <c r="X19" i="2" s="1"/>
  <c r="Y19" i="2" s="1"/>
  <c r="U18" i="2"/>
  <c r="S18" i="2"/>
  <c r="R18" i="2"/>
  <c r="G18" i="2"/>
  <c r="H18" i="2" s="1"/>
  <c r="U17" i="2"/>
  <c r="S17" i="2"/>
  <c r="R17" i="2"/>
  <c r="G17" i="2"/>
  <c r="H17" i="2" s="1"/>
  <c r="X16" i="2"/>
  <c r="Y16" i="2" s="1"/>
  <c r="W16" i="2"/>
  <c r="H16" i="2"/>
  <c r="X15" i="2"/>
  <c r="Y15" i="2" s="1"/>
  <c r="W15" i="2"/>
  <c r="H15" i="2"/>
  <c r="W14" i="2"/>
  <c r="F14" i="2"/>
  <c r="T14" i="2" s="1"/>
  <c r="X14" i="2" s="1"/>
  <c r="Y14" i="2" s="1"/>
  <c r="G13" i="2"/>
  <c r="H13" i="2" s="1"/>
  <c r="E13" i="2"/>
  <c r="U13" i="2" s="1"/>
  <c r="U12" i="2"/>
  <c r="X12" i="2" s="1"/>
  <c r="Y12" i="2" s="1"/>
  <c r="H12" i="2"/>
  <c r="W11" i="2"/>
  <c r="F11" i="2"/>
  <c r="T11" i="2" s="1"/>
  <c r="X11" i="2" s="1"/>
  <c r="Y11" i="2" s="1"/>
  <c r="W10" i="2"/>
  <c r="F10" i="2"/>
  <c r="T10" i="2" s="1"/>
  <c r="X10" i="2" s="1"/>
  <c r="Y10" i="2" s="1"/>
  <c r="W9" i="2"/>
  <c r="F9" i="2"/>
  <c r="T9" i="2" s="1"/>
  <c r="X9" i="2" s="1"/>
  <c r="Y9" i="2" s="1"/>
  <c r="X8" i="2"/>
  <c r="Y8" i="2" s="1"/>
  <c r="W8" i="2"/>
  <c r="H8" i="2"/>
  <c r="X7" i="2"/>
  <c r="W7" i="2"/>
  <c r="F7" i="2"/>
  <c r="H7" i="2" s="1"/>
  <c r="W6" i="2"/>
  <c r="F6" i="2"/>
  <c r="T6" i="2" s="1"/>
  <c r="X6" i="2" s="1"/>
  <c r="Y6" i="2" s="1"/>
  <c r="U5" i="2"/>
  <c r="G5" i="2"/>
  <c r="H5" i="2" s="1"/>
  <c r="U4" i="2"/>
  <c r="G4" i="2"/>
  <c r="H4" i="2" s="1"/>
  <c r="X4" i="2" l="1"/>
  <c r="Y4" i="2" s="1"/>
  <c r="X5" i="2"/>
  <c r="Y5" i="2" s="1"/>
  <c r="Y7" i="2"/>
  <c r="X17" i="2"/>
  <c r="Y17" i="2" s="1"/>
  <c r="X18" i="2"/>
  <c r="Y18" i="2" s="1"/>
  <c r="Y23" i="2"/>
  <c r="X24" i="2"/>
  <c r="Y24" i="2" s="1"/>
  <c r="X26" i="2"/>
  <c r="Y26" i="2" s="1"/>
  <c r="X35" i="2"/>
  <c r="Y35" i="2" s="1"/>
  <c r="X36" i="2"/>
  <c r="Y36" i="2" s="1"/>
  <c r="Y41" i="2"/>
  <c r="H42" i="2"/>
  <c r="X43" i="2"/>
  <c r="Y43" i="2" s="1"/>
  <c r="X45" i="2"/>
  <c r="Y45" i="2" s="1"/>
  <c r="W51" i="2"/>
  <c r="T51" i="2" s="1"/>
  <c r="X51" i="2" s="1"/>
  <c r="Y51" i="2" s="1"/>
  <c r="X55" i="2"/>
  <c r="Y55" i="2" s="1"/>
  <c r="X58" i="2"/>
  <c r="Y58" i="2" s="1"/>
  <c r="X59" i="2"/>
  <c r="Y59" i="2" s="1"/>
  <c r="Y63" i="2"/>
  <c r="Y66" i="2"/>
  <c r="X67" i="2"/>
  <c r="Y67" i="2" s="1"/>
  <c r="H68" i="2"/>
  <c r="X70" i="2"/>
  <c r="Y70" i="2" s="1"/>
  <c r="X84" i="2"/>
  <c r="Y84" i="2" s="1"/>
  <c r="X92" i="2"/>
  <c r="Y92" i="2" s="1"/>
  <c r="X93" i="2"/>
  <c r="Y93" i="2" s="1"/>
  <c r="X95" i="2"/>
  <c r="Y95" i="2" s="1"/>
  <c r="H104" i="2"/>
  <c r="X13" i="2"/>
  <c r="Y13" i="2" s="1"/>
  <c r="W13" i="2"/>
  <c r="W4" i="2"/>
  <c r="W5" i="2"/>
  <c r="H6" i="2"/>
  <c r="H9" i="2"/>
  <c r="H10" i="2"/>
  <c r="H11" i="2"/>
  <c r="W12" i="2"/>
  <c r="H14" i="2"/>
  <c r="W17" i="2"/>
  <c r="W18" i="2"/>
  <c r="H19" i="2"/>
  <c r="H20" i="2"/>
  <c r="H21" i="2"/>
  <c r="H22" i="2"/>
  <c r="W24" i="2"/>
  <c r="W26" i="2"/>
  <c r="H28" i="2"/>
  <c r="H29" i="2"/>
  <c r="H30" i="2"/>
  <c r="H31" i="2"/>
  <c r="X69" i="2"/>
  <c r="Y69" i="2" s="1"/>
  <c r="W69" i="2"/>
  <c r="X72" i="2"/>
  <c r="Y72" i="2" s="1"/>
  <c r="W72" i="2"/>
  <c r="W32" i="2"/>
  <c r="H33" i="2"/>
  <c r="W35" i="2"/>
  <c r="W36" i="2"/>
  <c r="H37" i="2"/>
  <c r="H38" i="2"/>
  <c r="H39" i="2"/>
  <c r="H40" i="2"/>
  <c r="R42" i="2"/>
  <c r="S42" i="2"/>
  <c r="W42" i="2"/>
  <c r="W43" i="2"/>
  <c r="W45" i="2"/>
  <c r="H47" i="2"/>
  <c r="H48" i="2"/>
  <c r="H49" i="2"/>
  <c r="H50" i="2"/>
  <c r="H52" i="2"/>
  <c r="H53" i="2"/>
  <c r="H54" i="2"/>
  <c r="W55" i="2"/>
  <c r="H56" i="2"/>
  <c r="H57" i="2"/>
  <c r="W57" i="2"/>
  <c r="W58" i="2"/>
  <c r="W59" i="2"/>
  <c r="H60" i="2"/>
  <c r="H61" i="2"/>
  <c r="H62" i="2"/>
  <c r="H64" i="2"/>
  <c r="H65" i="2"/>
  <c r="W67" i="2"/>
  <c r="R68" i="2"/>
  <c r="S68" i="2"/>
  <c r="W68" i="2"/>
  <c r="W70" i="2"/>
  <c r="H76" i="2"/>
  <c r="H77" i="2"/>
  <c r="W78" i="2"/>
  <c r="X79" i="2"/>
  <c r="Y79" i="2" s="1"/>
  <c r="W79" i="2"/>
  <c r="H80" i="2"/>
  <c r="W81" i="2"/>
  <c r="W84" i="2"/>
  <c r="H85" i="2"/>
  <c r="H86" i="2"/>
  <c r="W87" i="2"/>
  <c r="H88" i="2"/>
  <c r="H89" i="2"/>
  <c r="H90" i="2"/>
  <c r="R91" i="2"/>
  <c r="S91" i="2"/>
  <c r="W92" i="2"/>
  <c r="W93" i="2"/>
  <c r="W95" i="2"/>
  <c r="H99" i="2"/>
  <c r="H100" i="2"/>
  <c r="H101" i="2"/>
  <c r="H102" i="2"/>
  <c r="W104" i="2"/>
  <c r="X68" i="2" l="1"/>
  <c r="Y68" i="2" s="1"/>
  <c r="X42" i="2"/>
  <c r="Y42" i="2" s="1"/>
  <c r="X91" i="2"/>
  <c r="Y91" i="2" s="1"/>
  <c r="W91" i="2"/>
</calcChain>
</file>

<file path=xl/comments1.xml><?xml version="1.0" encoding="utf-8"?>
<comments xmlns="http://schemas.openxmlformats.org/spreadsheetml/2006/main">
  <authors>
    <author>Usuario</author>
    <author>octavio-cic</author>
  </authors>
  <commentList>
    <comment ref="F17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17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17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17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17" author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17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18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18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18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18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18" author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18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35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35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35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35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35" author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35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36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36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36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36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36" author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36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42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42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42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42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42" author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42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55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55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55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55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55" author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55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58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58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58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58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58" author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58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59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59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59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59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59" author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59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67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67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67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67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67" author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67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68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68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68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68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68" author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68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70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70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70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70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70" author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70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79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79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79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79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79" author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79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84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84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84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84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84" author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84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87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87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87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87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87" author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87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91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91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91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91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91" author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91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92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92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92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92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92" author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92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104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104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104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104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104" author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104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</commentList>
</comments>
</file>

<file path=xl/sharedStrings.xml><?xml version="1.0" encoding="utf-8"?>
<sst xmlns="http://schemas.openxmlformats.org/spreadsheetml/2006/main" count="678" uniqueCount="211">
  <si>
    <t>matanza</t>
  </si>
  <si>
    <t>$ vixcera</t>
  </si>
  <si>
    <t>$ cargada</t>
  </si>
  <si>
    <t>Producto</t>
  </si>
  <si>
    <t>Marca</t>
  </si>
  <si>
    <t>Proveedor</t>
  </si>
  <si>
    <t>unidades</t>
  </si>
  <si>
    <t>W total factura</t>
  </si>
  <si>
    <t>W recib real</t>
  </si>
  <si>
    <t>dif recepcion</t>
  </si>
  <si>
    <t>referencia</t>
  </si>
  <si>
    <t>transporte</t>
  </si>
  <si>
    <t>fecha frontera</t>
  </si>
  <si>
    <t>fecha arribo</t>
  </si>
  <si>
    <t>dia</t>
  </si>
  <si>
    <t>formula</t>
  </si>
  <si>
    <t>$ Puebla</t>
  </si>
  <si>
    <t>$ frontera</t>
  </si>
  <si>
    <t>flete</t>
  </si>
  <si>
    <t>$ aduanal</t>
  </si>
  <si>
    <t>tipo cambio</t>
  </si>
  <si>
    <t>seguro carga</t>
  </si>
  <si>
    <t>com</t>
  </si>
  <si>
    <t>costo integrado</t>
  </si>
  <si>
    <t>costo real</t>
  </si>
  <si>
    <t>$ carga total</t>
  </si>
  <si>
    <t>Canal de cerdo</t>
  </si>
  <si>
    <t>Granjerito</t>
  </si>
  <si>
    <t>lu</t>
  </si>
  <si>
    <t>Pernil con piel</t>
  </si>
  <si>
    <t>Seaboard</t>
  </si>
  <si>
    <t>21 combos</t>
  </si>
  <si>
    <t>Vazquez</t>
  </si>
  <si>
    <t>Sukarne</t>
  </si>
  <si>
    <t>20 combos</t>
  </si>
  <si>
    <t>Farmland</t>
  </si>
  <si>
    <t>24 combos</t>
  </si>
  <si>
    <t>Guerrero</t>
  </si>
  <si>
    <t>ma</t>
  </si>
  <si>
    <t>Nu3</t>
  </si>
  <si>
    <t>Agrop Las Reses</t>
  </si>
  <si>
    <t>mi</t>
  </si>
  <si>
    <t>Paco</t>
  </si>
  <si>
    <t>ju</t>
  </si>
  <si>
    <t xml:space="preserve">Pernil con piel </t>
  </si>
  <si>
    <t>Excell</t>
  </si>
  <si>
    <t>Carnes Ali</t>
  </si>
  <si>
    <t>vi</t>
  </si>
  <si>
    <t>sa</t>
  </si>
  <si>
    <t>Agrop El Topete</t>
  </si>
  <si>
    <t>do</t>
  </si>
  <si>
    <t>Granjero Feliz</t>
  </si>
  <si>
    <t>23 combos</t>
  </si>
  <si>
    <t>19 combos</t>
  </si>
  <si>
    <t>RLG</t>
  </si>
  <si>
    <t>Contra</t>
  </si>
  <si>
    <t>Agrop La Gaby</t>
  </si>
  <si>
    <t>22 combos</t>
  </si>
  <si>
    <t>Menudo</t>
  </si>
  <si>
    <t>Smithfield</t>
  </si>
  <si>
    <t>AA Trading</t>
  </si>
  <si>
    <t>hoja + 10 vi 8 nov</t>
  </si>
  <si>
    <t>Porc Paso Blanco</t>
  </si>
  <si>
    <t>hoja + 16 vi 8 nov</t>
  </si>
  <si>
    <t>Porc San Bernardo</t>
  </si>
  <si>
    <t>hoja + 10.5 lu 25 nov</t>
  </si>
  <si>
    <t>nlp071</t>
  </si>
  <si>
    <t>ASO</t>
  </si>
  <si>
    <t>DICIEMBRE  2013</t>
  </si>
  <si>
    <t>fact 115</t>
  </si>
  <si>
    <t>fact 116</t>
  </si>
  <si>
    <t>nl13-522</t>
  </si>
  <si>
    <t>fact 2580</t>
  </si>
  <si>
    <t>hoja + 10 lu 25 nov</t>
  </si>
  <si>
    <t>fact 26561</t>
  </si>
  <si>
    <t>hoja + 16 ma 26 nov</t>
  </si>
  <si>
    <t>nl13-550</t>
  </si>
  <si>
    <t>hoja + 10 ju 28 nov</t>
  </si>
  <si>
    <t>nl13-523</t>
  </si>
  <si>
    <t>hoja + 10.5 vi 29 nov</t>
  </si>
  <si>
    <t>nl13-524</t>
  </si>
  <si>
    <t>fact 121</t>
  </si>
  <si>
    <t>fact 127</t>
  </si>
  <si>
    <t>fact 26798</t>
  </si>
  <si>
    <t>Pavo crudo</t>
  </si>
  <si>
    <t>Jennie O</t>
  </si>
  <si>
    <t>Dist Ensenada</t>
  </si>
  <si>
    <t>430 cajas</t>
  </si>
  <si>
    <t>fact A-187</t>
  </si>
  <si>
    <t>fact 941, 942</t>
  </si>
  <si>
    <t>fact 2094, 2095</t>
  </si>
  <si>
    <t>nl13-525</t>
  </si>
  <si>
    <t>nl13-526</t>
  </si>
  <si>
    <t>nl13-551</t>
  </si>
  <si>
    <t>hoja + 10 vi 29 nov</t>
  </si>
  <si>
    <t>nl13-527</t>
  </si>
  <si>
    <t>hoja + 10.5 lu 2 dic</t>
  </si>
  <si>
    <t>fact 2646</t>
  </si>
  <si>
    <t>hoja + 10 lu 2 dic</t>
  </si>
  <si>
    <t>fact 198</t>
  </si>
  <si>
    <t>fact 183</t>
  </si>
  <si>
    <t>fact 26942</t>
  </si>
  <si>
    <t>hoja + 16 ma 3 dic</t>
  </si>
  <si>
    <t>nl13-528</t>
  </si>
  <si>
    <t>hoja + 10.5 mi 4 dic</t>
  </si>
  <si>
    <t>nl13-529</t>
  </si>
  <si>
    <t>nl13-552</t>
  </si>
  <si>
    <t>Tamez</t>
  </si>
  <si>
    <t>hoja + 10 ju 5 dic</t>
  </si>
  <si>
    <t>nl13-553</t>
  </si>
  <si>
    <t>fact 207</t>
  </si>
  <si>
    <t>nlp072</t>
  </si>
  <si>
    <t>hoja + 10 vi 6 dic</t>
  </si>
  <si>
    <t>fact 27141</t>
  </si>
  <si>
    <t>hoja + 16 vi 6 dic</t>
  </si>
  <si>
    <t>fact 871, 872</t>
  </si>
  <si>
    <t>fact 957, 958</t>
  </si>
  <si>
    <t>nl13-530</t>
  </si>
  <si>
    <t>hoja + 10.5 vi 6 dic</t>
  </si>
  <si>
    <t>nl13-531</t>
  </si>
  <si>
    <t>nl13-554</t>
  </si>
  <si>
    <t>nl13-532</t>
  </si>
  <si>
    <t>hoja + 10.5 lu 9 dic</t>
  </si>
  <si>
    <t>fact 2683</t>
  </si>
  <si>
    <t>hoja + 16 lu 9 dic</t>
  </si>
  <si>
    <t>Carrol</t>
  </si>
  <si>
    <t>fact 639</t>
  </si>
  <si>
    <t>fact 247</t>
  </si>
  <si>
    <t>fact 256</t>
  </si>
  <si>
    <t>fact 27409</t>
  </si>
  <si>
    <t>hoja + 16 lu 16 dic</t>
  </si>
  <si>
    <t>nl13-533</t>
  </si>
  <si>
    <t>hoja + 10.5 mi 11 dic</t>
  </si>
  <si>
    <t>nl13-534</t>
  </si>
  <si>
    <t>nl13-555</t>
  </si>
  <si>
    <t>hoja + 10 ju 12 dic</t>
  </si>
  <si>
    <t>nl13-556</t>
  </si>
  <si>
    <t>fact 260</t>
  </si>
  <si>
    <t>nl13-535</t>
  </si>
  <si>
    <t>nl13-536</t>
  </si>
  <si>
    <t>nl13-557</t>
  </si>
  <si>
    <t>fact 961, 962</t>
  </si>
  <si>
    <t>nlp073</t>
  </si>
  <si>
    <t>hoja + 10 vi 13 dic</t>
  </si>
  <si>
    <t>fact 27558</t>
  </si>
  <si>
    <t>hoja + 16 vi 13 dic</t>
  </si>
  <si>
    <t>fact 2133, 2134</t>
  </si>
  <si>
    <t>fact 968, 969</t>
  </si>
  <si>
    <t>nl13-538</t>
  </si>
  <si>
    <t>nl13-558</t>
  </si>
  <si>
    <t>nl13-537</t>
  </si>
  <si>
    <t>fact 2743</t>
  </si>
  <si>
    <t>nl13-539</t>
  </si>
  <si>
    <t>hoja + 10.5 lu 16 dic</t>
  </si>
  <si>
    <t>nl13-540</t>
  </si>
  <si>
    <t>fact 2728</t>
  </si>
  <si>
    <t>Fevasa</t>
  </si>
  <si>
    <t>fact 4171</t>
  </si>
  <si>
    <t>fact 2136, 2137</t>
  </si>
  <si>
    <t>fact 311</t>
  </si>
  <si>
    <t>fact 732</t>
  </si>
  <si>
    <t>fact 350</t>
  </si>
  <si>
    <t>13 combos</t>
  </si>
  <si>
    <t>fact 27798</t>
  </si>
  <si>
    <t>hoja + 16 ma 17 dic</t>
  </si>
  <si>
    <t>fact 27797</t>
  </si>
  <si>
    <t>Esp de Carnero</t>
  </si>
  <si>
    <t>Midfield</t>
  </si>
  <si>
    <t>Ryc Alimentos</t>
  </si>
  <si>
    <t>154 cajas</t>
  </si>
  <si>
    <t>fact 48666</t>
  </si>
  <si>
    <t>nl13-541</t>
  </si>
  <si>
    <t>nl13-542</t>
  </si>
  <si>
    <t>fact 351</t>
  </si>
  <si>
    <t>fact 769</t>
  </si>
  <si>
    <t>nlp074</t>
  </si>
  <si>
    <t>fact 7392</t>
  </si>
  <si>
    <t>Swift</t>
  </si>
  <si>
    <t>624 cajas</t>
  </si>
  <si>
    <t>fact 8157</t>
  </si>
  <si>
    <t>ALB</t>
  </si>
  <si>
    <t>200 cajas</t>
  </si>
  <si>
    <t>rem 2936</t>
  </si>
  <si>
    <t>s/c</t>
  </si>
  <si>
    <t>devolucion</t>
  </si>
  <si>
    <t>fact 2213, 2214</t>
  </si>
  <si>
    <t>nl13-543</t>
  </si>
  <si>
    <t>nl13-544</t>
  </si>
  <si>
    <t xml:space="preserve">Agrop La Chemita </t>
  </si>
  <si>
    <t>fact 1361, 1362</t>
  </si>
  <si>
    <t>nl13-559</t>
  </si>
  <si>
    <t>Ventura</t>
  </si>
  <si>
    <t>nl13-560</t>
  </si>
  <si>
    <t>Miraflores</t>
  </si>
  <si>
    <t>nl13-545</t>
  </si>
  <si>
    <t>fact 921</t>
  </si>
  <si>
    <t>fact 1375, 1376</t>
  </si>
  <si>
    <t>fact 392</t>
  </si>
  <si>
    <t>fact 406</t>
  </si>
  <si>
    <t>fact 28023</t>
  </si>
  <si>
    <t>hoja + 16 vi 20 dic</t>
  </si>
  <si>
    <t>fact 28024</t>
  </si>
  <si>
    <t>400 cajas</t>
  </si>
  <si>
    <t>rem 2958</t>
  </si>
  <si>
    <t>nl13-546</t>
  </si>
  <si>
    <t>nl13-547</t>
  </si>
  <si>
    <t>nlp075</t>
  </si>
  <si>
    <t>nl13-561</t>
  </si>
  <si>
    <t>Negrete</t>
  </si>
  <si>
    <t>fact 408</t>
  </si>
  <si>
    <t>fact 2963, 2964, 2965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</si>
</sst>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-&quot;$&quot;* #,##0.00_-;\-&quot;$&quot;* #,##0.00_-;_-&quot;$&quot;* &quot;-&quot;??_-;_-@_-"/>
    <numFmt numFmtId="164" formatCode="&quot;$&quot;#,##0.00"/>
    <numFmt numFmtId="165" formatCode="&quot;$&quot;#,##0.000"/>
    <numFmt numFmtId="166" formatCode="#,##0_ ;\-#,##0\ "/>
    <numFmt numFmtId="167" formatCode="_-&quot;$&quot;* #,##0.000_-;\-&quot;$&quot;* #,##0.000_-;_-&quot;$&quot;* &quot;-&quot;??_-;_-@_-"/>
    <numFmt numFmtId="168" formatCode="&quot;$&quot;#,##0.0000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sz val="12"/>
      <name val="Arial"/>
      <family val="2"/>
    </font>
    <font>
      <b/>
      <sz val="9"/>
      <color indexed="81"/>
      <name val="Tahom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8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6"/>
      <name val="Arial"/>
      <family val="2"/>
    </font>
    <font>
      <b/>
      <i/>
      <sz val="10"/>
      <name val="Arial"/>
      <family val="2"/>
    </font>
    <font>
      <b/>
      <sz val="11"/>
      <name val="Arial"/>
      <family val="2"/>
    </font>
    <font>
      <b/>
      <sz val="16"/>
      <name val="Arial"/>
      <family val="2"/>
    </font>
    <font>
      <b/>
      <sz val="8"/>
      <color rgb="FFFF0000"/>
      <name val="Arial"/>
      <family val="2"/>
    </font>
    <font>
      <sz val="10"/>
      <color theme="1"/>
      <name val="Arial"/>
      <family val="2"/>
    </font>
    <font>
      <sz val="12"/>
      <color theme="1"/>
      <name val="Arial"/>
      <family val="2"/>
    </font>
    <font>
      <b/>
      <sz val="10"/>
      <color theme="1"/>
      <name val="Arial"/>
      <family val="2"/>
    </font>
    <font>
      <sz val="14"/>
      <color theme="1"/>
      <name val="Calibri"/>
      <family val="2"/>
      <scheme val="minor"/>
    </font>
    <font>
      <sz val="1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00B050"/>
        <bgColor indexed="64"/>
      </patternFill>
    </fill>
  </fills>
  <borders count="3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1" fillId="0" borderId="0"/>
  </cellStyleXfs>
  <cellXfs count="184">
    <xf numFmtId="0" fontId="0" fillId="0" borderId="0" xfId="0"/>
    <xf numFmtId="0" fontId="2" fillId="0" borderId="0" xfId="0" applyFont="1"/>
    <xf numFmtId="0" fontId="4" fillId="0" borderId="0" xfId="0" applyFont="1"/>
    <xf numFmtId="0" fontId="2" fillId="0" borderId="0" xfId="0" applyFont="1" applyBorder="1"/>
    <xf numFmtId="4" fontId="0" fillId="0" borderId="0" xfId="0" applyNumberFormat="1" applyBorder="1"/>
    <xf numFmtId="0" fontId="0" fillId="0" borderId="0" xfId="0" applyBorder="1"/>
    <xf numFmtId="44" fontId="0" fillId="0" borderId="0" xfId="1" applyFont="1" applyBorder="1"/>
    <xf numFmtId="0" fontId="4" fillId="0" borderId="0" xfId="0" applyFont="1" applyBorder="1"/>
    <xf numFmtId="164" fontId="0" fillId="0" borderId="0" xfId="0" applyNumberFormat="1"/>
    <xf numFmtId="0" fontId="0" fillId="0" borderId="0" xfId="0" applyFill="1" applyBorder="1"/>
    <xf numFmtId="0" fontId="4" fillId="0" borderId="0" xfId="0" applyFont="1" applyFill="1"/>
    <xf numFmtId="0" fontId="0" fillId="0" borderId="0" xfId="0" applyFont="1" applyFill="1" applyBorder="1"/>
    <xf numFmtId="4" fontId="0" fillId="0" borderId="0" xfId="0" applyNumberFormat="1"/>
    <xf numFmtId="44" fontId="0" fillId="0" borderId="0" xfId="1" applyFont="1"/>
    <xf numFmtId="14" fontId="2" fillId="0" borderId="6" xfId="0" applyNumberFormat="1" applyFont="1" applyBorder="1" applyAlignment="1">
      <alignment horizontal="right"/>
    </xf>
    <xf numFmtId="44" fontId="0" fillId="0" borderId="0" xfId="1" applyFont="1" applyAlignment="1">
      <alignment horizontal="right"/>
    </xf>
    <xf numFmtId="44" fontId="2" fillId="0" borderId="0" xfId="1" quotePrefix="1" applyFont="1"/>
    <xf numFmtId="0" fontId="2" fillId="0" borderId="7" xfId="0" applyFont="1" applyBorder="1"/>
    <xf numFmtId="4" fontId="0" fillId="0" borderId="8" xfId="0" applyNumberFormat="1" applyBorder="1"/>
    <xf numFmtId="0" fontId="0" fillId="0" borderId="8" xfId="0" applyBorder="1"/>
    <xf numFmtId="44" fontId="0" fillId="0" borderId="8" xfId="1" applyFont="1" applyBorder="1"/>
    <xf numFmtId="44" fontId="0" fillId="0" borderId="9" xfId="1" applyFont="1" applyBorder="1"/>
    <xf numFmtId="0" fontId="2" fillId="0" borderId="10" xfId="0" applyFont="1" applyBorder="1"/>
    <xf numFmtId="4" fontId="2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44" fontId="2" fillId="0" borderId="0" xfId="1" applyFont="1" applyBorder="1" applyAlignment="1">
      <alignment horizontal="center"/>
    </xf>
    <xf numFmtId="44" fontId="2" fillId="0" borderId="11" xfId="1" applyFont="1" applyBorder="1" applyAlignment="1">
      <alignment horizontal="center"/>
    </xf>
    <xf numFmtId="0" fontId="4" fillId="0" borderId="10" xfId="0" applyFont="1" applyBorder="1"/>
    <xf numFmtId="4" fontId="4" fillId="0" borderId="0" xfId="0" applyNumberFormat="1" applyFont="1" applyBorder="1" applyAlignment="1">
      <alignment horizontal="right"/>
    </xf>
    <xf numFmtId="0" fontId="4" fillId="0" borderId="0" xfId="0" applyFont="1" applyBorder="1" applyAlignment="1">
      <alignment horizontal="right"/>
    </xf>
    <xf numFmtId="44" fontId="4" fillId="0" borderId="0" xfId="1" applyFont="1" applyBorder="1" applyAlignment="1">
      <alignment horizontal="center"/>
    </xf>
    <xf numFmtId="44" fontId="0" fillId="0" borderId="11" xfId="1" applyFont="1" applyBorder="1"/>
    <xf numFmtId="44" fontId="2" fillId="0" borderId="11" xfId="1" applyFont="1" applyBorder="1"/>
    <xf numFmtId="4" fontId="2" fillId="0" borderId="0" xfId="0" applyNumberFormat="1" applyFont="1" applyBorder="1" applyAlignment="1">
      <alignment horizontal="right"/>
    </xf>
    <xf numFmtId="0" fontId="0" fillId="0" borderId="0" xfId="0" applyBorder="1" applyAlignment="1">
      <alignment horizontal="right"/>
    </xf>
    <xf numFmtId="44" fontId="4" fillId="0" borderId="11" xfId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9" fillId="0" borderId="0" xfId="0" applyFont="1" applyBorder="1" applyAlignment="1">
      <alignment horizontal="right"/>
    </xf>
    <xf numFmtId="44" fontId="4" fillId="0" borderId="0" xfId="1" applyFont="1" applyBorder="1" applyAlignment="1">
      <alignment horizontal="right"/>
    </xf>
    <xf numFmtId="44" fontId="4" fillId="0" borderId="11" xfId="1" applyFont="1" applyBorder="1" applyAlignment="1">
      <alignment horizontal="right"/>
    </xf>
    <xf numFmtId="0" fontId="0" fillId="0" borderId="10" xfId="0" applyBorder="1"/>
    <xf numFmtId="44" fontId="2" fillId="0" borderId="0" xfId="1" applyFont="1" applyBorder="1"/>
    <xf numFmtId="44" fontId="2" fillId="0" borderId="0" xfId="1" applyFont="1" applyBorder="1" applyAlignment="1">
      <alignment horizontal="right"/>
    </xf>
    <xf numFmtId="0" fontId="0" fillId="0" borderId="12" xfId="0" applyBorder="1"/>
    <xf numFmtId="0" fontId="0" fillId="0" borderId="13" xfId="0" applyBorder="1"/>
    <xf numFmtId="44" fontId="0" fillId="0" borderId="13" xfId="1" applyFont="1" applyBorder="1"/>
    <xf numFmtId="44" fontId="0" fillId="0" borderId="14" xfId="1" applyFont="1" applyBorder="1"/>
    <xf numFmtId="0" fontId="0" fillId="0" borderId="7" xfId="0" applyBorder="1"/>
    <xf numFmtId="44" fontId="5" fillId="0" borderId="0" xfId="1" applyFont="1" applyFill="1"/>
    <xf numFmtId="0" fontId="10" fillId="0" borderId="0" xfId="0" applyFont="1"/>
    <xf numFmtId="0" fontId="0" fillId="0" borderId="0" xfId="0" applyFont="1" applyFill="1"/>
    <xf numFmtId="0" fontId="0" fillId="0" borderId="0" xfId="0" applyFont="1"/>
    <xf numFmtId="0" fontId="0" fillId="0" borderId="1" xfId="0" applyFont="1" applyFill="1" applyBorder="1"/>
    <xf numFmtId="4" fontId="0" fillId="0" borderId="1" xfId="0" applyNumberFormat="1" applyFont="1" applyFill="1" applyBorder="1"/>
    <xf numFmtId="3" fontId="0" fillId="0" borderId="1" xfId="0" applyNumberFormat="1" applyFont="1" applyFill="1" applyBorder="1"/>
    <xf numFmtId="15" fontId="0" fillId="0" borderId="1" xfId="0" applyNumberFormat="1" applyFont="1" applyFill="1" applyBorder="1"/>
    <xf numFmtId="164" fontId="0" fillId="0" borderId="1" xfId="0" applyNumberFormat="1" applyFont="1" applyFill="1" applyBorder="1"/>
    <xf numFmtId="165" fontId="0" fillId="0" borderId="1" xfId="0" applyNumberFormat="1" applyFont="1" applyFill="1" applyBorder="1"/>
    <xf numFmtId="0" fontId="0" fillId="0" borderId="2" xfId="0" applyFont="1" applyFill="1" applyBorder="1"/>
    <xf numFmtId="4" fontId="0" fillId="0" borderId="0" xfId="0" applyNumberFormat="1" applyFont="1" applyFill="1" applyBorder="1"/>
    <xf numFmtId="15" fontId="0" fillId="0" borderId="0" xfId="0" applyNumberFormat="1" applyFont="1" applyFill="1" applyBorder="1"/>
    <xf numFmtId="164" fontId="0" fillId="0" borderId="0" xfId="0" applyNumberFormat="1" applyFont="1" applyFill="1" applyBorder="1"/>
    <xf numFmtId="165" fontId="0" fillId="0" borderId="0" xfId="0" applyNumberFormat="1" applyFont="1" applyFill="1" applyBorder="1"/>
    <xf numFmtId="14" fontId="0" fillId="0" borderId="3" xfId="0" applyNumberFormat="1" applyFont="1" applyFill="1" applyBorder="1"/>
    <xf numFmtId="0" fontId="0" fillId="2" borderId="0" xfId="0" applyFont="1" applyFill="1" applyBorder="1"/>
    <xf numFmtId="0" fontId="0" fillId="0" borderId="5" xfId="0" applyFont="1" applyFill="1" applyBorder="1"/>
    <xf numFmtId="14" fontId="0" fillId="0" borderId="4" xfId="0" applyNumberFormat="1" applyFont="1" applyFill="1" applyBorder="1"/>
    <xf numFmtId="0" fontId="0" fillId="0" borderId="0" xfId="0" applyFill="1"/>
    <xf numFmtId="164" fontId="0" fillId="0" borderId="0" xfId="0" applyNumberFormat="1" applyFill="1"/>
    <xf numFmtId="164" fontId="10" fillId="0" borderId="0" xfId="0" applyNumberFormat="1" applyFont="1" applyFill="1"/>
    <xf numFmtId="14" fontId="11" fillId="0" borderId="0" xfId="0" applyNumberFormat="1" applyFont="1"/>
    <xf numFmtId="0" fontId="12" fillId="0" borderId="0" xfId="0" applyFont="1" applyFill="1"/>
    <xf numFmtId="4" fontId="0" fillId="0" borderId="0" xfId="0" applyNumberFormat="1" applyFill="1"/>
    <xf numFmtId="44" fontId="0" fillId="0" borderId="0" xfId="1" applyFont="1" applyFill="1"/>
    <xf numFmtId="44" fontId="11" fillId="0" borderId="0" xfId="1" applyFont="1" applyFill="1"/>
    <xf numFmtId="44" fontId="2" fillId="0" borderId="0" xfId="1" applyFont="1" applyFill="1"/>
    <xf numFmtId="4" fontId="2" fillId="0" borderId="0" xfId="0" applyNumberFormat="1" applyFont="1" applyFill="1"/>
    <xf numFmtId="17" fontId="13" fillId="0" borderId="0" xfId="0" quotePrefix="1" applyNumberFormat="1" applyFont="1"/>
    <xf numFmtId="44" fontId="11" fillId="0" borderId="0" xfId="1" applyFont="1" applyBorder="1" applyAlignment="1">
      <alignment horizontal="right"/>
    </xf>
    <xf numFmtId="44" fontId="11" fillId="0" borderId="11" xfId="1" applyFont="1" applyBorder="1"/>
    <xf numFmtId="168" fontId="0" fillId="0" borderId="0" xfId="0" applyNumberFormat="1" applyFont="1" applyFill="1" applyBorder="1"/>
    <xf numFmtId="44" fontId="0" fillId="0" borderId="0" xfId="1" applyFont="1" applyFill="1" applyBorder="1"/>
    <xf numFmtId="164" fontId="10" fillId="0" borderId="0" xfId="0" applyNumberFormat="1" applyFont="1"/>
    <xf numFmtId="164" fontId="4" fillId="0" borderId="0" xfId="0" applyNumberFormat="1" applyFont="1" applyFill="1"/>
    <xf numFmtId="164" fontId="4" fillId="0" borderId="0" xfId="0" applyNumberFormat="1" applyFont="1"/>
    <xf numFmtId="14" fontId="4" fillId="0" borderId="0" xfId="0" applyNumberFormat="1" applyFont="1"/>
    <xf numFmtId="4" fontId="4" fillId="0" borderId="0" xfId="0" applyNumberFormat="1" applyFont="1" applyFill="1" applyBorder="1" applyAlignment="1">
      <alignment horizontal="right"/>
    </xf>
    <xf numFmtId="0" fontId="0" fillId="0" borderId="0" xfId="0" applyFont="1" applyBorder="1"/>
    <xf numFmtId="44" fontId="1" fillId="0" borderId="0" xfId="1" applyFont="1" applyBorder="1"/>
    <xf numFmtId="44" fontId="0" fillId="0" borderId="1" xfId="1" applyFont="1" applyFill="1" applyBorder="1"/>
    <xf numFmtId="0" fontId="0" fillId="5" borderId="0" xfId="0" applyFont="1" applyFill="1" applyBorder="1"/>
    <xf numFmtId="44" fontId="12" fillId="0" borderId="0" xfId="1" applyFont="1" applyFill="1"/>
    <xf numFmtId="44" fontId="0" fillId="0" borderId="16" xfId="1" applyFont="1" applyFill="1" applyBorder="1"/>
    <xf numFmtId="44" fontId="0" fillId="0" borderId="16" xfId="1" applyFont="1" applyBorder="1"/>
    <xf numFmtId="0" fontId="14" fillId="0" borderId="0" xfId="0" applyFont="1" applyFill="1" applyBorder="1"/>
    <xf numFmtId="4" fontId="14" fillId="0" borderId="0" xfId="0" applyNumberFormat="1" applyFont="1" applyFill="1" applyBorder="1"/>
    <xf numFmtId="165" fontId="14" fillId="0" borderId="0" xfId="0" applyNumberFormat="1" applyFont="1" applyFill="1" applyBorder="1"/>
    <xf numFmtId="164" fontId="14" fillId="4" borderId="0" xfId="0" applyNumberFormat="1" applyFont="1" applyFill="1" applyBorder="1"/>
    <xf numFmtId="164" fontId="14" fillId="0" borderId="0" xfId="0" applyNumberFormat="1" applyFont="1" applyFill="1" applyBorder="1"/>
    <xf numFmtId="14" fontId="12" fillId="0" borderId="0" xfId="0" applyNumberFormat="1" applyFont="1" applyFill="1"/>
    <xf numFmtId="167" fontId="12" fillId="0" borderId="0" xfId="1" applyNumberFormat="1" applyFont="1" applyFill="1"/>
    <xf numFmtId="14" fontId="2" fillId="0" borderId="0" xfId="0" applyNumberFormat="1" applyFont="1" applyBorder="1" applyAlignment="1">
      <alignment horizontal="right"/>
    </xf>
    <xf numFmtId="44" fontId="0" fillId="0" borderId="0" xfId="1" applyFont="1" applyBorder="1" applyAlignment="1">
      <alignment horizontal="right"/>
    </xf>
    <xf numFmtId="14" fontId="2" fillId="0" borderId="0" xfId="0" quotePrefix="1" applyNumberFormat="1" applyFont="1" applyBorder="1"/>
    <xf numFmtId="164" fontId="0" fillId="0" borderId="0" xfId="0" applyNumberFormat="1" applyBorder="1"/>
    <xf numFmtId="164" fontId="2" fillId="0" borderId="0" xfId="0" applyNumberFormat="1" applyFont="1" applyBorder="1" applyAlignment="1">
      <alignment horizontal="center"/>
    </xf>
    <xf numFmtId="0" fontId="4" fillId="0" borderId="0" xfId="0" quotePrefix="1" applyFont="1" applyBorder="1"/>
    <xf numFmtId="0" fontId="2" fillId="0" borderId="0" xfId="0" applyFont="1" applyBorder="1" applyAlignment="1">
      <alignment horizontal="right"/>
    </xf>
    <xf numFmtId="4" fontId="2" fillId="0" borderId="0" xfId="0" applyNumberFormat="1" applyFont="1" applyBorder="1"/>
    <xf numFmtId="164" fontId="2" fillId="0" borderId="0" xfId="0" applyNumberFormat="1" applyFont="1" applyBorder="1"/>
    <xf numFmtId="0" fontId="13" fillId="0" borderId="0" xfId="0" applyFont="1" applyFill="1"/>
    <xf numFmtId="14" fontId="12" fillId="0" borderId="0" xfId="1" applyNumberFormat="1" applyFont="1" applyFill="1"/>
    <xf numFmtId="44" fontId="3" fillId="0" borderId="0" xfId="1" applyFont="1" applyFill="1"/>
    <xf numFmtId="49" fontId="4" fillId="0" borderId="0" xfId="0" applyNumberFormat="1" applyFont="1" applyAlignment="1">
      <alignment horizontal="right" vertical="center"/>
    </xf>
    <xf numFmtId="0" fontId="11" fillId="0" borderId="0" xfId="0" applyFont="1"/>
    <xf numFmtId="14" fontId="11" fillId="0" borderId="0" xfId="0" quotePrefix="1" applyNumberFormat="1" applyFont="1" applyBorder="1"/>
    <xf numFmtId="0" fontId="2" fillId="0" borderId="19" xfId="0" applyFont="1" applyBorder="1" applyAlignment="1">
      <alignment vertical="center"/>
    </xf>
    <xf numFmtId="44" fontId="2" fillId="0" borderId="19" xfId="1" applyFont="1" applyBorder="1" applyAlignment="1">
      <alignment horizontal="center" vertical="center" wrapText="1"/>
    </xf>
    <xf numFmtId="44" fontId="2" fillId="0" borderId="23" xfId="1" applyFont="1" applyBorder="1" applyAlignment="1">
      <alignment horizontal="center" vertical="center" wrapText="1"/>
    </xf>
    <xf numFmtId="0" fontId="0" fillId="0" borderId="17" xfId="0" applyBorder="1"/>
    <xf numFmtId="0" fontId="19" fillId="0" borderId="24" xfId="0" applyFont="1" applyFill="1" applyBorder="1" applyAlignment="1">
      <alignment horizontal="center" vertical="center" wrapText="1"/>
    </xf>
    <xf numFmtId="0" fontId="19" fillId="0" borderId="22" xfId="0" applyFont="1" applyFill="1" applyBorder="1" applyAlignment="1">
      <alignment horizontal="center" wrapText="1"/>
    </xf>
    <xf numFmtId="0" fontId="19" fillId="0" borderId="19" xfId="0" applyFont="1" applyFill="1" applyBorder="1" applyAlignment="1">
      <alignment horizontal="center" vertical="center" wrapText="1"/>
    </xf>
    <xf numFmtId="44" fontId="2" fillId="0" borderId="17" xfId="1" applyFont="1" applyBorder="1" applyAlignment="1">
      <alignment horizontal="center"/>
    </xf>
    <xf numFmtId="44" fontId="2" fillId="0" borderId="18" xfId="1" applyFont="1" applyBorder="1" applyAlignment="1">
      <alignment horizontal="center"/>
    </xf>
    <xf numFmtId="0" fontId="0" fillId="0" borderId="25" xfId="0" applyBorder="1"/>
    <xf numFmtId="0" fontId="5" fillId="0" borderId="26" xfId="0" applyFont="1" applyFill="1" applyBorder="1" applyAlignment="1">
      <alignment horizontal="center"/>
    </xf>
    <xf numFmtId="0" fontId="5" fillId="0" borderId="27" xfId="0" applyFont="1" applyFill="1" applyBorder="1" applyAlignment="1">
      <alignment horizontal="center"/>
    </xf>
    <xf numFmtId="49" fontId="5" fillId="0" borderId="27" xfId="0" applyNumberFormat="1" applyFont="1" applyFill="1" applyBorder="1" applyAlignment="1">
      <alignment horizontal="center"/>
    </xf>
    <xf numFmtId="0" fontId="20" fillId="0" borderId="28" xfId="0" applyFont="1" applyFill="1" applyBorder="1" applyAlignment="1">
      <alignment horizontal="center"/>
    </xf>
    <xf numFmtId="4" fontId="20" fillId="0" borderId="29" xfId="0" applyNumberFormat="1" applyFont="1" applyFill="1" applyBorder="1" applyAlignment="1">
      <alignment horizontal="center"/>
    </xf>
    <xf numFmtId="44" fontId="0" fillId="0" borderId="30" xfId="1" applyFont="1" applyBorder="1"/>
    <xf numFmtId="0" fontId="0" fillId="0" borderId="31" xfId="0" applyBorder="1"/>
    <xf numFmtId="0" fontId="5" fillId="0" borderId="32" xfId="0" applyFont="1" applyFill="1" applyBorder="1" applyAlignment="1">
      <alignment horizontal="center"/>
    </xf>
    <xf numFmtId="0" fontId="5" fillId="0" borderId="28" xfId="0" applyFont="1" applyFill="1" applyBorder="1" applyAlignment="1">
      <alignment horizontal="center"/>
    </xf>
    <xf numFmtId="0" fontId="21" fillId="0" borderId="16" xfId="2" applyFont="1" applyFill="1" applyBorder="1" applyAlignment="1">
      <alignment horizontal="center"/>
    </xf>
    <xf numFmtId="0" fontId="0" fillId="0" borderId="31" xfId="0" applyFill="1" applyBorder="1"/>
    <xf numFmtId="0" fontId="4" fillId="0" borderId="31" xfId="0" applyFont="1" applyFill="1" applyBorder="1"/>
    <xf numFmtId="0" fontId="4" fillId="0" borderId="31" xfId="0" applyFont="1" applyBorder="1"/>
    <xf numFmtId="49" fontId="5" fillId="0" borderId="16" xfId="0" applyNumberFormat="1" applyFont="1" applyFill="1" applyBorder="1" applyAlignment="1">
      <alignment horizontal="center"/>
    </xf>
    <xf numFmtId="0" fontId="5" fillId="0" borderId="16" xfId="0" applyFont="1" applyFill="1" applyBorder="1" applyAlignment="1">
      <alignment horizontal="center"/>
    </xf>
    <xf numFmtId="2" fontId="5" fillId="0" borderId="28" xfId="0" applyNumberFormat="1" applyFont="1" applyFill="1" applyBorder="1" applyAlignment="1">
      <alignment horizontal="center"/>
    </xf>
    <xf numFmtId="0" fontId="0" fillId="0" borderId="33" xfId="0" applyBorder="1"/>
    <xf numFmtId="0" fontId="5" fillId="0" borderId="34" xfId="0" applyFont="1" applyFill="1" applyBorder="1" applyAlignment="1">
      <alignment horizontal="center"/>
    </xf>
    <xf numFmtId="0" fontId="5" fillId="0" borderId="35" xfId="0" applyFont="1" applyFill="1" applyBorder="1" applyAlignment="1">
      <alignment horizontal="center"/>
    </xf>
    <xf numFmtId="0" fontId="11" fillId="0" borderId="35" xfId="0" applyFont="1" applyFill="1" applyBorder="1" applyAlignment="1">
      <alignment horizontal="center"/>
    </xf>
    <xf numFmtId="0" fontId="22" fillId="0" borderId="35" xfId="0" applyFont="1" applyFill="1" applyBorder="1" applyAlignment="1">
      <alignment horizontal="center"/>
    </xf>
    <xf numFmtId="4" fontId="22" fillId="0" borderId="36" xfId="0" applyNumberFormat="1" applyFont="1" applyFill="1" applyBorder="1" applyAlignment="1">
      <alignment horizontal="center"/>
    </xf>
    <xf numFmtId="44" fontId="2" fillId="0" borderId="35" xfId="1" applyFont="1" applyBorder="1"/>
    <xf numFmtId="44" fontId="11" fillId="0" borderId="37" xfId="1" applyFont="1" applyBorder="1"/>
    <xf numFmtId="49" fontId="23" fillId="0" borderId="0" xfId="2" applyNumberFormat="1" applyFont="1" applyFill="1" applyBorder="1" applyAlignment="1">
      <alignment horizontal="center"/>
    </xf>
    <xf numFmtId="0" fontId="14" fillId="0" borderId="38" xfId="0" applyFont="1" applyFill="1" applyBorder="1"/>
    <xf numFmtId="0" fontId="0" fillId="0" borderId="38" xfId="0" applyFont="1" applyFill="1" applyBorder="1"/>
    <xf numFmtId="4" fontId="14" fillId="0" borderId="38" xfId="0" applyNumberFormat="1" applyFont="1" applyFill="1" applyBorder="1"/>
    <xf numFmtId="4" fontId="0" fillId="0" borderId="38" xfId="0" applyNumberFormat="1" applyFont="1" applyFill="1" applyBorder="1"/>
    <xf numFmtId="15" fontId="0" fillId="0" borderId="38" xfId="0" applyNumberFormat="1" applyFont="1" applyFill="1" applyBorder="1"/>
    <xf numFmtId="164" fontId="0" fillId="0" borderId="38" xfId="0" applyNumberFormat="1" applyFont="1" applyFill="1" applyBorder="1"/>
    <xf numFmtId="165" fontId="0" fillId="0" borderId="38" xfId="0" applyNumberFormat="1" applyFont="1" applyFill="1" applyBorder="1"/>
    <xf numFmtId="165" fontId="14" fillId="0" borderId="38" xfId="0" applyNumberFormat="1" applyFont="1" applyFill="1" applyBorder="1"/>
    <xf numFmtId="0" fontId="0" fillId="0" borderId="38" xfId="0" applyFont="1" applyBorder="1"/>
    <xf numFmtId="44" fontId="0" fillId="0" borderId="38" xfId="1" applyFont="1" applyFill="1" applyBorder="1"/>
    <xf numFmtId="14" fontId="0" fillId="0" borderId="18" xfId="0" applyNumberFormat="1" applyFont="1" applyFill="1" applyBorder="1"/>
    <xf numFmtId="0" fontId="0" fillId="6" borderId="17" xfId="0" applyFont="1" applyFill="1" applyBorder="1" applyAlignment="1">
      <alignment textRotation="255"/>
    </xf>
    <xf numFmtId="0" fontId="0" fillId="6" borderId="15" xfId="0" applyFont="1" applyFill="1" applyBorder="1" applyAlignment="1">
      <alignment textRotation="255"/>
    </xf>
    <xf numFmtId="0" fontId="0" fillId="7" borderId="15" xfId="0" applyFont="1" applyFill="1" applyBorder="1" applyAlignment="1">
      <alignment textRotation="255"/>
    </xf>
    <xf numFmtId="166" fontId="0" fillId="0" borderId="0" xfId="1" applyNumberFormat="1" applyFont="1" applyFill="1"/>
    <xf numFmtId="0" fontId="0" fillId="3" borderId="15" xfId="0" applyFont="1" applyFill="1" applyBorder="1" applyAlignment="1">
      <alignment textRotation="255"/>
    </xf>
    <xf numFmtId="165" fontId="14" fillId="4" borderId="0" xfId="0" applyNumberFormat="1" applyFont="1" applyFill="1" applyBorder="1"/>
    <xf numFmtId="165" fontId="24" fillId="0" borderId="0" xfId="0" applyNumberFormat="1" applyFont="1" applyFill="1" applyBorder="1"/>
    <xf numFmtId="0" fontId="0" fillId="8" borderId="17" xfId="0" applyFont="1" applyFill="1" applyBorder="1" applyAlignment="1">
      <alignment textRotation="255"/>
    </xf>
    <xf numFmtId="0" fontId="0" fillId="8" borderId="15" xfId="0" applyFont="1" applyFill="1" applyBorder="1" applyAlignment="1">
      <alignment textRotation="255"/>
    </xf>
    <xf numFmtId="0" fontId="0" fillId="9" borderId="17" xfId="0" applyFont="1" applyFill="1" applyBorder="1" applyAlignment="1">
      <alignment textRotation="255"/>
    </xf>
    <xf numFmtId="0" fontId="0" fillId="9" borderId="15" xfId="0" applyFont="1" applyFill="1" applyBorder="1" applyAlignment="1">
      <alignment textRotation="255"/>
    </xf>
    <xf numFmtId="0" fontId="0" fillId="10" borderId="17" xfId="0" applyFont="1" applyFill="1" applyBorder="1" applyAlignment="1">
      <alignment textRotation="255"/>
    </xf>
    <xf numFmtId="0" fontId="0" fillId="10" borderId="15" xfId="0" applyFont="1" applyFill="1" applyBorder="1" applyAlignment="1">
      <alignment textRotation="255"/>
    </xf>
    <xf numFmtId="0" fontId="0" fillId="11" borderId="0" xfId="0" applyFont="1" applyFill="1" applyBorder="1"/>
    <xf numFmtId="4" fontId="15" fillId="0" borderId="0" xfId="0" applyNumberFormat="1" applyFont="1" applyAlignment="1">
      <alignment horizontal="center" vertical="center"/>
    </xf>
    <xf numFmtId="0" fontId="16" fillId="0" borderId="0" xfId="0" applyFont="1" applyAlignment="1">
      <alignment horizontal="center"/>
    </xf>
    <xf numFmtId="0" fontId="17" fillId="0" borderId="20" xfId="0" applyFont="1" applyBorder="1" applyAlignment="1">
      <alignment horizontal="center" vertical="center" wrapText="1"/>
    </xf>
    <xf numFmtId="0" fontId="17" fillId="0" borderId="21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18" fillId="0" borderId="20" xfId="0" applyFont="1" applyBorder="1" applyAlignment="1">
      <alignment horizontal="center" vertical="center"/>
    </xf>
    <xf numFmtId="0" fontId="18" fillId="0" borderId="21" xfId="0" applyFont="1" applyBorder="1" applyAlignment="1">
      <alignment horizontal="center" vertical="center"/>
    </xf>
  </cellXfs>
  <cellStyles count="3">
    <cellStyle name="Moneda" xfId="1" builtinId="4"/>
    <cellStyle name="Normal" xfId="0" builtinId="0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topLeftCell="A50" zoomScale="78" zoomScaleNormal="78" workbookViewId="0">
      <selection activeCell="G75" sqref="G75"/>
    </sheetView>
  </sheetViews>
  <sheetFormatPr baseColWidth="10" defaultRowHeight="15" x14ac:dyDescent="0.25"/>
  <cols>
    <col min="1" max="1" width="3.85546875" style="50" customWidth="1"/>
    <col min="2" max="2" width="6.28515625" style="50" customWidth="1"/>
    <col min="3" max="3" width="19.42578125" style="50" customWidth="1"/>
    <col min="4" max="4" width="28.7109375" style="50" customWidth="1"/>
    <col min="5" max="5" width="20.28515625" style="50" customWidth="1"/>
    <col min="6" max="6" width="22.28515625" style="50" customWidth="1"/>
    <col min="7" max="7" width="14.85546875" style="50" customWidth="1"/>
    <col min="8" max="8" width="19.5703125" style="50" customWidth="1"/>
    <col min="9" max="9" width="12.5703125" style="50" customWidth="1"/>
    <col min="10" max="10" width="21.85546875" style="50" customWidth="1"/>
    <col min="11" max="11" width="11.42578125" style="50"/>
    <col min="12" max="12" width="23.140625" style="50" customWidth="1"/>
    <col min="13" max="16384" width="11.42578125" style="50"/>
  </cols>
  <sheetData>
    <row r="1" spans="1:11" x14ac:dyDescent="0.25">
      <c r="A1" s="110"/>
      <c r="B1" s="67"/>
      <c r="C1" s="67"/>
      <c r="D1" s="67"/>
      <c r="E1" s="67"/>
      <c r="F1" s="67"/>
      <c r="G1" s="67"/>
      <c r="H1" s="67"/>
      <c r="I1" s="67"/>
      <c r="J1" s="67"/>
      <c r="K1" s="67"/>
    </row>
    <row r="2" spans="1:11" s="67" customFormat="1" x14ac:dyDescent="0.25"/>
    <row r="3" spans="1:11" s="71" customFormat="1" ht="12.75" x14ac:dyDescent="0.2">
      <c r="C3" s="91"/>
      <c r="G3" s="91"/>
    </row>
    <row r="4" spans="1:11" s="71" customFormat="1" ht="12.75" x14ac:dyDescent="0.2">
      <c r="C4" s="91"/>
      <c r="G4" s="91"/>
    </row>
    <row r="5" spans="1:11" s="71" customFormat="1" ht="12.75" x14ac:dyDescent="0.2">
      <c r="C5" s="91"/>
      <c r="G5" s="91"/>
    </row>
    <row r="6" spans="1:11" s="71" customFormat="1" ht="12.75" x14ac:dyDescent="0.2">
      <c r="C6" s="91"/>
    </row>
    <row r="7" spans="1:11" s="71" customFormat="1" ht="12.75" x14ac:dyDescent="0.2">
      <c r="C7" s="91"/>
      <c r="G7" s="100"/>
      <c r="I7" s="99"/>
    </row>
    <row r="8" spans="1:11" s="71" customFormat="1" ht="12.75" x14ac:dyDescent="0.2">
      <c r="C8" s="91"/>
      <c r="G8" s="111"/>
    </row>
    <row r="9" spans="1:11" s="71" customFormat="1" ht="12.75" x14ac:dyDescent="0.2">
      <c r="C9" s="91"/>
      <c r="G9" s="111"/>
    </row>
    <row r="10" spans="1:11" s="71" customFormat="1" ht="12.75" x14ac:dyDescent="0.2">
      <c r="C10" s="91"/>
      <c r="G10" s="111"/>
    </row>
    <row r="11" spans="1:11" s="71" customFormat="1" ht="12.75" x14ac:dyDescent="0.2">
      <c r="C11" s="91"/>
      <c r="G11" s="111"/>
    </row>
    <row r="12" spans="1:11" s="71" customFormat="1" ht="12.75" x14ac:dyDescent="0.2">
      <c r="C12" s="91"/>
      <c r="G12" s="91"/>
    </row>
    <row r="13" spans="1:11" s="71" customFormat="1" ht="12.75" x14ac:dyDescent="0.2">
      <c r="C13" s="91"/>
      <c r="G13" s="91"/>
      <c r="I13" s="99"/>
    </row>
    <row r="14" spans="1:11" s="71" customFormat="1" ht="12.75" x14ac:dyDescent="0.2">
      <c r="C14" s="91"/>
      <c r="G14" s="111"/>
    </row>
    <row r="15" spans="1:11" s="71" customFormat="1" ht="12.75" x14ac:dyDescent="0.2">
      <c r="C15" s="91"/>
      <c r="G15" s="100"/>
      <c r="I15" s="99"/>
    </row>
    <row r="16" spans="1:11" s="71" customFormat="1" ht="12.75" x14ac:dyDescent="0.2">
      <c r="C16" s="91"/>
      <c r="G16" s="100"/>
      <c r="I16" s="99"/>
    </row>
    <row r="17" spans="3:9" s="71" customFormat="1" ht="12.75" x14ac:dyDescent="0.2">
      <c r="C17" s="91"/>
      <c r="G17" s="91"/>
    </row>
    <row r="18" spans="3:9" s="71" customFormat="1" ht="12.75" x14ac:dyDescent="0.2">
      <c r="C18" s="91"/>
      <c r="G18" s="100"/>
      <c r="I18" s="99"/>
    </row>
    <row r="19" spans="3:9" s="71" customFormat="1" ht="12.75" x14ac:dyDescent="0.2">
      <c r="C19" s="91"/>
      <c r="G19" s="111"/>
    </row>
    <row r="20" spans="3:9" s="71" customFormat="1" ht="12.75" x14ac:dyDescent="0.2">
      <c r="C20" s="91"/>
      <c r="G20" s="111"/>
    </row>
    <row r="21" spans="3:9" s="71" customFormat="1" ht="12.75" x14ac:dyDescent="0.2">
      <c r="C21" s="91"/>
      <c r="G21" s="111"/>
    </row>
    <row r="22" spans="3:9" s="71" customFormat="1" ht="12.75" x14ac:dyDescent="0.2">
      <c r="C22" s="91"/>
      <c r="G22" s="100"/>
      <c r="I22" s="99"/>
    </row>
    <row r="23" spans="3:9" s="71" customFormat="1" ht="12.75" x14ac:dyDescent="0.2">
      <c r="C23" s="91"/>
      <c r="G23" s="91"/>
      <c r="I23" s="99"/>
    </row>
    <row r="24" spans="3:9" s="71" customFormat="1" ht="12.75" x14ac:dyDescent="0.2">
      <c r="C24" s="91"/>
      <c r="G24" s="91"/>
      <c r="I24" s="99"/>
    </row>
    <row r="25" spans="3:9" s="71" customFormat="1" ht="12.75" x14ac:dyDescent="0.2">
      <c r="C25" s="91"/>
      <c r="G25" s="91"/>
    </row>
    <row r="26" spans="3:9" s="71" customFormat="1" ht="12.75" x14ac:dyDescent="0.2">
      <c r="C26" s="91"/>
      <c r="G26" s="91"/>
    </row>
    <row r="27" spans="3:9" s="71" customFormat="1" ht="12.75" x14ac:dyDescent="0.2">
      <c r="C27" s="91"/>
      <c r="G27" s="91"/>
    </row>
    <row r="28" spans="3:9" s="71" customFormat="1" ht="12.75" x14ac:dyDescent="0.2">
      <c r="C28" s="91"/>
      <c r="G28" s="91"/>
    </row>
    <row r="29" spans="3:9" s="71" customFormat="1" ht="12.75" x14ac:dyDescent="0.2">
      <c r="C29" s="91"/>
      <c r="G29" s="100"/>
      <c r="I29" s="99"/>
    </row>
    <row r="30" spans="3:9" s="71" customFormat="1" ht="12.75" x14ac:dyDescent="0.2">
      <c r="C30" s="91"/>
      <c r="G30" s="111"/>
    </row>
    <row r="31" spans="3:9" s="71" customFormat="1" ht="12.75" x14ac:dyDescent="0.2">
      <c r="C31" s="91"/>
      <c r="G31" s="111"/>
    </row>
    <row r="32" spans="3:9" s="71" customFormat="1" ht="12.75" x14ac:dyDescent="0.2">
      <c r="C32" s="91"/>
      <c r="G32" s="100"/>
      <c r="I32" s="99"/>
    </row>
    <row r="33" spans="3:9" s="71" customFormat="1" ht="12.75" x14ac:dyDescent="0.2">
      <c r="C33" s="91"/>
      <c r="G33" s="111"/>
    </row>
    <row r="34" spans="3:9" s="71" customFormat="1" ht="12.75" x14ac:dyDescent="0.2">
      <c r="C34" s="91"/>
      <c r="G34" s="91"/>
    </row>
    <row r="35" spans="3:9" s="71" customFormat="1" ht="12.75" x14ac:dyDescent="0.2">
      <c r="C35" s="91"/>
      <c r="G35" s="111"/>
    </row>
    <row r="36" spans="3:9" s="71" customFormat="1" ht="12.75" x14ac:dyDescent="0.2">
      <c r="C36" s="91"/>
      <c r="G36" s="91"/>
    </row>
    <row r="37" spans="3:9" s="71" customFormat="1" ht="12.75" x14ac:dyDescent="0.2">
      <c r="C37" s="91"/>
      <c r="G37" s="100"/>
      <c r="I37" s="99"/>
    </row>
    <row r="38" spans="3:9" s="71" customFormat="1" ht="12.75" x14ac:dyDescent="0.2">
      <c r="C38" s="91"/>
      <c r="G38" s="100"/>
      <c r="I38" s="99"/>
    </row>
    <row r="39" spans="3:9" s="71" customFormat="1" ht="12.75" x14ac:dyDescent="0.2">
      <c r="C39" s="91"/>
      <c r="G39" s="91"/>
      <c r="I39" s="99"/>
    </row>
    <row r="40" spans="3:9" s="71" customFormat="1" ht="12.75" x14ac:dyDescent="0.2">
      <c r="C40" s="91"/>
      <c r="G40" s="91"/>
      <c r="I40" s="99"/>
    </row>
    <row r="41" spans="3:9" s="71" customFormat="1" ht="12.75" x14ac:dyDescent="0.2">
      <c r="C41" s="91"/>
      <c r="G41" s="100"/>
      <c r="I41" s="99"/>
    </row>
    <row r="42" spans="3:9" s="71" customFormat="1" ht="12.75" x14ac:dyDescent="0.2">
      <c r="C42" s="91"/>
      <c r="G42" s="111"/>
    </row>
    <row r="43" spans="3:9" s="71" customFormat="1" ht="12.75" x14ac:dyDescent="0.2">
      <c r="C43" s="91"/>
      <c r="G43" s="111"/>
    </row>
    <row r="44" spans="3:9" s="71" customFormat="1" ht="12.75" x14ac:dyDescent="0.2">
      <c r="C44" s="91"/>
      <c r="G44" s="91"/>
    </row>
    <row r="45" spans="3:9" s="71" customFormat="1" ht="12.75" x14ac:dyDescent="0.2">
      <c r="C45" s="91"/>
      <c r="G45" s="91"/>
    </row>
    <row r="46" spans="3:9" s="71" customFormat="1" ht="12.75" x14ac:dyDescent="0.2">
      <c r="C46" s="91"/>
      <c r="G46" s="91"/>
    </row>
    <row r="47" spans="3:9" s="71" customFormat="1" ht="12.75" x14ac:dyDescent="0.2">
      <c r="C47" s="91"/>
      <c r="G47" s="91"/>
    </row>
    <row r="48" spans="3:9" s="71" customFormat="1" ht="12.75" x14ac:dyDescent="0.2">
      <c r="C48" s="91"/>
      <c r="G48" s="91"/>
    </row>
    <row r="49" spans="3:9" s="71" customFormat="1" ht="12.75" x14ac:dyDescent="0.2">
      <c r="C49" s="91"/>
      <c r="G49" s="91"/>
    </row>
    <row r="50" spans="3:9" s="71" customFormat="1" ht="12.75" x14ac:dyDescent="0.2">
      <c r="C50" s="91"/>
      <c r="G50" s="91"/>
    </row>
    <row r="51" spans="3:9" s="71" customFormat="1" ht="12.75" x14ac:dyDescent="0.2">
      <c r="C51" s="91"/>
      <c r="G51" s="91"/>
    </row>
    <row r="52" spans="3:9" s="71" customFormat="1" ht="12.75" x14ac:dyDescent="0.2">
      <c r="C52" s="91"/>
      <c r="G52" s="91"/>
    </row>
    <row r="53" spans="3:9" s="71" customFormat="1" ht="12.75" x14ac:dyDescent="0.2">
      <c r="C53" s="91"/>
      <c r="G53" s="91"/>
    </row>
    <row r="54" spans="3:9" s="71" customFormat="1" ht="12.75" x14ac:dyDescent="0.2">
      <c r="C54" s="91"/>
      <c r="G54" s="100"/>
      <c r="I54" s="99"/>
    </row>
    <row r="55" spans="3:9" s="71" customFormat="1" ht="12.75" x14ac:dyDescent="0.2">
      <c r="C55" s="91"/>
      <c r="G55" s="91"/>
    </row>
    <row r="56" spans="3:9" s="71" customFormat="1" ht="12.75" x14ac:dyDescent="0.2">
      <c r="C56" s="91"/>
      <c r="G56" s="91"/>
    </row>
    <row r="57" spans="3:9" s="71" customFormat="1" ht="12.75" x14ac:dyDescent="0.2">
      <c r="C57" s="91"/>
      <c r="G57" s="91"/>
    </row>
    <row r="58" spans="3:9" s="71" customFormat="1" ht="12.75" x14ac:dyDescent="0.2">
      <c r="C58" s="91"/>
      <c r="G58" s="91"/>
    </row>
    <row r="59" spans="3:9" s="71" customFormat="1" ht="12.75" x14ac:dyDescent="0.2">
      <c r="C59" s="91"/>
      <c r="G59" s="91"/>
    </row>
    <row r="60" spans="3:9" s="71" customFormat="1" ht="12.75" x14ac:dyDescent="0.2">
      <c r="C60" s="91"/>
      <c r="G60" s="91"/>
    </row>
    <row r="61" spans="3:9" s="71" customFormat="1" ht="12.75" x14ac:dyDescent="0.2">
      <c r="C61" s="91"/>
      <c r="G61" s="91"/>
    </row>
    <row r="62" spans="3:9" s="71" customFormat="1" ht="12.75" x14ac:dyDescent="0.2">
      <c r="C62" s="91"/>
      <c r="G62" s="91"/>
    </row>
    <row r="63" spans="3:9" s="71" customFormat="1" ht="12.75" x14ac:dyDescent="0.2">
      <c r="C63" s="91"/>
      <c r="G63" s="91"/>
    </row>
    <row r="64" spans="3:9" s="71" customFormat="1" ht="12.75" x14ac:dyDescent="0.2">
      <c r="C64" s="91"/>
      <c r="G64" s="91"/>
    </row>
    <row r="65" spans="3:7" s="71" customFormat="1" ht="12.75" x14ac:dyDescent="0.2">
      <c r="C65" s="91"/>
      <c r="G65" s="91"/>
    </row>
    <row r="66" spans="3:7" s="71" customFormat="1" ht="12.75" x14ac:dyDescent="0.2">
      <c r="C66" s="91"/>
      <c r="G66" s="91"/>
    </row>
    <row r="67" spans="3:7" s="71" customFormat="1" ht="12.75" x14ac:dyDescent="0.2">
      <c r="C67" s="91"/>
      <c r="G67" s="91"/>
    </row>
    <row r="68" spans="3:7" s="71" customFormat="1" ht="12.75" x14ac:dyDescent="0.2">
      <c r="C68" s="91"/>
      <c r="G68" s="91"/>
    </row>
    <row r="69" spans="3:7" s="71" customFormat="1" ht="12.75" x14ac:dyDescent="0.2">
      <c r="C69" s="91"/>
      <c r="G69" s="91"/>
    </row>
    <row r="70" spans="3:7" s="71" customFormat="1" ht="12.75" x14ac:dyDescent="0.2">
      <c r="C70" s="91"/>
      <c r="G70" s="91"/>
    </row>
    <row r="71" spans="3:7" s="67" customFormat="1" x14ac:dyDescent="0.25"/>
    <row r="72" spans="3:7" s="67" customFormat="1" ht="15.75" x14ac:dyDescent="0.25">
      <c r="C72" s="74"/>
      <c r="D72" s="74"/>
      <c r="E72" s="165"/>
    </row>
    <row r="73" spans="3:7" s="67" customFormat="1" x14ac:dyDescent="0.25">
      <c r="D73" s="72"/>
      <c r="E73" s="73"/>
    </row>
    <row r="74" spans="3:7" s="67" customFormat="1" ht="15.75" x14ac:dyDescent="0.25">
      <c r="D74" s="74"/>
      <c r="E74" s="48"/>
    </row>
    <row r="75" spans="3:7" s="67" customFormat="1" ht="15.75" x14ac:dyDescent="0.25">
      <c r="D75" s="74"/>
      <c r="E75" s="74"/>
    </row>
    <row r="76" spans="3:7" s="67" customFormat="1" ht="15.75" x14ac:dyDescent="0.25">
      <c r="D76" s="74"/>
      <c r="E76" s="74"/>
    </row>
    <row r="77" spans="3:7" s="67" customFormat="1" ht="15.75" x14ac:dyDescent="0.25">
      <c r="D77" s="74"/>
      <c r="E77" s="74"/>
    </row>
    <row r="78" spans="3:7" s="67" customFormat="1" ht="15.75" x14ac:dyDescent="0.25">
      <c r="D78" s="74"/>
      <c r="E78" s="74"/>
    </row>
    <row r="79" spans="3:7" s="67" customFormat="1" x14ac:dyDescent="0.25">
      <c r="D79" s="112"/>
      <c r="E79" s="112"/>
    </row>
    <row r="80" spans="3:7" s="67" customFormat="1" x14ac:dyDescent="0.25"/>
    <row r="81" spans="3:5" s="67" customFormat="1" ht="15.75" x14ac:dyDescent="0.25">
      <c r="D81" s="74"/>
      <c r="E81" s="74"/>
    </row>
    <row r="82" spans="3:5" s="67" customFormat="1" ht="15.75" x14ac:dyDescent="0.25">
      <c r="D82" s="74"/>
      <c r="E82" s="74"/>
    </row>
    <row r="83" spans="3:5" s="67" customFormat="1" ht="15.75" x14ac:dyDescent="0.25">
      <c r="D83" s="74"/>
      <c r="E83" s="74"/>
    </row>
    <row r="84" spans="3:5" s="67" customFormat="1" x14ac:dyDescent="0.25">
      <c r="D84" s="112"/>
      <c r="E84" s="112"/>
    </row>
    <row r="85" spans="3:5" s="67" customFormat="1" ht="15.75" x14ac:dyDescent="0.25">
      <c r="D85" s="112"/>
      <c r="E85" s="74"/>
    </row>
    <row r="86" spans="3:5" s="67" customFormat="1" x14ac:dyDescent="0.25">
      <c r="D86" s="72"/>
      <c r="E86" s="73"/>
    </row>
    <row r="87" spans="3:5" s="67" customFormat="1" x14ac:dyDescent="0.25">
      <c r="C87" s="75"/>
      <c r="D87" s="76"/>
      <c r="E87" s="73"/>
    </row>
    <row r="88" spans="3:5" s="67" customFormat="1" x14ac:dyDescent="0.25">
      <c r="C88" s="75"/>
      <c r="D88" s="76"/>
      <c r="E88" s="73"/>
    </row>
    <row r="89" spans="3:5" s="67" customFormat="1" x14ac:dyDescent="0.25">
      <c r="C89" s="75"/>
      <c r="D89" s="76"/>
      <c r="E89" s="73"/>
    </row>
    <row r="90" spans="3:5" s="67" customFormat="1" x14ac:dyDescent="0.25">
      <c r="C90" s="75"/>
    </row>
    <row r="91" spans="3:5" s="67" customFormat="1" x14ac:dyDescent="0.25">
      <c r="C91" s="75"/>
    </row>
    <row r="92" spans="3:5" s="67" customFormat="1" x14ac:dyDescent="0.25"/>
    <row r="93" spans="3:5" s="67" customFormat="1" x14ac:dyDescent="0.25"/>
    <row r="94" spans="3:5" s="67" customFormat="1" x14ac:dyDescent="0.25">
      <c r="C94" s="75"/>
      <c r="D94" s="76"/>
    </row>
    <row r="95" spans="3:5" s="67" customFormat="1" x14ac:dyDescent="0.25">
      <c r="C95" s="75"/>
      <c r="D95" s="76"/>
    </row>
    <row r="96" spans="3:5" s="67" customFormat="1" x14ac:dyDescent="0.25">
      <c r="C96" s="75"/>
    </row>
    <row r="97" spans="3:7" s="67" customFormat="1" x14ac:dyDescent="0.25"/>
    <row r="98" spans="3:7" s="71" customFormat="1" ht="12.75" x14ac:dyDescent="0.2">
      <c r="C98" s="91"/>
      <c r="G98" s="91"/>
    </row>
    <row r="99" spans="3:7" s="71" customFormat="1" ht="12.75" x14ac:dyDescent="0.2">
      <c r="C99" s="91"/>
      <c r="G99" s="91"/>
    </row>
    <row r="100" spans="3:7" s="71" customFormat="1" ht="12.75" x14ac:dyDescent="0.2">
      <c r="C100" s="91"/>
      <c r="G100" s="9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Z105"/>
  <sheetViews>
    <sheetView tabSelected="1" zoomScale="75" zoomScaleNormal="75" workbookViewId="0">
      <selection activeCell="AG38" sqref="AG38"/>
    </sheetView>
  </sheetViews>
  <sheetFormatPr baseColWidth="10" defaultRowHeight="15" x14ac:dyDescent="0.25"/>
  <cols>
    <col min="1" max="1" width="3.140625" customWidth="1"/>
    <col min="2" max="2" width="18.5703125" customWidth="1"/>
    <col min="3" max="3" width="12.140625" customWidth="1"/>
    <col min="4" max="4" width="18.7109375" customWidth="1"/>
    <col min="5" max="5" width="11.140625" customWidth="1"/>
    <col min="6" max="6" width="13.28515625" bestFit="1" customWidth="1"/>
    <col min="9" max="9" width="11.7109375" customWidth="1"/>
    <col min="10" max="10" width="12.140625" hidden="1" customWidth="1"/>
    <col min="11" max="11" width="0" hidden="1" customWidth="1"/>
    <col min="13" max="13" width="4.85546875" customWidth="1"/>
    <col min="14" max="14" width="7.85546875" hidden="1" customWidth="1"/>
    <col min="15" max="18" width="0" hidden="1" customWidth="1"/>
    <col min="19" max="19" width="12.5703125" customWidth="1"/>
    <col min="20" max="23" width="0" hidden="1" customWidth="1"/>
    <col min="25" max="25" width="15.7109375" customWidth="1"/>
    <col min="26" max="26" width="12.5703125" customWidth="1"/>
  </cols>
  <sheetData>
    <row r="2" spans="1:26" s="51" customFormat="1" x14ac:dyDescent="0.25">
      <c r="A2" s="77" t="s">
        <v>68</v>
      </c>
      <c r="R2" s="51" t="s">
        <v>0</v>
      </c>
      <c r="S2" s="51" t="s">
        <v>1</v>
      </c>
      <c r="U2" s="51" t="s">
        <v>2</v>
      </c>
      <c r="Y2" s="81"/>
    </row>
    <row r="3" spans="1:26" s="51" customFormat="1" ht="15.75" thickBot="1" x14ac:dyDescent="0.3">
      <c r="A3" s="87"/>
      <c r="B3" s="52" t="s">
        <v>3</v>
      </c>
      <c r="C3" s="52" t="s">
        <v>4</v>
      </c>
      <c r="D3" s="52" t="s">
        <v>5</v>
      </c>
      <c r="E3" s="52" t="s">
        <v>6</v>
      </c>
      <c r="F3" s="53" t="s">
        <v>7</v>
      </c>
      <c r="G3" s="53" t="s">
        <v>8</v>
      </c>
      <c r="H3" s="53" t="s">
        <v>9</v>
      </c>
      <c r="I3" s="54" t="s">
        <v>10</v>
      </c>
      <c r="J3" s="52" t="s">
        <v>11</v>
      </c>
      <c r="K3" s="55" t="s">
        <v>12</v>
      </c>
      <c r="L3" s="55" t="s">
        <v>13</v>
      </c>
      <c r="M3" s="52" t="s">
        <v>14</v>
      </c>
      <c r="N3" s="52" t="s">
        <v>15</v>
      </c>
      <c r="O3" s="56" t="s">
        <v>16</v>
      </c>
      <c r="P3" s="57" t="s">
        <v>17</v>
      </c>
      <c r="Q3" s="56" t="s">
        <v>18</v>
      </c>
      <c r="R3" s="56" t="s">
        <v>19</v>
      </c>
      <c r="S3" s="56" t="s">
        <v>20</v>
      </c>
      <c r="T3" s="56" t="s">
        <v>21</v>
      </c>
      <c r="U3" s="56"/>
      <c r="V3" s="56" t="s">
        <v>22</v>
      </c>
      <c r="W3" s="56" t="s">
        <v>23</v>
      </c>
      <c r="X3" s="56" t="s">
        <v>24</v>
      </c>
      <c r="Y3" s="89" t="s">
        <v>25</v>
      </c>
      <c r="Z3" s="56"/>
    </row>
    <row r="4" spans="1:26" s="51" customFormat="1" ht="15.75" thickBot="1" x14ac:dyDescent="0.3">
      <c r="A4" s="166"/>
      <c r="B4" s="151" t="s">
        <v>26</v>
      </c>
      <c r="C4" s="151" t="s">
        <v>27</v>
      </c>
      <c r="D4" s="151" t="s">
        <v>51</v>
      </c>
      <c r="E4" s="152">
        <v>150</v>
      </c>
      <c r="F4" s="153">
        <v>13858.7</v>
      </c>
      <c r="G4" s="154">
        <f>2760+11560</f>
        <v>14320</v>
      </c>
      <c r="H4" s="154">
        <f t="shared" ref="H4:H5" si="0">G4-F4</f>
        <v>461.29999999999927</v>
      </c>
      <c r="I4" s="151" t="s">
        <v>69</v>
      </c>
      <c r="J4" s="152"/>
      <c r="K4" s="155"/>
      <c r="L4" s="155">
        <v>41609</v>
      </c>
      <c r="M4" s="151" t="s">
        <v>50</v>
      </c>
      <c r="N4" s="152"/>
      <c r="O4" s="156">
        <v>32.299999999999997</v>
      </c>
      <c r="P4" s="157"/>
      <c r="Q4" s="156"/>
      <c r="R4" s="156"/>
      <c r="S4" s="158"/>
      <c r="T4" s="158"/>
      <c r="U4" s="156">
        <f>E4*5</f>
        <v>750</v>
      </c>
      <c r="V4" s="159"/>
      <c r="W4" s="156">
        <f>((O4*F4)+Q4+R4+S4+U4)/G4</f>
        <v>31.31187220670391</v>
      </c>
      <c r="X4" s="156">
        <f>((O4*F4)+R4+S4+T4+U4)/G4</f>
        <v>31.31187220670391</v>
      </c>
      <c r="Y4" s="160">
        <f t="shared" ref="Y4:Y5" si="1">X4*F4</f>
        <v>433941.84335104749</v>
      </c>
      <c r="Z4" s="161">
        <v>41617</v>
      </c>
    </row>
    <row r="5" spans="1:26" s="51" customFormat="1" x14ac:dyDescent="0.25">
      <c r="A5" s="164"/>
      <c r="B5" s="151" t="s">
        <v>26</v>
      </c>
      <c r="C5" s="151" t="s">
        <v>27</v>
      </c>
      <c r="D5" s="151" t="s">
        <v>51</v>
      </c>
      <c r="E5" s="152">
        <v>249</v>
      </c>
      <c r="F5" s="153">
        <v>20597.8</v>
      </c>
      <c r="G5" s="154">
        <f>17260+3310</f>
        <v>20570</v>
      </c>
      <c r="H5" s="154">
        <f t="shared" si="0"/>
        <v>-27.799999999999272</v>
      </c>
      <c r="I5" s="151" t="s">
        <v>70</v>
      </c>
      <c r="J5" s="152"/>
      <c r="K5" s="155"/>
      <c r="L5" s="155">
        <v>41610</v>
      </c>
      <c r="M5" s="151" t="s">
        <v>28</v>
      </c>
      <c r="N5" s="152"/>
      <c r="O5" s="156">
        <v>32.299999999999997</v>
      </c>
      <c r="P5" s="157"/>
      <c r="Q5" s="156"/>
      <c r="R5" s="156"/>
      <c r="S5" s="158"/>
      <c r="T5" s="158"/>
      <c r="U5" s="156">
        <f>E5*5</f>
        <v>1245</v>
      </c>
      <c r="V5" s="159"/>
      <c r="W5" s="156">
        <f>((O5*F5)+Q5+R5+S5+U5)/G5</f>
        <v>32.404177929022843</v>
      </c>
      <c r="X5" s="156">
        <f>((O5*F5)+R5+S5+T5+U5)/G5</f>
        <v>32.404177929022843</v>
      </c>
      <c r="Y5" s="160">
        <f t="shared" si="1"/>
        <v>667454.77614642668</v>
      </c>
      <c r="Z5" s="161">
        <v>41617</v>
      </c>
    </row>
    <row r="6" spans="1:26" s="51" customFormat="1" x14ac:dyDescent="0.25">
      <c r="A6" s="164"/>
      <c r="B6" s="58" t="s">
        <v>29</v>
      </c>
      <c r="C6" s="11" t="s">
        <v>35</v>
      </c>
      <c r="D6" s="11" t="s">
        <v>35</v>
      </c>
      <c r="E6" s="11" t="s">
        <v>52</v>
      </c>
      <c r="F6" s="95">
        <f>41710*0.4536</f>
        <v>18919.655999999999</v>
      </c>
      <c r="G6" s="59">
        <v>18740.32</v>
      </c>
      <c r="H6" s="59">
        <f>G6-F6</f>
        <v>-179.33599999999933</v>
      </c>
      <c r="I6" s="94" t="s">
        <v>71</v>
      </c>
      <c r="J6" s="64" t="s">
        <v>54</v>
      </c>
      <c r="K6" s="60">
        <v>41607</v>
      </c>
      <c r="L6" s="60">
        <v>41610</v>
      </c>
      <c r="M6" s="94" t="s">
        <v>28</v>
      </c>
      <c r="N6" s="94" t="s">
        <v>65</v>
      </c>
      <c r="O6" s="61"/>
      <c r="P6" s="80">
        <v>0.91539999999999999</v>
      </c>
      <c r="Q6" s="61">
        <v>17000</v>
      </c>
      <c r="R6" s="61">
        <v>7710</v>
      </c>
      <c r="S6" s="96">
        <v>13.26</v>
      </c>
      <c r="T6" s="97">
        <f>W6*F6*0.005</f>
        <v>2665.6311934037622</v>
      </c>
      <c r="V6" s="61">
        <v>0.1</v>
      </c>
      <c r="W6" s="61">
        <f>IF(O6&gt;0,O6,((P6*2.2046*S6)+(Q6+R6)/G6)+V6)</f>
        <v>28.178431927131893</v>
      </c>
      <c r="X6" s="61">
        <f>IF(O6&gt;0,O6,((P6*2.2046*S6)+(Q6+R6+T6)/G6)+V6)</f>
        <v>28.320672358106592</v>
      </c>
      <c r="Y6" s="81">
        <f>X6*F6</f>
        <v>535817.37870408548</v>
      </c>
      <c r="Z6" s="63">
        <v>41637</v>
      </c>
    </row>
    <row r="7" spans="1:26" s="51" customFormat="1" x14ac:dyDescent="0.25">
      <c r="A7" s="164"/>
      <c r="B7" s="58" t="s">
        <v>29</v>
      </c>
      <c r="C7" s="94" t="s">
        <v>30</v>
      </c>
      <c r="D7" s="94" t="s">
        <v>60</v>
      </c>
      <c r="E7" s="11" t="s">
        <v>31</v>
      </c>
      <c r="F7" s="95">
        <f>43108*0.4536</f>
        <v>19553.788799999998</v>
      </c>
      <c r="G7" s="59">
        <v>19441.060000000001</v>
      </c>
      <c r="H7" s="59">
        <f t="shared" ref="H7" si="2">G7-F7</f>
        <v>-112.72879999999714</v>
      </c>
      <c r="I7" s="94" t="s">
        <v>72</v>
      </c>
      <c r="J7" s="11"/>
      <c r="K7" s="60">
        <v>41607</v>
      </c>
      <c r="L7" s="60">
        <v>41610</v>
      </c>
      <c r="M7" s="94" t="s">
        <v>28</v>
      </c>
      <c r="N7" s="11" t="s">
        <v>73</v>
      </c>
      <c r="O7" s="61"/>
      <c r="P7" s="80">
        <v>0.97040000000000004</v>
      </c>
      <c r="Q7" s="61"/>
      <c r="R7" s="61"/>
      <c r="S7" s="96">
        <v>13.26</v>
      </c>
      <c r="T7" s="98"/>
      <c r="V7" s="61"/>
      <c r="W7" s="61">
        <f>IF(O7&gt;0,O7,((P7*2.2046*S7)+(Q7+R7)/G7)+V7)</f>
        <v>28.3676993184</v>
      </c>
      <c r="X7" s="61">
        <f>IF(O7&gt;0,O7,((P7*2.2046*S7)+(Q7+R7+T7)/G7)+V7)</f>
        <v>28.3676993184</v>
      </c>
      <c r="Y7" s="81">
        <f t="shared" ref="Y7" si="3">X7*F7</f>
        <v>554696.00121389749</v>
      </c>
      <c r="Z7" s="63">
        <v>41610</v>
      </c>
    </row>
    <row r="8" spans="1:26" s="51" customFormat="1" x14ac:dyDescent="0.25">
      <c r="A8" s="164"/>
      <c r="B8" s="58" t="s">
        <v>44</v>
      </c>
      <c r="C8" s="11" t="s">
        <v>45</v>
      </c>
      <c r="D8" s="11" t="s">
        <v>46</v>
      </c>
      <c r="E8" s="11" t="s">
        <v>34</v>
      </c>
      <c r="F8" s="95">
        <v>19165.099999999999</v>
      </c>
      <c r="G8" s="59">
        <v>19121.97</v>
      </c>
      <c r="H8" s="59">
        <f>G8-F8</f>
        <v>-43.129999999997381</v>
      </c>
      <c r="I8" s="94" t="s">
        <v>74</v>
      </c>
      <c r="J8" s="11"/>
      <c r="K8" s="60">
        <v>41607</v>
      </c>
      <c r="L8" s="60">
        <v>41610</v>
      </c>
      <c r="M8" s="94" t="s">
        <v>28</v>
      </c>
      <c r="N8" s="94" t="s">
        <v>75</v>
      </c>
      <c r="O8" s="61"/>
      <c r="P8" s="80">
        <v>2.1389999999999998</v>
      </c>
      <c r="Q8" s="61"/>
      <c r="R8" s="61"/>
      <c r="S8" s="96">
        <v>13.135</v>
      </c>
      <c r="T8" s="96"/>
      <c r="U8" s="61"/>
      <c r="V8" s="61"/>
      <c r="W8" s="61">
        <f>IF(O8&gt;0,O8,((P8*S8)+(Q8+R8)/G8)+V8)</f>
        <v>28.095764999999997</v>
      </c>
      <c r="X8" s="61">
        <f>IF(O8&gt;0,O8,((P8*S8)+(Q8+R8+T8)/G8)+V8)</f>
        <v>28.095764999999997</v>
      </c>
      <c r="Y8" s="81">
        <f>X8*F8</f>
        <v>538458.14580149984</v>
      </c>
      <c r="Z8" s="63">
        <v>41610</v>
      </c>
    </row>
    <row r="9" spans="1:26" s="51" customFormat="1" x14ac:dyDescent="0.25">
      <c r="A9" s="164"/>
      <c r="B9" s="58" t="s">
        <v>29</v>
      </c>
      <c r="C9" s="11" t="s">
        <v>59</v>
      </c>
      <c r="D9" s="11" t="s">
        <v>59</v>
      </c>
      <c r="E9" s="11" t="s">
        <v>34</v>
      </c>
      <c r="F9" s="95">
        <f>41659*0.4536</f>
        <v>18896.522400000002</v>
      </c>
      <c r="G9" s="59">
        <v>18813.82</v>
      </c>
      <c r="H9" s="59">
        <f t="shared" ref="H9:H14" si="4">G9-F9</f>
        <v>-82.702400000001944</v>
      </c>
      <c r="I9" s="94" t="s">
        <v>76</v>
      </c>
      <c r="J9" s="64" t="s">
        <v>37</v>
      </c>
      <c r="K9" s="60">
        <v>41610</v>
      </c>
      <c r="L9" s="60">
        <v>41611</v>
      </c>
      <c r="M9" s="94" t="s">
        <v>38</v>
      </c>
      <c r="N9" s="94" t="s">
        <v>77</v>
      </c>
      <c r="O9" s="61"/>
      <c r="P9" s="80">
        <v>0.92279999999999995</v>
      </c>
      <c r="Q9" s="61">
        <v>17000</v>
      </c>
      <c r="R9" s="61">
        <v>7710</v>
      </c>
      <c r="S9" s="96">
        <v>13.085000000000001</v>
      </c>
      <c r="T9" s="97">
        <f>W9*F9*0.005</f>
        <v>2648.6862467483288</v>
      </c>
      <c r="V9" s="61">
        <v>0.1</v>
      </c>
      <c r="W9" s="61">
        <f>IF(O9&gt;0,O9,((P9*2.2046*S9)+(Q9+R9)/G9)+V9)</f>
        <v>28.033584070985764</v>
      </c>
      <c r="X9" s="61">
        <f>IF(O9&gt;0,O9,((P9*2.2046*S9)+(Q9+R9+T9)/G9)+V9)</f>
        <v>28.174368146029977</v>
      </c>
      <c r="Y9" s="81">
        <f t="shared" ref="Y9:Y14" si="5">X9*F9</f>
        <v>532397.57877730194</v>
      </c>
      <c r="Z9" s="63">
        <v>41612</v>
      </c>
    </row>
    <row r="10" spans="1:26" s="51" customFormat="1" x14ac:dyDescent="0.25">
      <c r="A10" s="164"/>
      <c r="B10" s="58" t="s">
        <v>29</v>
      </c>
      <c r="C10" s="11" t="s">
        <v>35</v>
      </c>
      <c r="D10" s="11" t="s">
        <v>35</v>
      </c>
      <c r="E10" s="11" t="s">
        <v>34</v>
      </c>
      <c r="F10" s="95">
        <f>40614*0.4536</f>
        <v>18422.510399999999</v>
      </c>
      <c r="G10" s="59">
        <v>18296.009999999998</v>
      </c>
      <c r="H10" s="59">
        <f t="shared" si="4"/>
        <v>-126.50040000000081</v>
      </c>
      <c r="I10" s="94" t="s">
        <v>78</v>
      </c>
      <c r="J10" s="64" t="s">
        <v>37</v>
      </c>
      <c r="K10" s="60">
        <v>41611</v>
      </c>
      <c r="L10" s="60">
        <v>41612</v>
      </c>
      <c r="M10" s="94" t="s">
        <v>41</v>
      </c>
      <c r="N10" s="94" t="s">
        <v>79</v>
      </c>
      <c r="O10" s="61"/>
      <c r="P10" s="80">
        <v>0.94259999999999999</v>
      </c>
      <c r="Q10" s="61">
        <v>17000</v>
      </c>
      <c r="R10" s="61">
        <v>7723</v>
      </c>
      <c r="S10" s="96">
        <v>13.085000000000001</v>
      </c>
      <c r="T10" s="97">
        <f>W10*F10*0.005</f>
        <v>2638.3467093523791</v>
      </c>
      <c r="V10" s="61">
        <v>0.1</v>
      </c>
      <c r="W10" s="61">
        <f>IF(O10&gt;0,O10,((P10*2.2046*S10)+(Q10+R10)/G10)+V10)</f>
        <v>28.642640466115616</v>
      </c>
      <c r="X10" s="61">
        <f>IF(O10&gt;0,O10,((P10*2.2046*S10)+(Q10+R10+T10)/G10)+V10)</f>
        <v>28.786843858513873</v>
      </c>
      <c r="Y10" s="81">
        <f t="shared" si="5"/>
        <v>530325.9303666479</v>
      </c>
      <c r="Z10" s="63">
        <v>41612</v>
      </c>
    </row>
    <row r="11" spans="1:26" s="51" customFormat="1" x14ac:dyDescent="0.25">
      <c r="A11" s="164"/>
      <c r="B11" s="58" t="s">
        <v>29</v>
      </c>
      <c r="C11" s="11" t="s">
        <v>35</v>
      </c>
      <c r="D11" s="11" t="s">
        <v>35</v>
      </c>
      <c r="E11" s="11" t="s">
        <v>34</v>
      </c>
      <c r="F11" s="95">
        <f>40918*0.4536</f>
        <v>18560.4048</v>
      </c>
      <c r="G11" s="59">
        <v>18450.150000000001</v>
      </c>
      <c r="H11" s="59">
        <f t="shared" si="4"/>
        <v>-110.2547999999988</v>
      </c>
      <c r="I11" s="94" t="s">
        <v>80</v>
      </c>
      <c r="J11" s="64" t="s">
        <v>37</v>
      </c>
      <c r="K11" s="60">
        <v>41610</v>
      </c>
      <c r="L11" s="60">
        <v>41610</v>
      </c>
      <c r="M11" s="94" t="s">
        <v>38</v>
      </c>
      <c r="N11" s="94" t="s">
        <v>79</v>
      </c>
      <c r="O11" s="61"/>
      <c r="P11" s="80">
        <v>0.94259999999999999</v>
      </c>
      <c r="Q11" s="61">
        <v>17000</v>
      </c>
      <c r="R11" s="61">
        <v>7710</v>
      </c>
      <c r="S11" s="96">
        <v>12.98</v>
      </c>
      <c r="T11" s="97">
        <f>W11*F11*0.005</f>
        <v>2636.7329470968671</v>
      </c>
      <c r="V11" s="61">
        <v>0.1</v>
      </c>
      <c r="W11" s="61">
        <f>IF(O11&gt;0,O11,((P11*2.2046*S11)+(Q11+R11)/G11)+V11)</f>
        <v>28.412450865262024</v>
      </c>
      <c r="X11" s="61">
        <f>IF(O11&gt;0,O11,((P11*2.2046*S11)+(Q11+R11+T11)/G11)+V11)</f>
        <v>28.555362058238607</v>
      </c>
      <c r="Y11" s="81">
        <f t="shared" si="5"/>
        <v>529999.07901146973</v>
      </c>
      <c r="Z11" s="63">
        <v>41612</v>
      </c>
    </row>
    <row r="12" spans="1:26" s="51" customFormat="1" x14ac:dyDescent="0.25">
      <c r="A12" s="164"/>
      <c r="B12" s="94" t="s">
        <v>26</v>
      </c>
      <c r="C12" s="94" t="s">
        <v>27</v>
      </c>
      <c r="D12" s="94" t="s">
        <v>51</v>
      </c>
      <c r="E12" s="11">
        <v>250</v>
      </c>
      <c r="F12" s="95">
        <v>20339.900000000001</v>
      </c>
      <c r="G12" s="59">
        <v>20300</v>
      </c>
      <c r="H12" s="59">
        <f t="shared" si="4"/>
        <v>-39.900000000001455</v>
      </c>
      <c r="I12" s="94" t="s">
        <v>81</v>
      </c>
      <c r="J12" s="11"/>
      <c r="K12" s="60"/>
      <c r="L12" s="60">
        <v>41611</v>
      </c>
      <c r="M12" s="94" t="s">
        <v>38</v>
      </c>
      <c r="N12" s="11"/>
      <c r="O12" s="61">
        <v>32.299999999999997</v>
      </c>
      <c r="P12" s="80"/>
      <c r="Q12" s="61"/>
      <c r="R12" s="61"/>
      <c r="S12" s="96"/>
      <c r="T12" s="98"/>
      <c r="U12" s="61">
        <f>E12*5</f>
        <v>1250</v>
      </c>
      <c r="V12" s="87"/>
      <c r="W12" s="61">
        <f>((O12*F12)+Q12+R12+S12+U12)/G12</f>
        <v>32.425062561576354</v>
      </c>
      <c r="X12" s="61">
        <f>((O12*F12)+R12+S12+T12+U12)/G12</f>
        <v>32.425062561576354</v>
      </c>
      <c r="Y12" s="81">
        <f t="shared" si="5"/>
        <v>659522.52999620698</v>
      </c>
      <c r="Z12" s="63">
        <v>41618</v>
      </c>
    </row>
    <row r="13" spans="1:26" s="51" customFormat="1" x14ac:dyDescent="0.25">
      <c r="A13" s="164"/>
      <c r="B13" s="94" t="s">
        <v>26</v>
      </c>
      <c r="C13" s="94" t="s">
        <v>27</v>
      </c>
      <c r="D13" s="94" t="s">
        <v>51</v>
      </c>
      <c r="E13" s="11">
        <f>219+30</f>
        <v>249</v>
      </c>
      <c r="F13" s="95">
        <v>21198.400000000001</v>
      </c>
      <c r="G13" s="59">
        <f>2580+18620</f>
        <v>21200</v>
      </c>
      <c r="H13" s="59">
        <f t="shared" si="4"/>
        <v>1.5999999999985448</v>
      </c>
      <c r="I13" s="94" t="s">
        <v>82</v>
      </c>
      <c r="J13" s="11"/>
      <c r="K13" s="60"/>
      <c r="L13" s="60">
        <v>41612</v>
      </c>
      <c r="M13" s="94" t="s">
        <v>41</v>
      </c>
      <c r="N13" s="11"/>
      <c r="O13" s="61">
        <v>32.299999999999997</v>
      </c>
      <c r="P13" s="80"/>
      <c r="Q13" s="61"/>
      <c r="R13" s="61"/>
      <c r="S13" s="96"/>
      <c r="T13" s="98"/>
      <c r="U13" s="61">
        <f>E13*5</f>
        <v>1245</v>
      </c>
      <c r="V13" s="87"/>
      <c r="W13" s="61">
        <f>((O13*F13)+Q13+R13+S13+U13)/G13</f>
        <v>32.356288679245282</v>
      </c>
      <c r="X13" s="61">
        <f>((O13*F13)+R13+S13+T13+U13)/G13</f>
        <v>32.356288679245282</v>
      </c>
      <c r="Y13" s="81">
        <f t="shared" si="5"/>
        <v>685901.5499381132</v>
      </c>
      <c r="Z13" s="63">
        <v>41619</v>
      </c>
    </row>
    <row r="14" spans="1:26" s="51" customFormat="1" x14ac:dyDescent="0.25">
      <c r="A14" s="164"/>
      <c r="B14" s="58" t="s">
        <v>29</v>
      </c>
      <c r="C14" s="94" t="s">
        <v>30</v>
      </c>
      <c r="D14" s="94" t="s">
        <v>30</v>
      </c>
      <c r="E14" s="11" t="s">
        <v>31</v>
      </c>
      <c r="F14" s="95">
        <f>43112*0.4536</f>
        <v>19555.603200000001</v>
      </c>
      <c r="G14" s="59">
        <v>19488.3</v>
      </c>
      <c r="H14" s="59">
        <f t="shared" si="4"/>
        <v>-67.303200000002107</v>
      </c>
      <c r="I14" s="94" t="s">
        <v>66</v>
      </c>
      <c r="J14" s="64" t="s">
        <v>32</v>
      </c>
      <c r="K14" s="60">
        <v>41612</v>
      </c>
      <c r="L14" s="60">
        <v>41613</v>
      </c>
      <c r="M14" s="94" t="s">
        <v>43</v>
      </c>
      <c r="N14" s="11" t="s">
        <v>61</v>
      </c>
      <c r="O14" s="61"/>
      <c r="P14" s="80">
        <v>0.93759999999999999</v>
      </c>
      <c r="Q14" s="61">
        <v>17000</v>
      </c>
      <c r="R14" s="61">
        <v>7723</v>
      </c>
      <c r="S14" s="96">
        <v>13.138</v>
      </c>
      <c r="T14" s="97">
        <f>W14*F14*0.005</f>
        <v>2789.1459048138863</v>
      </c>
      <c r="V14" s="61">
        <v>0.1</v>
      </c>
      <c r="W14" s="61">
        <f>IF(O14&gt;0,O14,((P14*2.2046*S14)+(Q14+R14)/G14)+V14)</f>
        <v>28.525286346717099</v>
      </c>
      <c r="X14" s="61">
        <f>IF(O14&gt;0,O14,((P14*2.2046*S14)+(Q14+R14+T14)/G14)+V14)</f>
        <v>28.668405341437722</v>
      </c>
      <c r="Y14" s="81">
        <f t="shared" si="5"/>
        <v>560627.95923391671</v>
      </c>
      <c r="Z14" s="63">
        <v>41613</v>
      </c>
    </row>
    <row r="15" spans="1:26" s="51" customFormat="1" x14ac:dyDescent="0.25">
      <c r="A15" s="164"/>
      <c r="B15" s="58" t="s">
        <v>44</v>
      </c>
      <c r="C15" s="11" t="s">
        <v>45</v>
      </c>
      <c r="D15" s="11" t="s">
        <v>46</v>
      </c>
      <c r="E15" s="11" t="s">
        <v>34</v>
      </c>
      <c r="F15" s="95">
        <v>17814.689999999999</v>
      </c>
      <c r="G15" s="59">
        <v>17753.27</v>
      </c>
      <c r="H15" s="59">
        <f>G15-F15</f>
        <v>-61.419999999998254</v>
      </c>
      <c r="I15" s="94" t="s">
        <v>83</v>
      </c>
      <c r="J15" s="11"/>
      <c r="K15" s="60">
        <v>41611</v>
      </c>
      <c r="L15" s="60">
        <v>41613</v>
      </c>
      <c r="M15" s="94" t="s">
        <v>43</v>
      </c>
      <c r="N15" s="94" t="s">
        <v>63</v>
      </c>
      <c r="O15" s="61"/>
      <c r="P15" s="80">
        <v>2.2000000000000002</v>
      </c>
      <c r="Q15" s="61"/>
      <c r="R15" s="61"/>
      <c r="S15" s="96">
        <v>12.97</v>
      </c>
      <c r="T15" s="96"/>
      <c r="U15" s="61"/>
      <c r="V15" s="61"/>
      <c r="W15" s="61">
        <f>IF(O15&gt;0,O15,((P15*S15)+(Q15+R15)/G15)+V15)</f>
        <v>28.534000000000002</v>
      </c>
      <c r="X15" s="61">
        <f>IF(O15&gt;0,O15,((P15*S15)+(Q15+R15+T15)/G15)+V15)</f>
        <v>28.534000000000002</v>
      </c>
      <c r="Y15" s="81">
        <f>X15*F15</f>
        <v>508324.36446000001</v>
      </c>
      <c r="Z15" s="63">
        <v>41613</v>
      </c>
    </row>
    <row r="16" spans="1:26" s="51" customFormat="1" x14ac:dyDescent="0.25">
      <c r="A16" s="164"/>
      <c r="B16" s="58" t="s">
        <v>84</v>
      </c>
      <c r="C16" s="94" t="s">
        <v>85</v>
      </c>
      <c r="D16" s="94" t="s">
        <v>86</v>
      </c>
      <c r="E16" s="11" t="s">
        <v>87</v>
      </c>
      <c r="F16" s="95">
        <v>10153.290000000001</v>
      </c>
      <c r="G16" s="59">
        <v>10339.69</v>
      </c>
      <c r="H16" s="59">
        <f>G16-F16</f>
        <v>186.39999999999964</v>
      </c>
      <c r="I16" s="94" t="s">
        <v>88</v>
      </c>
      <c r="J16" s="11"/>
      <c r="K16" s="60"/>
      <c r="L16" s="60">
        <v>41613</v>
      </c>
      <c r="M16" s="94" t="s">
        <v>43</v>
      </c>
      <c r="N16" s="94"/>
      <c r="O16" s="61">
        <v>33.5</v>
      </c>
      <c r="P16" s="80"/>
      <c r="Q16" s="61"/>
      <c r="R16" s="61"/>
      <c r="S16" s="96"/>
      <c r="T16" s="96"/>
      <c r="V16" s="61"/>
      <c r="W16" s="61">
        <f>IF(O16&gt;0,O16,((P16*2.2046*S16)+(Q16+R16)/G16)+V16)</f>
        <v>33.5</v>
      </c>
      <c r="X16" s="61">
        <f>IF(O16&gt;0,O16,((P16*2.2046*S16)+(Q16+R16+T16)/G16)+V16)</f>
        <v>33.5</v>
      </c>
      <c r="Y16" s="81">
        <f t="shared" ref="Y16:Y18" si="6">X16*F16</f>
        <v>340135.21500000003</v>
      </c>
      <c r="Z16" s="63">
        <v>41628</v>
      </c>
    </row>
    <row r="17" spans="1:26" s="51" customFormat="1" x14ac:dyDescent="0.25">
      <c r="A17" s="164"/>
      <c r="B17" s="58" t="s">
        <v>26</v>
      </c>
      <c r="C17" s="11" t="s">
        <v>39</v>
      </c>
      <c r="D17" s="11" t="s">
        <v>64</v>
      </c>
      <c r="E17" s="11">
        <v>250</v>
      </c>
      <c r="F17" s="95">
        <v>26970</v>
      </c>
      <c r="G17" s="59">
        <f>11200+10190</f>
        <v>21390</v>
      </c>
      <c r="H17" s="59">
        <f t="shared" ref="H17:H18" si="7">G17-F17</f>
        <v>-5580</v>
      </c>
      <c r="I17" s="94" t="s">
        <v>89</v>
      </c>
      <c r="J17" s="11"/>
      <c r="K17" s="60"/>
      <c r="L17" s="60">
        <v>41613</v>
      </c>
      <c r="M17" s="94" t="s">
        <v>43</v>
      </c>
      <c r="N17" s="11"/>
      <c r="O17" s="61">
        <v>24</v>
      </c>
      <c r="P17" s="62"/>
      <c r="Q17" s="61">
        <v>15000</v>
      </c>
      <c r="R17" s="61">
        <f>58.25*E17</f>
        <v>14562.5</v>
      </c>
      <c r="S17" s="96">
        <f>-35*E17</f>
        <v>-8750</v>
      </c>
      <c r="T17" s="167">
        <v>2250</v>
      </c>
      <c r="U17" s="61">
        <f>E17*5</f>
        <v>1250</v>
      </c>
      <c r="V17" s="11"/>
      <c r="W17" s="61">
        <f>((O17*F17)+Q17+R17+S17+U17)/G17</f>
        <v>31.292309490416081</v>
      </c>
      <c r="X17" s="61">
        <f>((O17*F17)+Q17+R17+S17+T17+U17)/G17</f>
        <v>31.397498831229548</v>
      </c>
      <c r="Y17" s="81">
        <f t="shared" si="6"/>
        <v>846790.54347826086</v>
      </c>
      <c r="Z17" s="63">
        <v>41619</v>
      </c>
    </row>
    <row r="18" spans="1:26" s="51" customFormat="1" x14ac:dyDescent="0.25">
      <c r="A18" s="164"/>
      <c r="B18" s="58" t="s">
        <v>26</v>
      </c>
      <c r="C18" s="11" t="s">
        <v>39</v>
      </c>
      <c r="D18" s="94" t="s">
        <v>49</v>
      </c>
      <c r="E18" s="11">
        <v>250</v>
      </c>
      <c r="F18" s="95">
        <v>28720</v>
      </c>
      <c r="G18" s="59">
        <f>9300+13840</f>
        <v>23140</v>
      </c>
      <c r="H18" s="59">
        <f t="shared" si="7"/>
        <v>-5580</v>
      </c>
      <c r="I18" s="94" t="s">
        <v>90</v>
      </c>
      <c r="J18" s="11"/>
      <c r="K18" s="60"/>
      <c r="L18" s="60">
        <v>41614</v>
      </c>
      <c r="M18" s="94" t="s">
        <v>47</v>
      </c>
      <c r="N18" s="11"/>
      <c r="O18" s="61">
        <v>24</v>
      </c>
      <c r="P18" s="62"/>
      <c r="Q18" s="61">
        <v>15000</v>
      </c>
      <c r="R18" s="61">
        <f>58.25*E18</f>
        <v>14562.5</v>
      </c>
      <c r="S18" s="96">
        <f>-35*E18</f>
        <v>-8750</v>
      </c>
      <c r="T18" s="167">
        <v>2250</v>
      </c>
      <c r="U18" s="61">
        <f>E18*5</f>
        <v>1250</v>
      </c>
      <c r="V18" s="11"/>
      <c r="W18" s="61">
        <f>((O18*F18)+Q18+R18+S18+U18)/G18</f>
        <v>30.74081676750216</v>
      </c>
      <c r="X18" s="61">
        <f>((O18*F18)+Q18+R18+S18+T18+U18)/G18</f>
        <v>30.838050993949871</v>
      </c>
      <c r="Y18" s="81">
        <f t="shared" si="6"/>
        <v>885668.82454624027</v>
      </c>
      <c r="Z18" s="63">
        <v>41620</v>
      </c>
    </row>
    <row r="19" spans="1:26" s="51" customFormat="1" x14ac:dyDescent="0.25">
      <c r="A19" s="164"/>
      <c r="B19" s="58" t="s">
        <v>29</v>
      </c>
      <c r="C19" s="11" t="s">
        <v>35</v>
      </c>
      <c r="D19" s="11" t="s">
        <v>35</v>
      </c>
      <c r="E19" s="11" t="s">
        <v>52</v>
      </c>
      <c r="F19" s="95">
        <f>41258*0.4536</f>
        <v>18714.628799999999</v>
      </c>
      <c r="G19" s="59">
        <v>18664.810000000001</v>
      </c>
      <c r="H19" s="59">
        <f>G19-F19</f>
        <v>-49.818799999997282</v>
      </c>
      <c r="I19" s="94" t="s">
        <v>91</v>
      </c>
      <c r="J19" s="64" t="s">
        <v>32</v>
      </c>
      <c r="K19" s="60">
        <v>41613</v>
      </c>
      <c r="L19" s="60">
        <v>41614</v>
      </c>
      <c r="M19" s="94" t="s">
        <v>47</v>
      </c>
      <c r="N19" s="94" t="s">
        <v>79</v>
      </c>
      <c r="O19" s="61"/>
      <c r="P19" s="80">
        <v>0.94259999999999999</v>
      </c>
      <c r="Q19" s="61">
        <v>17000</v>
      </c>
      <c r="R19" s="61">
        <v>7710</v>
      </c>
      <c r="S19" s="96">
        <v>12.97</v>
      </c>
      <c r="T19" s="97">
        <f>W19*F19*0.005</f>
        <v>2655.2565631021785</v>
      </c>
      <c r="V19" s="61">
        <v>0.1</v>
      </c>
      <c r="W19" s="61">
        <f>IF(O19&gt;0,O19,((P19*2.2046*S19)+(Q19+R19)/G19)+V19)</f>
        <v>28.376267480145572</v>
      </c>
      <c r="X19" s="61">
        <f>IF(O19&gt;0,O19,((P19*2.2046*S19)+(Q19+R19+T19)/G19)+V19)</f>
        <v>28.518527517247591</v>
      </c>
      <c r="Y19" s="81">
        <f>X19*F19</f>
        <v>533713.65640787419</v>
      </c>
      <c r="Z19" s="63">
        <v>41614</v>
      </c>
    </row>
    <row r="20" spans="1:26" s="51" customFormat="1" x14ac:dyDescent="0.25">
      <c r="A20" s="164"/>
      <c r="B20" s="58" t="s">
        <v>29</v>
      </c>
      <c r="C20" s="11" t="s">
        <v>35</v>
      </c>
      <c r="D20" s="11" t="s">
        <v>35</v>
      </c>
      <c r="E20" s="11" t="s">
        <v>52</v>
      </c>
      <c r="F20" s="95">
        <f>41418*0.4536</f>
        <v>18787.2048</v>
      </c>
      <c r="G20" s="59">
        <v>18733.41</v>
      </c>
      <c r="H20" s="59">
        <f t="shared" ref="H20:H24" si="8">G20-F20</f>
        <v>-53.794799999999668</v>
      </c>
      <c r="I20" s="94" t="s">
        <v>92</v>
      </c>
      <c r="J20" s="64" t="s">
        <v>32</v>
      </c>
      <c r="K20" s="60">
        <v>41613</v>
      </c>
      <c r="L20" s="60">
        <v>41614</v>
      </c>
      <c r="M20" s="94" t="s">
        <v>47</v>
      </c>
      <c r="N20" s="94" t="s">
        <v>79</v>
      </c>
      <c r="O20" s="61"/>
      <c r="P20" s="80">
        <v>0.94259999999999999</v>
      </c>
      <c r="Q20" s="61">
        <v>17000</v>
      </c>
      <c r="R20" s="61">
        <v>7710</v>
      </c>
      <c r="S20" s="96">
        <v>12.97</v>
      </c>
      <c r="T20" s="97">
        <f>W20*F20*0.005</f>
        <v>2665.098347662044</v>
      </c>
      <c r="V20" s="61">
        <v>0.1</v>
      </c>
      <c r="W20" s="61">
        <f>IF(O20&gt;0,O20,((P20*2.2046*S20)+(Q20+R20)/G20)+V20)</f>
        <v>28.37141954892666</v>
      </c>
      <c r="X20" s="61">
        <f>IF(O20&gt;0,O20,((P20*2.2046*S20)+(Q20+R20+T20)/G20)+V20)</f>
        <v>28.513684003057648</v>
      </c>
      <c r="Y20" s="81">
        <f t="shared" ref="Y20:Y24" si="9">X20*F20</f>
        <v>535692.4209679279</v>
      </c>
      <c r="Z20" s="63">
        <v>41614</v>
      </c>
    </row>
    <row r="21" spans="1:26" s="51" customFormat="1" x14ac:dyDescent="0.25">
      <c r="A21" s="164"/>
      <c r="B21" s="58" t="s">
        <v>29</v>
      </c>
      <c r="C21" s="11" t="s">
        <v>59</v>
      </c>
      <c r="D21" s="11" t="s">
        <v>59</v>
      </c>
      <c r="E21" s="11" t="s">
        <v>31</v>
      </c>
      <c r="F21" s="95">
        <f>43132*0.4536</f>
        <v>19564.675200000001</v>
      </c>
      <c r="G21" s="59">
        <v>19507.52</v>
      </c>
      <c r="H21" s="59">
        <f t="shared" si="8"/>
        <v>-57.155200000001059</v>
      </c>
      <c r="I21" s="94" t="s">
        <v>93</v>
      </c>
      <c r="J21" s="64" t="s">
        <v>42</v>
      </c>
      <c r="K21" s="60">
        <v>41613</v>
      </c>
      <c r="L21" s="60">
        <v>41614</v>
      </c>
      <c r="M21" s="94" t="s">
        <v>47</v>
      </c>
      <c r="N21" s="94" t="s">
        <v>94</v>
      </c>
      <c r="O21" s="61"/>
      <c r="P21" s="80">
        <v>0.93759999999999999</v>
      </c>
      <c r="Q21" s="61">
        <v>17001</v>
      </c>
      <c r="R21" s="61">
        <v>7710</v>
      </c>
      <c r="S21" s="96">
        <v>12.97</v>
      </c>
      <c r="T21" s="97">
        <f t="shared" ref="T21:T22" si="10">W21*F21*0.005</f>
        <v>2756.2870697191415</v>
      </c>
      <c r="V21" s="61">
        <v>0.1</v>
      </c>
      <c r="W21" s="61">
        <f t="shared" ref="W21:W22" si="11">IF(O21&gt;0,O21,((P21*2.2046*S21)+(Q21+R21)/G21)+V21)</f>
        <v>28.176159752645844</v>
      </c>
      <c r="X21" s="61">
        <f t="shared" ref="X21:X22" si="12">IF(O21&gt;0,O21,((P21*2.2046*S21)+(Q21+R21+T21)/G21)+V21)</f>
        <v>28.317453318907429</v>
      </c>
      <c r="Y21" s="81">
        <f t="shared" si="9"/>
        <v>554021.77667558589</v>
      </c>
      <c r="Z21" s="63">
        <v>41614</v>
      </c>
    </row>
    <row r="22" spans="1:26" s="51" customFormat="1" x14ac:dyDescent="0.25">
      <c r="A22" s="164"/>
      <c r="B22" s="58" t="s">
        <v>29</v>
      </c>
      <c r="C22" s="11" t="s">
        <v>35</v>
      </c>
      <c r="D22" s="11" t="s">
        <v>35</v>
      </c>
      <c r="E22" s="11" t="s">
        <v>36</v>
      </c>
      <c r="F22" s="95">
        <f>42660*0.4536</f>
        <v>19350.576000000001</v>
      </c>
      <c r="G22" s="59">
        <v>19259.349999999999</v>
      </c>
      <c r="H22" s="59">
        <f t="shared" si="8"/>
        <v>-91.226000000002387</v>
      </c>
      <c r="I22" s="94" t="s">
        <v>95</v>
      </c>
      <c r="J22" s="64" t="s">
        <v>37</v>
      </c>
      <c r="K22" s="60">
        <v>41614</v>
      </c>
      <c r="L22" s="60">
        <v>41615</v>
      </c>
      <c r="M22" s="94" t="s">
        <v>48</v>
      </c>
      <c r="N22" s="94" t="s">
        <v>96</v>
      </c>
      <c r="O22" s="61"/>
      <c r="P22" s="80">
        <v>0.95409999999999995</v>
      </c>
      <c r="Q22" s="61">
        <v>17002</v>
      </c>
      <c r="R22" s="61">
        <v>7697</v>
      </c>
      <c r="S22" s="96">
        <v>12.97</v>
      </c>
      <c r="T22" s="97">
        <f t="shared" si="10"/>
        <v>2773.2911676273075</v>
      </c>
      <c r="V22" s="61">
        <v>0.1</v>
      </c>
      <c r="W22" s="61">
        <f t="shared" si="11"/>
        <v>28.663654948848109</v>
      </c>
      <c r="X22" s="61">
        <f t="shared" si="12"/>
        <v>28.807652081026884</v>
      </c>
      <c r="Y22" s="81">
        <f t="shared" si="9"/>
        <v>557444.66097546893</v>
      </c>
      <c r="Z22" s="63">
        <v>41614</v>
      </c>
    </row>
    <row r="23" spans="1:26" s="51" customFormat="1" x14ac:dyDescent="0.25">
      <c r="A23" s="164"/>
      <c r="B23" s="58" t="s">
        <v>29</v>
      </c>
      <c r="C23" s="94" t="s">
        <v>30</v>
      </c>
      <c r="D23" s="94" t="s">
        <v>60</v>
      </c>
      <c r="E23" s="11" t="s">
        <v>57</v>
      </c>
      <c r="F23" s="95">
        <f>45525*0.4536</f>
        <v>20650.14</v>
      </c>
      <c r="G23" s="59">
        <v>20576.13</v>
      </c>
      <c r="H23" s="59">
        <f t="shared" si="8"/>
        <v>-74.009999999998399</v>
      </c>
      <c r="I23" s="94" t="s">
        <v>97</v>
      </c>
      <c r="J23" s="11"/>
      <c r="K23" s="60">
        <v>41613</v>
      </c>
      <c r="L23" s="60">
        <v>41617</v>
      </c>
      <c r="M23" s="94" t="s">
        <v>28</v>
      </c>
      <c r="N23" s="11" t="s">
        <v>98</v>
      </c>
      <c r="O23" s="61"/>
      <c r="P23" s="80">
        <v>1.0102</v>
      </c>
      <c r="Q23" s="61"/>
      <c r="R23" s="61"/>
      <c r="S23" s="96">
        <v>12.925000000000001</v>
      </c>
      <c r="T23" s="98"/>
      <c r="V23" s="61"/>
      <c r="W23" s="61">
        <f>IF(O23&gt;0,O23,((P23*2.2046*S23)+(Q23+R23)/G23)+V23)</f>
        <v>28.785098441000002</v>
      </c>
      <c r="X23" s="61">
        <f>IF(O23&gt;0,O23,((P23*2.2046*S23)+(Q23+R23+T23)/G23)+V23)</f>
        <v>28.785098441000002</v>
      </c>
      <c r="Y23" s="81">
        <f t="shared" si="9"/>
        <v>594416.31272043183</v>
      </c>
      <c r="Z23" s="63">
        <v>41617</v>
      </c>
    </row>
    <row r="24" spans="1:26" s="51" customFormat="1" x14ac:dyDescent="0.25">
      <c r="A24" s="164"/>
      <c r="B24" s="94" t="s">
        <v>26</v>
      </c>
      <c r="C24" s="94" t="s">
        <v>27</v>
      </c>
      <c r="D24" s="94" t="s">
        <v>51</v>
      </c>
      <c r="E24" s="11">
        <v>250</v>
      </c>
      <c r="F24" s="95">
        <v>19456.8</v>
      </c>
      <c r="G24" s="59">
        <f>3120+16310</f>
        <v>19430</v>
      </c>
      <c r="H24" s="59">
        <f t="shared" si="8"/>
        <v>-26.799999999999272</v>
      </c>
      <c r="I24" s="94" t="s">
        <v>99</v>
      </c>
      <c r="J24" s="11"/>
      <c r="K24" s="60"/>
      <c r="L24" s="60">
        <v>41616</v>
      </c>
      <c r="M24" s="94" t="s">
        <v>50</v>
      </c>
      <c r="N24" s="11"/>
      <c r="O24" s="61">
        <v>32.9</v>
      </c>
      <c r="P24" s="80"/>
      <c r="Q24" s="61"/>
      <c r="R24" s="61"/>
      <c r="S24" s="96"/>
      <c r="T24" s="98"/>
      <c r="U24" s="61">
        <f>E24*5</f>
        <v>1250</v>
      </c>
      <c r="V24" s="87"/>
      <c r="W24" s="61">
        <f>((O24*F24)+Q24+R24+S24+U24)/G24</f>
        <v>33.009712815234174</v>
      </c>
      <c r="X24" s="61">
        <f>((O24*F24)+R24+S24+T24+U24)/G24</f>
        <v>33.009712815234174</v>
      </c>
      <c r="Y24" s="81">
        <f t="shared" si="9"/>
        <v>642263.3803034483</v>
      </c>
      <c r="Z24" s="63">
        <v>41624</v>
      </c>
    </row>
    <row r="25" spans="1:26" s="51" customFormat="1" ht="15.75" thickBot="1" x14ac:dyDescent="0.3">
      <c r="A25" s="164"/>
      <c r="B25" s="65"/>
      <c r="C25" s="52"/>
      <c r="D25" s="52"/>
      <c r="E25" s="52"/>
      <c r="F25" s="53"/>
      <c r="G25" s="53"/>
      <c r="H25" s="53"/>
      <c r="I25" s="54"/>
      <c r="J25" s="52"/>
      <c r="K25" s="55"/>
      <c r="L25" s="55"/>
      <c r="M25" s="52"/>
      <c r="N25" s="52"/>
      <c r="O25" s="56"/>
      <c r="P25" s="57"/>
      <c r="Q25" s="56"/>
      <c r="R25" s="56"/>
      <c r="S25" s="56"/>
      <c r="T25" s="56"/>
      <c r="U25" s="56"/>
      <c r="V25" s="56"/>
      <c r="W25" s="56"/>
      <c r="X25" s="56"/>
      <c r="Y25" s="56"/>
      <c r="Z25" s="66"/>
    </row>
    <row r="26" spans="1:26" s="51" customFormat="1" x14ac:dyDescent="0.25">
      <c r="A26" s="162"/>
      <c r="B26" s="151" t="s">
        <v>26</v>
      </c>
      <c r="C26" s="151" t="s">
        <v>27</v>
      </c>
      <c r="D26" s="151" t="s">
        <v>51</v>
      </c>
      <c r="E26" s="152">
        <v>250</v>
      </c>
      <c r="F26" s="153">
        <v>19954.099999999999</v>
      </c>
      <c r="G26" s="154">
        <f>7900+12060</f>
        <v>19960</v>
      </c>
      <c r="H26" s="154">
        <f t="shared" ref="H26" si="13">G26-F26</f>
        <v>5.9000000000014552</v>
      </c>
      <c r="I26" s="151" t="s">
        <v>100</v>
      </c>
      <c r="J26" s="152"/>
      <c r="K26" s="155"/>
      <c r="L26" s="155">
        <v>41617</v>
      </c>
      <c r="M26" s="151" t="s">
        <v>28</v>
      </c>
      <c r="N26" s="152"/>
      <c r="O26" s="156">
        <v>32.9</v>
      </c>
      <c r="P26" s="157"/>
      <c r="Q26" s="156"/>
      <c r="R26" s="156"/>
      <c r="S26" s="158"/>
      <c r="T26" s="158"/>
      <c r="U26" s="156">
        <f>E26*5</f>
        <v>1250</v>
      </c>
      <c r="V26" s="159"/>
      <c r="W26" s="156">
        <f>((O26*F26)+Q26+R26+S26+U26)/G26</f>
        <v>32.9529003006012</v>
      </c>
      <c r="X26" s="156">
        <f>((O26*F26)+R26+S26+T26+U26)/G26</f>
        <v>32.9529003006012</v>
      </c>
      <c r="Y26" s="160">
        <f t="shared" ref="Y26" si="14">X26*F26</f>
        <v>657545.46788822638</v>
      </c>
      <c r="Z26" s="161">
        <v>41624</v>
      </c>
    </row>
    <row r="27" spans="1:26" s="51" customFormat="1" x14ac:dyDescent="0.25">
      <c r="A27" s="163"/>
      <c r="B27" s="58" t="s">
        <v>44</v>
      </c>
      <c r="C27" s="11" t="s">
        <v>45</v>
      </c>
      <c r="D27" s="11" t="s">
        <v>46</v>
      </c>
      <c r="E27" s="11" t="s">
        <v>34</v>
      </c>
      <c r="F27" s="95">
        <v>18688.77</v>
      </c>
      <c r="G27" s="59">
        <v>18650.150000000001</v>
      </c>
      <c r="H27" s="59">
        <f>G27-F27</f>
        <v>-38.619999999998981</v>
      </c>
      <c r="I27" s="94" t="s">
        <v>101</v>
      </c>
      <c r="J27" s="11"/>
      <c r="K27" s="60">
        <v>41614</v>
      </c>
      <c r="L27" s="60">
        <v>41617</v>
      </c>
      <c r="M27" s="94" t="s">
        <v>28</v>
      </c>
      <c r="N27" s="94" t="s">
        <v>102</v>
      </c>
      <c r="O27" s="61"/>
      <c r="P27" s="80">
        <v>2.23</v>
      </c>
      <c r="Q27" s="61"/>
      <c r="R27" s="61"/>
      <c r="S27" s="96">
        <v>12.89</v>
      </c>
      <c r="T27" s="96"/>
      <c r="U27" s="61"/>
      <c r="V27" s="61"/>
      <c r="W27" s="61">
        <f>IF(O27&gt;0,O27,((P27*S27)+(Q27+R27)/G27)+V27)</f>
        <v>28.744700000000002</v>
      </c>
      <c r="X27" s="61">
        <f>IF(O27&gt;0,O27,((P27*S27)+(Q27+R27+T27)/G27)+V27)</f>
        <v>28.744700000000002</v>
      </c>
      <c r="Y27" s="81">
        <f>X27*F27</f>
        <v>537203.08701900009</v>
      </c>
      <c r="Z27" s="63">
        <v>41617</v>
      </c>
    </row>
    <row r="28" spans="1:26" s="51" customFormat="1" x14ac:dyDescent="0.25">
      <c r="A28" s="163"/>
      <c r="B28" s="58" t="s">
        <v>29</v>
      </c>
      <c r="C28" s="11" t="s">
        <v>35</v>
      </c>
      <c r="D28" s="11" t="s">
        <v>35</v>
      </c>
      <c r="E28" s="11" t="s">
        <v>52</v>
      </c>
      <c r="F28" s="95">
        <f>42335*0.4536</f>
        <v>19203.155999999999</v>
      </c>
      <c r="G28" s="59">
        <v>19152.07</v>
      </c>
      <c r="H28" s="59">
        <f t="shared" ref="H28:H33" si="15">G28-F28</f>
        <v>-51.085999999999331</v>
      </c>
      <c r="I28" s="94" t="s">
        <v>103</v>
      </c>
      <c r="J28" s="64" t="s">
        <v>37</v>
      </c>
      <c r="K28" s="60">
        <v>41617</v>
      </c>
      <c r="L28" s="60">
        <v>41618</v>
      </c>
      <c r="M28" s="94" t="s">
        <v>38</v>
      </c>
      <c r="N28" s="94" t="s">
        <v>104</v>
      </c>
      <c r="O28" s="61"/>
      <c r="P28" s="80">
        <v>0.99650000000000005</v>
      </c>
      <c r="Q28" s="61">
        <v>17000</v>
      </c>
      <c r="R28" s="61">
        <v>7697</v>
      </c>
      <c r="S28" s="96">
        <v>12.925000000000001</v>
      </c>
      <c r="T28" s="97">
        <f>W28*F28*0.005</f>
        <v>2859.7575722674142</v>
      </c>
      <c r="V28" s="61">
        <v>0.1</v>
      </c>
      <c r="W28" s="61">
        <f>IF(O28&gt;0,O28,((P28*2.2046*S28)+(Q28+R28)/G28)+V28)</f>
        <v>29.784245592416312</v>
      </c>
      <c r="X28" s="61">
        <f>IF(O28&gt;0,O28,((P28*2.2046*S28)+(Q28+R28+T28)/G28)+V28)</f>
        <v>29.933564051061641</v>
      </c>
      <c r="Y28" s="81">
        <f t="shared" ref="Y28:Y33" si="16">X28*F28</f>
        <v>574818.90010852867</v>
      </c>
      <c r="Z28" s="63">
        <v>41619</v>
      </c>
    </row>
    <row r="29" spans="1:26" s="51" customFormat="1" x14ac:dyDescent="0.25">
      <c r="A29" s="163"/>
      <c r="B29" s="58" t="s">
        <v>29</v>
      </c>
      <c r="C29" s="11" t="s">
        <v>35</v>
      </c>
      <c r="D29" s="11" t="s">
        <v>35</v>
      </c>
      <c r="E29" s="11" t="s">
        <v>52</v>
      </c>
      <c r="F29" s="95">
        <f>40542.6*0.4536</f>
        <v>18390.123359999998</v>
      </c>
      <c r="G29" s="59">
        <v>18377.54</v>
      </c>
      <c r="H29" s="59">
        <f t="shared" si="15"/>
        <v>-12.583359999996901</v>
      </c>
      <c r="I29" s="94" t="s">
        <v>105</v>
      </c>
      <c r="J29" s="64" t="s">
        <v>37</v>
      </c>
      <c r="K29" s="60">
        <v>41617</v>
      </c>
      <c r="L29" s="60">
        <v>41618</v>
      </c>
      <c r="M29" s="94" t="s">
        <v>38</v>
      </c>
      <c r="N29" s="94" t="s">
        <v>104</v>
      </c>
      <c r="O29" s="61"/>
      <c r="P29" s="80">
        <v>0.99650000000000005</v>
      </c>
      <c r="Q29" s="61">
        <v>17000</v>
      </c>
      <c r="R29" s="61">
        <v>7697</v>
      </c>
      <c r="S29" s="96">
        <v>12.925000000000001</v>
      </c>
      <c r="T29" s="97">
        <f>W29*F29*0.005</f>
        <v>2743.6770367311628</v>
      </c>
      <c r="V29" s="61">
        <v>0.1</v>
      </c>
      <c r="W29" s="61">
        <f>IF(O29&gt;0,O29,((P29*2.2046*S29)+(Q29+R29)/G29)+V29)</f>
        <v>29.838593064567277</v>
      </c>
      <c r="X29" s="61">
        <f>IF(O29&gt;0,O29,((P29*2.2046*S29)+(Q29+R29+T29)/G29)+V29)</f>
        <v>29.98788818441091</v>
      </c>
      <c r="Y29" s="81">
        <f t="shared" si="16"/>
        <v>551480.96301720303</v>
      </c>
      <c r="Z29" s="63">
        <v>41619</v>
      </c>
    </row>
    <row r="30" spans="1:26" s="51" customFormat="1" x14ac:dyDescent="0.25">
      <c r="A30" s="163"/>
      <c r="B30" s="58" t="s">
        <v>29</v>
      </c>
      <c r="C30" s="11" t="s">
        <v>59</v>
      </c>
      <c r="D30" s="11" t="s">
        <v>59</v>
      </c>
      <c r="E30" s="11" t="s">
        <v>34</v>
      </c>
      <c r="F30" s="95">
        <f>41488*0.4536</f>
        <v>18818.9568</v>
      </c>
      <c r="G30" s="59">
        <v>18718.82</v>
      </c>
      <c r="H30" s="59">
        <f t="shared" si="15"/>
        <v>-100.13680000000022</v>
      </c>
      <c r="I30" s="94" t="s">
        <v>106</v>
      </c>
      <c r="J30" s="64" t="s">
        <v>107</v>
      </c>
      <c r="K30" s="60">
        <v>41617</v>
      </c>
      <c r="L30" s="60">
        <v>41618</v>
      </c>
      <c r="M30" s="94" t="s">
        <v>38</v>
      </c>
      <c r="N30" s="94" t="s">
        <v>108</v>
      </c>
      <c r="O30" s="61"/>
      <c r="P30" s="80">
        <v>0.96150000000000002</v>
      </c>
      <c r="Q30" s="61">
        <v>17000</v>
      </c>
      <c r="R30" s="61">
        <v>7697</v>
      </c>
      <c r="S30" s="96">
        <v>12.925000000000001</v>
      </c>
      <c r="T30" s="97">
        <f t="shared" ref="T30:T31" si="17">W30*F30*0.005</f>
        <v>2711.5092387923573</v>
      </c>
      <c r="V30" s="61">
        <v>0.1</v>
      </c>
      <c r="W30" s="61">
        <f t="shared" ref="W30:W31" si="18">IF(O30&gt;0,O30,((P30*2.2046*S30)+(Q30+R30)/G30)+V30)</f>
        <v>28.816785835784028</v>
      </c>
      <c r="X30" s="61">
        <f t="shared" ref="X30:X31" si="19">IF(O30&gt;0,O30,((P30*2.2046*S30)+(Q30+R30+T30)/G30)+V30)</f>
        <v>28.961640545578359</v>
      </c>
      <c r="Y30" s="81">
        <f t="shared" si="16"/>
        <v>545027.86228436755</v>
      </c>
      <c r="Z30" s="63">
        <v>41619</v>
      </c>
    </row>
    <row r="31" spans="1:26" s="51" customFormat="1" x14ac:dyDescent="0.25">
      <c r="A31" s="163"/>
      <c r="B31" s="58" t="s">
        <v>29</v>
      </c>
      <c r="C31" s="11" t="s">
        <v>59</v>
      </c>
      <c r="D31" s="11" t="s">
        <v>59</v>
      </c>
      <c r="E31" s="11" t="s">
        <v>34</v>
      </c>
      <c r="F31" s="95">
        <f>41112*0.4536</f>
        <v>18648.403200000001</v>
      </c>
      <c r="G31" s="59">
        <v>18613.82</v>
      </c>
      <c r="H31" s="59">
        <f t="shared" si="15"/>
        <v>-34.583200000000943</v>
      </c>
      <c r="I31" s="94" t="s">
        <v>109</v>
      </c>
      <c r="J31" s="64" t="s">
        <v>32</v>
      </c>
      <c r="K31" s="60">
        <v>41617</v>
      </c>
      <c r="L31" s="60">
        <v>41618</v>
      </c>
      <c r="M31" s="94" t="s">
        <v>38</v>
      </c>
      <c r="N31" s="94" t="s">
        <v>108</v>
      </c>
      <c r="O31" s="61"/>
      <c r="P31" s="80">
        <v>0.96150000000000002</v>
      </c>
      <c r="Q31" s="61">
        <v>17000</v>
      </c>
      <c r="R31" s="61">
        <v>7697</v>
      </c>
      <c r="S31" s="96">
        <v>12.89</v>
      </c>
      <c r="T31" s="97">
        <f t="shared" si="17"/>
        <v>2680.7115074790577</v>
      </c>
      <c r="V31" s="61">
        <v>0.1</v>
      </c>
      <c r="W31" s="61">
        <f t="shared" si="18"/>
        <v>28.750038045928324</v>
      </c>
      <c r="X31" s="61">
        <f t="shared" si="19"/>
        <v>28.894055314145113</v>
      </c>
      <c r="Y31" s="81">
        <f t="shared" si="16"/>
        <v>538827.99358128081</v>
      </c>
      <c r="Z31" s="63">
        <v>41619</v>
      </c>
    </row>
    <row r="32" spans="1:26" s="51" customFormat="1" x14ac:dyDescent="0.25">
      <c r="A32" s="163"/>
      <c r="B32" s="94" t="s">
        <v>26</v>
      </c>
      <c r="C32" s="94" t="s">
        <v>27</v>
      </c>
      <c r="D32" s="94" t="s">
        <v>51</v>
      </c>
      <c r="E32" s="11">
        <v>250</v>
      </c>
      <c r="F32" s="95">
        <v>19490.900000000001</v>
      </c>
      <c r="G32" s="59">
        <v>19500</v>
      </c>
      <c r="H32" s="59">
        <f t="shared" si="15"/>
        <v>9.0999999999985448</v>
      </c>
      <c r="I32" s="94" t="s">
        <v>110</v>
      </c>
      <c r="J32" s="11"/>
      <c r="K32" s="60"/>
      <c r="L32" s="60">
        <v>41619</v>
      </c>
      <c r="M32" s="94" t="s">
        <v>41</v>
      </c>
      <c r="N32" s="11"/>
      <c r="O32" s="61">
        <v>32.9</v>
      </c>
      <c r="P32" s="80"/>
      <c r="Q32" s="61"/>
      <c r="R32" s="61"/>
      <c r="S32" s="96"/>
      <c r="T32" s="98"/>
      <c r="U32" s="61">
        <f t="shared" ref="U32" si="20">E32*5</f>
        <v>1250</v>
      </c>
      <c r="V32" s="87"/>
      <c r="W32" s="61">
        <f t="shared" ref="W32" si="21">((O32*F32)+Q32+R32+S32+U32)/G32</f>
        <v>32.948749230769231</v>
      </c>
      <c r="X32" s="61">
        <f t="shared" ref="X32" si="22">((O32*F32)+R32+S32+T32+U32)/G32</f>
        <v>32.948749230769231</v>
      </c>
      <c r="Y32" s="81">
        <f t="shared" si="16"/>
        <v>642200.77638200007</v>
      </c>
      <c r="Z32" s="63">
        <v>41625</v>
      </c>
    </row>
    <row r="33" spans="1:26" s="51" customFormat="1" x14ac:dyDescent="0.25">
      <c r="A33" s="163"/>
      <c r="B33" s="58" t="s">
        <v>29</v>
      </c>
      <c r="C33" s="94" t="s">
        <v>30</v>
      </c>
      <c r="D33" s="94" t="s">
        <v>30</v>
      </c>
      <c r="E33" s="11" t="s">
        <v>31</v>
      </c>
      <c r="F33" s="95">
        <f>42856*0.4536</f>
        <v>19439.481599999999</v>
      </c>
      <c r="G33" s="59">
        <v>19347.52</v>
      </c>
      <c r="H33" s="59">
        <f t="shared" si="15"/>
        <v>-91.961599999998725</v>
      </c>
      <c r="I33" s="94" t="s">
        <v>111</v>
      </c>
      <c r="J33" s="64" t="s">
        <v>37</v>
      </c>
      <c r="K33" s="60">
        <v>41619</v>
      </c>
      <c r="L33" s="60">
        <v>41620</v>
      </c>
      <c r="M33" s="94" t="s">
        <v>43</v>
      </c>
      <c r="N33" s="11" t="s">
        <v>112</v>
      </c>
      <c r="O33" s="61"/>
      <c r="P33" s="80">
        <v>0.9819</v>
      </c>
      <c r="Q33" s="61">
        <v>17000</v>
      </c>
      <c r="R33" s="61">
        <v>7697</v>
      </c>
      <c r="S33" s="96">
        <v>13.085000000000001</v>
      </c>
      <c r="T33" s="97">
        <f>W33*F33*0.005</f>
        <v>2886.9137896974244</v>
      </c>
      <c r="V33" s="61">
        <v>0.1</v>
      </c>
      <c r="W33" s="61">
        <f>IF(O33&gt;0,O33,((P33*2.2046*S33)+(Q33+R33)/G33)+V33)</f>
        <v>29.701551194630873</v>
      </c>
      <c r="X33" s="61">
        <f>IF(O33&gt;0,O33,((P33*2.2046*S33)+(Q33+R33+T33)/G33)+V33)</f>
        <v>29.850764829747799</v>
      </c>
      <c r="Y33" s="81">
        <f t="shared" si="16"/>
        <v>580283.39365380944</v>
      </c>
      <c r="Z33" s="63">
        <v>41619</v>
      </c>
    </row>
    <row r="34" spans="1:26" s="51" customFormat="1" x14ac:dyDescent="0.25">
      <c r="A34" s="163"/>
      <c r="B34" s="58" t="s">
        <v>44</v>
      </c>
      <c r="C34" s="11" t="s">
        <v>45</v>
      </c>
      <c r="D34" s="11" t="s">
        <v>46</v>
      </c>
      <c r="E34" s="11" t="s">
        <v>53</v>
      </c>
      <c r="F34" s="95">
        <v>18143.55</v>
      </c>
      <c r="G34" s="59">
        <v>18125.12</v>
      </c>
      <c r="H34" s="59">
        <f>G34-F34</f>
        <v>-18.430000000000291</v>
      </c>
      <c r="I34" s="94" t="s">
        <v>113</v>
      </c>
      <c r="J34" s="11"/>
      <c r="K34" s="60">
        <v>41618</v>
      </c>
      <c r="L34" s="60">
        <v>41620</v>
      </c>
      <c r="M34" s="94" t="s">
        <v>43</v>
      </c>
      <c r="N34" s="94" t="s">
        <v>114</v>
      </c>
      <c r="O34" s="61"/>
      <c r="P34" s="80">
        <v>2.2999999999999998</v>
      </c>
      <c r="Q34" s="61"/>
      <c r="R34" s="61"/>
      <c r="S34" s="96">
        <v>12.99</v>
      </c>
      <c r="T34" s="96"/>
      <c r="U34" s="61"/>
      <c r="V34" s="61"/>
      <c r="W34" s="61">
        <f>IF(O34&gt;0,O34,((P34*S34)+(Q34+R34)/G34)+V34)</f>
        <v>29.876999999999999</v>
      </c>
      <c r="X34" s="61">
        <f>IF(O34&gt;0,O34,((P34*S34)+(Q34+R34+T34)/G34)+V34)</f>
        <v>29.876999999999999</v>
      </c>
      <c r="Y34" s="81">
        <f>X34*F34</f>
        <v>542074.84334999998</v>
      </c>
      <c r="Z34" s="63">
        <v>41621</v>
      </c>
    </row>
    <row r="35" spans="1:26" s="51" customFormat="1" x14ac:dyDescent="0.25">
      <c r="A35" s="163"/>
      <c r="B35" s="58" t="s">
        <v>26</v>
      </c>
      <c r="C35" s="11" t="s">
        <v>39</v>
      </c>
      <c r="D35" s="11" t="s">
        <v>62</v>
      </c>
      <c r="E35" s="11">
        <v>250</v>
      </c>
      <c r="F35" s="95">
        <v>30120</v>
      </c>
      <c r="G35" s="59">
        <f>14620+9630</f>
        <v>24250</v>
      </c>
      <c r="H35" s="59">
        <f t="shared" ref="H35:H36" si="23">G35-F35</f>
        <v>-5870</v>
      </c>
      <c r="I35" s="94" t="s">
        <v>115</v>
      </c>
      <c r="J35" s="11"/>
      <c r="K35" s="60"/>
      <c r="L35" s="60">
        <v>41620</v>
      </c>
      <c r="M35" s="94" t="s">
        <v>43</v>
      </c>
      <c r="N35" s="11"/>
      <c r="O35" s="61">
        <v>24.5</v>
      </c>
      <c r="P35" s="62"/>
      <c r="Q35" s="61">
        <v>15000</v>
      </c>
      <c r="R35" s="61">
        <f>58.25*E35</f>
        <v>14562.5</v>
      </c>
      <c r="S35" s="96">
        <f>-35*E35</f>
        <v>-8750</v>
      </c>
      <c r="T35" s="167">
        <v>2250</v>
      </c>
      <c r="U35" s="61">
        <f>E35*5</f>
        <v>1250</v>
      </c>
      <c r="V35" s="11"/>
      <c r="W35" s="61">
        <f>((O35*F35)+Q35+R35+S35+U35)/G35</f>
        <v>31.340309278350514</v>
      </c>
      <c r="X35" s="61">
        <f>((O35*F35)+Q35+R35+S35+T35+U35)/G35</f>
        <v>31.433092783505156</v>
      </c>
      <c r="Y35" s="81">
        <f t="shared" ref="Y35:Y36" si="24">X35*F35</f>
        <v>946764.75463917525</v>
      </c>
      <c r="Z35" s="63">
        <v>41626</v>
      </c>
    </row>
    <row r="36" spans="1:26" s="51" customFormat="1" x14ac:dyDescent="0.25">
      <c r="A36" s="163"/>
      <c r="B36" s="58" t="s">
        <v>26</v>
      </c>
      <c r="C36" s="11" t="s">
        <v>39</v>
      </c>
      <c r="D36" s="11" t="s">
        <v>64</v>
      </c>
      <c r="E36" s="11">
        <v>250</v>
      </c>
      <c r="F36" s="95">
        <v>29145</v>
      </c>
      <c r="G36" s="59">
        <f>10910+11860</f>
        <v>22770</v>
      </c>
      <c r="H36" s="59">
        <f t="shared" si="23"/>
        <v>-6375</v>
      </c>
      <c r="I36" s="94" t="s">
        <v>116</v>
      </c>
      <c r="J36" s="11"/>
      <c r="K36" s="60"/>
      <c r="L36" s="60">
        <v>41621</v>
      </c>
      <c r="M36" s="94" t="s">
        <v>47</v>
      </c>
      <c r="N36" s="11"/>
      <c r="O36" s="61">
        <v>24.5</v>
      </c>
      <c r="P36" s="62"/>
      <c r="Q36" s="61">
        <v>15000</v>
      </c>
      <c r="R36" s="61">
        <f>58.25*E36</f>
        <v>14562.5</v>
      </c>
      <c r="S36" s="96">
        <f>-35*E36</f>
        <v>-8750</v>
      </c>
      <c r="T36" s="167">
        <v>2250</v>
      </c>
      <c r="U36" s="61">
        <f>E36*5</f>
        <v>1250</v>
      </c>
      <c r="V36" s="11"/>
      <c r="W36" s="61">
        <f>((O36*F36)+Q36+R36+S36+U36)/G36</f>
        <v>32.328282828282831</v>
      </c>
      <c r="X36" s="61">
        <f>((O36*F36)+Q36+R36+S36+T36+U36)/G36</f>
        <v>32.427097057531839</v>
      </c>
      <c r="Y36" s="81">
        <f t="shared" si="24"/>
        <v>945087.74374176539</v>
      </c>
      <c r="Z36" s="63">
        <v>41627</v>
      </c>
    </row>
    <row r="37" spans="1:26" s="51" customFormat="1" x14ac:dyDescent="0.25">
      <c r="A37" s="163"/>
      <c r="B37" s="58" t="s">
        <v>29</v>
      </c>
      <c r="C37" s="11" t="s">
        <v>35</v>
      </c>
      <c r="D37" s="11" t="s">
        <v>35</v>
      </c>
      <c r="E37" s="11" t="s">
        <v>52</v>
      </c>
      <c r="F37" s="95">
        <f>40364*0.4536</f>
        <v>18309.110400000001</v>
      </c>
      <c r="G37" s="59">
        <v>18362.98</v>
      </c>
      <c r="H37" s="59">
        <f>G37-F37</f>
        <v>53.869599999998172</v>
      </c>
      <c r="I37" s="94" t="s">
        <v>117</v>
      </c>
      <c r="J37" s="64" t="s">
        <v>42</v>
      </c>
      <c r="K37" s="60">
        <v>41620</v>
      </c>
      <c r="L37" s="60">
        <v>41621</v>
      </c>
      <c r="M37" s="94" t="s">
        <v>47</v>
      </c>
      <c r="N37" s="94" t="s">
        <v>118</v>
      </c>
      <c r="O37" s="61"/>
      <c r="P37" s="80">
        <v>0.9869</v>
      </c>
      <c r="Q37" s="61">
        <v>17000</v>
      </c>
      <c r="R37" s="61">
        <v>7671</v>
      </c>
      <c r="S37" s="96">
        <v>12.975</v>
      </c>
      <c r="T37" s="97">
        <f>W37*F37*0.005</f>
        <v>2716.4752843559932</v>
      </c>
      <c r="V37" s="61">
        <v>0.1</v>
      </c>
      <c r="W37" s="61">
        <f>IF(O37&gt;0,O37,((P37*2.2046*S37)+(Q37+R37)/G37)+V37)</f>
        <v>29.673481944332945</v>
      </c>
      <c r="X37" s="61">
        <f>IF(O37&gt;0,O37,((P37*2.2046*S37)+(Q37+R37+T37)/G37)+V37)</f>
        <v>29.821414103729513</v>
      </c>
      <c r="Y37" s="81">
        <f>X37*F37</f>
        <v>546003.5631093008</v>
      </c>
      <c r="Z37" s="63">
        <v>41621</v>
      </c>
    </row>
    <row r="38" spans="1:26" s="51" customFormat="1" x14ac:dyDescent="0.25">
      <c r="A38" s="163"/>
      <c r="B38" s="58" t="s">
        <v>29</v>
      </c>
      <c r="C38" s="11" t="s">
        <v>35</v>
      </c>
      <c r="D38" s="11" t="s">
        <v>35</v>
      </c>
      <c r="E38" s="11" t="s">
        <v>36</v>
      </c>
      <c r="F38" s="95">
        <f>41165*0.4536</f>
        <v>18672.444</v>
      </c>
      <c r="G38" s="59">
        <v>18712.59</v>
      </c>
      <c r="H38" s="59">
        <f t="shared" ref="H38:H43" si="25">G38-F38</f>
        <v>40.14600000000064</v>
      </c>
      <c r="I38" s="94" t="s">
        <v>119</v>
      </c>
      <c r="J38" s="64" t="s">
        <v>32</v>
      </c>
      <c r="K38" s="60">
        <v>41620</v>
      </c>
      <c r="L38" s="60">
        <v>41621</v>
      </c>
      <c r="M38" s="94" t="s">
        <v>47</v>
      </c>
      <c r="N38" s="94" t="s">
        <v>118</v>
      </c>
      <c r="O38" s="61"/>
      <c r="P38" s="80">
        <v>0.9869</v>
      </c>
      <c r="Q38" s="61">
        <v>17000</v>
      </c>
      <c r="R38" s="61">
        <v>7671</v>
      </c>
      <c r="S38" s="96">
        <v>12.975</v>
      </c>
      <c r="T38" s="97">
        <f>W38*F38*0.005</f>
        <v>2768.0386508102333</v>
      </c>
      <c r="V38" s="61">
        <v>0.1</v>
      </c>
      <c r="W38" s="61">
        <f>IF(O38&gt;0,O38,((P38*2.2046*S38)+(Q38+R38)/G38)+V38)</f>
        <v>29.648380799109457</v>
      </c>
      <c r="X38" s="61">
        <f>IF(O38&gt;0,O38,((P38*2.2046*S38)+(Q38+R38+T38)/G38)+V38)</f>
        <v>29.796304664849593</v>
      </c>
      <c r="Y38" s="81">
        <f t="shared" ref="Y38:Y43" si="26">X38*F38</f>
        <v>556369.83026134281</v>
      </c>
      <c r="Z38" s="63">
        <v>41621</v>
      </c>
    </row>
    <row r="39" spans="1:26" s="51" customFormat="1" x14ac:dyDescent="0.25">
      <c r="A39" s="163"/>
      <c r="B39" s="58" t="s">
        <v>29</v>
      </c>
      <c r="C39" s="11" t="s">
        <v>59</v>
      </c>
      <c r="D39" s="11" t="s">
        <v>59</v>
      </c>
      <c r="E39" s="11" t="s">
        <v>34</v>
      </c>
      <c r="F39" s="95">
        <f>40142*0.4536</f>
        <v>18208.411199999999</v>
      </c>
      <c r="G39" s="59">
        <v>18103.82</v>
      </c>
      <c r="H39" s="59">
        <f>G39-F39</f>
        <v>-104.59119999999893</v>
      </c>
      <c r="I39" s="94" t="s">
        <v>120</v>
      </c>
      <c r="J39" s="64" t="s">
        <v>32</v>
      </c>
      <c r="K39" s="60">
        <v>41620</v>
      </c>
      <c r="L39" s="60">
        <v>41622</v>
      </c>
      <c r="M39" s="94" t="s">
        <v>48</v>
      </c>
      <c r="N39" s="94" t="s">
        <v>118</v>
      </c>
      <c r="O39" s="61"/>
      <c r="P39" s="80">
        <v>0.9869</v>
      </c>
      <c r="Q39" s="61">
        <v>17000</v>
      </c>
      <c r="R39" s="61">
        <v>7671</v>
      </c>
      <c r="S39" s="96">
        <v>12.975</v>
      </c>
      <c r="T39" s="97">
        <f>W39*F39*0.005</f>
        <v>2703.2857938081411</v>
      </c>
      <c r="V39" s="61">
        <v>0.1</v>
      </c>
      <c r="W39" s="61">
        <f>IF(O39&gt;0,O39,((P39*2.2046*S39)+(Q39+R39)/G39)+V39)</f>
        <v>29.692714692297162</v>
      </c>
      <c r="X39" s="61">
        <f>IF(O39&gt;0,O39,((P39*2.2046*S39)+(Q39+R39+T39)/G39)+V39)</f>
        <v>29.842035984367463</v>
      </c>
      <c r="Y39" s="81">
        <f>X39*F39</f>
        <v>543376.06224855955</v>
      </c>
      <c r="Z39" s="63">
        <v>41621</v>
      </c>
    </row>
    <row r="40" spans="1:26" s="51" customFormat="1" x14ac:dyDescent="0.25">
      <c r="A40" s="163"/>
      <c r="B40" s="58" t="s">
        <v>29</v>
      </c>
      <c r="C40" s="11" t="s">
        <v>35</v>
      </c>
      <c r="D40" s="11" t="s">
        <v>35</v>
      </c>
      <c r="E40" s="11" t="s">
        <v>36</v>
      </c>
      <c r="F40" s="95">
        <f>42450*0.4536</f>
        <v>19255.32</v>
      </c>
      <c r="G40" s="59">
        <v>19299.82</v>
      </c>
      <c r="H40" s="59">
        <f t="shared" ref="H40" si="27">G40-F40</f>
        <v>44.5</v>
      </c>
      <c r="I40" s="94" t="s">
        <v>121</v>
      </c>
      <c r="J40" s="64" t="s">
        <v>37</v>
      </c>
      <c r="K40" s="60">
        <v>41621</v>
      </c>
      <c r="L40" s="60">
        <v>41622</v>
      </c>
      <c r="M40" s="94" t="s">
        <v>48</v>
      </c>
      <c r="N40" s="94" t="s">
        <v>122</v>
      </c>
      <c r="O40" s="61"/>
      <c r="P40" s="80">
        <v>0.99380000000000002</v>
      </c>
      <c r="Q40" s="61">
        <v>17000</v>
      </c>
      <c r="R40" s="61">
        <v>7671</v>
      </c>
      <c r="S40" s="96">
        <v>12.975</v>
      </c>
      <c r="T40" s="97">
        <f>W40*F40*0.005</f>
        <v>2869.5854904003722</v>
      </c>
      <c r="V40" s="61">
        <v>0.1</v>
      </c>
      <c r="W40" s="61">
        <f>IF(O40&gt;0,O40,((P40*2.2046*S40)+(Q40+R40)/G40)+V40)</f>
        <v>29.805638030428703</v>
      </c>
      <c r="X40" s="61">
        <f>IF(O40&gt;0,O40,((P40*2.2046*S40)+(Q40+R40+T40)/G40)+V40)</f>
        <v>29.954322603155308</v>
      </c>
      <c r="Y40" s="81">
        <f t="shared" ref="Y40" si="28">X40*F40</f>
        <v>576780.06710698851</v>
      </c>
      <c r="Z40" s="63">
        <v>41621</v>
      </c>
    </row>
    <row r="41" spans="1:26" s="51" customFormat="1" x14ac:dyDescent="0.25">
      <c r="A41" s="163"/>
      <c r="B41" s="58" t="s">
        <v>29</v>
      </c>
      <c r="C41" s="94" t="s">
        <v>30</v>
      </c>
      <c r="D41" s="94" t="s">
        <v>60</v>
      </c>
      <c r="E41" s="11" t="s">
        <v>31</v>
      </c>
      <c r="F41" s="95">
        <f>42858*0.4536</f>
        <v>19440.388800000001</v>
      </c>
      <c r="G41" s="59">
        <v>19359.349999999999</v>
      </c>
      <c r="H41" s="59">
        <f t="shared" si="25"/>
        <v>-81.038800000002084</v>
      </c>
      <c r="I41" s="94" t="s">
        <v>123</v>
      </c>
      <c r="J41" s="11"/>
      <c r="K41" s="60">
        <v>41621</v>
      </c>
      <c r="L41" s="60">
        <v>41622</v>
      </c>
      <c r="M41" s="94" t="s">
        <v>48</v>
      </c>
      <c r="N41" s="11" t="s">
        <v>124</v>
      </c>
      <c r="O41" s="61"/>
      <c r="P41" s="80">
        <v>1.0488</v>
      </c>
      <c r="Q41" s="61"/>
      <c r="R41" s="61"/>
      <c r="S41" s="96">
        <v>12.965</v>
      </c>
      <c r="T41" s="98"/>
      <c r="V41" s="61"/>
      <c r="W41" s="61">
        <f>IF(O41&gt;0,O41,((P41*2.2046*S41)+(Q41+R41)/G41)+V41)</f>
        <v>29.977471783199999</v>
      </c>
      <c r="X41" s="61">
        <f>IF(O41&gt;0,O41,((P41*2.2046*S41)+(Q41+R41+T41)/G41)+V41)</f>
        <v>29.977471783199999</v>
      </c>
      <c r="Y41" s="81">
        <f t="shared" si="26"/>
        <v>582773.70670643728</v>
      </c>
      <c r="Z41" s="63">
        <v>41624</v>
      </c>
    </row>
    <row r="42" spans="1:26" s="51" customFormat="1" x14ac:dyDescent="0.25">
      <c r="A42" s="163"/>
      <c r="B42" s="58" t="s">
        <v>26</v>
      </c>
      <c r="C42" s="11" t="s">
        <v>125</v>
      </c>
      <c r="D42" s="94" t="s">
        <v>125</v>
      </c>
      <c r="E42" s="11">
        <f>52+128</f>
        <v>180</v>
      </c>
      <c r="F42" s="95">
        <f>(19090-(19090/180)*2)-(19090-(19090/180)*2)*0.02</f>
        <v>18500.331111111114</v>
      </c>
      <c r="G42" s="59">
        <f>4430+11150</f>
        <v>15580</v>
      </c>
      <c r="H42" s="59">
        <f t="shared" si="25"/>
        <v>-2920.3311111111143</v>
      </c>
      <c r="I42" s="94" t="s">
        <v>126</v>
      </c>
      <c r="J42" s="11"/>
      <c r="K42" s="60">
        <v>41622</v>
      </c>
      <c r="L42" s="60">
        <v>41623</v>
      </c>
      <c r="M42" s="94" t="s">
        <v>50</v>
      </c>
      <c r="N42" s="11"/>
      <c r="O42" s="61">
        <v>26.2</v>
      </c>
      <c r="P42" s="62"/>
      <c r="Q42" s="61">
        <v>1000</v>
      </c>
      <c r="R42" s="61">
        <f>80*E42</f>
        <v>14400</v>
      </c>
      <c r="S42" s="168">
        <f>-25*E42</f>
        <v>-4500</v>
      </c>
      <c r="T42" s="168"/>
      <c r="U42" s="61">
        <f>E42*10</f>
        <v>1800</v>
      </c>
      <c r="V42" s="11"/>
      <c r="W42" s="61">
        <f>((O42*F42)+Q42+R42+S42+U42)/G42</f>
        <v>31.926102381971194</v>
      </c>
      <c r="X42" s="61">
        <f>((O42*F42)+Q42+R42+S42+T42+U42)/G42</f>
        <v>31.926102381971194</v>
      </c>
      <c r="Y42" s="81">
        <f t="shared" si="26"/>
        <v>590643.46515370032</v>
      </c>
      <c r="Z42" s="63">
        <v>41631</v>
      </c>
    </row>
    <row r="43" spans="1:26" s="51" customFormat="1" x14ac:dyDescent="0.25">
      <c r="A43" s="163"/>
      <c r="B43" s="58" t="s">
        <v>26</v>
      </c>
      <c r="C43" s="94" t="s">
        <v>27</v>
      </c>
      <c r="D43" s="94" t="s">
        <v>51</v>
      </c>
      <c r="E43" s="11">
        <v>251</v>
      </c>
      <c r="F43" s="95">
        <v>20633.2</v>
      </c>
      <c r="G43" s="59">
        <f>5680+14780</f>
        <v>20460</v>
      </c>
      <c r="H43" s="59">
        <f t="shared" si="25"/>
        <v>-173.20000000000073</v>
      </c>
      <c r="I43" s="94" t="s">
        <v>127</v>
      </c>
      <c r="J43" s="11"/>
      <c r="K43" s="60"/>
      <c r="L43" s="60">
        <v>41623</v>
      </c>
      <c r="M43" s="94" t="s">
        <v>50</v>
      </c>
      <c r="N43" s="11"/>
      <c r="O43" s="61">
        <v>32.9</v>
      </c>
      <c r="P43" s="80"/>
      <c r="Q43" s="61"/>
      <c r="R43" s="61"/>
      <c r="S43" s="96"/>
      <c r="T43" s="98"/>
      <c r="U43" s="61">
        <f t="shared" ref="U43" si="29">E43*5</f>
        <v>1255</v>
      </c>
      <c r="V43" s="87"/>
      <c r="W43" s="61">
        <f t="shared" ref="W43" si="30">((O43*F43)+Q43+R43+S43+U43)/G43</f>
        <v>33.239847507331376</v>
      </c>
      <c r="X43" s="61">
        <f t="shared" ref="X43" si="31">((O43*F43)+R43+S43+T43+U43)/G43</f>
        <v>33.239847507331376</v>
      </c>
      <c r="Y43" s="81">
        <f t="shared" si="26"/>
        <v>685844.42158826976</v>
      </c>
      <c r="Z43" s="63">
        <v>41631</v>
      </c>
    </row>
    <row r="44" spans="1:26" s="51" customFormat="1" ht="15.75" thickBot="1" x14ac:dyDescent="0.3">
      <c r="A44" s="163"/>
      <c r="B44" s="65"/>
      <c r="C44" s="52"/>
      <c r="D44" s="52"/>
      <c r="E44" s="52"/>
      <c r="F44" s="53"/>
      <c r="G44" s="53"/>
      <c r="H44" s="53"/>
      <c r="I44" s="54"/>
      <c r="J44" s="52"/>
      <c r="K44" s="55"/>
      <c r="L44" s="55"/>
      <c r="M44" s="52"/>
      <c r="N44" s="52"/>
      <c r="O44" s="56"/>
      <c r="P44" s="57"/>
      <c r="Q44" s="56"/>
      <c r="R44" s="56"/>
      <c r="S44" s="56"/>
      <c r="T44" s="56"/>
      <c r="U44" s="56"/>
      <c r="V44" s="56"/>
      <c r="W44" s="56"/>
      <c r="X44" s="56"/>
      <c r="Y44" s="56"/>
      <c r="Z44" s="66"/>
    </row>
    <row r="45" spans="1:26" s="51" customFormat="1" x14ac:dyDescent="0.25">
      <c r="A45" s="169"/>
      <c r="B45" s="151" t="s">
        <v>26</v>
      </c>
      <c r="C45" s="151" t="s">
        <v>27</v>
      </c>
      <c r="D45" s="151" t="s">
        <v>51</v>
      </c>
      <c r="E45" s="152">
        <v>253</v>
      </c>
      <c r="F45" s="153">
        <v>21764.2</v>
      </c>
      <c r="G45" s="154">
        <f>3340+18290</f>
        <v>21630</v>
      </c>
      <c r="H45" s="154">
        <f t="shared" ref="H45" si="32">G45-F45</f>
        <v>-134.20000000000073</v>
      </c>
      <c r="I45" s="151" t="s">
        <v>128</v>
      </c>
      <c r="J45" s="152"/>
      <c r="K45" s="155"/>
      <c r="L45" s="155">
        <v>41624</v>
      </c>
      <c r="M45" s="151" t="s">
        <v>28</v>
      </c>
      <c r="N45" s="152"/>
      <c r="O45" s="156">
        <v>33.5</v>
      </c>
      <c r="P45" s="157"/>
      <c r="Q45" s="156"/>
      <c r="R45" s="156"/>
      <c r="S45" s="158"/>
      <c r="T45" s="158"/>
      <c r="U45" s="156">
        <f>E45*5</f>
        <v>1265</v>
      </c>
      <c r="V45" s="159"/>
      <c r="W45" s="156">
        <f>((O45*F45)+Q45+R45+S45+U45)/G45</f>
        <v>33.76632917244568</v>
      </c>
      <c r="X45" s="156">
        <f>((O45*F45)+R45+S45+T45+U45)/G45</f>
        <v>33.76632917244568</v>
      </c>
      <c r="Y45" s="160">
        <f t="shared" ref="Y45" si="33">X45*F45</f>
        <v>734897.14137494226</v>
      </c>
      <c r="Z45" s="161">
        <v>41631</v>
      </c>
    </row>
    <row r="46" spans="1:26" s="51" customFormat="1" x14ac:dyDescent="0.25">
      <c r="A46" s="170"/>
      <c r="B46" s="58" t="s">
        <v>44</v>
      </c>
      <c r="C46" s="11" t="s">
        <v>45</v>
      </c>
      <c r="D46" s="11" t="s">
        <v>46</v>
      </c>
      <c r="E46" s="11" t="s">
        <v>53</v>
      </c>
      <c r="F46" s="95">
        <v>18563.580000000002</v>
      </c>
      <c r="G46" s="59">
        <v>18516.5</v>
      </c>
      <c r="H46" s="59">
        <f>G46-F46</f>
        <v>-47.080000000001746</v>
      </c>
      <c r="I46" s="94" t="s">
        <v>129</v>
      </c>
      <c r="J46" s="11"/>
      <c r="K46" s="60">
        <v>41621</v>
      </c>
      <c r="L46" s="60">
        <v>41624</v>
      </c>
      <c r="M46" s="94" t="s">
        <v>28</v>
      </c>
      <c r="N46" s="94" t="s">
        <v>130</v>
      </c>
      <c r="O46" s="61"/>
      <c r="P46" s="80">
        <v>2.31</v>
      </c>
      <c r="Q46" s="61"/>
      <c r="R46" s="61"/>
      <c r="S46" s="96">
        <v>12.99</v>
      </c>
      <c r="T46" s="96"/>
      <c r="U46" s="61"/>
      <c r="V46" s="61"/>
      <c r="W46" s="61">
        <f>IF(O46&gt;0,O46,((P46*S46)+(Q46+R46)/G46)+V46)</f>
        <v>30.006900000000002</v>
      </c>
      <c r="X46" s="61">
        <f>IF(O46&gt;0,O46,((P46*S46)+(Q46+R46+T46)/G46)+V46)</f>
        <v>30.006900000000002</v>
      </c>
      <c r="Y46" s="81">
        <f>X46*F46</f>
        <v>557035.48870200012</v>
      </c>
      <c r="Z46" s="63">
        <v>41624</v>
      </c>
    </row>
    <row r="47" spans="1:26" s="51" customFormat="1" x14ac:dyDescent="0.25">
      <c r="A47" s="170"/>
      <c r="B47" s="58" t="s">
        <v>29</v>
      </c>
      <c r="C47" s="11" t="s">
        <v>35</v>
      </c>
      <c r="D47" s="11" t="s">
        <v>35</v>
      </c>
      <c r="E47" s="11" t="s">
        <v>52</v>
      </c>
      <c r="F47" s="95">
        <f>40767*0.4536</f>
        <v>18491.911199999999</v>
      </c>
      <c r="G47" s="59">
        <v>18503.87</v>
      </c>
      <c r="H47" s="59">
        <f t="shared" ref="H47:H56" si="34">G47-F47</f>
        <v>11.958800000000338</v>
      </c>
      <c r="I47" s="94" t="s">
        <v>131</v>
      </c>
      <c r="J47" s="64" t="s">
        <v>37</v>
      </c>
      <c r="K47" s="60">
        <v>41624</v>
      </c>
      <c r="L47" s="60">
        <v>41625</v>
      </c>
      <c r="M47" s="94" t="s">
        <v>38</v>
      </c>
      <c r="N47" s="94" t="s">
        <v>132</v>
      </c>
      <c r="O47" s="61"/>
      <c r="P47" s="80">
        <v>1.0107999999999999</v>
      </c>
      <c r="Q47" s="61">
        <v>17000</v>
      </c>
      <c r="R47" s="61">
        <v>7671</v>
      </c>
      <c r="S47" s="96">
        <v>13.02</v>
      </c>
      <c r="T47" s="97">
        <f>W47*F47*0.005</f>
        <v>2815.1329931156893</v>
      </c>
      <c r="V47" s="61">
        <v>0.1</v>
      </c>
      <c r="W47" s="61">
        <f>IF(O47&gt;0,O47,((P47*2.2046*S47)+(Q47+R47)/G47)+V47)</f>
        <v>30.447182691594247</v>
      </c>
      <c r="X47" s="61">
        <f>IF(O47&gt;0,O47,((P47*2.2046*S47)+(Q47+R47+T47)/G47)+V47)</f>
        <v>30.599320217047879</v>
      </c>
      <c r="Y47" s="81">
        <f t="shared" ref="Y47:Y56" si="35">X47*F47</f>
        <v>565839.91223401402</v>
      </c>
      <c r="Z47" s="63">
        <v>41626</v>
      </c>
    </row>
    <row r="48" spans="1:26" s="51" customFormat="1" x14ac:dyDescent="0.25">
      <c r="A48" s="170"/>
      <c r="B48" s="58" t="s">
        <v>29</v>
      </c>
      <c r="C48" s="11" t="s">
        <v>35</v>
      </c>
      <c r="D48" s="11" t="s">
        <v>35</v>
      </c>
      <c r="E48" s="11" t="s">
        <v>52</v>
      </c>
      <c r="F48" s="95">
        <f>41193*0.4536</f>
        <v>18685.144800000002</v>
      </c>
      <c r="G48" s="59">
        <v>18437.080000000002</v>
      </c>
      <c r="H48" s="59">
        <f t="shared" si="34"/>
        <v>-248.0648000000001</v>
      </c>
      <c r="I48" s="94" t="s">
        <v>133</v>
      </c>
      <c r="J48" s="64" t="s">
        <v>37</v>
      </c>
      <c r="K48" s="60">
        <v>41624</v>
      </c>
      <c r="L48" s="60">
        <v>41626</v>
      </c>
      <c r="M48" s="94" t="s">
        <v>41</v>
      </c>
      <c r="N48" s="94" t="s">
        <v>132</v>
      </c>
      <c r="O48" s="61"/>
      <c r="P48" s="80">
        <v>1.0107999999999999</v>
      </c>
      <c r="Q48" s="61">
        <v>17000</v>
      </c>
      <c r="R48" s="61">
        <v>7671</v>
      </c>
      <c r="S48" s="96">
        <v>13.02</v>
      </c>
      <c r="T48" s="97">
        <f>W48*F48*0.005</f>
        <v>2845.0013291844703</v>
      </c>
      <c r="V48" s="61">
        <v>0.1</v>
      </c>
      <c r="W48" s="61">
        <f>IF(O48&gt;0,O48,((P48*2.2046*S48)+(Q48+R48)/G48)+V48)</f>
        <v>30.452012651081727</v>
      </c>
      <c r="X48" s="61">
        <f>IF(O48&gt;0,O48,((P48*2.2046*S48)+(Q48+R48+T48)/G48)+V48)</f>
        <v>30.60632132301809</v>
      </c>
      <c r="Y48" s="81">
        <f t="shared" si="35"/>
        <v>571883.54571592063</v>
      </c>
      <c r="Z48" s="63">
        <v>41626</v>
      </c>
    </row>
    <row r="49" spans="1:26" s="51" customFormat="1" x14ac:dyDescent="0.25">
      <c r="A49" s="170"/>
      <c r="B49" s="58" t="s">
        <v>29</v>
      </c>
      <c r="C49" s="11" t="s">
        <v>59</v>
      </c>
      <c r="D49" s="11" t="s">
        <v>59</v>
      </c>
      <c r="E49" s="11" t="s">
        <v>34</v>
      </c>
      <c r="F49" s="95">
        <f>41155.5*0.4536</f>
        <v>18668.1348</v>
      </c>
      <c r="G49" s="59">
        <v>18603.82</v>
      </c>
      <c r="H49" s="59">
        <f t="shared" si="34"/>
        <v>-64.314800000000105</v>
      </c>
      <c r="I49" s="94" t="s">
        <v>134</v>
      </c>
      <c r="J49" s="64" t="s">
        <v>107</v>
      </c>
      <c r="K49" s="60">
        <v>41624</v>
      </c>
      <c r="L49" s="60">
        <v>41625</v>
      </c>
      <c r="M49" s="94" t="s">
        <v>38</v>
      </c>
      <c r="N49" s="94" t="s">
        <v>135</v>
      </c>
      <c r="O49" s="61"/>
      <c r="P49" s="80">
        <v>0.99</v>
      </c>
      <c r="Q49" s="61">
        <v>17000</v>
      </c>
      <c r="R49" s="61">
        <v>7671</v>
      </c>
      <c r="S49" s="96">
        <v>12.965</v>
      </c>
      <c r="T49" s="97">
        <f t="shared" ref="T49:T51" si="36">W49*F49*0.005</f>
        <v>2774.359075948918</v>
      </c>
      <c r="V49" s="61">
        <v>0.1</v>
      </c>
      <c r="W49" s="61">
        <f t="shared" ref="W49:W50" si="37">IF(O49&gt;0,O49,((P49*2.2046*S49)+(Q49+R49)/G49)+V49)</f>
        <v>29.722938104656475</v>
      </c>
      <c r="X49" s="61">
        <f t="shared" ref="X49:X50" si="38">IF(O49&gt;0,O49,((P49*2.2046*S49)+(Q49+R49+T49)/G49)+V49)</f>
        <v>29.872066567302799</v>
      </c>
      <c r="Y49" s="81">
        <f t="shared" si="35"/>
        <v>557655.76543298189</v>
      </c>
      <c r="Z49" s="63">
        <v>41626</v>
      </c>
    </row>
    <row r="50" spans="1:26" s="51" customFormat="1" x14ac:dyDescent="0.25">
      <c r="A50" s="170"/>
      <c r="B50" s="58" t="s">
        <v>29</v>
      </c>
      <c r="C50" s="11" t="s">
        <v>59</v>
      </c>
      <c r="D50" s="11" t="s">
        <v>59</v>
      </c>
      <c r="E50" s="11" t="s">
        <v>34</v>
      </c>
      <c r="F50" s="95">
        <f>41693*0.4536</f>
        <v>18911.944800000001</v>
      </c>
      <c r="G50" s="59">
        <v>18863.82</v>
      </c>
      <c r="H50" s="59">
        <f t="shared" si="34"/>
        <v>-48.124800000001414</v>
      </c>
      <c r="I50" s="94" t="s">
        <v>136</v>
      </c>
      <c r="J50" s="64" t="s">
        <v>32</v>
      </c>
      <c r="K50" s="60">
        <v>41624</v>
      </c>
      <c r="L50" s="60">
        <v>41625</v>
      </c>
      <c r="M50" s="94" t="s">
        <v>38</v>
      </c>
      <c r="N50" s="94" t="s">
        <v>135</v>
      </c>
      <c r="O50" s="61"/>
      <c r="P50" s="80">
        <v>0.97</v>
      </c>
      <c r="Q50" s="61">
        <v>17000</v>
      </c>
      <c r="R50" s="61">
        <v>7671</v>
      </c>
      <c r="S50" s="96">
        <v>13.02</v>
      </c>
      <c r="T50" s="97">
        <f t="shared" si="36"/>
        <v>2765.9308139874752</v>
      </c>
      <c r="V50" s="61">
        <v>0.1</v>
      </c>
      <c r="W50" s="61">
        <f t="shared" si="37"/>
        <v>29.250622749147144</v>
      </c>
      <c r="X50" s="61">
        <f t="shared" si="38"/>
        <v>29.397248979358601</v>
      </c>
      <c r="Y50" s="81">
        <f t="shared" si="35"/>
        <v>555959.14996948629</v>
      </c>
      <c r="Z50" s="63">
        <v>41626</v>
      </c>
    </row>
    <row r="51" spans="1:26" s="51" customFormat="1" x14ac:dyDescent="0.25">
      <c r="A51" s="170"/>
      <c r="B51" s="94" t="s">
        <v>26</v>
      </c>
      <c r="C51" s="94" t="s">
        <v>27</v>
      </c>
      <c r="D51" s="94" t="s">
        <v>51</v>
      </c>
      <c r="E51" s="11">
        <v>250</v>
      </c>
      <c r="F51" s="95">
        <v>19561</v>
      </c>
      <c r="G51" s="59">
        <f>14670+4640</f>
        <v>19310</v>
      </c>
      <c r="H51" s="59">
        <f t="shared" si="34"/>
        <v>-251</v>
      </c>
      <c r="I51" s="94" t="s">
        <v>137</v>
      </c>
      <c r="J51" s="11"/>
      <c r="K51" s="60"/>
      <c r="L51" s="60">
        <v>41625</v>
      </c>
      <c r="M51" s="94" t="s">
        <v>38</v>
      </c>
      <c r="N51" s="11"/>
      <c r="O51" s="61">
        <v>33.5</v>
      </c>
      <c r="P51" s="80"/>
      <c r="Q51" s="61"/>
      <c r="R51" s="61"/>
      <c r="S51" s="96"/>
      <c r="T51" s="98">
        <f t="shared" si="36"/>
        <v>3325.387727472812</v>
      </c>
      <c r="U51" s="61">
        <f t="shared" ref="U51" si="39">E51*5</f>
        <v>1250</v>
      </c>
      <c r="V51" s="87"/>
      <c r="W51" s="61">
        <f t="shared" ref="W51" si="40">((O51*F51)+Q51+R51+S51+U51)/G51</f>
        <v>34.000181253236661</v>
      </c>
      <c r="X51" s="61">
        <f t="shared" ref="X51" si="41">((O51*F51)+R51+S51+T51+U51)/G51</f>
        <v>34.17239190717104</v>
      </c>
      <c r="Y51" s="81">
        <f t="shared" si="35"/>
        <v>668446.15809617273</v>
      </c>
      <c r="Z51" s="63"/>
    </row>
    <row r="52" spans="1:26" s="51" customFormat="1" x14ac:dyDescent="0.25">
      <c r="A52" s="170"/>
      <c r="B52" s="58" t="s">
        <v>29</v>
      </c>
      <c r="C52" s="11" t="s">
        <v>35</v>
      </c>
      <c r="D52" s="11" t="s">
        <v>35</v>
      </c>
      <c r="E52" s="11" t="s">
        <v>36</v>
      </c>
      <c r="F52" s="95">
        <f>42142*0.4536</f>
        <v>19115.611199999999</v>
      </c>
      <c r="G52" s="59">
        <v>19118.03</v>
      </c>
      <c r="H52" s="59">
        <f t="shared" si="34"/>
        <v>2.4187999999994645</v>
      </c>
      <c r="I52" s="94" t="s">
        <v>138</v>
      </c>
      <c r="J52" s="64" t="s">
        <v>32</v>
      </c>
      <c r="K52" s="60">
        <v>41625</v>
      </c>
      <c r="L52" s="60">
        <v>41626</v>
      </c>
      <c r="M52" s="94" t="s">
        <v>41</v>
      </c>
      <c r="N52" s="94" t="s">
        <v>132</v>
      </c>
      <c r="O52" s="61"/>
      <c r="P52" s="80">
        <v>0.97499999999999998</v>
      </c>
      <c r="Q52" s="61">
        <v>17000</v>
      </c>
      <c r="R52" s="61">
        <v>7671</v>
      </c>
      <c r="S52" s="96">
        <v>13.02</v>
      </c>
      <c r="T52" s="98">
        <f>W52*F52*0.005</f>
        <v>2807.7728408793869</v>
      </c>
      <c r="V52" s="61">
        <v>0.1</v>
      </c>
      <c r="W52" s="61">
        <f>IF(O52&gt;0,O52,((P52*2.2046*S52)+(Q52+R52)/G52)+V52)</f>
        <v>29.376751928072139</v>
      </c>
      <c r="X52" s="61">
        <f>IF(O52&gt;0,O52,((P52*2.2046*S52)+(Q52+R52+T52)/G52)+V52)</f>
        <v>29.523617104080305</v>
      </c>
      <c r="Y52" s="81">
        <f t="shared" si="35"/>
        <v>564361.98577926902</v>
      </c>
      <c r="Z52" s="63">
        <v>41626</v>
      </c>
    </row>
    <row r="53" spans="1:26" s="51" customFormat="1" x14ac:dyDescent="0.25">
      <c r="A53" s="170"/>
      <c r="B53" s="58" t="s">
        <v>29</v>
      </c>
      <c r="C53" s="11" t="s">
        <v>35</v>
      </c>
      <c r="D53" s="11" t="s">
        <v>35</v>
      </c>
      <c r="E53" s="11" t="s">
        <v>36</v>
      </c>
      <c r="F53" s="95">
        <f>42410*0.4536</f>
        <v>19237.175999999999</v>
      </c>
      <c r="G53" s="59">
        <v>19349.39</v>
      </c>
      <c r="H53" s="59">
        <f t="shared" si="34"/>
        <v>112.21399999999994</v>
      </c>
      <c r="I53" s="94" t="s">
        <v>139</v>
      </c>
      <c r="J53" s="64" t="s">
        <v>107</v>
      </c>
      <c r="K53" s="60">
        <v>41625</v>
      </c>
      <c r="L53" s="60">
        <v>41627</v>
      </c>
      <c r="M53" s="94" t="s">
        <v>43</v>
      </c>
      <c r="N53" s="94" t="s">
        <v>132</v>
      </c>
      <c r="O53" s="61"/>
      <c r="P53" s="80">
        <v>0.97499999999999998</v>
      </c>
      <c r="Q53" s="61">
        <v>17000</v>
      </c>
      <c r="R53" s="61">
        <v>7671</v>
      </c>
      <c r="S53" s="96">
        <v>13.02</v>
      </c>
      <c r="T53" s="98">
        <f>W53*F53*0.005</f>
        <v>2824.1445921057853</v>
      </c>
      <c r="V53" s="61">
        <v>0.1</v>
      </c>
      <c r="W53" s="61">
        <f>IF(O53&gt;0,O53,((P53*2.2046*S53)+(Q53+R53)/G53)+V53)</f>
        <v>29.361321974761633</v>
      </c>
      <c r="X53" s="61">
        <f>IF(O53&gt;0,O53,((P53*2.2046*S53)+(Q53+R53+T53)/G53)+V53)</f>
        <v>29.507277200849163</v>
      </c>
      <c r="Y53" s="81">
        <f t="shared" si="35"/>
        <v>567636.6847935227</v>
      </c>
      <c r="Z53" s="63">
        <v>41626</v>
      </c>
    </row>
    <row r="54" spans="1:26" s="51" customFormat="1" x14ac:dyDescent="0.25">
      <c r="A54" s="170"/>
      <c r="B54" s="58" t="s">
        <v>29</v>
      </c>
      <c r="C54" s="11" t="s">
        <v>59</v>
      </c>
      <c r="D54" s="11" t="s">
        <v>59</v>
      </c>
      <c r="E54" s="11" t="s">
        <v>34</v>
      </c>
      <c r="F54" s="95">
        <f>40613*0.4536</f>
        <v>18422.056799999998</v>
      </c>
      <c r="G54" s="59">
        <v>18343.82</v>
      </c>
      <c r="H54" s="59">
        <f t="shared" si="34"/>
        <v>-78.236799999998766</v>
      </c>
      <c r="I54" s="94" t="s">
        <v>140</v>
      </c>
      <c r="J54" s="64" t="s">
        <v>37</v>
      </c>
      <c r="K54" s="60">
        <v>41626</v>
      </c>
      <c r="L54" s="60">
        <v>41627</v>
      </c>
      <c r="M54" s="94" t="s">
        <v>41</v>
      </c>
      <c r="N54" s="94" t="s">
        <v>135</v>
      </c>
      <c r="O54" s="61"/>
      <c r="P54" s="80">
        <v>0.97</v>
      </c>
      <c r="Q54" s="61">
        <v>17000</v>
      </c>
      <c r="R54" s="61">
        <v>7671</v>
      </c>
      <c r="S54" s="96">
        <v>13.02</v>
      </c>
      <c r="T54" s="98">
        <f t="shared" ref="T54" si="42">W54*F54*0.005</f>
        <v>2697.6980749211907</v>
      </c>
      <c r="V54" s="61">
        <v>0.1</v>
      </c>
      <c r="W54" s="61">
        <f t="shared" ref="W54" si="43">IF(O54&gt;0,O54,((P54*2.2046*S54)+(Q54+R54)/G54)+V54)</f>
        <v>29.287696853927745</v>
      </c>
      <c r="X54" s="61">
        <f t="shared" ref="X54" si="44">IF(O54&gt;0,O54,((P54*2.2046*S54)+(Q54+R54+T54)/G54)+V54)</f>
        <v>29.434759901587459</v>
      </c>
      <c r="Y54" s="81">
        <f t="shared" si="35"/>
        <v>542248.81880140654</v>
      </c>
      <c r="Z54" s="63">
        <v>41627</v>
      </c>
    </row>
    <row r="55" spans="1:26" s="51" customFormat="1" x14ac:dyDescent="0.25">
      <c r="A55" s="170"/>
      <c r="B55" s="58" t="s">
        <v>26</v>
      </c>
      <c r="C55" s="11" t="s">
        <v>39</v>
      </c>
      <c r="D55" s="11" t="s">
        <v>64</v>
      </c>
      <c r="E55" s="11">
        <v>250</v>
      </c>
      <c r="F55" s="95">
        <v>28780</v>
      </c>
      <c r="G55" s="59">
        <f>7340+15360</f>
        <v>22700</v>
      </c>
      <c r="H55" s="59">
        <f t="shared" si="34"/>
        <v>-6080</v>
      </c>
      <c r="I55" s="94" t="s">
        <v>141</v>
      </c>
      <c r="J55" s="11"/>
      <c r="K55" s="60"/>
      <c r="L55" s="60">
        <v>41626</v>
      </c>
      <c r="M55" s="94" t="s">
        <v>41</v>
      </c>
      <c r="N55" s="11"/>
      <c r="O55" s="61">
        <v>25</v>
      </c>
      <c r="P55" s="62"/>
      <c r="Q55" s="61">
        <v>15000</v>
      </c>
      <c r="R55" s="61">
        <f>58.25*E55</f>
        <v>14562.5</v>
      </c>
      <c r="S55" s="96">
        <f>-35*E55</f>
        <v>-8750</v>
      </c>
      <c r="T55" s="167">
        <v>2250</v>
      </c>
      <c r="U55" s="61">
        <f>E55*5</f>
        <v>1250</v>
      </c>
      <c r="V55" s="11"/>
      <c r="W55" s="61">
        <f>((O55*F55)+Q55+R55+S55+U55)/G55</f>
        <v>32.667951541850222</v>
      </c>
      <c r="X55" s="61">
        <f>((O55*F55)+Q55+R55+S55+T55+U55)/G55</f>
        <v>32.767070484581495</v>
      </c>
      <c r="Y55" s="81">
        <f t="shared" si="35"/>
        <v>943036.28854625544</v>
      </c>
      <c r="Z55" s="63">
        <v>41634</v>
      </c>
    </row>
    <row r="56" spans="1:26" s="51" customFormat="1" x14ac:dyDescent="0.25">
      <c r="A56" s="170"/>
      <c r="B56" s="58" t="s">
        <v>29</v>
      </c>
      <c r="C56" s="94" t="s">
        <v>30</v>
      </c>
      <c r="D56" s="94" t="s">
        <v>30</v>
      </c>
      <c r="E56" s="11" t="s">
        <v>31</v>
      </c>
      <c r="F56" s="95">
        <f>42944*0.4536</f>
        <v>19479.398400000002</v>
      </c>
      <c r="G56" s="59">
        <v>19387.52</v>
      </c>
      <c r="H56" s="59">
        <f t="shared" si="34"/>
        <v>-91.87840000000142</v>
      </c>
      <c r="I56" s="94" t="s">
        <v>142</v>
      </c>
      <c r="J56" s="64" t="s">
        <v>32</v>
      </c>
      <c r="K56" s="60">
        <v>41626</v>
      </c>
      <c r="L56" s="60">
        <v>41628</v>
      </c>
      <c r="M56" s="94" t="s">
        <v>47</v>
      </c>
      <c r="N56" s="11" t="s">
        <v>143</v>
      </c>
      <c r="O56" s="61"/>
      <c r="P56" s="80">
        <v>1.0163</v>
      </c>
      <c r="Q56" s="61">
        <v>17000</v>
      </c>
      <c r="R56" s="61">
        <v>7671</v>
      </c>
      <c r="S56" s="96">
        <v>13.02</v>
      </c>
      <c r="T56" s="98">
        <f>W56*F56*0.005</f>
        <v>2974.9214896897465</v>
      </c>
      <c r="V56" s="61">
        <v>0.1</v>
      </c>
      <c r="W56" s="61">
        <f>IF(O56&gt;0,O56,((P56*2.2046*S56)+(Q56+R56)/G56)+V56)</f>
        <v>30.544285081101339</v>
      </c>
      <c r="X56" s="61">
        <f>IF(O56&gt;0,O56,((P56*2.2046*S56)+(Q56+R56+T56)/G56)+V56)</f>
        <v>30.697730260767937</v>
      </c>
      <c r="Y56" s="81">
        <f t="shared" si="35"/>
        <v>597973.31772523455</v>
      </c>
      <c r="Z56" s="63">
        <v>41626</v>
      </c>
    </row>
    <row r="57" spans="1:26" s="51" customFormat="1" x14ac:dyDescent="0.25">
      <c r="A57" s="170"/>
      <c r="B57" s="58" t="s">
        <v>44</v>
      </c>
      <c r="C57" s="11" t="s">
        <v>45</v>
      </c>
      <c r="D57" s="11" t="s">
        <v>46</v>
      </c>
      <c r="E57" s="11" t="s">
        <v>34</v>
      </c>
      <c r="F57" s="95">
        <v>18474.669999999998</v>
      </c>
      <c r="G57" s="59">
        <f>18474.6+26.29</f>
        <v>18500.89</v>
      </c>
      <c r="H57" s="59">
        <f>G57-F57</f>
        <v>26.220000000001164</v>
      </c>
      <c r="I57" s="94" t="s">
        <v>144</v>
      </c>
      <c r="J57" s="11"/>
      <c r="K57" s="60">
        <v>41625</v>
      </c>
      <c r="L57" s="60">
        <v>41628</v>
      </c>
      <c r="M57" s="94" t="s">
        <v>47</v>
      </c>
      <c r="N57" s="94" t="s">
        <v>145</v>
      </c>
      <c r="O57" s="61"/>
      <c r="P57" s="80">
        <v>2.3639999999999999</v>
      </c>
      <c r="Q57" s="61"/>
      <c r="R57" s="61"/>
      <c r="S57" s="96">
        <v>13.07</v>
      </c>
      <c r="T57" s="96"/>
      <c r="U57" s="61"/>
      <c r="V57" s="61"/>
      <c r="W57" s="61">
        <f>IF(O57&gt;0,O57,((P57*S57)+(Q57+R57)/G57)+V57)</f>
        <v>30.897479999999998</v>
      </c>
      <c r="X57" s="61">
        <f>IF(O57&gt;0,O57,((P57*S57)+(Q57+R57+T57)/G57)+V57)</f>
        <v>30.897479999999998</v>
      </c>
      <c r="Y57" s="81">
        <f>X57*F57</f>
        <v>570820.74683159986</v>
      </c>
      <c r="Z57" s="63">
        <v>41627</v>
      </c>
    </row>
    <row r="58" spans="1:26" s="51" customFormat="1" x14ac:dyDescent="0.25">
      <c r="A58" s="170"/>
      <c r="B58" s="58" t="s">
        <v>26</v>
      </c>
      <c r="C58" s="11" t="s">
        <v>39</v>
      </c>
      <c r="D58" s="11" t="s">
        <v>49</v>
      </c>
      <c r="E58" s="11">
        <v>250</v>
      </c>
      <c r="F58" s="95">
        <v>25440</v>
      </c>
      <c r="G58" s="59">
        <f>9700+10490</f>
        <v>20190</v>
      </c>
      <c r="H58" s="59">
        <f t="shared" ref="H58:H59" si="45">G58-F58</f>
        <v>-5250</v>
      </c>
      <c r="I58" s="94" t="s">
        <v>146</v>
      </c>
      <c r="J58" s="11"/>
      <c r="K58" s="60"/>
      <c r="L58" s="60">
        <v>41627</v>
      </c>
      <c r="M58" s="94" t="s">
        <v>43</v>
      </c>
      <c r="N58" s="11"/>
      <c r="O58" s="61">
        <v>25</v>
      </c>
      <c r="P58" s="62"/>
      <c r="Q58" s="61">
        <v>15000</v>
      </c>
      <c r="R58" s="61">
        <f>58.25*E58</f>
        <v>14562.5</v>
      </c>
      <c r="S58" s="96">
        <f>-35*E58</f>
        <v>-8750</v>
      </c>
      <c r="T58" s="96">
        <v>2250</v>
      </c>
      <c r="U58" s="61">
        <f>E58*5</f>
        <v>1250</v>
      </c>
      <c r="V58" s="11"/>
      <c r="W58" s="61">
        <f>((O58*F58)+Q58+R58+S58+U58)/G58</f>
        <v>32.593486874690441</v>
      </c>
      <c r="X58" s="61">
        <f>((O58*F58)+Q58+R58+S58+T58+U58)/G58</f>
        <v>32.704928182268446</v>
      </c>
      <c r="Y58" s="81">
        <f t="shared" ref="Y58:Y59" si="46">X58*F58</f>
        <v>832013.37295690924</v>
      </c>
      <c r="Z58" s="63">
        <v>41634</v>
      </c>
    </row>
    <row r="59" spans="1:26" s="51" customFormat="1" x14ac:dyDescent="0.25">
      <c r="A59" s="170"/>
      <c r="B59" s="58" t="s">
        <v>26</v>
      </c>
      <c r="C59" s="11" t="s">
        <v>39</v>
      </c>
      <c r="D59" s="11" t="s">
        <v>64</v>
      </c>
      <c r="E59" s="11">
        <v>250</v>
      </c>
      <c r="F59" s="95">
        <v>27845</v>
      </c>
      <c r="G59" s="59">
        <f>11490+10770</f>
        <v>22260</v>
      </c>
      <c r="H59" s="59">
        <f t="shared" si="45"/>
        <v>-5585</v>
      </c>
      <c r="I59" s="94" t="s">
        <v>147</v>
      </c>
      <c r="J59" s="11"/>
      <c r="K59" s="60"/>
      <c r="L59" s="60">
        <v>41628</v>
      </c>
      <c r="M59" s="94" t="s">
        <v>47</v>
      </c>
      <c r="N59" s="11"/>
      <c r="O59" s="61">
        <v>25</v>
      </c>
      <c r="P59" s="62"/>
      <c r="Q59" s="61">
        <v>15000</v>
      </c>
      <c r="R59" s="61">
        <f>58.25*E59</f>
        <v>14562.5</v>
      </c>
      <c r="S59" s="96">
        <f>-35*E59</f>
        <v>-8750</v>
      </c>
      <c r="T59" s="96">
        <v>2250</v>
      </c>
      <c r="U59" s="61">
        <f>E59*5</f>
        <v>1250</v>
      </c>
      <c r="V59" s="11"/>
      <c r="W59" s="61">
        <f>((O59*F59)+Q59+R59+S59+U59)/G59</f>
        <v>32.263589398023363</v>
      </c>
      <c r="X59" s="61">
        <f>((O59*F59)+Q59+R59+S59+T59+U59)/G59</f>
        <v>32.364667565139264</v>
      </c>
      <c r="Y59" s="81">
        <f t="shared" si="46"/>
        <v>901194.16835130285</v>
      </c>
      <c r="Z59" s="63">
        <v>41634</v>
      </c>
    </row>
    <row r="60" spans="1:26" s="51" customFormat="1" x14ac:dyDescent="0.25">
      <c r="A60" s="170"/>
      <c r="B60" s="58" t="s">
        <v>29</v>
      </c>
      <c r="C60" s="11" t="s">
        <v>59</v>
      </c>
      <c r="D60" s="11" t="s">
        <v>59</v>
      </c>
      <c r="E60" s="11" t="s">
        <v>34</v>
      </c>
      <c r="F60" s="95">
        <f>41368*0.4536</f>
        <v>18764.524799999999</v>
      </c>
      <c r="G60" s="59">
        <v>18644.75</v>
      </c>
      <c r="H60" s="59">
        <f>G60-F60</f>
        <v>-119.77479999999923</v>
      </c>
      <c r="I60" s="94" t="s">
        <v>148</v>
      </c>
      <c r="J60" s="64" t="s">
        <v>32</v>
      </c>
      <c r="K60" s="60">
        <v>41627</v>
      </c>
      <c r="L60" s="60">
        <v>41628</v>
      </c>
      <c r="M60" s="94" t="s">
        <v>47</v>
      </c>
      <c r="N60" s="94" t="s">
        <v>143</v>
      </c>
      <c r="O60" s="61"/>
      <c r="P60" s="80">
        <v>1.0163</v>
      </c>
      <c r="Q60" s="61">
        <v>17000</v>
      </c>
      <c r="R60" s="61">
        <v>7671</v>
      </c>
      <c r="S60" s="96">
        <v>13.02</v>
      </c>
      <c r="T60" s="98">
        <f>W60*F60*0.005</f>
        <v>2870.5012813022681</v>
      </c>
      <c r="V60" s="61">
        <v>0.1</v>
      </c>
      <c r="W60" s="61">
        <f t="shared" ref="W60:W66" si="47">IF(O60&gt;0,O60,((P60*2.2046*S60)+(Q60+R60)/G60)+V60)</f>
        <v>30.594979749258219</v>
      </c>
      <c r="X60" s="61">
        <f t="shared" ref="X60:X66" si="48">IF(O60&gt;0,O60,((P60*2.2046*S60)+(Q60+R60+T60)/G60)+V60)</f>
        <v>30.748937366351623</v>
      </c>
      <c r="Y60" s="81">
        <f>X60*F60</f>
        <v>576989.19778455165</v>
      </c>
      <c r="Z60" s="63">
        <v>41628</v>
      </c>
    </row>
    <row r="61" spans="1:26" s="51" customFormat="1" x14ac:dyDescent="0.25">
      <c r="A61" s="170"/>
      <c r="B61" s="58" t="s">
        <v>29</v>
      </c>
      <c r="C61" s="11" t="s">
        <v>59</v>
      </c>
      <c r="D61" s="11" t="s">
        <v>59</v>
      </c>
      <c r="E61" s="11" t="s">
        <v>34</v>
      </c>
      <c r="F61" s="95">
        <f>41379*0.4536</f>
        <v>18769.5144</v>
      </c>
      <c r="G61" s="59">
        <v>18713.82</v>
      </c>
      <c r="H61" s="59">
        <f t="shared" ref="H61" si="49">G61-F61</f>
        <v>-55.694400000000314</v>
      </c>
      <c r="I61" s="94" t="s">
        <v>149</v>
      </c>
      <c r="J61" s="64" t="s">
        <v>32</v>
      </c>
      <c r="K61" s="60">
        <v>41627</v>
      </c>
      <c r="L61" s="60">
        <v>41628</v>
      </c>
      <c r="M61" s="94" t="s">
        <v>47</v>
      </c>
      <c r="N61" s="94" t="s">
        <v>143</v>
      </c>
      <c r="O61" s="61"/>
      <c r="P61" s="80">
        <v>1.0163</v>
      </c>
      <c r="Q61" s="61">
        <v>17000</v>
      </c>
      <c r="R61" s="61">
        <v>7671</v>
      </c>
      <c r="S61" s="96">
        <v>13.07</v>
      </c>
      <c r="T61" s="98">
        <f>W61*F61*0.005</f>
        <v>2881.3196711884711</v>
      </c>
      <c r="V61" s="61">
        <v>0.1</v>
      </c>
      <c r="W61" s="61">
        <f t="shared" si="47"/>
        <v>30.702122705832725</v>
      </c>
      <c r="X61" s="61">
        <f t="shared" si="48"/>
        <v>30.856090183941866</v>
      </c>
      <c r="Y61" s="81">
        <f t="shared" ref="Y61" si="50">X61*F61</f>
        <v>579153.82903519552</v>
      </c>
      <c r="Z61" s="63">
        <v>41628</v>
      </c>
    </row>
    <row r="62" spans="1:26" s="51" customFormat="1" x14ac:dyDescent="0.25">
      <c r="A62" s="170"/>
      <c r="B62" s="58" t="s">
        <v>29</v>
      </c>
      <c r="C62" s="11" t="s">
        <v>59</v>
      </c>
      <c r="D62" s="11" t="s">
        <v>59</v>
      </c>
      <c r="E62" s="11" t="s">
        <v>34</v>
      </c>
      <c r="F62" s="95">
        <f>41702*0.4536</f>
        <v>18916.0272</v>
      </c>
      <c r="G62" s="59">
        <v>18764.75</v>
      </c>
      <c r="H62" s="59">
        <f>G62-F62</f>
        <v>-151.27720000000045</v>
      </c>
      <c r="I62" s="94" t="s">
        <v>150</v>
      </c>
      <c r="J62" s="64" t="s">
        <v>32</v>
      </c>
      <c r="K62" s="60">
        <v>41628</v>
      </c>
      <c r="L62" s="60">
        <v>41629</v>
      </c>
      <c r="M62" s="94" t="s">
        <v>48</v>
      </c>
      <c r="N62" s="94" t="s">
        <v>143</v>
      </c>
      <c r="O62" s="61"/>
      <c r="P62" s="80">
        <v>1.0163</v>
      </c>
      <c r="Q62" s="61">
        <v>17000</v>
      </c>
      <c r="R62" s="61">
        <v>7671</v>
      </c>
      <c r="S62" s="96">
        <v>13.02</v>
      </c>
      <c r="T62" s="98">
        <f>W62*F62*0.005</f>
        <v>2892.8770165423484</v>
      </c>
      <c r="V62" s="61">
        <v>0.1</v>
      </c>
      <c r="W62" s="61">
        <f t="shared" si="47"/>
        <v>30.586517834382775</v>
      </c>
      <c r="X62" s="61">
        <f t="shared" si="48"/>
        <v>30.740683331740446</v>
      </c>
      <c r="Y62" s="81">
        <f>X62*F62</f>
        <v>581491.60204978893</v>
      </c>
      <c r="Z62" s="63">
        <v>41628</v>
      </c>
    </row>
    <row r="63" spans="1:26" s="51" customFormat="1" x14ac:dyDescent="0.25">
      <c r="A63" s="170"/>
      <c r="B63" s="58" t="s">
        <v>29</v>
      </c>
      <c r="C63" s="94" t="s">
        <v>30</v>
      </c>
      <c r="D63" s="94" t="s">
        <v>60</v>
      </c>
      <c r="E63" s="11" t="s">
        <v>31</v>
      </c>
      <c r="F63" s="95">
        <f>42470*0.4536</f>
        <v>19264.392</v>
      </c>
      <c r="G63" s="59">
        <v>19166.5</v>
      </c>
      <c r="H63" s="59">
        <f t="shared" ref="H63:H70" si="51">G63-F63</f>
        <v>-97.891999999999825</v>
      </c>
      <c r="I63" s="50" t="s">
        <v>151</v>
      </c>
      <c r="J63" s="11"/>
      <c r="K63" s="60">
        <v>41627</v>
      </c>
      <c r="L63" s="60">
        <v>41628</v>
      </c>
      <c r="M63" s="94" t="s">
        <v>47</v>
      </c>
      <c r="N63" s="11" t="s">
        <v>145</v>
      </c>
      <c r="O63" s="61"/>
      <c r="P63" s="80">
        <v>1.0488</v>
      </c>
      <c r="Q63" s="61"/>
      <c r="R63" s="61"/>
      <c r="S63" s="96">
        <v>13.095000000000001</v>
      </c>
      <c r="T63" s="98"/>
      <c r="V63" s="61"/>
      <c r="W63" s="61">
        <f t="shared" si="47"/>
        <v>30.278055765600001</v>
      </c>
      <c r="X63" s="61">
        <f t="shared" si="48"/>
        <v>30.278055765600001</v>
      </c>
      <c r="Y63" s="81">
        <f t="shared" ref="Y63:Y70" si="52">X63*F63</f>
        <v>583288.33526637859</v>
      </c>
      <c r="Z63" s="63">
        <v>41628</v>
      </c>
    </row>
    <row r="64" spans="1:26" s="51" customFormat="1" x14ac:dyDescent="0.25">
      <c r="A64" s="170"/>
      <c r="B64" s="58" t="s">
        <v>29</v>
      </c>
      <c r="C64" s="11" t="s">
        <v>35</v>
      </c>
      <c r="D64" s="11" t="s">
        <v>35</v>
      </c>
      <c r="E64" s="11" t="s">
        <v>34</v>
      </c>
      <c r="F64" s="95">
        <f>41623*0.4536</f>
        <v>18880.192800000001</v>
      </c>
      <c r="G64" s="59">
        <v>18871.060000000001</v>
      </c>
      <c r="H64" s="59">
        <f t="shared" si="51"/>
        <v>-9.1327999999994063</v>
      </c>
      <c r="I64" s="94" t="s">
        <v>152</v>
      </c>
      <c r="J64" s="64" t="s">
        <v>37</v>
      </c>
      <c r="K64" s="60">
        <v>41628</v>
      </c>
      <c r="L64" s="60">
        <v>41629</v>
      </c>
      <c r="M64" s="94" t="s">
        <v>48</v>
      </c>
      <c r="N64" s="94" t="s">
        <v>153</v>
      </c>
      <c r="O64" s="61"/>
      <c r="P64" s="80">
        <v>0.99380000000000002</v>
      </c>
      <c r="Q64" s="61">
        <v>17000</v>
      </c>
      <c r="R64" s="61">
        <v>7671</v>
      </c>
      <c r="S64" s="96">
        <v>13.02</v>
      </c>
      <c r="T64" s="98">
        <f>W64*F64*0.005</f>
        <v>2825.7298849208196</v>
      </c>
      <c r="V64" s="61">
        <v>0.1</v>
      </c>
      <c r="W64" s="61">
        <f t="shared" si="47"/>
        <v>29.933273614884051</v>
      </c>
      <c r="X64" s="61">
        <f t="shared" si="48"/>
        <v>30.083012415191018</v>
      </c>
      <c r="Y64" s="81">
        <f t="shared" si="52"/>
        <v>567973.07440360007</v>
      </c>
      <c r="Z64" s="63">
        <v>41628</v>
      </c>
    </row>
    <row r="65" spans="1:26" s="51" customFormat="1" x14ac:dyDescent="0.25">
      <c r="A65" s="170"/>
      <c r="B65" s="58" t="s">
        <v>29</v>
      </c>
      <c r="C65" s="11" t="s">
        <v>35</v>
      </c>
      <c r="D65" s="11" t="s">
        <v>35</v>
      </c>
      <c r="E65" s="11" t="s">
        <v>52</v>
      </c>
      <c r="F65" s="95">
        <f>41186*0.4536</f>
        <v>18681.9696</v>
      </c>
      <c r="G65" s="59">
        <v>18669.330000000002</v>
      </c>
      <c r="H65" s="59">
        <f t="shared" si="51"/>
        <v>-12.639599999998609</v>
      </c>
      <c r="I65" s="94" t="s">
        <v>154</v>
      </c>
      <c r="J65" s="64" t="s">
        <v>42</v>
      </c>
      <c r="K65" s="60">
        <v>41628</v>
      </c>
      <c r="L65" s="60">
        <v>41629</v>
      </c>
      <c r="M65" s="94" t="s">
        <v>48</v>
      </c>
      <c r="N65" s="94" t="s">
        <v>153</v>
      </c>
      <c r="O65" s="61"/>
      <c r="P65" s="80">
        <v>0.99380000000000002</v>
      </c>
      <c r="Q65" s="61">
        <v>17000</v>
      </c>
      <c r="R65" s="61">
        <v>7671</v>
      </c>
      <c r="S65" s="96">
        <v>13.02</v>
      </c>
      <c r="T65" s="98">
        <f>W65*F65*0.005</f>
        <v>2797.3820855564068</v>
      </c>
      <c r="V65" s="61">
        <v>0.1</v>
      </c>
      <c r="W65" s="61">
        <f t="shared" si="47"/>
        <v>29.947400038124528</v>
      </c>
      <c r="X65" s="61">
        <f t="shared" si="48"/>
        <v>30.097238413982495</v>
      </c>
      <c r="Y65" s="81">
        <f t="shared" si="52"/>
        <v>562275.69309397321</v>
      </c>
      <c r="Z65" s="63">
        <v>41628</v>
      </c>
    </row>
    <row r="66" spans="1:26" s="51" customFormat="1" x14ac:dyDescent="0.25">
      <c r="A66" s="170"/>
      <c r="B66" s="58" t="s">
        <v>29</v>
      </c>
      <c r="C66" s="94" t="s">
        <v>30</v>
      </c>
      <c r="D66" s="94" t="s">
        <v>60</v>
      </c>
      <c r="E66" s="11" t="s">
        <v>31</v>
      </c>
      <c r="F66" s="95">
        <f>45123*0.4536</f>
        <v>20467.792799999999</v>
      </c>
      <c r="G66" s="59">
        <v>20391.12</v>
      </c>
      <c r="H66" s="59">
        <f t="shared" si="51"/>
        <v>-76.672800000000279</v>
      </c>
      <c r="I66" s="94" t="s">
        <v>155</v>
      </c>
      <c r="J66" s="11"/>
      <c r="K66" s="60">
        <v>41627</v>
      </c>
      <c r="L66" s="60">
        <v>41629</v>
      </c>
      <c r="M66" s="94" t="s">
        <v>48</v>
      </c>
      <c r="N66" s="11" t="s">
        <v>130</v>
      </c>
      <c r="O66" s="61"/>
      <c r="P66" s="80">
        <v>1.0488</v>
      </c>
      <c r="Q66" s="61"/>
      <c r="R66" s="61"/>
      <c r="S66" s="96">
        <v>13.07</v>
      </c>
      <c r="T66" s="98"/>
      <c r="V66" s="61"/>
      <c r="W66" s="61">
        <f t="shared" si="47"/>
        <v>30.2202511536</v>
      </c>
      <c r="X66" s="61">
        <f t="shared" si="48"/>
        <v>30.2202511536</v>
      </c>
      <c r="Y66" s="81">
        <f t="shared" si="52"/>
        <v>618541.83897584572</v>
      </c>
      <c r="Z66" s="63">
        <v>41628</v>
      </c>
    </row>
    <row r="67" spans="1:26" s="51" customFormat="1" x14ac:dyDescent="0.25">
      <c r="A67" s="170"/>
      <c r="B67" s="58" t="s">
        <v>26</v>
      </c>
      <c r="C67" s="11" t="s">
        <v>156</v>
      </c>
      <c r="D67" s="94" t="s">
        <v>156</v>
      </c>
      <c r="E67" s="11">
        <v>124</v>
      </c>
      <c r="F67" s="95">
        <v>15510</v>
      </c>
      <c r="G67" s="59">
        <f>4970+7500</f>
        <v>12470</v>
      </c>
      <c r="H67" s="59">
        <f t="shared" si="51"/>
        <v>-3040</v>
      </c>
      <c r="I67" s="94" t="s">
        <v>157</v>
      </c>
      <c r="J67" s="11"/>
      <c r="K67" s="60">
        <v>41628</v>
      </c>
      <c r="L67" s="60">
        <v>41629</v>
      </c>
      <c r="M67" s="94" t="s">
        <v>48</v>
      </c>
      <c r="N67" s="11"/>
      <c r="O67" s="61">
        <v>27.2</v>
      </c>
      <c r="P67" s="62"/>
      <c r="Q67" s="61">
        <v>1000</v>
      </c>
      <c r="R67" s="61">
        <f>80*E67</f>
        <v>9920</v>
      </c>
      <c r="S67" s="168">
        <f>-25*E67</f>
        <v>-3100</v>
      </c>
      <c r="T67" s="168"/>
      <c r="U67" s="61">
        <f>E67*10</f>
        <v>1240</v>
      </c>
      <c r="V67" s="11"/>
      <c r="W67" s="61">
        <f>((O67*F67)+Q67+R67+S67+U67)/G67</f>
        <v>34.557497995188456</v>
      </c>
      <c r="X67" s="61">
        <f>((O67*F67)+Q67+R67+S67+T67+U67)/G67</f>
        <v>34.557497995188456</v>
      </c>
      <c r="Y67" s="81">
        <f t="shared" si="52"/>
        <v>535986.79390537296</v>
      </c>
      <c r="Z67" s="63">
        <v>41631</v>
      </c>
    </row>
    <row r="68" spans="1:26" s="51" customFormat="1" x14ac:dyDescent="0.25">
      <c r="A68" s="170"/>
      <c r="B68" s="58" t="s">
        <v>26</v>
      </c>
      <c r="C68" s="11" t="s">
        <v>39</v>
      </c>
      <c r="D68" s="94" t="s">
        <v>49</v>
      </c>
      <c r="E68" s="11">
        <f>120+80</f>
        <v>200</v>
      </c>
      <c r="F68" s="95">
        <f>25650-5075</f>
        <v>20575</v>
      </c>
      <c r="G68" s="59">
        <f>9550+6530</f>
        <v>16080</v>
      </c>
      <c r="H68" s="59">
        <f t="shared" si="51"/>
        <v>-4495</v>
      </c>
      <c r="I68" s="94" t="s">
        <v>158</v>
      </c>
      <c r="J68" s="11"/>
      <c r="K68" s="60"/>
      <c r="L68" s="60">
        <v>41630</v>
      </c>
      <c r="M68" s="94" t="s">
        <v>50</v>
      </c>
      <c r="N68" s="11"/>
      <c r="O68" s="61">
        <v>25.5</v>
      </c>
      <c r="P68" s="62"/>
      <c r="Q68" s="61">
        <v>15000</v>
      </c>
      <c r="R68" s="61">
        <f>58.25*E68</f>
        <v>11650</v>
      </c>
      <c r="S68" s="96">
        <f>-35*E68</f>
        <v>-7000</v>
      </c>
      <c r="T68" s="96">
        <v>2250</v>
      </c>
      <c r="U68" s="61">
        <f>E68*5</f>
        <v>1000</v>
      </c>
      <c r="V68" s="11"/>
      <c r="W68" s="61">
        <f>((O68*F68)+Q68+R68+S68+U68)/G68</f>
        <v>33.912468905472636</v>
      </c>
      <c r="X68" s="61">
        <f>((O68*F68)+Q68+R68+S68+T68+U68)/G68</f>
        <v>34.052394278606968</v>
      </c>
      <c r="Y68" s="81">
        <f t="shared" si="52"/>
        <v>700628.01228233834</v>
      </c>
      <c r="Z68" s="63">
        <v>41638</v>
      </c>
    </row>
    <row r="69" spans="1:26" s="51" customFormat="1" x14ac:dyDescent="0.25">
      <c r="A69" s="170"/>
      <c r="B69" s="94" t="s">
        <v>26</v>
      </c>
      <c r="C69" s="94" t="s">
        <v>27</v>
      </c>
      <c r="D69" s="94" t="s">
        <v>51</v>
      </c>
      <c r="E69" s="11">
        <f>190+60</f>
        <v>250</v>
      </c>
      <c r="F69" s="95">
        <v>19964.400000000001</v>
      </c>
      <c r="G69" s="59">
        <f>15190+4790</f>
        <v>19980</v>
      </c>
      <c r="H69" s="59">
        <f t="shared" si="51"/>
        <v>15.599999999998545</v>
      </c>
      <c r="I69" s="94" t="s">
        <v>159</v>
      </c>
      <c r="J69" s="11"/>
      <c r="K69" s="60"/>
      <c r="L69" s="60">
        <v>41630</v>
      </c>
      <c r="M69" s="94" t="s">
        <v>50</v>
      </c>
      <c r="N69" s="11"/>
      <c r="O69" s="61">
        <v>34</v>
      </c>
      <c r="P69" s="80"/>
      <c r="Q69" s="61"/>
      <c r="R69" s="61"/>
      <c r="S69" s="96"/>
      <c r="T69" s="98"/>
      <c r="U69" s="61">
        <f t="shared" ref="U69" si="53">E69*5</f>
        <v>1250</v>
      </c>
      <c r="V69" s="87"/>
      <c r="W69" s="61">
        <f t="shared" ref="W69" si="54">((O69*F69)+Q69+R69+S69+U69)/G69</f>
        <v>34.036016016016021</v>
      </c>
      <c r="X69" s="61">
        <f t="shared" ref="X69" si="55">((O69*F69)+R69+S69+T69+U69)/G69</f>
        <v>34.036016016016021</v>
      </c>
      <c r="Y69" s="81">
        <f t="shared" si="52"/>
        <v>679508.63815015031</v>
      </c>
      <c r="Z69" s="63">
        <v>41638</v>
      </c>
    </row>
    <row r="70" spans="1:26" s="51" customFormat="1" x14ac:dyDescent="0.25">
      <c r="A70" s="170"/>
      <c r="B70" s="58" t="s">
        <v>26</v>
      </c>
      <c r="C70" s="11" t="s">
        <v>125</v>
      </c>
      <c r="D70" s="94" t="s">
        <v>125</v>
      </c>
      <c r="E70" s="11">
        <v>179</v>
      </c>
      <c r="F70" s="95">
        <v>20252</v>
      </c>
      <c r="G70" s="59">
        <f>11075+5960</f>
        <v>17035</v>
      </c>
      <c r="H70" s="59">
        <f t="shared" si="51"/>
        <v>-3217</v>
      </c>
      <c r="I70" s="94" t="s">
        <v>160</v>
      </c>
      <c r="J70" s="11"/>
      <c r="K70" s="60">
        <v>41629</v>
      </c>
      <c r="L70" s="60">
        <v>41630</v>
      </c>
      <c r="M70" s="94" t="s">
        <v>50</v>
      </c>
      <c r="N70" s="11"/>
      <c r="O70" s="61">
        <v>26.9</v>
      </c>
      <c r="P70" s="62"/>
      <c r="Q70" s="61">
        <v>1000</v>
      </c>
      <c r="R70" s="61">
        <f>80*E70</f>
        <v>14320</v>
      </c>
      <c r="S70" s="168">
        <f>-25*E70</f>
        <v>-4475</v>
      </c>
      <c r="T70" s="168"/>
      <c r="U70" s="61">
        <f>E70*10</f>
        <v>1790</v>
      </c>
      <c r="V70" s="11"/>
      <c r="W70" s="61">
        <f>((O70*F70)+Q70+R70+S70+U70)/G70</f>
        <v>32.721678896389783</v>
      </c>
      <c r="X70" s="61">
        <f>((O70*F70)+Q70+R70+S70+T70+U70)/G70</f>
        <v>32.721678896389783</v>
      </c>
      <c r="Y70" s="81">
        <f t="shared" si="52"/>
        <v>662679.44100968586</v>
      </c>
      <c r="Z70" s="63">
        <v>41631</v>
      </c>
    </row>
    <row r="71" spans="1:26" s="51" customFormat="1" ht="15.75" thickBot="1" x14ac:dyDescent="0.3">
      <c r="A71" s="170"/>
      <c r="B71" s="65"/>
      <c r="C71" s="52"/>
      <c r="D71" s="52"/>
      <c r="E71" s="52"/>
      <c r="F71" s="53"/>
      <c r="G71" s="53"/>
      <c r="H71" s="53"/>
      <c r="I71" s="54"/>
      <c r="J71" s="52"/>
      <c r="K71" s="55"/>
      <c r="L71" s="55"/>
      <c r="M71" s="52"/>
      <c r="N71" s="52"/>
      <c r="O71" s="56"/>
      <c r="P71" s="57"/>
      <c r="Q71" s="56"/>
      <c r="R71" s="56"/>
      <c r="S71" s="56"/>
      <c r="T71" s="56"/>
      <c r="U71" s="56"/>
      <c r="V71" s="56"/>
      <c r="W71" s="56"/>
      <c r="X71" s="56"/>
      <c r="Y71" s="56"/>
      <c r="Z71" s="66"/>
    </row>
    <row r="72" spans="1:26" s="51" customFormat="1" x14ac:dyDescent="0.25">
      <c r="A72" s="171"/>
      <c r="B72" s="151" t="s">
        <v>26</v>
      </c>
      <c r="C72" s="151" t="s">
        <v>27</v>
      </c>
      <c r="D72" s="151" t="s">
        <v>51</v>
      </c>
      <c r="E72" s="152">
        <f>125+125</f>
        <v>250</v>
      </c>
      <c r="F72" s="153">
        <v>20537.5</v>
      </c>
      <c r="G72" s="154">
        <f>10450+10110</f>
        <v>20560</v>
      </c>
      <c r="H72" s="154">
        <f t="shared" ref="H72" si="56">G72-F72</f>
        <v>22.5</v>
      </c>
      <c r="I72" s="151" t="s">
        <v>161</v>
      </c>
      <c r="J72" s="152"/>
      <c r="K72" s="155"/>
      <c r="L72" s="155">
        <v>41631</v>
      </c>
      <c r="M72" s="151" t="s">
        <v>28</v>
      </c>
      <c r="N72" s="152"/>
      <c r="O72" s="156">
        <v>34</v>
      </c>
      <c r="P72" s="157"/>
      <c r="Q72" s="156"/>
      <c r="R72" s="156"/>
      <c r="S72" s="158"/>
      <c r="T72" s="158"/>
      <c r="U72" s="156">
        <f>E72*5</f>
        <v>1250</v>
      </c>
      <c r="V72" s="159"/>
      <c r="W72" s="156">
        <f>((O72*F72)+Q72+R72+S72+U72)/G72</f>
        <v>34.023589494163424</v>
      </c>
      <c r="X72" s="156">
        <f>((O72*F72)+R72+S72+T72+U72)/G72</f>
        <v>34.023589494163424</v>
      </c>
      <c r="Y72" s="160">
        <f t="shared" ref="Y72" si="57">X72*F72</f>
        <v>698759.46923638135</v>
      </c>
      <c r="Z72" s="161">
        <v>41638</v>
      </c>
    </row>
    <row r="73" spans="1:26" s="51" customFormat="1" x14ac:dyDescent="0.25">
      <c r="A73" s="172"/>
      <c r="B73" s="58" t="s">
        <v>44</v>
      </c>
      <c r="C73" s="11" t="s">
        <v>45</v>
      </c>
      <c r="D73" s="11" t="s">
        <v>46</v>
      </c>
      <c r="E73" s="11" t="s">
        <v>162</v>
      </c>
      <c r="F73" s="95">
        <v>12366.5</v>
      </c>
      <c r="G73" s="59">
        <v>12322.83</v>
      </c>
      <c r="H73" s="59">
        <f>G73-F73</f>
        <v>-43.670000000000073</v>
      </c>
      <c r="I73" s="94" t="s">
        <v>163</v>
      </c>
      <c r="J73" s="11"/>
      <c r="K73" s="60">
        <v>41629</v>
      </c>
      <c r="L73" s="60">
        <v>41631</v>
      </c>
      <c r="M73" s="94" t="s">
        <v>28</v>
      </c>
      <c r="N73" s="94" t="s">
        <v>164</v>
      </c>
      <c r="O73" s="61"/>
      <c r="P73" s="80">
        <v>2.31</v>
      </c>
      <c r="Q73" s="61"/>
      <c r="R73" s="61"/>
      <c r="S73" s="96">
        <v>13.11</v>
      </c>
      <c r="T73" s="96"/>
      <c r="U73" s="61"/>
      <c r="V73" s="61"/>
      <c r="W73" s="61">
        <f>IF(O73&gt;0,O73,((P73*S73)+(Q73+R73)/G73)+V73)</f>
        <v>30.284099999999999</v>
      </c>
      <c r="X73" s="61">
        <f>IF(O73&gt;0,O73,((P73*S73)+(Q73+R73+T73)/G73)+V73)</f>
        <v>30.284099999999999</v>
      </c>
      <c r="Y73" s="81">
        <f>X73*F73</f>
        <v>374508.32264999999</v>
      </c>
      <c r="Z73" s="63">
        <v>41631</v>
      </c>
    </row>
    <row r="74" spans="1:26" s="51" customFormat="1" x14ac:dyDescent="0.25">
      <c r="A74" s="172"/>
      <c r="B74" s="58" t="s">
        <v>44</v>
      </c>
      <c r="C74" s="11" t="s">
        <v>45</v>
      </c>
      <c r="D74" s="11" t="s">
        <v>46</v>
      </c>
      <c r="E74" s="11" t="s">
        <v>53</v>
      </c>
      <c r="F74" s="95">
        <v>18340.41</v>
      </c>
      <c r="G74" s="59">
        <v>18301.47</v>
      </c>
      <c r="H74" s="59">
        <f>G74-F74</f>
        <v>-38.93999999999869</v>
      </c>
      <c r="I74" s="94" t="s">
        <v>165</v>
      </c>
      <c r="J74" s="11"/>
      <c r="K74" s="60">
        <v>41629</v>
      </c>
      <c r="L74" s="60">
        <v>41631</v>
      </c>
      <c r="M74" s="94" t="s">
        <v>28</v>
      </c>
      <c r="N74" s="94" t="s">
        <v>164</v>
      </c>
      <c r="O74" s="61"/>
      <c r="P74" s="80">
        <v>2.31</v>
      </c>
      <c r="Q74" s="61"/>
      <c r="R74" s="61"/>
      <c r="S74" s="96">
        <v>13.125</v>
      </c>
      <c r="T74" s="96"/>
      <c r="U74" s="61"/>
      <c r="V74" s="61"/>
      <c r="W74" s="61">
        <f>IF(O74&gt;0,O74,((P74*S74)+(Q74+R74)/G74)+V74)</f>
        <v>30.318750000000001</v>
      </c>
      <c r="X74" s="61">
        <f>IF(O74&gt;0,O74,((P74*S74)+(Q74+R74+T74)/G74)+V74)</f>
        <v>30.318750000000001</v>
      </c>
      <c r="Y74" s="81">
        <f>X74*F74</f>
        <v>556058.30568750005</v>
      </c>
      <c r="Z74" s="63">
        <v>37248</v>
      </c>
    </row>
    <row r="75" spans="1:26" s="51" customFormat="1" x14ac:dyDescent="0.25">
      <c r="A75" s="172"/>
      <c r="B75" s="58" t="s">
        <v>166</v>
      </c>
      <c r="C75" s="11" t="s">
        <v>167</v>
      </c>
      <c r="D75" s="11" t="s">
        <v>168</v>
      </c>
      <c r="E75" s="11" t="s">
        <v>169</v>
      </c>
      <c r="F75" s="95">
        <v>2986</v>
      </c>
      <c r="G75" s="59">
        <v>2986</v>
      </c>
      <c r="H75" s="59">
        <f>G75-F75</f>
        <v>0</v>
      </c>
      <c r="I75" s="94" t="s">
        <v>170</v>
      </c>
      <c r="J75" s="11"/>
      <c r="K75" s="60"/>
      <c r="L75" s="60">
        <v>41631</v>
      </c>
      <c r="M75" s="94" t="s">
        <v>28</v>
      </c>
      <c r="N75" s="94"/>
      <c r="O75" s="61">
        <v>64</v>
      </c>
      <c r="P75" s="80"/>
      <c r="Q75" s="61"/>
      <c r="R75" s="61"/>
      <c r="S75" s="96"/>
      <c r="T75" s="96"/>
      <c r="U75" s="61"/>
      <c r="V75" s="61"/>
      <c r="W75" s="61">
        <f>IF(O75&gt;0,O75,((P75*2.2046*S75)+(Q75+R75)/G75)+V75)</f>
        <v>64</v>
      </c>
      <c r="X75" s="61">
        <f>IF(O75&gt;0,O75,((P75*2.2046*S75)+(Q75+R75+T75)/G75)+V75)</f>
        <v>64</v>
      </c>
      <c r="Y75" s="81">
        <f t="shared" ref="Y75:Y81" si="58">X75*F75</f>
        <v>191104</v>
      </c>
      <c r="Z75" s="63">
        <v>41645</v>
      </c>
    </row>
    <row r="76" spans="1:26" s="51" customFormat="1" x14ac:dyDescent="0.25">
      <c r="A76" s="172"/>
      <c r="B76" s="58" t="s">
        <v>29</v>
      </c>
      <c r="C76" s="11" t="s">
        <v>35</v>
      </c>
      <c r="D76" s="11" t="s">
        <v>35</v>
      </c>
      <c r="E76" s="11" t="s">
        <v>36</v>
      </c>
      <c r="F76" s="95">
        <f>40067*0.4536</f>
        <v>18174.391200000002</v>
      </c>
      <c r="G76" s="59">
        <v>18226.650000000001</v>
      </c>
      <c r="H76" s="59">
        <f t="shared" ref="H76:H84" si="59">G76-F76</f>
        <v>52.25879999999961</v>
      </c>
      <c r="I76" s="94" t="s">
        <v>171</v>
      </c>
      <c r="J76" s="90" t="s">
        <v>37</v>
      </c>
      <c r="K76" s="60">
        <v>41631</v>
      </c>
      <c r="L76" s="60">
        <v>41632</v>
      </c>
      <c r="M76" s="94" t="s">
        <v>38</v>
      </c>
      <c r="N76" s="94" t="s">
        <v>104</v>
      </c>
      <c r="O76" s="61"/>
      <c r="P76" s="80">
        <v>0.97319999999999995</v>
      </c>
      <c r="Q76" s="61">
        <v>17000</v>
      </c>
      <c r="R76" s="61">
        <v>7671</v>
      </c>
      <c r="S76" s="96">
        <v>13.095000000000001</v>
      </c>
      <c r="T76" s="98">
        <f>W76*F76*0.005</f>
        <v>2685.1853228442315</v>
      </c>
      <c r="V76" s="61">
        <v>0.1</v>
      </c>
      <c r="W76" s="61">
        <f>IF(O76&gt;0,O76,((P76*2.2046*S76)+(Q76+R76)/G76)+V76)</f>
        <v>29.549108889482152</v>
      </c>
      <c r="X76" s="61">
        <f>IF(O76&gt;0,O76,((P76*2.2046*S76)+(Q76+R76+T76)/G76)+V76)</f>
        <v>29.696430823180567</v>
      </c>
      <c r="Y76" s="81">
        <f t="shared" si="58"/>
        <v>539714.5510242217</v>
      </c>
      <c r="Z76" s="63">
        <v>41632</v>
      </c>
    </row>
    <row r="77" spans="1:26" s="51" customFormat="1" x14ac:dyDescent="0.25">
      <c r="A77" s="172"/>
      <c r="B77" s="58" t="s">
        <v>29</v>
      </c>
      <c r="C77" s="11" t="s">
        <v>35</v>
      </c>
      <c r="D77" s="11" t="s">
        <v>35</v>
      </c>
      <c r="E77" s="11" t="s">
        <v>36</v>
      </c>
      <c r="F77" s="95">
        <f>41448*0.4536</f>
        <v>18800.8128</v>
      </c>
      <c r="G77" s="59">
        <v>18814.36</v>
      </c>
      <c r="H77" s="59">
        <f t="shared" si="59"/>
        <v>13.547200000000885</v>
      </c>
      <c r="I77" s="94" t="s">
        <v>172</v>
      </c>
      <c r="J77" s="90" t="s">
        <v>37</v>
      </c>
      <c r="K77" s="60">
        <v>41631</v>
      </c>
      <c r="L77" s="60">
        <v>41632</v>
      </c>
      <c r="M77" s="94" t="s">
        <v>38</v>
      </c>
      <c r="N77" s="94" t="s">
        <v>104</v>
      </c>
      <c r="O77" s="61"/>
      <c r="P77" s="80">
        <v>0.97319999999999995</v>
      </c>
      <c r="Q77" s="61">
        <v>17000</v>
      </c>
      <c r="R77" s="61">
        <v>7671</v>
      </c>
      <c r="S77" s="96">
        <v>13.125</v>
      </c>
      <c r="T77" s="98">
        <f>W77*F77*0.005</f>
        <v>2779.8122803180713</v>
      </c>
      <c r="V77" s="61">
        <v>0.1</v>
      </c>
      <c r="W77" s="61">
        <f>IF(O77&gt;0,O77,((P77*2.2046*S77)+(Q77+R77)/G77)+V77)</f>
        <v>29.571192585014956</v>
      </c>
      <c r="X77" s="61">
        <f>IF(O77&gt;0,O77,((P77*2.2046*S77)+(Q77+R77+T77)/G77)+V77)</f>
        <v>29.718942084881974</v>
      </c>
      <c r="Y77" s="81">
        <f t="shared" si="58"/>
        <v>558740.26675190765</v>
      </c>
      <c r="Z77" s="63">
        <v>41632</v>
      </c>
    </row>
    <row r="78" spans="1:26" s="51" customFormat="1" x14ac:dyDescent="0.25">
      <c r="A78" s="172"/>
      <c r="B78" s="94" t="s">
        <v>26</v>
      </c>
      <c r="C78" s="94" t="s">
        <v>27</v>
      </c>
      <c r="D78" s="94" t="s">
        <v>51</v>
      </c>
      <c r="E78" s="11">
        <v>246</v>
      </c>
      <c r="F78" s="95">
        <v>19803.8</v>
      </c>
      <c r="G78" s="59">
        <v>19780</v>
      </c>
      <c r="H78" s="59">
        <f t="shared" si="59"/>
        <v>-23.799999999999272</v>
      </c>
      <c r="I78" s="94" t="s">
        <v>173</v>
      </c>
      <c r="J78" s="11"/>
      <c r="K78" s="60"/>
      <c r="L78" s="60">
        <v>41632</v>
      </c>
      <c r="M78" s="94" t="s">
        <v>38</v>
      </c>
      <c r="N78" s="11"/>
      <c r="O78" s="61">
        <v>34</v>
      </c>
      <c r="P78" s="80"/>
      <c r="Q78" s="61"/>
      <c r="R78" s="61"/>
      <c r="S78" s="96"/>
      <c r="T78" s="98"/>
      <c r="U78" s="61">
        <f t="shared" ref="U78" si="60">E78*5</f>
        <v>1230</v>
      </c>
      <c r="V78" s="87"/>
      <c r="W78" s="61">
        <f t="shared" ref="W78" si="61">((O78*F78)+Q78+R78+S78+U78)/G78</f>
        <v>34.103094034378159</v>
      </c>
      <c r="X78" s="61">
        <f t="shared" ref="X78" si="62">((O78*F78)+R78+S78+T78+U78)/G78</f>
        <v>34.103094034378159</v>
      </c>
      <c r="Y78" s="81">
        <f t="shared" si="58"/>
        <v>675370.85363801813</v>
      </c>
      <c r="Z78" s="63">
        <v>41639</v>
      </c>
    </row>
    <row r="79" spans="1:26" s="51" customFormat="1" x14ac:dyDescent="0.25">
      <c r="A79" s="172"/>
      <c r="B79" s="58" t="s">
        <v>26</v>
      </c>
      <c r="C79" s="11" t="s">
        <v>125</v>
      </c>
      <c r="D79" s="94" t="s">
        <v>125</v>
      </c>
      <c r="E79" s="11">
        <v>180</v>
      </c>
      <c r="F79" s="95">
        <v>21246</v>
      </c>
      <c r="G79" s="59">
        <f>9690+7700</f>
        <v>17390</v>
      </c>
      <c r="H79" s="59">
        <f t="shared" si="59"/>
        <v>-3856</v>
      </c>
      <c r="I79" s="94" t="s">
        <v>174</v>
      </c>
      <c r="J79" s="11"/>
      <c r="K79" s="60">
        <v>41630</v>
      </c>
      <c r="L79" s="60">
        <v>41632</v>
      </c>
      <c r="M79" s="94" t="s">
        <v>38</v>
      </c>
      <c r="N79" s="11"/>
      <c r="O79" s="61">
        <v>27.4</v>
      </c>
      <c r="P79" s="62"/>
      <c r="Q79" s="61">
        <v>1000</v>
      </c>
      <c r="R79" s="61">
        <f>80*E79</f>
        <v>14400</v>
      </c>
      <c r="S79" s="168">
        <f>-25*E79</f>
        <v>-4500</v>
      </c>
      <c r="T79" s="168"/>
      <c r="U79" s="61">
        <f>E79*10</f>
        <v>1800</v>
      </c>
      <c r="V79" s="11"/>
      <c r="W79" s="61">
        <f>((O79*F79)+Q79+R79+S79+U79)/G79</f>
        <v>34.205888441633121</v>
      </c>
      <c r="X79" s="61">
        <f>((O79*F79)+Q79+R79+S79+T79+U79)/G79</f>
        <v>34.205888441633121</v>
      </c>
      <c r="Y79" s="81">
        <f t="shared" si="58"/>
        <v>726738.30583093734</v>
      </c>
      <c r="Z79" s="63">
        <v>41634</v>
      </c>
    </row>
    <row r="80" spans="1:26" s="51" customFormat="1" x14ac:dyDescent="0.25">
      <c r="A80" s="172"/>
      <c r="B80" s="58" t="s">
        <v>29</v>
      </c>
      <c r="C80" s="94" t="s">
        <v>30</v>
      </c>
      <c r="D80" s="94" t="s">
        <v>30</v>
      </c>
      <c r="E80" s="11" t="s">
        <v>31</v>
      </c>
      <c r="F80" s="95">
        <f>43004*0.4536</f>
        <v>19506.614399999999</v>
      </c>
      <c r="G80" s="59">
        <v>19357.52</v>
      </c>
      <c r="H80" s="59">
        <f t="shared" si="59"/>
        <v>-149.09439999999813</v>
      </c>
      <c r="I80" s="94" t="s">
        <v>175</v>
      </c>
      <c r="J80" s="90" t="s">
        <v>32</v>
      </c>
      <c r="K80" s="60">
        <v>41631</v>
      </c>
      <c r="L80" s="60">
        <v>41632</v>
      </c>
      <c r="M80" s="94" t="s">
        <v>38</v>
      </c>
      <c r="N80" s="11" t="s">
        <v>112</v>
      </c>
      <c r="O80" s="61"/>
      <c r="P80" s="80">
        <v>0.90300000000000002</v>
      </c>
      <c r="Q80" s="61">
        <v>17000</v>
      </c>
      <c r="R80" s="61">
        <v>7671</v>
      </c>
      <c r="S80" s="96">
        <v>13.02</v>
      </c>
      <c r="T80" s="98">
        <f>W80*F80*0.005</f>
        <v>2662.0780300315041</v>
      </c>
      <c r="V80" s="61">
        <v>0.1</v>
      </c>
      <c r="W80" s="61">
        <f>IF(O80&gt;0,O80,((P80*2.2046*S80)+(Q80+R80)/G80)+V80)</f>
        <v>27.294106249739617</v>
      </c>
      <c r="X80" s="61">
        <f>IF(O80&gt;0,O80,((P80*2.2046*S80)+(Q80+R80+T80)/G80)+V80)</f>
        <v>27.431627896625763</v>
      </c>
      <c r="Y80" s="81">
        <f t="shared" si="58"/>
        <v>535098.18774376181</v>
      </c>
      <c r="Z80" s="63">
        <v>41632</v>
      </c>
    </row>
    <row r="81" spans="1:26" s="51" customFormat="1" x14ac:dyDescent="0.25">
      <c r="A81" s="172"/>
      <c r="B81" s="94" t="s">
        <v>26</v>
      </c>
      <c r="C81" s="94" t="s">
        <v>67</v>
      </c>
      <c r="D81" s="94" t="s">
        <v>67</v>
      </c>
      <c r="E81" s="11">
        <v>214</v>
      </c>
      <c r="F81" s="95">
        <v>16160</v>
      </c>
      <c r="G81" s="59">
        <v>16160</v>
      </c>
      <c r="H81" s="59">
        <f t="shared" si="59"/>
        <v>0</v>
      </c>
      <c r="I81" s="94" t="s">
        <v>176</v>
      </c>
      <c r="J81" s="11"/>
      <c r="K81" s="60"/>
      <c r="L81" s="60">
        <v>41632</v>
      </c>
      <c r="M81" s="94" t="s">
        <v>38</v>
      </c>
      <c r="N81" s="11"/>
      <c r="O81" s="61">
        <v>33.299999999999997</v>
      </c>
      <c r="P81" s="80"/>
      <c r="Q81" s="61"/>
      <c r="R81" s="61"/>
      <c r="S81" s="96"/>
      <c r="T81" s="98"/>
      <c r="U81" s="61">
        <f t="shared" ref="U81" si="63">E81*5</f>
        <v>1070</v>
      </c>
      <c r="V81" s="87"/>
      <c r="W81" s="61">
        <f t="shared" ref="W81" si="64">((O81*F81)+Q81+R81+S81+U81)/G81</f>
        <v>33.366212871287132</v>
      </c>
      <c r="X81" s="61">
        <f t="shared" ref="X81" si="65">((O81*F81)+R81+S81+T81+U81)/G81</f>
        <v>33.366212871287132</v>
      </c>
      <c r="Y81" s="81">
        <f t="shared" si="58"/>
        <v>539198</v>
      </c>
      <c r="Z81" s="63">
        <v>41639</v>
      </c>
    </row>
    <row r="82" spans="1:26" s="51" customFormat="1" x14ac:dyDescent="0.25">
      <c r="A82" s="172"/>
      <c r="B82" s="94" t="s">
        <v>55</v>
      </c>
      <c r="C82" s="94" t="s">
        <v>177</v>
      </c>
      <c r="D82" s="94" t="s">
        <v>33</v>
      </c>
      <c r="E82" s="94" t="s">
        <v>178</v>
      </c>
      <c r="F82" s="95">
        <v>18306.099999999999</v>
      </c>
      <c r="G82" s="59">
        <v>18306.099999999999</v>
      </c>
      <c r="H82" s="59">
        <f t="shared" si="59"/>
        <v>0</v>
      </c>
      <c r="I82" s="94" t="s">
        <v>179</v>
      </c>
      <c r="J82" s="11"/>
      <c r="K82" s="60"/>
      <c r="L82" s="60">
        <v>41634</v>
      </c>
      <c r="M82" s="94"/>
      <c r="N82" s="11"/>
      <c r="O82" s="61">
        <v>64.5</v>
      </c>
      <c r="P82" s="80"/>
      <c r="Q82" s="61"/>
      <c r="R82" s="61"/>
      <c r="S82" s="96"/>
      <c r="T82" s="98"/>
      <c r="U82" s="61"/>
      <c r="V82" s="61"/>
      <c r="W82" s="61">
        <f>IF(O82&gt;0,O82,((P82*2.2046*S82)+(Q82+R82)/G82)+V82)</f>
        <v>64.5</v>
      </c>
      <c r="X82" s="61">
        <f>IF(O82&gt;0,O82,((P82*2.2046*S82)+(Q82+R82+T82)/G82)+V82)</f>
        <v>64.5</v>
      </c>
      <c r="Y82" s="81">
        <f>X82*F82</f>
        <v>1180743.45</v>
      </c>
      <c r="Z82" s="63">
        <v>41655</v>
      </c>
    </row>
    <row r="83" spans="1:26" s="51" customFormat="1" x14ac:dyDescent="0.25">
      <c r="A83" s="172"/>
      <c r="B83" s="94" t="s">
        <v>58</v>
      </c>
      <c r="C83" s="94" t="s">
        <v>45</v>
      </c>
      <c r="D83" s="94" t="s">
        <v>180</v>
      </c>
      <c r="E83" s="94" t="s">
        <v>181</v>
      </c>
      <c r="F83" s="95">
        <f>200*27.22</f>
        <v>5444</v>
      </c>
      <c r="G83" s="59">
        <v>5444</v>
      </c>
      <c r="H83" s="59">
        <f t="shared" si="59"/>
        <v>0</v>
      </c>
      <c r="I83" s="94" t="s">
        <v>182</v>
      </c>
      <c r="J83" s="11"/>
      <c r="K83" s="60"/>
      <c r="L83" s="60">
        <v>41634</v>
      </c>
      <c r="M83" s="94"/>
      <c r="N83" s="11"/>
      <c r="O83" s="61" t="s">
        <v>183</v>
      </c>
      <c r="P83" s="80"/>
      <c r="Q83" s="61"/>
      <c r="R83" s="61"/>
      <c r="S83" s="96"/>
      <c r="T83" s="98"/>
      <c r="U83" s="61"/>
      <c r="V83" s="61"/>
      <c r="W83" s="61"/>
      <c r="X83" s="61"/>
      <c r="Y83" s="81" t="s">
        <v>184</v>
      </c>
      <c r="Z83" s="63">
        <v>41657</v>
      </c>
    </row>
    <row r="84" spans="1:26" s="51" customFormat="1" x14ac:dyDescent="0.25">
      <c r="A84" s="172"/>
      <c r="B84" s="58" t="s">
        <v>26</v>
      </c>
      <c r="C84" s="11" t="s">
        <v>39</v>
      </c>
      <c r="D84" s="94" t="s">
        <v>56</v>
      </c>
      <c r="E84" s="11">
        <v>250</v>
      </c>
      <c r="F84" s="95">
        <v>25370</v>
      </c>
      <c r="G84" s="59">
        <f>11190+8560</f>
        <v>19750</v>
      </c>
      <c r="H84" s="59">
        <f t="shared" si="59"/>
        <v>-5620</v>
      </c>
      <c r="I84" s="94" t="s">
        <v>185</v>
      </c>
      <c r="J84" s="11"/>
      <c r="K84" s="60"/>
      <c r="L84" s="60">
        <v>41635</v>
      </c>
      <c r="M84" s="94" t="s">
        <v>47</v>
      </c>
      <c r="N84" s="11"/>
      <c r="O84" s="61">
        <v>25.5</v>
      </c>
      <c r="P84" s="62"/>
      <c r="Q84" s="61">
        <v>15000</v>
      </c>
      <c r="R84" s="61">
        <f>58.25*E84</f>
        <v>14562.5</v>
      </c>
      <c r="S84" s="96">
        <f>-35*E84</f>
        <v>-8750</v>
      </c>
      <c r="T84" s="96">
        <v>2250</v>
      </c>
      <c r="U84" s="61">
        <f>E84*5</f>
        <v>1250</v>
      </c>
      <c r="V84" s="11"/>
      <c r="W84" s="61">
        <f>((O84*F84)+Q84+R84+S84+U84)/G84</f>
        <v>33.873291139240507</v>
      </c>
      <c r="X84" s="61">
        <f>((O84*F84)+Q84+R84+S84+T84+U84)/G84</f>
        <v>33.987215189873417</v>
      </c>
      <c r="Y84" s="81">
        <f t="shared" ref="Y84" si="66">X84*F84</f>
        <v>862255.64936708857</v>
      </c>
      <c r="Z84" s="63">
        <v>41641</v>
      </c>
    </row>
    <row r="85" spans="1:26" s="51" customFormat="1" x14ac:dyDescent="0.25">
      <c r="A85" s="172"/>
      <c r="B85" s="58" t="s">
        <v>29</v>
      </c>
      <c r="C85" s="11" t="s">
        <v>35</v>
      </c>
      <c r="D85" s="11" t="s">
        <v>35</v>
      </c>
      <c r="E85" s="11" t="s">
        <v>36</v>
      </c>
      <c r="F85" s="95">
        <f>40994*0.4536</f>
        <v>18594.878400000001</v>
      </c>
      <c r="G85" s="59">
        <v>18550</v>
      </c>
      <c r="H85" s="59">
        <f>G85-F85</f>
        <v>-44.87840000000142</v>
      </c>
      <c r="I85" s="94" t="s">
        <v>186</v>
      </c>
      <c r="J85" s="90" t="s">
        <v>37</v>
      </c>
      <c r="K85" s="60">
        <v>41634</v>
      </c>
      <c r="L85" s="60">
        <v>41635</v>
      </c>
      <c r="M85" s="94" t="s">
        <v>47</v>
      </c>
      <c r="N85" s="94" t="s">
        <v>118</v>
      </c>
      <c r="O85" s="61"/>
      <c r="P85" s="80">
        <v>0.996</v>
      </c>
      <c r="Q85" s="61">
        <v>17000</v>
      </c>
      <c r="R85" s="61">
        <v>7671</v>
      </c>
      <c r="S85" s="96">
        <v>13.11</v>
      </c>
      <c r="T85" s="98">
        <f>W85*F85*0.005</f>
        <v>2809.3765049486583</v>
      </c>
      <c r="V85" s="61">
        <v>0.1</v>
      </c>
      <c r="W85" s="61">
        <f>IF(O85&gt;0,O85,((P85*2.2046*S85)+(Q85+R85)/G85)+V85)</f>
        <v>30.216669821822101</v>
      </c>
      <c r="X85" s="61">
        <f>IF(O85&gt;0,O85,((P85*2.2046*S85)+(Q85+R85+T85)/G85)+V85)</f>
        <v>30.368118690013404</v>
      </c>
      <c r="Y85" s="81">
        <f>X85*F85</f>
        <v>564691.47427756654</v>
      </c>
      <c r="Z85" s="63">
        <v>41635</v>
      </c>
    </row>
    <row r="86" spans="1:26" s="51" customFormat="1" x14ac:dyDescent="0.25">
      <c r="A86" s="172"/>
      <c r="B86" s="58" t="s">
        <v>29</v>
      </c>
      <c r="C86" s="11" t="s">
        <v>35</v>
      </c>
      <c r="D86" s="11" t="s">
        <v>35</v>
      </c>
      <c r="E86" s="11" t="s">
        <v>31</v>
      </c>
      <c r="F86" s="95">
        <f>41613*0.4536</f>
        <v>18875.656800000001</v>
      </c>
      <c r="G86" s="59">
        <v>18843.89</v>
      </c>
      <c r="H86" s="59">
        <f t="shared" ref="H86:H87" si="67">G86-F86</f>
        <v>-31.76680000000124</v>
      </c>
      <c r="I86" s="94" t="s">
        <v>187</v>
      </c>
      <c r="J86" s="90" t="s">
        <v>32</v>
      </c>
      <c r="K86" s="60">
        <v>41635</v>
      </c>
      <c r="L86" s="60">
        <v>41638</v>
      </c>
      <c r="M86" s="94" t="s">
        <v>28</v>
      </c>
      <c r="N86" s="94" t="s">
        <v>118</v>
      </c>
      <c r="O86" s="61"/>
      <c r="P86" s="80">
        <v>0.996</v>
      </c>
      <c r="Q86" s="61">
        <v>17000</v>
      </c>
      <c r="R86" s="61">
        <v>7671</v>
      </c>
      <c r="S86" s="96">
        <v>13.11</v>
      </c>
      <c r="T86" s="98">
        <f>W86*F86*0.005</f>
        <v>2849.8398225021551</v>
      </c>
      <c r="V86" s="61">
        <v>0.1</v>
      </c>
      <c r="W86" s="61">
        <f>IF(O86&gt;0,O86,((P86*2.2046*S86)+(Q86+R86)/G86)+V86)</f>
        <v>30.19592751339021</v>
      </c>
      <c r="X86" s="61">
        <f>IF(O86&gt;0,O86,((P86*2.2046*S86)+(Q86+R86+T86)/G86)+V86)</f>
        <v>30.347161670589291</v>
      </c>
      <c r="Y86" s="81">
        <f t="shared" ref="Y86:Y87" si="68">X86*F86</f>
        <v>572822.60854815808</v>
      </c>
      <c r="Z86" s="63">
        <v>41635</v>
      </c>
    </row>
    <row r="87" spans="1:26" s="51" customFormat="1" x14ac:dyDescent="0.25">
      <c r="A87" s="172"/>
      <c r="B87" s="58" t="s">
        <v>26</v>
      </c>
      <c r="C87" s="11" t="s">
        <v>39</v>
      </c>
      <c r="D87" s="94" t="s">
        <v>188</v>
      </c>
      <c r="E87" s="11">
        <v>250</v>
      </c>
      <c r="F87" s="95">
        <v>25020</v>
      </c>
      <c r="G87" s="59">
        <v>19460</v>
      </c>
      <c r="H87" s="59">
        <f t="shared" si="67"/>
        <v>-5560</v>
      </c>
      <c r="I87" s="94" t="s">
        <v>189</v>
      </c>
      <c r="J87" s="11"/>
      <c r="K87" s="60"/>
      <c r="L87" s="60">
        <v>41636</v>
      </c>
      <c r="M87" s="94" t="s">
        <v>48</v>
      </c>
      <c r="N87" s="11"/>
      <c r="O87" s="61">
        <v>25.5</v>
      </c>
      <c r="P87" s="62"/>
      <c r="Q87" s="61">
        <v>15000</v>
      </c>
      <c r="R87" s="61">
        <f>58.25*E87</f>
        <v>14562.5</v>
      </c>
      <c r="S87" s="96">
        <f>-35*E87</f>
        <v>-8750</v>
      </c>
      <c r="T87" s="96">
        <v>2250</v>
      </c>
      <c r="U87" s="61">
        <f>E87*5</f>
        <v>1250</v>
      </c>
      <c r="V87" s="11"/>
      <c r="W87" s="61">
        <f>((O87*F87)+Q87+R87+S87+U87)/G87</f>
        <v>33.919450154162384</v>
      </c>
      <c r="X87" s="61">
        <f>((O87*F87)+Q87+R87+S87+T87+U87)/G87</f>
        <v>34.035071942446045</v>
      </c>
      <c r="Y87" s="81">
        <f t="shared" si="68"/>
        <v>851557.5</v>
      </c>
      <c r="Z87" s="63">
        <v>41642</v>
      </c>
    </row>
    <row r="88" spans="1:26" s="51" customFormat="1" x14ac:dyDescent="0.25">
      <c r="A88" s="172"/>
      <c r="B88" s="58" t="s">
        <v>29</v>
      </c>
      <c r="C88" s="11" t="s">
        <v>59</v>
      </c>
      <c r="D88" s="11" t="s">
        <v>59</v>
      </c>
      <c r="E88" s="11" t="s">
        <v>34</v>
      </c>
      <c r="F88" s="95">
        <f>41002*0.4536</f>
        <v>18598.5072</v>
      </c>
      <c r="G88" s="59">
        <v>18573.82</v>
      </c>
      <c r="H88" s="59">
        <f>G88-F88</f>
        <v>-24.687200000000303</v>
      </c>
      <c r="I88" s="94" t="s">
        <v>190</v>
      </c>
      <c r="J88" s="90" t="s">
        <v>191</v>
      </c>
      <c r="K88" s="60">
        <v>41635</v>
      </c>
      <c r="L88" s="60">
        <v>41636</v>
      </c>
      <c r="M88" s="94" t="s">
        <v>48</v>
      </c>
      <c r="N88" s="94" t="s">
        <v>118</v>
      </c>
      <c r="O88" s="61"/>
      <c r="P88" s="80">
        <v>0.99099999999999999</v>
      </c>
      <c r="Q88" s="61">
        <v>17000</v>
      </c>
      <c r="R88" s="61">
        <v>7671</v>
      </c>
      <c r="S88" s="96">
        <v>13.11</v>
      </c>
      <c r="T88" s="98">
        <f>W88*F88*0.005</f>
        <v>2796.327652224772</v>
      </c>
      <c r="V88" s="61">
        <v>0.1</v>
      </c>
      <c r="W88" s="61">
        <f>IF(O88&gt;0,O88,((P88*2.2046*S88)+(Q88+R88)/G88)+V88)</f>
        <v>30.070452667564329</v>
      </c>
      <c r="X88" s="61">
        <f>IF(O88&gt;0,O88,((P88*2.2046*S88)+(Q88+R88+T88)/G88)+V88)</f>
        <v>30.221004770051849</v>
      </c>
      <c r="Y88" s="81">
        <f>X88*F88</f>
        <v>562065.57480704365</v>
      </c>
      <c r="Z88" s="63">
        <v>41635</v>
      </c>
    </row>
    <row r="89" spans="1:26" s="51" customFormat="1" x14ac:dyDescent="0.25">
      <c r="A89" s="172"/>
      <c r="B89" s="58" t="s">
        <v>29</v>
      </c>
      <c r="C89" s="11" t="s">
        <v>59</v>
      </c>
      <c r="D89" s="11" t="s">
        <v>59</v>
      </c>
      <c r="E89" s="11" t="s">
        <v>34</v>
      </c>
      <c r="F89" s="95">
        <f>41508*0.4536</f>
        <v>18828.0288</v>
      </c>
      <c r="G89" s="59">
        <v>18705.580000000002</v>
      </c>
      <c r="H89" s="59">
        <f>G89-F89</f>
        <v>-122.4487999999983</v>
      </c>
      <c r="I89" s="94" t="s">
        <v>192</v>
      </c>
      <c r="J89" s="90" t="s">
        <v>193</v>
      </c>
      <c r="K89" s="60">
        <v>41635</v>
      </c>
      <c r="L89" s="60">
        <v>41636</v>
      </c>
      <c r="M89" s="94" t="s">
        <v>48</v>
      </c>
      <c r="N89" s="94" t="s">
        <v>118</v>
      </c>
      <c r="O89" s="61"/>
      <c r="P89" s="80">
        <v>0.99099999999999999</v>
      </c>
      <c r="Q89" s="61">
        <v>17000</v>
      </c>
      <c r="R89" s="61">
        <v>7671</v>
      </c>
      <c r="S89" s="96">
        <v>13.11</v>
      </c>
      <c r="T89" s="98">
        <f>W89*F89*0.005</f>
        <v>2829.9559534357409</v>
      </c>
      <c r="V89" s="61">
        <v>0.1</v>
      </c>
      <c r="W89" s="61">
        <f>IF(O89&gt;0,O89,((P89*2.2046*S89)+(Q89+R89)/G89)+V89)</f>
        <v>30.061096501358026</v>
      </c>
      <c r="X89" s="61">
        <f>IF(O89&gt;0,O89,((P89*2.2046*S89)+(Q89+R89+T89)/G89)+V89)</f>
        <v>30.212385900213111</v>
      </c>
      <c r="Y89" s="81">
        <f>X89*F89</f>
        <v>568839.67184592632</v>
      </c>
      <c r="Z89" s="63">
        <v>41635</v>
      </c>
    </row>
    <row r="90" spans="1:26" s="51" customFormat="1" x14ac:dyDescent="0.25">
      <c r="A90" s="172"/>
      <c r="B90" s="58" t="s">
        <v>29</v>
      </c>
      <c r="C90" s="11" t="s">
        <v>35</v>
      </c>
      <c r="D90" s="11" t="s">
        <v>35</v>
      </c>
      <c r="E90" s="11" t="s">
        <v>31</v>
      </c>
      <c r="F90" s="95">
        <f>41438*0.4536</f>
        <v>18796.2768</v>
      </c>
      <c r="G90" s="59">
        <v>18750</v>
      </c>
      <c r="H90" s="59">
        <f t="shared" ref="H90:H93" si="69">G90-F90</f>
        <v>-46.276799999999639</v>
      </c>
      <c r="I90" s="94" t="s">
        <v>194</v>
      </c>
      <c r="J90" s="90" t="s">
        <v>37</v>
      </c>
      <c r="K90" s="60">
        <v>41634</v>
      </c>
      <c r="L90" s="60">
        <v>41635</v>
      </c>
      <c r="M90" s="94" t="s">
        <v>47</v>
      </c>
      <c r="N90" s="94" t="s">
        <v>122</v>
      </c>
      <c r="O90" s="61"/>
      <c r="P90" s="80">
        <v>0.996</v>
      </c>
      <c r="Q90" s="61">
        <v>17000</v>
      </c>
      <c r="R90" s="61">
        <v>7671</v>
      </c>
      <c r="S90" s="96">
        <v>13.11</v>
      </c>
      <c r="T90" s="98">
        <f>W90*F90*0.005</f>
        <v>2838.4711941788983</v>
      </c>
      <c r="V90" s="61">
        <v>0.1</v>
      </c>
      <c r="W90" s="61">
        <f>IF(O90&gt;0,O90,((P90*2.2046*S90)+(Q90+R90)/G90)+V90)</f>
        <v>30.202483442666669</v>
      </c>
      <c r="X90" s="61">
        <f>IF(O90&gt;0,O90,((P90*2.2046*S90)+(Q90+R90+T90)/G90)+V90)</f>
        <v>30.353868573022876</v>
      </c>
      <c r="Y90" s="81">
        <f t="shared" ref="Y90:Y93" si="70">X90*F90</f>
        <v>570539.71564935893</v>
      </c>
      <c r="Z90" s="63">
        <v>41635</v>
      </c>
    </row>
    <row r="91" spans="1:26" s="51" customFormat="1" x14ac:dyDescent="0.25">
      <c r="A91" s="172"/>
      <c r="B91" s="58" t="s">
        <v>26</v>
      </c>
      <c r="C91" s="11" t="s">
        <v>125</v>
      </c>
      <c r="D91" s="94" t="s">
        <v>125</v>
      </c>
      <c r="E91" s="11">
        <f>79+41+79+21</f>
        <v>220</v>
      </c>
      <c r="F91" s="95">
        <v>24324</v>
      </c>
      <c r="G91" s="59">
        <f>7140+3790+2050+7130</f>
        <v>20110</v>
      </c>
      <c r="H91" s="59">
        <f t="shared" si="69"/>
        <v>-4214</v>
      </c>
      <c r="I91" s="94" t="s">
        <v>195</v>
      </c>
      <c r="J91" s="11"/>
      <c r="K91" s="60">
        <v>41636</v>
      </c>
      <c r="L91" s="60">
        <v>41638</v>
      </c>
      <c r="M91" s="94" t="s">
        <v>28</v>
      </c>
      <c r="N91" s="11"/>
      <c r="O91" s="61">
        <v>27.4</v>
      </c>
      <c r="P91" s="62"/>
      <c r="Q91" s="61">
        <v>1000</v>
      </c>
      <c r="R91" s="61">
        <f>80*E91</f>
        <v>17600</v>
      </c>
      <c r="S91" s="168">
        <f>-25*E91</f>
        <v>-5500</v>
      </c>
      <c r="T91" s="168"/>
      <c r="U91" s="61">
        <f>E91*10</f>
        <v>2200</v>
      </c>
      <c r="V91" s="11"/>
      <c r="W91" s="61">
        <f>((O91*F91)+Q91+R91+S91+U91)/G91</f>
        <v>33.90241670810542</v>
      </c>
      <c r="X91" s="61">
        <f>((O91*F91)+Q91+R91+S91+T91+U91)/G91</f>
        <v>33.90241670810542</v>
      </c>
      <c r="Y91" s="81">
        <f t="shared" si="70"/>
        <v>824642.38400795625</v>
      </c>
      <c r="Z91" s="63">
        <v>41639</v>
      </c>
    </row>
    <row r="92" spans="1:26" s="51" customFormat="1" x14ac:dyDescent="0.25">
      <c r="A92" s="172"/>
      <c r="B92" s="58" t="s">
        <v>26</v>
      </c>
      <c r="C92" s="11" t="s">
        <v>39</v>
      </c>
      <c r="D92" s="94" t="s">
        <v>188</v>
      </c>
      <c r="E92" s="11">
        <v>251</v>
      </c>
      <c r="F92" s="95">
        <v>25440</v>
      </c>
      <c r="G92" s="59">
        <f>14340+5540</f>
        <v>19880</v>
      </c>
      <c r="H92" s="59">
        <f t="shared" si="69"/>
        <v>-5560</v>
      </c>
      <c r="I92" s="94" t="s">
        <v>196</v>
      </c>
      <c r="J92" s="11"/>
      <c r="K92" s="60"/>
      <c r="L92" s="60">
        <v>41637</v>
      </c>
      <c r="M92" s="94" t="s">
        <v>50</v>
      </c>
      <c r="N92" s="11"/>
      <c r="O92" s="61">
        <v>25.5</v>
      </c>
      <c r="P92" s="62"/>
      <c r="Q92" s="61">
        <v>15000</v>
      </c>
      <c r="R92" s="61">
        <f>58.25*E92</f>
        <v>14620.75</v>
      </c>
      <c r="S92" s="96">
        <f>-35*E92</f>
        <v>-8785</v>
      </c>
      <c r="T92" s="96">
        <v>2250</v>
      </c>
      <c r="U92" s="61">
        <f>E92*5</f>
        <v>1255</v>
      </c>
      <c r="V92" s="11"/>
      <c r="W92" s="61">
        <f>((O92*F92)+Q92+R92+S92+U92)/G92</f>
        <v>33.742995472837023</v>
      </c>
      <c r="X92" s="61">
        <f>((O92*F92)+Q92+R92+S92+T92+U92)/G92</f>
        <v>33.8561745472837</v>
      </c>
      <c r="Y92" s="81">
        <f t="shared" si="70"/>
        <v>861301.08048289735</v>
      </c>
      <c r="Z92" s="63">
        <v>41645</v>
      </c>
    </row>
    <row r="93" spans="1:26" s="51" customFormat="1" x14ac:dyDescent="0.25">
      <c r="A93" s="172"/>
      <c r="B93" s="58" t="s">
        <v>26</v>
      </c>
      <c r="C93" s="94" t="s">
        <v>27</v>
      </c>
      <c r="D93" s="94" t="s">
        <v>51</v>
      </c>
      <c r="E93" s="11">
        <v>261</v>
      </c>
      <c r="F93" s="95">
        <v>21166.5</v>
      </c>
      <c r="G93" s="59">
        <f>8090+13100</f>
        <v>21190</v>
      </c>
      <c r="H93" s="59">
        <f t="shared" si="69"/>
        <v>23.5</v>
      </c>
      <c r="I93" s="94" t="s">
        <v>197</v>
      </c>
      <c r="J93" s="11"/>
      <c r="K93" s="60"/>
      <c r="L93" s="60">
        <v>41637</v>
      </c>
      <c r="M93" s="94" t="s">
        <v>50</v>
      </c>
      <c r="N93" s="11"/>
      <c r="O93" s="61">
        <v>34</v>
      </c>
      <c r="P93" s="80"/>
      <c r="Q93" s="61"/>
      <c r="R93" s="61"/>
      <c r="S93" s="96"/>
      <c r="T93" s="98"/>
      <c r="U93" s="61">
        <f t="shared" ref="U93" si="71">E93*5</f>
        <v>1305</v>
      </c>
      <c r="V93" s="87"/>
      <c r="W93" s="61">
        <f t="shared" ref="W93" si="72">((O93*F93)+Q93+R93+S93+U93)/G93</f>
        <v>34.02387918829637</v>
      </c>
      <c r="X93" s="61">
        <f t="shared" ref="X93" si="73">((O93*F93)+R93+S93+T93+U93)/G93</f>
        <v>34.02387918829637</v>
      </c>
      <c r="Y93" s="81">
        <f t="shared" si="70"/>
        <v>720166.43883907516</v>
      </c>
      <c r="Z93" s="63">
        <v>41645</v>
      </c>
    </row>
    <row r="94" spans="1:26" s="51" customFormat="1" ht="15.75" thickBot="1" x14ac:dyDescent="0.3">
      <c r="A94" s="172"/>
      <c r="B94" s="65"/>
      <c r="C94" s="52"/>
      <c r="D94" s="52"/>
      <c r="E94" s="52"/>
      <c r="F94" s="53"/>
      <c r="G94" s="53"/>
      <c r="H94" s="53"/>
      <c r="I94" s="54"/>
      <c r="J94" s="52"/>
      <c r="K94" s="55"/>
      <c r="L94" s="55"/>
      <c r="M94" s="52"/>
      <c r="N94" s="52"/>
      <c r="O94" s="56"/>
      <c r="P94" s="57"/>
      <c r="Q94" s="56"/>
      <c r="R94" s="56"/>
      <c r="S94" s="56"/>
      <c r="T94" s="56"/>
      <c r="U94" s="56"/>
      <c r="V94" s="56"/>
      <c r="W94" s="56"/>
      <c r="X94" s="56"/>
      <c r="Y94" s="56"/>
      <c r="Z94" s="66"/>
    </row>
    <row r="95" spans="1:26" s="51" customFormat="1" x14ac:dyDescent="0.25">
      <c r="A95" s="173"/>
      <c r="B95" s="151" t="s">
        <v>26</v>
      </c>
      <c r="C95" s="151" t="s">
        <v>27</v>
      </c>
      <c r="D95" s="151" t="s">
        <v>51</v>
      </c>
      <c r="E95" s="152">
        <v>250</v>
      </c>
      <c r="F95" s="153">
        <v>21254.799999999999</v>
      </c>
      <c r="G95" s="154">
        <f>12670+8590</f>
        <v>21260</v>
      </c>
      <c r="H95" s="154">
        <f t="shared" ref="H95" si="74">G95-F95</f>
        <v>5.2000000000007276</v>
      </c>
      <c r="I95" s="151" t="s">
        <v>198</v>
      </c>
      <c r="J95" s="152"/>
      <c r="K95" s="155"/>
      <c r="L95" s="155">
        <v>41638</v>
      </c>
      <c r="M95" s="151" t="s">
        <v>28</v>
      </c>
      <c r="N95" s="152"/>
      <c r="O95" s="156">
        <v>34</v>
      </c>
      <c r="P95" s="157"/>
      <c r="Q95" s="156"/>
      <c r="R95" s="156"/>
      <c r="S95" s="158"/>
      <c r="T95" s="158"/>
      <c r="U95" s="156">
        <f>E95*5</f>
        <v>1250</v>
      </c>
      <c r="V95" s="159"/>
      <c r="W95" s="156">
        <f>((O95*F95)+Q95+R95+S95+U95)/G95</f>
        <v>34.050479774223895</v>
      </c>
      <c r="X95" s="156">
        <f>((O95*F95)+R95+S95+T95+U95)/G95</f>
        <v>34.050479774223895</v>
      </c>
      <c r="Y95" s="160">
        <f t="shared" ref="Y95" si="75">X95*F95</f>
        <v>723736.13750517403</v>
      </c>
      <c r="Z95" s="161">
        <v>41645</v>
      </c>
    </row>
    <row r="96" spans="1:26" s="51" customFormat="1" x14ac:dyDescent="0.25">
      <c r="A96" s="174"/>
      <c r="B96" s="58" t="s">
        <v>44</v>
      </c>
      <c r="C96" s="11" t="s">
        <v>45</v>
      </c>
      <c r="D96" s="11" t="s">
        <v>46</v>
      </c>
      <c r="E96" s="11" t="s">
        <v>53</v>
      </c>
      <c r="F96" s="95">
        <v>18298.23</v>
      </c>
      <c r="G96" s="59">
        <v>18240.13</v>
      </c>
      <c r="H96" s="59">
        <f>G96-F96</f>
        <v>-58.099999999998545</v>
      </c>
      <c r="I96" s="94" t="s">
        <v>199</v>
      </c>
      <c r="J96" s="11"/>
      <c r="K96" s="60">
        <v>41635</v>
      </c>
      <c r="L96" s="60">
        <v>41638</v>
      </c>
      <c r="M96" s="94" t="s">
        <v>28</v>
      </c>
      <c r="N96" s="94" t="s">
        <v>200</v>
      </c>
      <c r="O96" s="61"/>
      <c r="P96" s="80">
        <v>2.3199999999999998</v>
      </c>
      <c r="Q96" s="61"/>
      <c r="R96" s="61"/>
      <c r="S96" s="96">
        <v>13.13</v>
      </c>
      <c r="T96" s="96"/>
      <c r="U96" s="61"/>
      <c r="V96" s="61"/>
      <c r="W96" s="61">
        <f>IF(O96&gt;0,O96,((P96*S96)+(Q96+R96)/G96)+V96)</f>
        <v>30.461600000000001</v>
      </c>
      <c r="X96" s="61">
        <f>IF(O96&gt;0,O96,((P96*S96)+(Q96+R96+T96)/G96)+V96)</f>
        <v>30.461600000000001</v>
      </c>
      <c r="Y96" s="81">
        <f>X96*F96</f>
        <v>557393.362968</v>
      </c>
      <c r="Z96" s="63">
        <v>41638</v>
      </c>
    </row>
    <row r="97" spans="1:26" s="51" customFormat="1" x14ac:dyDescent="0.25">
      <c r="A97" s="174"/>
      <c r="B97" s="58" t="s">
        <v>44</v>
      </c>
      <c r="C97" s="11" t="s">
        <v>45</v>
      </c>
      <c r="D97" s="11" t="s">
        <v>46</v>
      </c>
      <c r="E97" s="11" t="s">
        <v>53</v>
      </c>
      <c r="F97" s="95">
        <v>18271.919999999998</v>
      </c>
      <c r="G97" s="59">
        <v>18235.560000000001</v>
      </c>
      <c r="H97" s="59">
        <f>G97-F97</f>
        <v>-36.359999999996944</v>
      </c>
      <c r="I97" s="94" t="s">
        <v>201</v>
      </c>
      <c r="J97" s="11"/>
      <c r="K97" s="60">
        <v>41635</v>
      </c>
      <c r="L97" s="60">
        <v>41638</v>
      </c>
      <c r="M97" s="94" t="s">
        <v>28</v>
      </c>
      <c r="N97" s="94" t="s">
        <v>200</v>
      </c>
      <c r="O97" s="61"/>
      <c r="P97" s="80">
        <v>2.3199999999999998</v>
      </c>
      <c r="Q97" s="61"/>
      <c r="R97" s="61"/>
      <c r="S97" s="96">
        <v>13.13</v>
      </c>
      <c r="T97" s="96"/>
      <c r="U97" s="61"/>
      <c r="V97" s="61"/>
      <c r="W97" s="61">
        <f>IF(O97&gt;0,O97,((P97*S97)+(Q97+R97)/G97)+V97)</f>
        <v>30.461600000000001</v>
      </c>
      <c r="X97" s="61">
        <f>IF(O97&gt;0,O97,((P97*S97)+(Q97+R97+T97)/G97)+V97)</f>
        <v>30.461600000000001</v>
      </c>
      <c r="Y97" s="81">
        <f>X97*F97</f>
        <v>556591.91827199992</v>
      </c>
      <c r="Z97" s="63">
        <v>41638</v>
      </c>
    </row>
    <row r="98" spans="1:26" s="51" customFormat="1" x14ac:dyDescent="0.25">
      <c r="A98" s="174"/>
      <c r="B98" s="58" t="s">
        <v>58</v>
      </c>
      <c r="C98" s="11" t="s">
        <v>45</v>
      </c>
      <c r="D98" s="11" t="s">
        <v>180</v>
      </c>
      <c r="E98" s="11" t="s">
        <v>202</v>
      </c>
      <c r="F98" s="95">
        <f>27.22*400</f>
        <v>10888</v>
      </c>
      <c r="G98" s="59">
        <v>10888</v>
      </c>
      <c r="H98" s="59">
        <f>G98-F98</f>
        <v>0</v>
      </c>
      <c r="I98" s="94" t="s">
        <v>203</v>
      </c>
      <c r="J98" s="11"/>
      <c r="K98" s="60"/>
      <c r="L98" s="60">
        <v>41638</v>
      </c>
      <c r="M98" s="94" t="s">
        <v>28</v>
      </c>
      <c r="N98" s="94"/>
      <c r="O98" s="61" t="s">
        <v>183</v>
      </c>
      <c r="P98" s="80"/>
      <c r="Q98" s="61"/>
      <c r="R98" s="61"/>
      <c r="S98" s="96"/>
      <c r="T98" s="96"/>
      <c r="U98" s="61"/>
      <c r="V98" s="61"/>
      <c r="W98" s="61"/>
      <c r="X98" s="61"/>
      <c r="Y98" s="81" t="s">
        <v>184</v>
      </c>
      <c r="Z98" s="63">
        <v>41657</v>
      </c>
    </row>
    <row r="99" spans="1:26" s="51" customFormat="1" x14ac:dyDescent="0.25">
      <c r="A99" s="174"/>
      <c r="B99" s="58" t="s">
        <v>29</v>
      </c>
      <c r="C99" s="11" t="s">
        <v>35</v>
      </c>
      <c r="D99" s="11" t="s">
        <v>35</v>
      </c>
      <c r="E99" s="11" t="s">
        <v>36</v>
      </c>
      <c r="F99" s="95">
        <f>40810*0.4536</f>
        <v>18511.416000000001</v>
      </c>
      <c r="G99" s="59">
        <v>18518.46</v>
      </c>
      <c r="H99" s="59">
        <f t="shared" ref="H99:H103" si="76">G99-F99</f>
        <v>7.04399999999805</v>
      </c>
      <c r="I99" s="94" t="s">
        <v>204</v>
      </c>
      <c r="J99" s="175" t="s">
        <v>37</v>
      </c>
      <c r="K99" s="60">
        <v>41638</v>
      </c>
      <c r="L99" s="60">
        <v>41639</v>
      </c>
      <c r="M99" s="94" t="s">
        <v>38</v>
      </c>
      <c r="N99" s="94" t="s">
        <v>104</v>
      </c>
      <c r="O99" s="61"/>
      <c r="P99" s="80">
        <v>0.85929999999999995</v>
      </c>
      <c r="Q99" s="61">
        <v>17000</v>
      </c>
      <c r="R99" s="61">
        <v>7671</v>
      </c>
      <c r="S99" s="96">
        <v>13.125</v>
      </c>
      <c r="T99" s="98">
        <f t="shared" ref="T99:T103" si="77">W99*F99*0.005</f>
        <v>2433.9185489834545</v>
      </c>
      <c r="V99" s="61">
        <v>0.1</v>
      </c>
      <c r="W99" s="61">
        <f>IF(O99&gt;0,O99,((P99*2.2046*S99)+(Q99+R99)/G99)+V99)</f>
        <v>26.29640594737274</v>
      </c>
      <c r="X99" s="61">
        <f>IF(O99&gt;0,O99,((P99*2.2046*S99)+(Q99+R99+T99)/G99)+V99)</f>
        <v>26.427837964343023</v>
      </c>
      <c r="Y99" s="81">
        <f t="shared" ref="Y99:Y103" si="78">X99*F99</f>
        <v>489216.70253854693</v>
      </c>
      <c r="Z99" s="63">
        <v>41639</v>
      </c>
    </row>
    <row r="100" spans="1:26" s="51" customFormat="1" x14ac:dyDescent="0.25">
      <c r="A100" s="174"/>
      <c r="B100" s="58" t="s">
        <v>29</v>
      </c>
      <c r="C100" s="11" t="s">
        <v>35</v>
      </c>
      <c r="D100" s="11" t="s">
        <v>35</v>
      </c>
      <c r="E100" s="11" t="s">
        <v>36</v>
      </c>
      <c r="F100" s="95">
        <f>41062*0.4536</f>
        <v>18625.7232</v>
      </c>
      <c r="G100" s="59">
        <v>18662.57</v>
      </c>
      <c r="H100" s="59">
        <f t="shared" si="76"/>
        <v>36.846799999999348</v>
      </c>
      <c r="I100" s="94" t="s">
        <v>205</v>
      </c>
      <c r="J100" s="175" t="s">
        <v>37</v>
      </c>
      <c r="K100" s="60">
        <v>41638</v>
      </c>
      <c r="L100" s="60">
        <v>41639</v>
      </c>
      <c r="M100" s="94" t="s">
        <v>38</v>
      </c>
      <c r="N100" s="94" t="s">
        <v>104</v>
      </c>
      <c r="O100" s="61"/>
      <c r="P100" s="80">
        <v>0.85929999999999995</v>
      </c>
      <c r="Q100" s="61">
        <v>17000</v>
      </c>
      <c r="R100" s="61">
        <v>7671</v>
      </c>
      <c r="S100" s="96">
        <v>13.125</v>
      </c>
      <c r="T100" s="98">
        <f t="shared" si="77"/>
        <v>2447.989842695039</v>
      </c>
      <c r="V100" s="61">
        <v>0.1</v>
      </c>
      <c r="W100" s="61">
        <f>IF(O100&gt;0,O100,((P100*2.2046*S100)+(Q100+R100)/G100)+V100)</f>
        <v>26.286118572781529</v>
      </c>
      <c r="X100" s="61">
        <f>IF(O100&gt;0,O100,((P100*2.2046*S100)+(Q100+R100+T100)/G100)+V100)</f>
        <v>26.417289673154897</v>
      </c>
      <c r="Y100" s="81">
        <f t="shared" si="78"/>
        <v>492041.12514640158</v>
      </c>
      <c r="Z100" s="63">
        <v>41639</v>
      </c>
    </row>
    <row r="101" spans="1:26" s="51" customFormat="1" x14ac:dyDescent="0.25">
      <c r="A101" s="174"/>
      <c r="B101" s="58" t="s">
        <v>29</v>
      </c>
      <c r="C101" s="94" t="s">
        <v>30</v>
      </c>
      <c r="D101" s="94" t="s">
        <v>30</v>
      </c>
      <c r="E101" s="11" t="s">
        <v>31</v>
      </c>
      <c r="F101" s="95">
        <f>43412*0.4536</f>
        <v>19691.683199999999</v>
      </c>
      <c r="G101" s="59">
        <v>19612.939999999999</v>
      </c>
      <c r="H101" s="59">
        <f t="shared" si="76"/>
        <v>-78.743200000000797</v>
      </c>
      <c r="I101" s="94" t="s">
        <v>206</v>
      </c>
      <c r="J101" s="175" t="s">
        <v>37</v>
      </c>
      <c r="K101" s="60">
        <v>41638</v>
      </c>
      <c r="L101" s="60">
        <v>41639</v>
      </c>
      <c r="M101" s="94" t="s">
        <v>38</v>
      </c>
      <c r="N101" s="11" t="s">
        <v>112</v>
      </c>
      <c r="O101" s="61"/>
      <c r="P101" s="80">
        <v>0.86260000000000003</v>
      </c>
      <c r="Q101" s="61">
        <v>17000</v>
      </c>
      <c r="R101" s="61">
        <v>7671</v>
      </c>
      <c r="S101" s="96">
        <v>13.02</v>
      </c>
      <c r="T101" s="98">
        <f t="shared" si="77"/>
        <v>2571.5242337708555</v>
      </c>
      <c r="V101" s="61">
        <v>0.1</v>
      </c>
      <c r="W101" s="61">
        <f>IF(O101&gt;0,O101,((P101*2.2046*S101)+(Q101+R101)/G101)+V101)</f>
        <v>26.117871262227656</v>
      </c>
      <c r="X101" s="61">
        <f>IF(O101&gt;0,O101,((P101*2.2046*S101)+(Q101+R101+T101)/G101)+V101)</f>
        <v>26.248984916466689</v>
      </c>
      <c r="Y101" s="81">
        <f t="shared" si="78"/>
        <v>516886.69529664051</v>
      </c>
      <c r="Z101" s="63">
        <v>41639</v>
      </c>
    </row>
    <row r="102" spans="1:26" s="51" customFormat="1" x14ac:dyDescent="0.25">
      <c r="A102" s="174"/>
      <c r="B102" s="58" t="s">
        <v>29</v>
      </c>
      <c r="C102" s="11" t="s">
        <v>59</v>
      </c>
      <c r="D102" s="11" t="s">
        <v>59</v>
      </c>
      <c r="E102" s="11" t="s">
        <v>34</v>
      </c>
      <c r="F102" s="95">
        <f>41212*0.4536</f>
        <v>18693.763200000001</v>
      </c>
      <c r="G102" s="59">
        <v>18613.82</v>
      </c>
      <c r="H102" s="59">
        <f>G102-F102</f>
        <v>-79.943200000001525</v>
      </c>
      <c r="I102" s="94" t="s">
        <v>207</v>
      </c>
      <c r="J102" s="175" t="s">
        <v>208</v>
      </c>
      <c r="K102" s="60">
        <v>41638</v>
      </c>
      <c r="L102" s="60">
        <v>41639</v>
      </c>
      <c r="M102" s="94" t="s">
        <v>38</v>
      </c>
      <c r="N102" s="94" t="s">
        <v>118</v>
      </c>
      <c r="O102" s="61"/>
      <c r="P102" s="80">
        <v>0.86260000000000003</v>
      </c>
      <c r="Q102" s="61">
        <v>17500</v>
      </c>
      <c r="R102" s="61">
        <v>7671</v>
      </c>
      <c r="S102" s="96">
        <v>13.13</v>
      </c>
      <c r="T102" s="98">
        <f t="shared" si="77"/>
        <v>2469.5805016374834</v>
      </c>
      <c r="V102" s="61">
        <v>0.1</v>
      </c>
      <c r="W102" s="61">
        <f>IF(O102&gt;0,O102,((P102*2.2046*S102)+(Q102+R102)/G102)+V102)</f>
        <v>26.421437729964222</v>
      </c>
      <c r="X102" s="61">
        <f>IF(O102&gt;0,O102,((P102*2.2046*S102)+(Q102+R102+T102)/G102)+V102)</f>
        <v>26.554112296583941</v>
      </c>
      <c r="Y102" s="81">
        <f>X102*F102</f>
        <v>496396.28725854843</v>
      </c>
      <c r="Z102" s="63">
        <v>41639</v>
      </c>
    </row>
    <row r="103" spans="1:26" s="51" customFormat="1" x14ac:dyDescent="0.25">
      <c r="A103" s="174"/>
      <c r="B103" s="94" t="s">
        <v>26</v>
      </c>
      <c r="C103" s="94" t="s">
        <v>27</v>
      </c>
      <c r="D103" s="94" t="s">
        <v>51</v>
      </c>
      <c r="E103" s="11">
        <v>248</v>
      </c>
      <c r="F103" s="95">
        <v>20345.3</v>
      </c>
      <c r="G103" s="59">
        <v>20370</v>
      </c>
      <c r="H103" s="59">
        <f t="shared" si="76"/>
        <v>24.700000000000728</v>
      </c>
      <c r="I103" s="94" t="s">
        <v>209</v>
      </c>
      <c r="J103" s="11"/>
      <c r="K103" s="60"/>
      <c r="L103" s="60">
        <v>41639</v>
      </c>
      <c r="M103" s="94" t="s">
        <v>38</v>
      </c>
      <c r="N103" s="11"/>
      <c r="O103" s="61">
        <v>34.700000000000003</v>
      </c>
      <c r="P103" s="80"/>
      <c r="Q103" s="61"/>
      <c r="R103" s="61"/>
      <c r="S103" s="96"/>
      <c r="T103" s="98">
        <f t="shared" si="77"/>
        <v>3531.8217784788903</v>
      </c>
      <c r="U103" s="61">
        <f t="shared" ref="U103" si="79">E103*5</f>
        <v>1240</v>
      </c>
      <c r="V103" s="87"/>
      <c r="W103" s="61">
        <f t="shared" ref="W103" si="80">((O103*F103)+Q103+R103+S103+U103)/G103</f>
        <v>34.718797741777124</v>
      </c>
      <c r="X103" s="61">
        <f t="shared" ref="X103" si="81">((O103*F103)+R103+S103+T103+U103)/G103</f>
        <v>34.892181236056892</v>
      </c>
      <c r="Y103" s="81">
        <f t="shared" si="78"/>
        <v>709891.89490194828</v>
      </c>
      <c r="Z103" s="63">
        <v>41646</v>
      </c>
    </row>
    <row r="104" spans="1:26" s="51" customFormat="1" x14ac:dyDescent="0.25">
      <c r="A104" s="174"/>
      <c r="B104" s="58" t="s">
        <v>26</v>
      </c>
      <c r="C104" s="11" t="s">
        <v>39</v>
      </c>
      <c r="D104" s="94" t="s">
        <v>40</v>
      </c>
      <c r="E104" s="11">
        <v>250</v>
      </c>
      <c r="F104" s="95">
        <f>14245+14760</f>
        <v>29005</v>
      </c>
      <c r="G104" s="59">
        <f>10650+12630</f>
        <v>23280</v>
      </c>
      <c r="H104" s="59">
        <f>G104-F104</f>
        <v>-5725</v>
      </c>
      <c r="I104" s="94" t="s">
        <v>210</v>
      </c>
      <c r="J104" s="11"/>
      <c r="K104" s="60"/>
      <c r="L104" s="60">
        <v>41639</v>
      </c>
      <c r="M104" s="94" t="s">
        <v>38</v>
      </c>
      <c r="N104" s="11"/>
      <c r="O104" s="61">
        <v>25.5</v>
      </c>
      <c r="P104" s="62"/>
      <c r="Q104" s="61">
        <v>15000</v>
      </c>
      <c r="R104" s="61">
        <f>58.25*E104</f>
        <v>14562.5</v>
      </c>
      <c r="S104" s="96">
        <f>-35*E104</f>
        <v>-8750</v>
      </c>
      <c r="T104" s="96">
        <v>2250</v>
      </c>
      <c r="U104" s="61">
        <f>E104*5</f>
        <v>1250</v>
      </c>
      <c r="V104" s="11"/>
      <c r="W104" s="61">
        <f>((O104*F104)+Q104+R104+S104+U104)/G104</f>
        <v>32.718642611683848</v>
      </c>
      <c r="X104" s="61">
        <f>((O104*F104)+Q104+R104+S104+T104+U104)/G104</f>
        <v>32.815292096219935</v>
      </c>
      <c r="Y104" s="81">
        <f>X104*F104</f>
        <v>951807.54725085921</v>
      </c>
      <c r="Z104" s="63">
        <v>41735</v>
      </c>
    </row>
    <row r="105" spans="1:26" s="51" customFormat="1" ht="15.75" thickBot="1" x14ac:dyDescent="0.3">
      <c r="A105" s="174"/>
      <c r="B105" s="65"/>
      <c r="C105" s="52"/>
      <c r="D105" s="52"/>
      <c r="E105" s="52"/>
      <c r="F105" s="53"/>
      <c r="G105" s="53"/>
      <c r="H105" s="53"/>
      <c r="I105" s="54"/>
      <c r="J105" s="52"/>
      <c r="K105" s="55"/>
      <c r="L105" s="55"/>
      <c r="M105" s="52"/>
      <c r="N105" s="52"/>
      <c r="O105" s="56"/>
      <c r="P105" s="57"/>
      <c r="Q105" s="56"/>
      <c r="R105" s="56"/>
      <c r="S105" s="56"/>
      <c r="T105" s="56"/>
      <c r="U105" s="56"/>
      <c r="V105" s="56"/>
      <c r="W105" s="56"/>
      <c r="X105" s="56"/>
      <c r="Y105" s="56"/>
      <c r="Z105" s="66"/>
    </row>
  </sheetData>
  <pageMargins left="0.23622047244094491" right="0.23622047244094491" top="0.15748031496062992" bottom="0.35433070866141736" header="0.31496062992125984" footer="0.31496062992125984"/>
  <pageSetup scale="70" orientation="landscape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3"/>
  <sheetViews>
    <sheetView workbookViewId="0">
      <selection sqref="A1:XFD1048576"/>
    </sheetView>
  </sheetViews>
  <sheetFormatPr baseColWidth="10" defaultRowHeight="15" x14ac:dyDescent="0.25"/>
  <cols>
    <col min="1" max="1" width="41.5703125" customWidth="1"/>
    <col min="2" max="2" width="11.42578125" customWidth="1"/>
    <col min="3" max="3" width="12" customWidth="1"/>
    <col min="4" max="4" width="12.140625" customWidth="1"/>
    <col min="5" max="5" width="12" customWidth="1"/>
    <col min="6" max="6" width="10.7109375" style="8" customWidth="1"/>
    <col min="7" max="7" width="12.140625" style="8" customWidth="1"/>
    <col min="8" max="8" width="14.7109375" style="13" customWidth="1"/>
    <col min="9" max="9" width="17.140625" style="13" customWidth="1"/>
  </cols>
  <sheetData>
    <row r="1" spans="1:9" x14ac:dyDescent="0.25">
      <c r="D1" s="12"/>
    </row>
    <row r="2" spans="1:9" ht="26.25" customHeight="1" x14ac:dyDescent="0.25">
      <c r="B2" s="176"/>
      <c r="C2" s="176"/>
      <c r="D2" s="176"/>
      <c r="E2" s="176"/>
      <c r="F2" s="176"/>
      <c r="G2" s="113"/>
    </row>
    <row r="3" spans="1:9" x14ac:dyDescent="0.25">
      <c r="B3" s="177"/>
      <c r="C3" s="177"/>
      <c r="D3" s="177"/>
      <c r="E3" s="177"/>
      <c r="F3" s="177"/>
      <c r="G3" s="177"/>
    </row>
    <row r="4" spans="1:9" x14ac:dyDescent="0.25">
      <c r="B4" s="177"/>
      <c r="C4" s="177"/>
      <c r="D4" s="177"/>
      <c r="E4" s="177"/>
      <c r="F4" s="177"/>
      <c r="G4" s="177"/>
    </row>
    <row r="5" spans="1:9" ht="18" x14ac:dyDescent="0.25">
      <c r="C5" s="49"/>
    </row>
    <row r="6" spans="1:9" ht="12.75" customHeight="1" thickBot="1" x14ac:dyDescent="0.3">
      <c r="C6" s="5"/>
      <c r="D6" s="114"/>
      <c r="E6" s="115"/>
      <c r="F6" s="104"/>
    </row>
    <row r="7" spans="1:9" ht="50.1" customHeight="1" thickBot="1" x14ac:dyDescent="0.3">
      <c r="A7" s="116"/>
      <c r="B7" s="178"/>
      <c r="C7" s="179"/>
      <c r="D7" s="180"/>
      <c r="E7" s="181"/>
      <c r="F7" s="182"/>
      <c r="G7" s="183"/>
      <c r="H7" s="117"/>
      <c r="I7" s="118"/>
    </row>
    <row r="8" spans="1:9" ht="39.75" customHeight="1" thickBot="1" x14ac:dyDescent="0.3">
      <c r="A8" s="119"/>
      <c r="B8" s="120"/>
      <c r="C8" s="120"/>
      <c r="D8" s="120"/>
      <c r="E8" s="120"/>
      <c r="F8" s="121"/>
      <c r="G8" s="122"/>
      <c r="H8" s="123"/>
      <c r="I8" s="124"/>
    </row>
    <row r="9" spans="1:9" ht="24.95" customHeight="1" x14ac:dyDescent="0.25">
      <c r="A9" s="125"/>
      <c r="B9" s="126"/>
      <c r="C9" s="127"/>
      <c r="D9" s="128"/>
      <c r="E9" s="127"/>
      <c r="F9" s="129"/>
      <c r="G9" s="130"/>
      <c r="H9" s="93"/>
      <c r="I9" s="131"/>
    </row>
    <row r="10" spans="1:9" ht="24.95" customHeight="1" x14ac:dyDescent="0.25">
      <c r="A10" s="132"/>
      <c r="B10" s="133"/>
      <c r="C10" s="134"/>
      <c r="D10" s="135"/>
      <c r="E10" s="135"/>
      <c r="F10" s="129"/>
      <c r="G10" s="130"/>
      <c r="H10" s="93"/>
      <c r="I10" s="131"/>
    </row>
    <row r="11" spans="1:9" ht="24.95" customHeight="1" x14ac:dyDescent="0.25">
      <c r="A11" s="136"/>
      <c r="B11" s="133"/>
      <c r="C11" s="134"/>
      <c r="D11" s="135"/>
      <c r="E11" s="135"/>
      <c r="F11" s="129"/>
      <c r="G11" s="130"/>
      <c r="H11" s="93"/>
      <c r="I11" s="131"/>
    </row>
    <row r="12" spans="1:9" s="67" customFormat="1" ht="24.95" customHeight="1" x14ac:dyDescent="0.25">
      <c r="A12" s="136"/>
      <c r="B12" s="133"/>
      <c r="C12" s="134"/>
      <c r="D12" s="135"/>
      <c r="E12" s="135"/>
      <c r="F12" s="129"/>
      <c r="G12" s="130"/>
      <c r="H12" s="92"/>
      <c r="I12" s="131"/>
    </row>
    <row r="13" spans="1:9" ht="24.95" customHeight="1" x14ac:dyDescent="0.25">
      <c r="A13" s="136"/>
      <c r="B13" s="133"/>
      <c r="C13" s="134"/>
      <c r="D13" s="135"/>
      <c r="E13" s="135"/>
      <c r="F13" s="129"/>
      <c r="G13" s="130"/>
      <c r="H13" s="93"/>
      <c r="I13" s="131"/>
    </row>
    <row r="14" spans="1:9" ht="24.95" customHeight="1" x14ac:dyDescent="0.25">
      <c r="A14" s="136"/>
      <c r="B14" s="133"/>
      <c r="C14" s="134"/>
      <c r="D14" s="135"/>
      <c r="E14" s="135"/>
      <c r="F14" s="129"/>
      <c r="G14" s="130"/>
      <c r="H14" s="93"/>
      <c r="I14" s="131"/>
    </row>
    <row r="15" spans="1:9" ht="24.95" customHeight="1" x14ac:dyDescent="0.25">
      <c r="A15" s="136"/>
      <c r="B15" s="133"/>
      <c r="C15" s="134"/>
      <c r="D15" s="135"/>
      <c r="E15" s="135"/>
      <c r="F15" s="129"/>
      <c r="G15" s="130"/>
      <c r="H15" s="93"/>
      <c r="I15" s="131"/>
    </row>
    <row r="16" spans="1:9" ht="24.95" customHeight="1" x14ac:dyDescent="0.25">
      <c r="A16" s="137"/>
      <c r="B16" s="133"/>
      <c r="C16" s="134"/>
      <c r="D16" s="135"/>
      <c r="E16" s="135"/>
      <c r="F16" s="129"/>
      <c r="G16" s="130"/>
      <c r="H16" s="93"/>
      <c r="I16" s="131"/>
    </row>
    <row r="17" spans="1:9" ht="24.95" customHeight="1" x14ac:dyDescent="0.25">
      <c r="A17" s="137"/>
      <c r="B17" s="133"/>
      <c r="C17" s="134"/>
      <c r="D17" s="135"/>
      <c r="E17" s="135"/>
      <c r="F17" s="129"/>
      <c r="G17" s="130"/>
      <c r="H17" s="93"/>
      <c r="I17" s="131"/>
    </row>
    <row r="18" spans="1:9" ht="24.95" customHeight="1" x14ac:dyDescent="0.25">
      <c r="A18" s="138"/>
      <c r="B18" s="133"/>
      <c r="C18" s="134"/>
      <c r="D18" s="135"/>
      <c r="E18" s="135"/>
      <c r="F18" s="129"/>
      <c r="G18" s="130"/>
      <c r="H18" s="93"/>
      <c r="I18" s="131"/>
    </row>
    <row r="19" spans="1:9" ht="24.95" customHeight="1" x14ac:dyDescent="0.25">
      <c r="A19" s="138"/>
      <c r="B19" s="133"/>
      <c r="C19" s="134"/>
      <c r="D19" s="135"/>
      <c r="E19" s="135"/>
      <c r="F19" s="129"/>
      <c r="G19" s="130"/>
      <c r="H19" s="93"/>
      <c r="I19" s="131"/>
    </row>
    <row r="20" spans="1:9" ht="24.95" customHeight="1" x14ac:dyDescent="0.25">
      <c r="A20" s="138"/>
      <c r="B20" s="133"/>
      <c r="C20" s="134"/>
      <c r="D20" s="135"/>
      <c r="E20" s="135"/>
      <c r="F20" s="129"/>
      <c r="G20" s="130"/>
      <c r="H20" s="93"/>
      <c r="I20" s="131"/>
    </row>
    <row r="21" spans="1:9" ht="24.95" customHeight="1" x14ac:dyDescent="0.25">
      <c r="A21" s="132"/>
      <c r="B21" s="133"/>
      <c r="C21" s="134"/>
      <c r="D21" s="135"/>
      <c r="E21" s="134"/>
      <c r="F21" s="129"/>
      <c r="G21" s="130"/>
      <c r="H21" s="93"/>
      <c r="I21" s="131"/>
    </row>
    <row r="22" spans="1:9" ht="24.95" customHeight="1" x14ac:dyDescent="0.25">
      <c r="A22" s="132"/>
      <c r="B22" s="133"/>
      <c r="C22" s="134"/>
      <c r="D22" s="135"/>
      <c r="E22" s="134"/>
      <c r="F22" s="129"/>
      <c r="G22" s="130"/>
      <c r="H22" s="93"/>
      <c r="I22" s="131"/>
    </row>
    <row r="23" spans="1:9" ht="24.95" customHeight="1" x14ac:dyDescent="0.25">
      <c r="A23" s="138"/>
      <c r="B23" s="133"/>
      <c r="C23" s="134"/>
      <c r="D23" s="135"/>
      <c r="E23" s="135"/>
      <c r="F23" s="129"/>
      <c r="G23" s="130"/>
      <c r="H23" s="93"/>
      <c r="I23" s="131"/>
    </row>
    <row r="24" spans="1:9" ht="24.95" customHeight="1" x14ac:dyDescent="0.25">
      <c r="A24" s="132"/>
      <c r="B24" s="133"/>
      <c r="C24" s="134"/>
      <c r="D24" s="135"/>
      <c r="E24" s="135"/>
      <c r="F24" s="129"/>
      <c r="G24" s="130"/>
      <c r="H24" s="93"/>
      <c r="I24" s="131"/>
    </row>
    <row r="25" spans="1:9" ht="24.95" customHeight="1" x14ac:dyDescent="0.25">
      <c r="A25" s="138"/>
      <c r="B25" s="133"/>
      <c r="C25" s="134"/>
      <c r="D25" s="139"/>
      <c r="E25" s="140"/>
      <c r="F25" s="129"/>
      <c r="G25" s="130"/>
      <c r="H25" s="93"/>
      <c r="I25" s="131"/>
    </row>
    <row r="26" spans="1:9" ht="24.95" customHeight="1" x14ac:dyDescent="0.25">
      <c r="A26" s="138"/>
      <c r="B26" s="133"/>
      <c r="C26" s="141"/>
      <c r="D26" s="135"/>
      <c r="E26" s="135"/>
      <c r="F26" s="129"/>
      <c r="G26" s="130"/>
      <c r="H26" s="93"/>
      <c r="I26" s="131"/>
    </row>
    <row r="27" spans="1:9" ht="24.95" customHeight="1" thickBot="1" x14ac:dyDescent="0.3">
      <c r="A27" s="142"/>
      <c r="B27" s="143"/>
      <c r="C27" s="144"/>
      <c r="D27" s="144"/>
      <c r="E27" s="145"/>
      <c r="F27" s="146"/>
      <c r="G27" s="147"/>
      <c r="H27" s="148"/>
      <c r="I27" s="149"/>
    </row>
    <row r="28" spans="1:9" ht="24.95" customHeight="1" x14ac:dyDescent="0.3">
      <c r="B28" s="5"/>
      <c r="C28" s="5"/>
      <c r="D28" s="150"/>
      <c r="E28" s="150"/>
      <c r="F28" s="104"/>
      <c r="G28" s="104"/>
    </row>
    <row r="29" spans="1:9" ht="24.95" customHeight="1" x14ac:dyDescent="0.25">
      <c r="F29" s="104"/>
      <c r="G29" s="104"/>
    </row>
    <row r="30" spans="1:9" ht="24.95" customHeight="1" x14ac:dyDescent="0.25">
      <c r="F30" s="104"/>
      <c r="G30" s="104"/>
    </row>
    <row r="31" spans="1:9" ht="24.95" customHeight="1" x14ac:dyDescent="0.25">
      <c r="F31" s="104"/>
      <c r="G31" s="104"/>
    </row>
    <row r="32" spans="1:9" ht="24.95" customHeight="1" x14ac:dyDescent="0.25"/>
    <row r="33" customFormat="1" x14ac:dyDescent="0.25"/>
    <row r="95" customFormat="1" ht="14.25" customHeight="1" x14ac:dyDescent="0.25"/>
    <row r="121" customFormat="1" ht="15" hidden="1" customHeight="1" x14ac:dyDescent="0.25"/>
    <row r="123" customFormat="1" ht="15" hidden="1" customHeight="1" x14ac:dyDescent="0.25"/>
  </sheetData>
  <mergeCells count="5">
    <mergeCell ref="B2:F2"/>
    <mergeCell ref="B3:G4"/>
    <mergeCell ref="B7:C7"/>
    <mergeCell ref="D7:E7"/>
    <mergeCell ref="F7:G7"/>
  </mergeCells>
  <pageMargins left="0.3" right="0.28000000000000003" top="0.3" bottom="0.34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E269"/>
  <sheetViews>
    <sheetView workbookViewId="0">
      <selection activeCell="C5" sqref="C5"/>
    </sheetView>
  </sheetViews>
  <sheetFormatPr baseColWidth="10" defaultRowHeight="15" x14ac:dyDescent="0.25"/>
  <cols>
    <col min="1" max="1" width="28.140625" customWidth="1"/>
    <col min="2" max="2" width="11.85546875" customWidth="1"/>
    <col min="4" max="4" width="12.42578125" style="13" customWidth="1"/>
    <col min="5" max="5" width="17.42578125" style="13" customWidth="1"/>
    <col min="257" max="257" width="25.140625" customWidth="1"/>
    <col min="258" max="258" width="11.85546875" customWidth="1"/>
    <col min="260" max="260" width="12.42578125" customWidth="1"/>
    <col min="261" max="261" width="17.42578125" customWidth="1"/>
    <col min="513" max="513" width="25.140625" customWidth="1"/>
    <col min="514" max="514" width="11.85546875" customWidth="1"/>
    <col min="516" max="516" width="12.42578125" customWidth="1"/>
    <col min="517" max="517" width="17.42578125" customWidth="1"/>
    <col min="769" max="769" width="25.140625" customWidth="1"/>
    <col min="770" max="770" width="11.85546875" customWidth="1"/>
    <col min="772" max="772" width="12.42578125" customWidth="1"/>
    <col min="773" max="773" width="17.42578125" customWidth="1"/>
    <col min="1025" max="1025" width="25.140625" customWidth="1"/>
    <col min="1026" max="1026" width="11.85546875" customWidth="1"/>
    <col min="1028" max="1028" width="12.42578125" customWidth="1"/>
    <col min="1029" max="1029" width="17.42578125" customWidth="1"/>
    <col min="1281" max="1281" width="25.140625" customWidth="1"/>
    <col min="1282" max="1282" width="11.85546875" customWidth="1"/>
    <col min="1284" max="1284" width="12.42578125" customWidth="1"/>
    <col min="1285" max="1285" width="17.42578125" customWidth="1"/>
    <col min="1537" max="1537" width="25.140625" customWidth="1"/>
    <col min="1538" max="1538" width="11.85546875" customWidth="1"/>
    <col min="1540" max="1540" width="12.42578125" customWidth="1"/>
    <col min="1541" max="1541" width="17.42578125" customWidth="1"/>
    <col min="1793" max="1793" width="25.140625" customWidth="1"/>
    <col min="1794" max="1794" width="11.85546875" customWidth="1"/>
    <col min="1796" max="1796" width="12.42578125" customWidth="1"/>
    <col min="1797" max="1797" width="17.42578125" customWidth="1"/>
    <col min="2049" max="2049" width="25.140625" customWidth="1"/>
    <col min="2050" max="2050" width="11.85546875" customWidth="1"/>
    <col min="2052" max="2052" width="12.42578125" customWidth="1"/>
    <col min="2053" max="2053" width="17.42578125" customWidth="1"/>
    <col min="2305" max="2305" width="25.140625" customWidth="1"/>
    <col min="2306" max="2306" width="11.85546875" customWidth="1"/>
    <col min="2308" max="2308" width="12.42578125" customWidth="1"/>
    <col min="2309" max="2309" width="17.42578125" customWidth="1"/>
    <col min="2561" max="2561" width="25.140625" customWidth="1"/>
    <col min="2562" max="2562" width="11.85546875" customWidth="1"/>
    <col min="2564" max="2564" width="12.42578125" customWidth="1"/>
    <col min="2565" max="2565" width="17.42578125" customWidth="1"/>
    <col min="2817" max="2817" width="25.140625" customWidth="1"/>
    <col min="2818" max="2818" width="11.85546875" customWidth="1"/>
    <col min="2820" max="2820" width="12.42578125" customWidth="1"/>
    <col min="2821" max="2821" width="17.42578125" customWidth="1"/>
    <col min="3073" max="3073" width="25.140625" customWidth="1"/>
    <col min="3074" max="3074" width="11.85546875" customWidth="1"/>
    <col min="3076" max="3076" width="12.42578125" customWidth="1"/>
    <col min="3077" max="3077" width="17.42578125" customWidth="1"/>
    <col min="3329" max="3329" width="25.140625" customWidth="1"/>
    <col min="3330" max="3330" width="11.85546875" customWidth="1"/>
    <col min="3332" max="3332" width="12.42578125" customWidth="1"/>
    <col min="3333" max="3333" width="17.42578125" customWidth="1"/>
    <col min="3585" max="3585" width="25.140625" customWidth="1"/>
    <col min="3586" max="3586" width="11.85546875" customWidth="1"/>
    <col min="3588" max="3588" width="12.42578125" customWidth="1"/>
    <col min="3589" max="3589" width="17.42578125" customWidth="1"/>
    <col min="3841" max="3841" width="25.140625" customWidth="1"/>
    <col min="3842" max="3842" width="11.85546875" customWidth="1"/>
    <col min="3844" max="3844" width="12.42578125" customWidth="1"/>
    <col min="3845" max="3845" width="17.42578125" customWidth="1"/>
    <col min="4097" max="4097" width="25.140625" customWidth="1"/>
    <col min="4098" max="4098" width="11.85546875" customWidth="1"/>
    <col min="4100" max="4100" width="12.42578125" customWidth="1"/>
    <col min="4101" max="4101" width="17.42578125" customWidth="1"/>
    <col min="4353" max="4353" width="25.140625" customWidth="1"/>
    <col min="4354" max="4354" width="11.85546875" customWidth="1"/>
    <col min="4356" max="4356" width="12.42578125" customWidth="1"/>
    <col min="4357" max="4357" width="17.42578125" customWidth="1"/>
    <col min="4609" max="4609" width="25.140625" customWidth="1"/>
    <col min="4610" max="4610" width="11.85546875" customWidth="1"/>
    <col min="4612" max="4612" width="12.42578125" customWidth="1"/>
    <col min="4613" max="4613" width="17.42578125" customWidth="1"/>
    <col min="4865" max="4865" width="25.140625" customWidth="1"/>
    <col min="4866" max="4866" width="11.85546875" customWidth="1"/>
    <col min="4868" max="4868" width="12.42578125" customWidth="1"/>
    <col min="4869" max="4869" width="17.42578125" customWidth="1"/>
    <col min="5121" max="5121" width="25.140625" customWidth="1"/>
    <col min="5122" max="5122" width="11.85546875" customWidth="1"/>
    <col min="5124" max="5124" width="12.42578125" customWidth="1"/>
    <col min="5125" max="5125" width="17.42578125" customWidth="1"/>
    <col min="5377" max="5377" width="25.140625" customWidth="1"/>
    <col min="5378" max="5378" width="11.85546875" customWidth="1"/>
    <col min="5380" max="5380" width="12.42578125" customWidth="1"/>
    <col min="5381" max="5381" width="17.42578125" customWidth="1"/>
    <col min="5633" max="5633" width="25.140625" customWidth="1"/>
    <col min="5634" max="5634" width="11.85546875" customWidth="1"/>
    <col min="5636" max="5636" width="12.42578125" customWidth="1"/>
    <col min="5637" max="5637" width="17.42578125" customWidth="1"/>
    <col min="5889" max="5889" width="25.140625" customWidth="1"/>
    <col min="5890" max="5890" width="11.85546875" customWidth="1"/>
    <col min="5892" max="5892" width="12.42578125" customWidth="1"/>
    <col min="5893" max="5893" width="17.42578125" customWidth="1"/>
    <col min="6145" max="6145" width="25.140625" customWidth="1"/>
    <col min="6146" max="6146" width="11.85546875" customWidth="1"/>
    <col min="6148" max="6148" width="12.42578125" customWidth="1"/>
    <col min="6149" max="6149" width="17.42578125" customWidth="1"/>
    <col min="6401" max="6401" width="25.140625" customWidth="1"/>
    <col min="6402" max="6402" width="11.85546875" customWidth="1"/>
    <col min="6404" max="6404" width="12.42578125" customWidth="1"/>
    <col min="6405" max="6405" width="17.42578125" customWidth="1"/>
    <col min="6657" max="6657" width="25.140625" customWidth="1"/>
    <col min="6658" max="6658" width="11.85546875" customWidth="1"/>
    <col min="6660" max="6660" width="12.42578125" customWidth="1"/>
    <col min="6661" max="6661" width="17.42578125" customWidth="1"/>
    <col min="6913" max="6913" width="25.140625" customWidth="1"/>
    <col min="6914" max="6914" width="11.85546875" customWidth="1"/>
    <col min="6916" max="6916" width="12.42578125" customWidth="1"/>
    <col min="6917" max="6917" width="17.42578125" customWidth="1"/>
    <col min="7169" max="7169" width="25.140625" customWidth="1"/>
    <col min="7170" max="7170" width="11.85546875" customWidth="1"/>
    <col min="7172" max="7172" width="12.42578125" customWidth="1"/>
    <col min="7173" max="7173" width="17.42578125" customWidth="1"/>
    <col min="7425" max="7425" width="25.140625" customWidth="1"/>
    <col min="7426" max="7426" width="11.85546875" customWidth="1"/>
    <col min="7428" max="7428" width="12.42578125" customWidth="1"/>
    <col min="7429" max="7429" width="17.42578125" customWidth="1"/>
    <col min="7681" max="7681" width="25.140625" customWidth="1"/>
    <col min="7682" max="7682" width="11.85546875" customWidth="1"/>
    <col min="7684" max="7684" width="12.42578125" customWidth="1"/>
    <col min="7685" max="7685" width="17.42578125" customWidth="1"/>
    <col min="7937" max="7937" width="25.140625" customWidth="1"/>
    <col min="7938" max="7938" width="11.85546875" customWidth="1"/>
    <col min="7940" max="7940" width="12.42578125" customWidth="1"/>
    <col min="7941" max="7941" width="17.42578125" customWidth="1"/>
    <col min="8193" max="8193" width="25.140625" customWidth="1"/>
    <col min="8194" max="8194" width="11.85546875" customWidth="1"/>
    <col min="8196" max="8196" width="12.42578125" customWidth="1"/>
    <col min="8197" max="8197" width="17.42578125" customWidth="1"/>
    <col min="8449" max="8449" width="25.140625" customWidth="1"/>
    <col min="8450" max="8450" width="11.85546875" customWidth="1"/>
    <col min="8452" max="8452" width="12.42578125" customWidth="1"/>
    <col min="8453" max="8453" width="17.42578125" customWidth="1"/>
    <col min="8705" max="8705" width="25.140625" customWidth="1"/>
    <col min="8706" max="8706" width="11.85546875" customWidth="1"/>
    <col min="8708" max="8708" width="12.42578125" customWidth="1"/>
    <col min="8709" max="8709" width="17.42578125" customWidth="1"/>
    <col min="8961" max="8961" width="25.140625" customWidth="1"/>
    <col min="8962" max="8962" width="11.85546875" customWidth="1"/>
    <col min="8964" max="8964" width="12.42578125" customWidth="1"/>
    <col min="8965" max="8965" width="17.42578125" customWidth="1"/>
    <col min="9217" max="9217" width="25.140625" customWidth="1"/>
    <col min="9218" max="9218" width="11.85546875" customWidth="1"/>
    <col min="9220" max="9220" width="12.42578125" customWidth="1"/>
    <col min="9221" max="9221" width="17.42578125" customWidth="1"/>
    <col min="9473" max="9473" width="25.140625" customWidth="1"/>
    <col min="9474" max="9474" width="11.85546875" customWidth="1"/>
    <col min="9476" max="9476" width="12.42578125" customWidth="1"/>
    <col min="9477" max="9477" width="17.42578125" customWidth="1"/>
    <col min="9729" max="9729" width="25.140625" customWidth="1"/>
    <col min="9730" max="9730" width="11.85546875" customWidth="1"/>
    <col min="9732" max="9732" width="12.42578125" customWidth="1"/>
    <col min="9733" max="9733" width="17.42578125" customWidth="1"/>
    <col min="9985" max="9985" width="25.140625" customWidth="1"/>
    <col min="9986" max="9986" width="11.85546875" customWidth="1"/>
    <col min="9988" max="9988" width="12.42578125" customWidth="1"/>
    <col min="9989" max="9989" width="17.42578125" customWidth="1"/>
    <col min="10241" max="10241" width="25.140625" customWidth="1"/>
    <col min="10242" max="10242" width="11.85546875" customWidth="1"/>
    <col min="10244" max="10244" width="12.42578125" customWidth="1"/>
    <col min="10245" max="10245" width="17.42578125" customWidth="1"/>
    <col min="10497" max="10497" width="25.140625" customWidth="1"/>
    <col min="10498" max="10498" width="11.85546875" customWidth="1"/>
    <col min="10500" max="10500" width="12.42578125" customWidth="1"/>
    <col min="10501" max="10501" width="17.42578125" customWidth="1"/>
    <col min="10753" max="10753" width="25.140625" customWidth="1"/>
    <col min="10754" max="10754" width="11.85546875" customWidth="1"/>
    <col min="10756" max="10756" width="12.42578125" customWidth="1"/>
    <col min="10757" max="10757" width="17.42578125" customWidth="1"/>
    <col min="11009" max="11009" width="25.140625" customWidth="1"/>
    <col min="11010" max="11010" width="11.85546875" customWidth="1"/>
    <col min="11012" max="11012" width="12.42578125" customWidth="1"/>
    <col min="11013" max="11013" width="17.42578125" customWidth="1"/>
    <col min="11265" max="11265" width="25.140625" customWidth="1"/>
    <col min="11266" max="11266" width="11.85546875" customWidth="1"/>
    <col min="11268" max="11268" width="12.42578125" customWidth="1"/>
    <col min="11269" max="11269" width="17.42578125" customWidth="1"/>
    <col min="11521" max="11521" width="25.140625" customWidth="1"/>
    <col min="11522" max="11522" width="11.85546875" customWidth="1"/>
    <col min="11524" max="11524" width="12.42578125" customWidth="1"/>
    <col min="11525" max="11525" width="17.42578125" customWidth="1"/>
    <col min="11777" max="11777" width="25.140625" customWidth="1"/>
    <col min="11778" max="11778" width="11.85546875" customWidth="1"/>
    <col min="11780" max="11780" width="12.42578125" customWidth="1"/>
    <col min="11781" max="11781" width="17.42578125" customWidth="1"/>
    <col min="12033" max="12033" width="25.140625" customWidth="1"/>
    <col min="12034" max="12034" width="11.85546875" customWidth="1"/>
    <col min="12036" max="12036" width="12.42578125" customWidth="1"/>
    <col min="12037" max="12037" width="17.42578125" customWidth="1"/>
    <col min="12289" max="12289" width="25.140625" customWidth="1"/>
    <col min="12290" max="12290" width="11.85546875" customWidth="1"/>
    <col min="12292" max="12292" width="12.42578125" customWidth="1"/>
    <col min="12293" max="12293" width="17.42578125" customWidth="1"/>
    <col min="12545" max="12545" width="25.140625" customWidth="1"/>
    <col min="12546" max="12546" width="11.85546875" customWidth="1"/>
    <col min="12548" max="12548" width="12.42578125" customWidth="1"/>
    <col min="12549" max="12549" width="17.42578125" customWidth="1"/>
    <col min="12801" max="12801" width="25.140625" customWidth="1"/>
    <col min="12802" max="12802" width="11.85546875" customWidth="1"/>
    <col min="12804" max="12804" width="12.42578125" customWidth="1"/>
    <col min="12805" max="12805" width="17.42578125" customWidth="1"/>
    <col min="13057" max="13057" width="25.140625" customWidth="1"/>
    <col min="13058" max="13058" width="11.85546875" customWidth="1"/>
    <col min="13060" max="13060" width="12.42578125" customWidth="1"/>
    <col min="13061" max="13061" width="17.42578125" customWidth="1"/>
    <col min="13313" max="13313" width="25.140625" customWidth="1"/>
    <col min="13314" max="13314" width="11.85546875" customWidth="1"/>
    <col min="13316" max="13316" width="12.42578125" customWidth="1"/>
    <col min="13317" max="13317" width="17.42578125" customWidth="1"/>
    <col min="13569" max="13569" width="25.140625" customWidth="1"/>
    <col min="13570" max="13570" width="11.85546875" customWidth="1"/>
    <col min="13572" max="13572" width="12.42578125" customWidth="1"/>
    <col min="13573" max="13573" width="17.42578125" customWidth="1"/>
    <col min="13825" max="13825" width="25.140625" customWidth="1"/>
    <col min="13826" max="13826" width="11.85546875" customWidth="1"/>
    <col min="13828" max="13828" width="12.42578125" customWidth="1"/>
    <col min="13829" max="13829" width="17.42578125" customWidth="1"/>
    <col min="14081" max="14081" width="25.140625" customWidth="1"/>
    <col min="14082" max="14082" width="11.85546875" customWidth="1"/>
    <col min="14084" max="14084" width="12.42578125" customWidth="1"/>
    <col min="14085" max="14085" width="17.42578125" customWidth="1"/>
    <col min="14337" max="14337" width="25.140625" customWidth="1"/>
    <col min="14338" max="14338" width="11.85546875" customWidth="1"/>
    <col min="14340" max="14340" width="12.42578125" customWidth="1"/>
    <col min="14341" max="14341" width="17.42578125" customWidth="1"/>
    <col min="14593" max="14593" width="25.140625" customWidth="1"/>
    <col min="14594" max="14594" width="11.85546875" customWidth="1"/>
    <col min="14596" max="14596" width="12.42578125" customWidth="1"/>
    <col min="14597" max="14597" width="17.42578125" customWidth="1"/>
    <col min="14849" max="14849" width="25.140625" customWidth="1"/>
    <col min="14850" max="14850" width="11.85546875" customWidth="1"/>
    <col min="14852" max="14852" width="12.42578125" customWidth="1"/>
    <col min="14853" max="14853" width="17.42578125" customWidth="1"/>
    <col min="15105" max="15105" width="25.140625" customWidth="1"/>
    <col min="15106" max="15106" width="11.85546875" customWidth="1"/>
    <col min="15108" max="15108" width="12.42578125" customWidth="1"/>
    <col min="15109" max="15109" width="17.42578125" customWidth="1"/>
    <col min="15361" max="15361" width="25.140625" customWidth="1"/>
    <col min="15362" max="15362" width="11.85546875" customWidth="1"/>
    <col min="15364" max="15364" width="12.42578125" customWidth="1"/>
    <col min="15365" max="15365" width="17.42578125" customWidth="1"/>
    <col min="15617" max="15617" width="25.140625" customWidth="1"/>
    <col min="15618" max="15618" width="11.85546875" customWidth="1"/>
    <col min="15620" max="15620" width="12.42578125" customWidth="1"/>
    <col min="15621" max="15621" width="17.42578125" customWidth="1"/>
    <col min="15873" max="15873" width="25.140625" customWidth="1"/>
    <col min="15874" max="15874" width="11.85546875" customWidth="1"/>
    <col min="15876" max="15876" width="12.42578125" customWidth="1"/>
    <col min="15877" max="15877" width="17.42578125" customWidth="1"/>
    <col min="16129" max="16129" width="25.140625" customWidth="1"/>
    <col min="16130" max="16130" width="11.85546875" customWidth="1"/>
    <col min="16132" max="16132" width="12.42578125" customWidth="1"/>
    <col min="16133" max="16133" width="17.42578125" customWidth="1"/>
  </cols>
  <sheetData>
    <row r="2" spans="1:5" x14ac:dyDescent="0.25">
      <c r="B2" s="1"/>
    </row>
    <row r="4" spans="1:5" x14ac:dyDescent="0.25">
      <c r="E4" s="14"/>
    </row>
    <row r="5" spans="1:5" x14ac:dyDescent="0.25">
      <c r="B5" s="12"/>
    </row>
    <row r="6" spans="1:5" x14ac:dyDescent="0.25">
      <c r="A6" s="1"/>
      <c r="B6" s="12"/>
      <c r="E6" s="15"/>
    </row>
    <row r="7" spans="1:5" ht="15.75" thickBot="1" x14ac:dyDescent="0.3">
      <c r="A7" s="1"/>
      <c r="B7" s="12"/>
      <c r="E7" s="16"/>
    </row>
    <row r="8" spans="1:5" ht="15.75" thickTop="1" x14ac:dyDescent="0.25">
      <c r="A8" s="17"/>
      <c r="B8" s="18"/>
      <c r="C8" s="19"/>
      <c r="D8" s="20"/>
      <c r="E8" s="21"/>
    </row>
    <row r="9" spans="1:5" x14ac:dyDescent="0.25">
      <c r="A9" s="22"/>
      <c r="B9" s="23"/>
      <c r="C9" s="24"/>
      <c r="D9" s="25"/>
      <c r="E9" s="26"/>
    </row>
    <row r="10" spans="1:5" x14ac:dyDescent="0.25">
      <c r="A10" s="27"/>
      <c r="B10" s="28"/>
      <c r="C10" s="29"/>
      <c r="D10" s="30"/>
      <c r="E10" s="31"/>
    </row>
    <row r="11" spans="1:5" x14ac:dyDescent="0.25">
      <c r="A11" s="27"/>
      <c r="B11" s="28"/>
      <c r="C11" s="29"/>
      <c r="D11" s="30"/>
      <c r="E11" s="31"/>
    </row>
    <row r="12" spans="1:5" hidden="1" x14ac:dyDescent="0.25">
      <c r="A12" s="27"/>
      <c r="B12" s="28"/>
      <c r="C12" s="29"/>
      <c r="D12" s="30"/>
      <c r="E12" s="31"/>
    </row>
    <row r="13" spans="1:5" x14ac:dyDescent="0.25">
      <c r="A13" s="27"/>
      <c r="B13" s="28"/>
      <c r="C13" s="29"/>
      <c r="D13" s="30"/>
      <c r="E13" s="31"/>
    </row>
    <row r="14" spans="1:5" x14ac:dyDescent="0.25">
      <c r="A14" s="27"/>
      <c r="B14" s="28"/>
      <c r="C14" s="29"/>
      <c r="D14" s="25"/>
      <c r="E14" s="32"/>
    </row>
    <row r="15" spans="1:5" x14ac:dyDescent="0.25">
      <c r="A15" s="22"/>
      <c r="B15" s="33"/>
      <c r="C15" s="34"/>
      <c r="D15" s="30"/>
      <c r="E15" s="35"/>
    </row>
    <row r="16" spans="1:5" x14ac:dyDescent="0.25">
      <c r="A16" s="22"/>
      <c r="B16" s="23"/>
      <c r="C16" s="36"/>
      <c r="D16" s="30"/>
      <c r="E16" s="35"/>
    </row>
    <row r="17" spans="1:5" x14ac:dyDescent="0.25">
      <c r="A17" s="27"/>
      <c r="B17" s="9"/>
      <c r="C17" s="5"/>
      <c r="D17" s="6"/>
      <c r="E17" s="39"/>
    </row>
    <row r="18" spans="1:5" x14ac:dyDescent="0.25">
      <c r="A18" s="27"/>
      <c r="B18" s="9"/>
      <c r="C18" s="9"/>
      <c r="D18" s="6"/>
      <c r="E18" s="31"/>
    </row>
    <row r="19" spans="1:5" x14ac:dyDescent="0.25">
      <c r="A19" s="40"/>
      <c r="B19" s="5"/>
      <c r="C19" s="5"/>
      <c r="D19" s="6"/>
      <c r="E19" s="31"/>
    </row>
    <row r="20" spans="1:5" x14ac:dyDescent="0.25">
      <c r="A20" s="27"/>
      <c r="B20" s="9"/>
      <c r="C20" s="5"/>
      <c r="D20" s="6"/>
      <c r="E20" s="31"/>
    </row>
    <row r="21" spans="1:5" x14ac:dyDescent="0.25">
      <c r="A21" s="27"/>
      <c r="B21" s="9"/>
      <c r="C21" s="5"/>
      <c r="D21" s="6"/>
      <c r="E21" s="31"/>
    </row>
    <row r="22" spans="1:5" x14ac:dyDescent="0.25">
      <c r="A22" s="27"/>
      <c r="B22" s="9"/>
      <c r="C22" s="5"/>
      <c r="D22" s="6"/>
      <c r="E22" s="31"/>
    </row>
    <row r="23" spans="1:5" x14ac:dyDescent="0.25">
      <c r="A23" s="27"/>
      <c r="B23" s="9"/>
      <c r="C23" s="5"/>
      <c r="D23" s="6"/>
      <c r="E23" s="31"/>
    </row>
    <row r="24" spans="1:5" hidden="1" x14ac:dyDescent="0.25">
      <c r="A24" s="27"/>
      <c r="B24" s="9"/>
      <c r="C24" s="9"/>
      <c r="D24" s="6"/>
      <c r="E24" s="31"/>
    </row>
    <row r="25" spans="1:5" hidden="1" x14ac:dyDescent="0.25">
      <c r="A25" s="27"/>
      <c r="B25" s="9"/>
      <c r="C25" s="5"/>
      <c r="D25" s="6"/>
      <c r="E25" s="31"/>
    </row>
    <row r="26" spans="1:5" hidden="1" x14ac:dyDescent="0.25">
      <c r="A26" s="27"/>
      <c r="B26" s="9"/>
      <c r="C26" s="5"/>
      <c r="D26" s="6"/>
      <c r="E26" s="31"/>
    </row>
    <row r="27" spans="1:5" x14ac:dyDescent="0.25">
      <c r="A27" s="27"/>
      <c r="B27" s="5"/>
      <c r="C27" s="5"/>
      <c r="D27" s="6"/>
      <c r="E27" s="31"/>
    </row>
    <row r="28" spans="1:5" x14ac:dyDescent="0.25">
      <c r="A28" s="27"/>
      <c r="B28" s="5"/>
      <c r="C28" s="5"/>
      <c r="D28" s="6"/>
      <c r="E28" s="31"/>
    </row>
    <row r="29" spans="1:5" x14ac:dyDescent="0.25">
      <c r="A29" s="27"/>
      <c r="B29" s="5"/>
      <c r="C29" s="5"/>
      <c r="D29" s="6"/>
      <c r="E29" s="31"/>
    </row>
    <row r="30" spans="1:5" x14ac:dyDescent="0.25">
      <c r="A30" s="27"/>
      <c r="B30" s="9"/>
      <c r="C30" s="9"/>
      <c r="D30" s="6"/>
      <c r="E30" s="31"/>
    </row>
    <row r="31" spans="1:5" x14ac:dyDescent="0.25">
      <c r="A31" s="27"/>
      <c r="B31" s="9"/>
      <c r="C31" s="9"/>
      <c r="D31" s="6"/>
      <c r="E31" s="31"/>
    </row>
    <row r="32" spans="1:5" x14ac:dyDescent="0.25">
      <c r="A32" s="27"/>
      <c r="B32" s="9"/>
      <c r="C32" s="9"/>
      <c r="D32" s="6"/>
      <c r="E32" s="31"/>
    </row>
    <row r="33" spans="1:5" x14ac:dyDescent="0.25">
      <c r="A33" s="27"/>
      <c r="B33" s="9"/>
      <c r="C33" s="9"/>
      <c r="D33" s="6"/>
      <c r="E33" s="31"/>
    </row>
    <row r="34" spans="1:5" hidden="1" x14ac:dyDescent="0.25">
      <c r="A34" s="27"/>
      <c r="B34" s="9"/>
      <c r="C34" s="5"/>
      <c r="D34" s="6"/>
      <c r="E34" s="31"/>
    </row>
    <row r="35" spans="1:5" x14ac:dyDescent="0.25">
      <c r="A35" s="27"/>
      <c r="B35" s="9"/>
      <c r="C35" s="5"/>
      <c r="D35" s="6"/>
      <c r="E35" s="31"/>
    </row>
    <row r="36" spans="1:5" x14ac:dyDescent="0.25">
      <c r="A36" s="27"/>
      <c r="B36" s="9"/>
      <c r="C36" s="5"/>
      <c r="D36" s="6"/>
      <c r="E36" s="31"/>
    </row>
    <row r="37" spans="1:5" x14ac:dyDescent="0.25">
      <c r="A37" s="27"/>
      <c r="B37" s="9"/>
      <c r="C37" s="9"/>
      <c r="D37" s="6"/>
      <c r="E37" s="31"/>
    </row>
    <row r="38" spans="1:5" x14ac:dyDescent="0.25">
      <c r="A38" s="27"/>
      <c r="B38" s="9"/>
      <c r="C38" s="5"/>
      <c r="D38" s="6"/>
      <c r="E38" s="31"/>
    </row>
    <row r="39" spans="1:5" x14ac:dyDescent="0.25">
      <c r="A39" s="27"/>
      <c r="B39" s="9"/>
      <c r="C39" s="5"/>
      <c r="D39" s="6"/>
      <c r="E39" s="31"/>
    </row>
    <row r="40" spans="1:5" hidden="1" x14ac:dyDescent="0.25">
      <c r="A40" s="27"/>
      <c r="B40" s="9"/>
      <c r="C40" s="5"/>
      <c r="D40" s="6"/>
      <c r="E40" s="31"/>
    </row>
    <row r="41" spans="1:5" hidden="1" x14ac:dyDescent="0.25">
      <c r="A41" s="27"/>
      <c r="B41" s="28"/>
      <c r="C41" s="37"/>
      <c r="D41" s="38"/>
      <c r="E41" s="31"/>
    </row>
    <row r="42" spans="1:5" x14ac:dyDescent="0.25">
      <c r="A42" s="27"/>
      <c r="B42" s="9"/>
      <c r="C42" s="5"/>
      <c r="D42" s="6"/>
      <c r="E42" s="31"/>
    </row>
    <row r="43" spans="1:5" x14ac:dyDescent="0.25">
      <c r="A43" s="27"/>
      <c r="B43" s="9"/>
      <c r="C43" s="9"/>
      <c r="D43" s="6"/>
      <c r="E43" s="31"/>
    </row>
    <row r="44" spans="1:5" x14ac:dyDescent="0.25">
      <c r="A44" s="27"/>
      <c r="B44" s="28"/>
      <c r="C44" s="37"/>
      <c r="D44" s="38"/>
      <c r="E44" s="31"/>
    </row>
    <row r="45" spans="1:5" x14ac:dyDescent="0.25">
      <c r="A45" s="27"/>
      <c r="B45" s="28"/>
      <c r="C45" s="37"/>
      <c r="D45" s="38"/>
      <c r="E45" s="31"/>
    </row>
    <row r="46" spans="1:5" x14ac:dyDescent="0.25">
      <c r="A46" s="27"/>
      <c r="B46" s="28"/>
      <c r="C46" s="37"/>
      <c r="D46" s="38"/>
      <c r="E46" s="31"/>
    </row>
    <row r="47" spans="1:5" x14ac:dyDescent="0.25">
      <c r="A47" s="27"/>
      <c r="B47" s="86"/>
      <c r="C47" s="5"/>
      <c r="D47" s="6"/>
      <c r="E47" s="31"/>
    </row>
    <row r="48" spans="1:5" x14ac:dyDescent="0.25">
      <c r="A48" s="27"/>
      <c r="B48" s="86"/>
      <c r="C48" s="5"/>
      <c r="D48" s="6"/>
      <c r="E48" s="31"/>
    </row>
    <row r="49" spans="1:5" x14ac:dyDescent="0.25">
      <c r="A49" s="27"/>
      <c r="B49" s="86"/>
      <c r="C49" s="9"/>
      <c r="D49" s="6"/>
      <c r="E49" s="31"/>
    </row>
    <row r="50" spans="1:5" x14ac:dyDescent="0.25">
      <c r="A50" s="27"/>
      <c r="B50" s="86"/>
      <c r="C50" s="9"/>
      <c r="D50" s="6"/>
      <c r="E50" s="31"/>
    </row>
    <row r="51" spans="1:5" x14ac:dyDescent="0.25">
      <c r="A51" s="27"/>
      <c r="B51" s="86"/>
      <c r="C51" s="9"/>
      <c r="D51" s="6"/>
      <c r="E51" s="31"/>
    </row>
    <row r="52" spans="1:5" hidden="1" x14ac:dyDescent="0.25">
      <c r="A52" s="27"/>
      <c r="B52" s="9"/>
      <c r="C52" s="5"/>
      <c r="D52" s="6"/>
      <c r="E52" s="31"/>
    </row>
    <row r="53" spans="1:5" hidden="1" x14ac:dyDescent="0.25">
      <c r="A53" s="27"/>
      <c r="B53" s="9"/>
      <c r="C53" s="9"/>
      <c r="D53" s="6"/>
      <c r="E53" s="31"/>
    </row>
    <row r="54" spans="1:5" x14ac:dyDescent="0.25">
      <c r="A54" s="27"/>
      <c r="B54" s="86"/>
      <c r="C54" s="9"/>
      <c r="D54" s="6"/>
      <c r="E54" s="31"/>
    </row>
    <row r="55" spans="1:5" hidden="1" x14ac:dyDescent="0.25">
      <c r="A55" s="27"/>
      <c r="B55" s="9"/>
      <c r="C55" s="5"/>
      <c r="D55" s="6"/>
      <c r="E55" s="31"/>
    </row>
    <row r="56" spans="1:5" hidden="1" x14ac:dyDescent="0.25">
      <c r="A56" s="27"/>
      <c r="B56" s="9"/>
      <c r="C56" s="9"/>
      <c r="D56" s="6"/>
      <c r="E56" s="31"/>
    </row>
    <row r="57" spans="1:5" hidden="1" x14ac:dyDescent="0.25">
      <c r="A57" s="27"/>
      <c r="B57" s="9"/>
      <c r="C57" s="5"/>
      <c r="D57" s="6"/>
      <c r="E57" s="31"/>
    </row>
    <row r="58" spans="1:5" hidden="1" x14ac:dyDescent="0.25">
      <c r="A58" s="27"/>
      <c r="B58" s="9"/>
      <c r="C58" s="9"/>
      <c r="D58" s="6"/>
      <c r="E58" s="31"/>
    </row>
    <row r="59" spans="1:5" x14ac:dyDescent="0.25">
      <c r="A59" s="27"/>
      <c r="B59" s="9"/>
      <c r="C59" s="9"/>
      <c r="D59" s="6"/>
      <c r="E59" s="31"/>
    </row>
    <row r="60" spans="1:5" hidden="1" x14ac:dyDescent="0.25">
      <c r="A60" s="27"/>
      <c r="B60" s="9"/>
      <c r="C60" s="5"/>
      <c r="D60" s="6"/>
      <c r="E60" s="31"/>
    </row>
    <row r="61" spans="1:5" x14ac:dyDescent="0.25">
      <c r="A61" s="27"/>
      <c r="B61" s="9"/>
      <c r="C61" s="5"/>
      <c r="D61" s="6"/>
      <c r="E61" s="31"/>
    </row>
    <row r="62" spans="1:5" x14ac:dyDescent="0.25">
      <c r="A62" s="27"/>
      <c r="B62" s="9"/>
      <c r="C62" s="5"/>
      <c r="D62" s="6"/>
      <c r="E62" s="31"/>
    </row>
    <row r="63" spans="1:5" x14ac:dyDescent="0.25">
      <c r="A63" s="40"/>
      <c r="B63" s="5"/>
      <c r="C63" s="5"/>
      <c r="D63" s="41"/>
      <c r="E63" s="32"/>
    </row>
    <row r="64" spans="1:5" x14ac:dyDescent="0.25">
      <c r="A64" s="40"/>
      <c r="B64" s="5"/>
      <c r="C64" s="5"/>
      <c r="D64" s="6"/>
      <c r="E64" s="31"/>
    </row>
    <row r="65" spans="1:5" x14ac:dyDescent="0.25">
      <c r="A65" s="40"/>
      <c r="B65" s="5"/>
      <c r="C65" s="5"/>
      <c r="D65" s="42"/>
      <c r="E65" s="32"/>
    </row>
    <row r="66" spans="1:5" ht="15.75" thickBot="1" x14ac:dyDescent="0.3">
      <c r="A66" s="43"/>
      <c r="B66" s="44"/>
      <c r="C66" s="44"/>
      <c r="D66" s="45"/>
      <c r="E66" s="46"/>
    </row>
    <row r="67" spans="1:5" ht="15.75" thickTop="1" x14ac:dyDescent="0.25">
      <c r="A67" s="47"/>
      <c r="B67" s="19"/>
      <c r="C67" s="19"/>
      <c r="D67" s="20"/>
      <c r="E67" s="21"/>
    </row>
    <row r="68" spans="1:5" x14ac:dyDescent="0.25">
      <c r="A68" s="22"/>
      <c r="B68" s="4"/>
      <c r="C68" s="5"/>
      <c r="D68" s="6"/>
      <c r="E68" s="31"/>
    </row>
    <row r="69" spans="1:5" x14ac:dyDescent="0.25">
      <c r="A69" s="22"/>
      <c r="B69" s="23"/>
      <c r="C69" s="36"/>
      <c r="D69" s="25"/>
      <c r="E69" s="26"/>
    </row>
    <row r="70" spans="1:5" x14ac:dyDescent="0.25">
      <c r="A70" s="40"/>
      <c r="B70" s="5"/>
      <c r="C70" s="5"/>
      <c r="D70" s="6"/>
      <c r="E70" s="31"/>
    </row>
    <row r="71" spans="1:5" x14ac:dyDescent="0.25">
      <c r="A71" s="40"/>
      <c r="B71" s="5"/>
      <c r="C71" s="5"/>
      <c r="D71" s="6"/>
      <c r="E71" s="31"/>
    </row>
    <row r="72" spans="1:5" x14ac:dyDescent="0.25">
      <c r="A72" s="40"/>
      <c r="B72" s="5"/>
      <c r="C72" s="5"/>
      <c r="D72" s="6"/>
      <c r="E72" s="31"/>
    </row>
    <row r="73" spans="1:5" x14ac:dyDescent="0.25">
      <c r="A73" s="40"/>
      <c r="B73" s="5"/>
      <c r="C73" s="9"/>
      <c r="D73" s="6"/>
      <c r="E73" s="31"/>
    </row>
    <row r="74" spans="1:5" x14ac:dyDescent="0.25">
      <c r="A74" s="40"/>
      <c r="B74" s="5"/>
      <c r="C74" s="9"/>
      <c r="D74" s="6"/>
      <c r="E74" s="31"/>
    </row>
    <row r="75" spans="1:5" x14ac:dyDescent="0.25">
      <c r="A75" s="40"/>
      <c r="B75" s="5"/>
      <c r="C75" s="5"/>
      <c r="D75" s="41"/>
      <c r="E75" s="32"/>
    </row>
    <row r="76" spans="1:5" x14ac:dyDescent="0.25">
      <c r="A76" s="40"/>
      <c r="B76" s="5"/>
      <c r="C76" s="5"/>
      <c r="D76" s="6"/>
      <c r="E76" s="31"/>
    </row>
    <row r="77" spans="1:5" x14ac:dyDescent="0.25">
      <c r="A77" s="22"/>
      <c r="B77" s="5"/>
      <c r="C77" s="5"/>
      <c r="D77" s="6"/>
      <c r="E77" s="31"/>
    </row>
    <row r="78" spans="1:5" x14ac:dyDescent="0.25">
      <c r="A78" s="40"/>
      <c r="B78" s="9"/>
      <c r="C78" s="5"/>
      <c r="D78" s="6"/>
      <c r="E78" s="31"/>
    </row>
    <row r="79" spans="1:5" ht="15.75" hidden="1" customHeight="1" x14ac:dyDescent="0.25">
      <c r="A79" s="40"/>
      <c r="B79" s="9"/>
      <c r="C79" s="5"/>
      <c r="D79" s="6"/>
      <c r="E79" s="31"/>
    </row>
    <row r="80" spans="1:5" hidden="1" x14ac:dyDescent="0.25">
      <c r="A80" s="40"/>
      <c r="B80" s="9"/>
      <c r="C80" s="5"/>
      <c r="D80" s="6"/>
      <c r="E80" s="31"/>
    </row>
    <row r="81" spans="1:5" hidden="1" x14ac:dyDescent="0.25">
      <c r="A81" s="40"/>
      <c r="B81" s="9"/>
      <c r="C81" s="5"/>
      <c r="D81" s="6"/>
      <c r="E81" s="31"/>
    </row>
    <row r="82" spans="1:5" x14ac:dyDescent="0.25">
      <c r="A82" s="40"/>
      <c r="B82" s="9"/>
      <c r="C82" s="5"/>
      <c r="D82" s="6"/>
      <c r="E82" s="31"/>
    </row>
    <row r="83" spans="1:5" hidden="1" x14ac:dyDescent="0.25">
      <c r="A83" s="40"/>
      <c r="B83" s="9"/>
      <c r="C83" s="5"/>
      <c r="D83" s="6"/>
      <c r="E83" s="31"/>
    </row>
    <row r="84" spans="1:5" hidden="1" x14ac:dyDescent="0.25">
      <c r="A84" s="40"/>
      <c r="B84" s="9"/>
      <c r="C84" s="5"/>
      <c r="D84" s="6"/>
      <c r="E84" s="31"/>
    </row>
    <row r="85" spans="1:5" x14ac:dyDescent="0.25">
      <c r="A85" s="40"/>
      <c r="B85" s="9"/>
      <c r="C85" s="5"/>
      <c r="D85" s="6"/>
      <c r="E85" s="31"/>
    </row>
    <row r="86" spans="1:5" hidden="1" x14ac:dyDescent="0.25">
      <c r="A86" s="40"/>
      <c r="B86" s="9"/>
      <c r="C86" s="5"/>
      <c r="D86" s="6"/>
      <c r="E86" s="31"/>
    </row>
    <row r="87" spans="1:5" x14ac:dyDescent="0.25">
      <c r="A87" s="40"/>
      <c r="B87" s="9"/>
      <c r="C87" s="5"/>
      <c r="D87" s="6"/>
      <c r="E87" s="31"/>
    </row>
    <row r="88" spans="1:5" x14ac:dyDescent="0.25">
      <c r="A88" s="40"/>
      <c r="B88" s="9"/>
      <c r="C88" s="5"/>
      <c r="D88" s="6"/>
      <c r="E88" s="31"/>
    </row>
    <row r="89" spans="1:5" x14ac:dyDescent="0.25">
      <c r="A89" s="40"/>
      <c r="B89" s="9"/>
      <c r="C89" s="5"/>
      <c r="D89" s="6"/>
      <c r="E89" s="31"/>
    </row>
    <row r="90" spans="1:5" x14ac:dyDescent="0.25">
      <c r="A90" s="40"/>
      <c r="B90" s="9"/>
      <c r="C90" s="5"/>
      <c r="D90" s="6"/>
      <c r="E90" s="31"/>
    </row>
    <row r="91" spans="1:5" hidden="1" x14ac:dyDescent="0.25">
      <c r="A91" s="40"/>
      <c r="B91" s="5"/>
      <c r="C91" s="5"/>
      <c r="D91" s="6"/>
      <c r="E91" s="31"/>
    </row>
    <row r="92" spans="1:5" x14ac:dyDescent="0.25">
      <c r="A92" s="40"/>
      <c r="B92" s="9"/>
      <c r="C92" s="5"/>
      <c r="D92" s="6"/>
      <c r="E92" s="31"/>
    </row>
    <row r="93" spans="1:5" x14ac:dyDescent="0.25">
      <c r="A93" s="40"/>
      <c r="B93" s="9"/>
      <c r="C93" s="5"/>
      <c r="D93" s="6"/>
      <c r="E93" s="31"/>
    </row>
    <row r="94" spans="1:5" hidden="1" x14ac:dyDescent="0.25">
      <c r="A94" s="40"/>
      <c r="B94" s="9"/>
      <c r="C94" s="5"/>
      <c r="D94" s="6"/>
      <c r="E94" s="31"/>
    </row>
    <row r="95" spans="1:5" x14ac:dyDescent="0.25">
      <c r="A95" s="40"/>
      <c r="B95" s="5"/>
      <c r="C95" s="5"/>
      <c r="D95" s="6"/>
      <c r="E95" s="31"/>
    </row>
    <row r="96" spans="1:5" hidden="1" x14ac:dyDescent="0.25">
      <c r="A96" s="40"/>
      <c r="B96" s="9"/>
      <c r="C96" s="5"/>
      <c r="D96" s="6"/>
      <c r="E96" s="31"/>
    </row>
    <row r="97" spans="1:5" x14ac:dyDescent="0.25">
      <c r="A97" s="40"/>
      <c r="B97" s="5"/>
      <c r="C97" s="5"/>
      <c r="D97" s="6"/>
      <c r="E97" s="31"/>
    </row>
    <row r="98" spans="1:5" x14ac:dyDescent="0.25">
      <c r="A98" s="40"/>
      <c r="B98" s="9"/>
      <c r="C98" s="5"/>
      <c r="D98" s="6"/>
      <c r="E98" s="31"/>
    </row>
    <row r="99" spans="1:5" hidden="1" x14ac:dyDescent="0.25">
      <c r="A99" s="40"/>
      <c r="B99" s="9"/>
      <c r="C99" s="5"/>
      <c r="D99" s="6"/>
      <c r="E99" s="31"/>
    </row>
    <row r="100" spans="1:5" x14ac:dyDescent="0.25">
      <c r="A100" s="40"/>
      <c r="B100" s="5"/>
      <c r="C100" s="5"/>
      <c r="D100" s="6"/>
      <c r="E100" s="31"/>
    </row>
    <row r="101" spans="1:5" hidden="1" x14ac:dyDescent="0.25">
      <c r="A101" s="40"/>
      <c r="B101" s="9"/>
      <c r="C101" s="5"/>
      <c r="D101" s="6"/>
      <c r="E101" s="31"/>
    </row>
    <row r="102" spans="1:5" x14ac:dyDescent="0.25">
      <c r="A102" s="40"/>
      <c r="B102" s="5"/>
      <c r="C102" s="5"/>
      <c r="D102" s="6"/>
      <c r="E102" s="31"/>
    </row>
    <row r="103" spans="1:5" x14ac:dyDescent="0.25">
      <c r="A103" s="40"/>
      <c r="B103" s="5"/>
      <c r="C103" s="5"/>
      <c r="D103" s="41"/>
      <c r="E103" s="32"/>
    </row>
    <row r="104" spans="1:5" x14ac:dyDescent="0.25">
      <c r="A104" s="40"/>
      <c r="B104" s="5"/>
      <c r="C104" s="5"/>
      <c r="D104" s="6"/>
      <c r="E104" s="31"/>
    </row>
    <row r="105" spans="1:5" x14ac:dyDescent="0.25">
      <c r="A105" s="40"/>
      <c r="B105" s="5"/>
      <c r="C105" s="5"/>
      <c r="D105" s="42"/>
      <c r="E105" s="32"/>
    </row>
    <row r="106" spans="1:5" ht="15.75" thickBot="1" x14ac:dyDescent="0.3">
      <c r="A106" s="43"/>
      <c r="B106" s="44"/>
      <c r="C106" s="44"/>
      <c r="D106" s="45"/>
      <c r="E106" s="46"/>
    </row>
    <row r="107" spans="1:5" ht="15.75" thickTop="1" x14ac:dyDescent="0.25">
      <c r="A107" s="47"/>
      <c r="B107" s="19"/>
      <c r="C107" s="19"/>
      <c r="D107" s="20"/>
      <c r="E107" s="21"/>
    </row>
    <row r="108" spans="1:5" x14ac:dyDescent="0.25">
      <c r="A108" s="22"/>
      <c r="B108" s="4"/>
      <c r="C108" s="5"/>
      <c r="D108" s="6"/>
      <c r="E108" s="31"/>
    </row>
    <row r="109" spans="1:5" x14ac:dyDescent="0.25">
      <c r="A109" s="22"/>
      <c r="B109" s="23"/>
      <c r="C109" s="36"/>
      <c r="D109" s="25"/>
      <c r="E109" s="26"/>
    </row>
    <row r="110" spans="1:5" hidden="1" x14ac:dyDescent="0.25">
      <c r="A110" s="40"/>
      <c r="B110" s="9"/>
      <c r="C110" s="9"/>
      <c r="D110" s="6"/>
      <c r="E110" s="31"/>
    </row>
    <row r="111" spans="1:5" hidden="1" x14ac:dyDescent="0.25">
      <c r="A111" s="40"/>
      <c r="B111" s="5"/>
      <c r="C111" s="9"/>
      <c r="D111" s="6"/>
      <c r="E111" s="31"/>
    </row>
    <row r="112" spans="1:5" x14ac:dyDescent="0.25">
      <c r="A112" s="40"/>
      <c r="B112" s="5"/>
      <c r="C112" s="9"/>
      <c r="D112" s="6"/>
      <c r="E112" s="31"/>
    </row>
    <row r="113" spans="1:5" x14ac:dyDescent="0.25">
      <c r="A113" s="40"/>
      <c r="B113" s="5"/>
      <c r="C113" s="9"/>
      <c r="D113" s="6"/>
      <c r="E113" s="31"/>
    </row>
    <row r="114" spans="1:5" x14ac:dyDescent="0.25">
      <c r="A114" s="40"/>
      <c r="B114" s="5"/>
      <c r="C114" s="9"/>
      <c r="D114" s="6"/>
      <c r="E114" s="31"/>
    </row>
    <row r="115" spans="1:5" x14ac:dyDescent="0.25">
      <c r="A115" s="40"/>
      <c r="B115" s="5"/>
      <c r="C115" s="9"/>
      <c r="D115" s="6"/>
      <c r="E115" s="31"/>
    </row>
    <row r="116" spans="1:5" x14ac:dyDescent="0.25">
      <c r="A116" s="40"/>
      <c r="B116" s="5"/>
      <c r="C116" s="9"/>
      <c r="D116" s="6"/>
      <c r="E116" s="31"/>
    </row>
    <row r="117" spans="1:5" hidden="1" x14ac:dyDescent="0.25">
      <c r="A117" s="40"/>
      <c r="B117" s="7"/>
      <c r="C117" s="5"/>
      <c r="D117" s="6"/>
      <c r="E117" s="31"/>
    </row>
    <row r="118" spans="1:5" x14ac:dyDescent="0.25">
      <c r="A118" s="40"/>
      <c r="B118" s="5"/>
      <c r="C118" s="9"/>
      <c r="D118" s="6"/>
      <c r="E118" s="31"/>
    </row>
    <row r="119" spans="1:5" x14ac:dyDescent="0.25">
      <c r="A119" s="40"/>
      <c r="B119" s="5"/>
      <c r="C119" s="9"/>
      <c r="D119" s="6"/>
      <c r="E119" s="31"/>
    </row>
    <row r="120" spans="1:5" x14ac:dyDescent="0.25">
      <c r="A120" s="40"/>
      <c r="B120" s="5"/>
      <c r="C120" s="5"/>
      <c r="D120" s="6"/>
      <c r="E120" s="31"/>
    </row>
    <row r="121" spans="1:5" x14ac:dyDescent="0.25">
      <c r="A121" s="40"/>
      <c r="B121" s="5"/>
      <c r="C121" s="5"/>
      <c r="D121" s="6"/>
      <c r="E121" s="31"/>
    </row>
    <row r="122" spans="1:5" x14ac:dyDescent="0.25">
      <c r="A122" s="40"/>
      <c r="B122" s="5"/>
      <c r="C122" s="5"/>
      <c r="D122" s="6"/>
      <c r="E122" s="31"/>
    </row>
    <row r="123" spans="1:5" x14ac:dyDescent="0.25">
      <c r="A123" s="40"/>
      <c r="B123" s="5"/>
      <c r="C123" s="9"/>
      <c r="D123" s="6"/>
      <c r="E123" s="31"/>
    </row>
    <row r="124" spans="1:5" x14ac:dyDescent="0.25">
      <c r="A124" s="40"/>
      <c r="B124" s="9"/>
      <c r="C124" s="9"/>
      <c r="D124" s="6"/>
      <c r="E124" s="31"/>
    </row>
    <row r="125" spans="1:5" x14ac:dyDescent="0.25">
      <c r="A125" s="40"/>
      <c r="B125" s="5"/>
      <c r="C125" s="9"/>
      <c r="D125" s="6"/>
      <c r="E125" s="31"/>
    </row>
    <row r="126" spans="1:5" hidden="1" x14ac:dyDescent="0.25">
      <c r="A126" s="27"/>
      <c r="B126" s="5"/>
      <c r="C126" s="5"/>
      <c r="D126" s="6"/>
      <c r="E126" s="31"/>
    </row>
    <row r="127" spans="1:5" x14ac:dyDescent="0.25">
      <c r="A127" s="27"/>
      <c r="B127" s="5"/>
      <c r="C127" s="9"/>
      <c r="D127" s="6"/>
      <c r="E127" s="31"/>
    </row>
    <row r="128" spans="1:5" hidden="1" x14ac:dyDescent="0.25">
      <c r="A128" s="40"/>
      <c r="B128" s="5"/>
      <c r="C128" s="9"/>
      <c r="D128" s="6"/>
      <c r="E128" s="31"/>
    </row>
    <row r="129" spans="1:5" x14ac:dyDescent="0.25">
      <c r="A129" s="40"/>
      <c r="B129" s="9"/>
      <c r="C129" s="9"/>
      <c r="D129" s="6"/>
      <c r="E129" s="31"/>
    </row>
    <row r="130" spans="1:5" x14ac:dyDescent="0.25">
      <c r="A130" s="40"/>
      <c r="B130" s="5"/>
      <c r="C130" s="9"/>
      <c r="D130" s="6"/>
      <c r="E130" s="31"/>
    </row>
    <row r="131" spans="1:5" x14ac:dyDescent="0.25">
      <c r="A131" s="40"/>
      <c r="B131" s="5"/>
      <c r="C131" s="9"/>
      <c r="D131" s="42"/>
      <c r="E131" s="32"/>
    </row>
    <row r="132" spans="1:5" x14ac:dyDescent="0.25">
      <c r="A132" s="40"/>
      <c r="B132" s="5"/>
      <c r="C132" s="9"/>
      <c r="D132" s="41"/>
      <c r="E132" s="32"/>
    </row>
    <row r="133" spans="1:5" ht="15.75" thickBot="1" x14ac:dyDescent="0.3">
      <c r="A133" s="43"/>
      <c r="B133" s="44"/>
      <c r="C133" s="44"/>
      <c r="D133" s="45"/>
      <c r="E133" s="46"/>
    </row>
    <row r="134" spans="1:5" ht="15.75" thickTop="1" x14ac:dyDescent="0.25">
      <c r="A134" s="40"/>
      <c r="B134" s="5"/>
      <c r="C134" s="5"/>
      <c r="D134" s="6"/>
      <c r="E134" s="31"/>
    </row>
    <row r="135" spans="1:5" x14ac:dyDescent="0.25">
      <c r="A135" s="22"/>
      <c r="B135" s="5"/>
      <c r="C135" s="5"/>
      <c r="D135" s="6"/>
      <c r="E135" s="31"/>
    </row>
    <row r="136" spans="1:5" x14ac:dyDescent="0.25">
      <c r="A136" s="22"/>
      <c r="B136" s="23"/>
      <c r="C136" s="36"/>
      <c r="D136" s="25"/>
      <c r="E136" s="26"/>
    </row>
    <row r="137" spans="1:5" x14ac:dyDescent="0.25">
      <c r="A137" s="40"/>
      <c r="B137" s="5"/>
      <c r="C137" s="5"/>
      <c r="D137" s="6"/>
      <c r="E137" s="31"/>
    </row>
    <row r="138" spans="1:5" x14ac:dyDescent="0.25">
      <c r="A138" s="40"/>
      <c r="B138" s="5"/>
      <c r="C138" s="5"/>
      <c r="D138" s="6"/>
      <c r="E138" s="31"/>
    </row>
    <row r="139" spans="1:5" x14ac:dyDescent="0.25">
      <c r="A139" s="40"/>
      <c r="B139" s="5"/>
      <c r="C139" s="5"/>
      <c r="D139" s="6"/>
      <c r="E139" s="31"/>
    </row>
    <row r="140" spans="1:5" x14ac:dyDescent="0.25">
      <c r="A140" s="40"/>
      <c r="B140" s="9"/>
      <c r="C140" s="5"/>
      <c r="D140" s="6"/>
      <c r="E140" s="31"/>
    </row>
    <row r="141" spans="1:5" x14ac:dyDescent="0.25">
      <c r="A141" s="40"/>
      <c r="B141" s="5"/>
      <c r="C141" s="5"/>
      <c r="D141" s="6"/>
      <c r="E141" s="31"/>
    </row>
    <row r="142" spans="1:5" x14ac:dyDescent="0.25">
      <c r="A142" s="40"/>
      <c r="B142" s="5"/>
      <c r="C142" s="5"/>
      <c r="D142" s="6"/>
      <c r="E142" s="31"/>
    </row>
    <row r="143" spans="1:5" x14ac:dyDescent="0.25">
      <c r="A143" s="40"/>
      <c r="B143" s="5"/>
      <c r="C143" s="5"/>
      <c r="D143" s="42"/>
      <c r="E143" s="32"/>
    </row>
    <row r="144" spans="1:5" ht="15.75" thickBot="1" x14ac:dyDescent="0.3">
      <c r="A144" s="43"/>
      <c r="B144" s="44"/>
      <c r="C144" s="44"/>
      <c r="D144" s="45"/>
      <c r="E144" s="46"/>
    </row>
    <row r="145" spans="1:5" ht="15.75" thickTop="1" x14ac:dyDescent="0.25">
      <c r="A145" s="40"/>
      <c r="B145" s="5"/>
      <c r="C145" s="5"/>
      <c r="D145" s="6"/>
      <c r="E145" s="31"/>
    </row>
    <row r="146" spans="1:5" x14ac:dyDescent="0.25">
      <c r="A146" s="22"/>
      <c r="B146" s="5"/>
      <c r="C146" s="5"/>
      <c r="D146" s="6"/>
      <c r="E146" s="31"/>
    </row>
    <row r="147" spans="1:5" x14ac:dyDescent="0.25">
      <c r="A147" s="22"/>
      <c r="B147" s="23"/>
      <c r="C147" s="36"/>
      <c r="D147" s="25"/>
      <c r="E147" s="26"/>
    </row>
    <row r="148" spans="1:5" hidden="1" x14ac:dyDescent="0.25">
      <c r="A148" s="40"/>
      <c r="B148" s="5"/>
      <c r="C148" s="5"/>
      <c r="D148" s="6"/>
      <c r="E148" s="31"/>
    </row>
    <row r="149" spans="1:5" x14ac:dyDescent="0.25">
      <c r="A149" s="40"/>
      <c r="B149" s="9"/>
      <c r="C149" s="5"/>
      <c r="D149" s="6"/>
      <c r="E149" s="31"/>
    </row>
    <row r="150" spans="1:5" x14ac:dyDescent="0.25">
      <c r="A150" s="40"/>
      <c r="B150" s="5"/>
      <c r="C150" s="5"/>
      <c r="D150" s="6"/>
      <c r="E150" s="31"/>
    </row>
    <row r="151" spans="1:5" x14ac:dyDescent="0.25">
      <c r="A151" s="40"/>
      <c r="B151" s="9"/>
      <c r="C151" s="5"/>
      <c r="D151" s="6"/>
      <c r="E151" s="31"/>
    </row>
    <row r="152" spans="1:5" x14ac:dyDescent="0.25">
      <c r="A152" s="27"/>
      <c r="B152" s="9"/>
      <c r="C152" s="5"/>
      <c r="D152" s="6"/>
      <c r="E152" s="31"/>
    </row>
    <row r="153" spans="1:5" x14ac:dyDescent="0.25">
      <c r="A153" s="40"/>
      <c r="B153" s="9"/>
      <c r="C153" s="5"/>
      <c r="D153" s="6"/>
      <c r="E153" s="31"/>
    </row>
    <row r="154" spans="1:5" x14ac:dyDescent="0.25">
      <c r="A154" s="40"/>
      <c r="B154" s="9"/>
      <c r="C154" s="5"/>
      <c r="D154" s="42"/>
      <c r="E154" s="32"/>
    </row>
    <row r="155" spans="1:5" x14ac:dyDescent="0.25">
      <c r="A155" s="40"/>
      <c r="B155" s="9"/>
      <c r="C155" s="5"/>
      <c r="D155" s="6"/>
      <c r="E155" s="31"/>
    </row>
    <row r="156" spans="1:5" x14ac:dyDescent="0.25">
      <c r="A156" s="22"/>
      <c r="B156" s="9"/>
      <c r="C156" s="5"/>
      <c r="D156" s="6"/>
      <c r="E156" s="31"/>
    </row>
    <row r="157" spans="1:5" hidden="1" x14ac:dyDescent="0.25">
      <c r="A157" s="40"/>
      <c r="B157" s="9"/>
      <c r="C157" s="5"/>
      <c r="D157" s="6"/>
      <c r="E157" s="31"/>
    </row>
    <row r="158" spans="1:5" x14ac:dyDescent="0.25">
      <c r="A158" s="40"/>
      <c r="B158" s="9"/>
      <c r="C158" s="5"/>
      <c r="D158" s="6"/>
      <c r="E158" s="31"/>
    </row>
    <row r="159" spans="1:5" hidden="1" x14ac:dyDescent="0.25">
      <c r="A159" s="40"/>
      <c r="B159" s="9"/>
      <c r="C159" s="5"/>
      <c r="D159" s="6"/>
      <c r="E159" s="31"/>
    </row>
    <row r="160" spans="1:5" x14ac:dyDescent="0.25">
      <c r="A160" s="40"/>
      <c r="B160" s="9"/>
      <c r="C160" s="5"/>
      <c r="D160" s="6"/>
      <c r="E160" s="31"/>
    </row>
    <row r="161" spans="1:5" hidden="1" x14ac:dyDescent="0.25">
      <c r="A161" s="40"/>
      <c r="B161" s="9"/>
      <c r="C161" s="5"/>
      <c r="D161" s="6"/>
      <c r="E161" s="31"/>
    </row>
    <row r="162" spans="1:5" x14ac:dyDescent="0.25">
      <c r="A162" s="40"/>
      <c r="B162" s="9"/>
      <c r="C162" s="5"/>
      <c r="D162" s="6"/>
      <c r="E162" s="31"/>
    </row>
    <row r="163" spans="1:5" x14ac:dyDescent="0.25">
      <c r="A163" s="40"/>
      <c r="B163" s="9"/>
      <c r="C163" s="5"/>
      <c r="D163" s="6"/>
      <c r="E163" s="31"/>
    </row>
    <row r="164" spans="1:5" x14ac:dyDescent="0.25">
      <c r="A164" s="40"/>
      <c r="B164" s="9"/>
      <c r="C164" s="5"/>
      <c r="D164" s="6"/>
      <c r="E164" s="31"/>
    </row>
    <row r="165" spans="1:5" hidden="1" x14ac:dyDescent="0.25">
      <c r="A165" s="27"/>
      <c r="B165" s="28"/>
      <c r="C165" s="5"/>
      <c r="D165" s="30"/>
      <c r="E165" s="31"/>
    </row>
    <row r="166" spans="1:5" x14ac:dyDescent="0.25">
      <c r="A166" s="40"/>
      <c r="B166" s="9"/>
      <c r="C166" s="5"/>
      <c r="D166" s="6"/>
      <c r="E166" s="31"/>
    </row>
    <row r="167" spans="1:5" x14ac:dyDescent="0.25">
      <c r="A167" s="40"/>
      <c r="B167" s="5"/>
      <c r="C167" s="5"/>
      <c r="D167" s="6"/>
      <c r="E167" s="31"/>
    </row>
    <row r="168" spans="1:5" x14ac:dyDescent="0.25">
      <c r="A168" s="40"/>
      <c r="B168" s="5"/>
      <c r="C168" s="5"/>
      <c r="D168" s="6"/>
      <c r="E168" s="31"/>
    </row>
    <row r="169" spans="1:5" x14ac:dyDescent="0.25">
      <c r="A169" s="40"/>
      <c r="B169" s="9"/>
      <c r="C169" s="5"/>
      <c r="D169" s="6"/>
      <c r="E169" s="31"/>
    </row>
    <row r="170" spans="1:5" x14ac:dyDescent="0.25">
      <c r="A170" s="40"/>
      <c r="B170" s="9"/>
      <c r="C170" s="5"/>
      <c r="D170" s="6"/>
      <c r="E170" s="31"/>
    </row>
    <row r="171" spans="1:5" hidden="1" x14ac:dyDescent="0.25">
      <c r="A171" s="40"/>
      <c r="B171" s="9"/>
      <c r="C171" s="5"/>
      <c r="D171" s="6"/>
      <c r="E171" s="31"/>
    </row>
    <row r="172" spans="1:5" x14ac:dyDescent="0.25">
      <c r="A172" s="40"/>
      <c r="B172" s="9"/>
      <c r="C172" s="5"/>
      <c r="D172" s="6"/>
      <c r="E172" s="31"/>
    </row>
    <row r="173" spans="1:5" x14ac:dyDescent="0.25">
      <c r="A173" s="40"/>
      <c r="B173" s="9"/>
      <c r="C173" s="5"/>
      <c r="D173" s="6"/>
      <c r="E173" s="31"/>
    </row>
    <row r="174" spans="1:5" x14ac:dyDescent="0.25">
      <c r="A174" s="40"/>
      <c r="B174" s="9"/>
      <c r="C174" s="5"/>
      <c r="D174" s="6"/>
      <c r="E174" s="31"/>
    </row>
    <row r="175" spans="1:5" x14ac:dyDescent="0.25">
      <c r="A175" s="40"/>
      <c r="B175" s="9"/>
      <c r="C175" s="5"/>
      <c r="D175" s="6"/>
      <c r="E175" s="31"/>
    </row>
    <row r="176" spans="1:5" x14ac:dyDescent="0.25">
      <c r="A176" s="40"/>
      <c r="B176" s="9"/>
      <c r="C176" s="5"/>
      <c r="D176" s="6"/>
      <c r="E176" s="31"/>
    </row>
    <row r="177" spans="1:5" x14ac:dyDescent="0.25">
      <c r="A177" s="40"/>
      <c r="B177" s="9"/>
      <c r="C177" s="5"/>
      <c r="D177" s="6"/>
      <c r="E177" s="31"/>
    </row>
    <row r="178" spans="1:5" hidden="1" x14ac:dyDescent="0.25">
      <c r="A178" s="40"/>
      <c r="B178" s="9"/>
      <c r="C178" s="5"/>
      <c r="D178" s="6"/>
      <c r="E178" s="31"/>
    </row>
    <row r="179" spans="1:5" x14ac:dyDescent="0.25">
      <c r="A179" s="40"/>
      <c r="B179" s="9"/>
      <c r="C179" s="5"/>
      <c r="D179" s="6"/>
      <c r="E179" s="31"/>
    </row>
    <row r="180" spans="1:5" x14ac:dyDescent="0.25">
      <c r="A180" s="40"/>
      <c r="B180" s="9"/>
      <c r="C180" s="5"/>
      <c r="D180" s="42"/>
      <c r="E180" s="32"/>
    </row>
    <row r="181" spans="1:5" x14ac:dyDescent="0.25">
      <c r="A181" s="40"/>
      <c r="B181" s="9"/>
      <c r="C181" s="5"/>
      <c r="D181" s="6"/>
      <c r="E181" s="31"/>
    </row>
    <row r="182" spans="1:5" x14ac:dyDescent="0.25">
      <c r="A182" s="22"/>
      <c r="B182" s="9"/>
      <c r="C182" s="5"/>
      <c r="D182" s="6"/>
      <c r="E182" s="31"/>
    </row>
    <row r="183" spans="1:5" x14ac:dyDescent="0.25">
      <c r="A183" s="40"/>
      <c r="B183" s="11"/>
      <c r="C183" s="87"/>
      <c r="D183" s="88"/>
      <c r="E183" s="31"/>
    </row>
    <row r="184" spans="1:5" x14ac:dyDescent="0.25">
      <c r="A184" s="40"/>
      <c r="B184" s="9"/>
      <c r="C184" s="5"/>
      <c r="D184" s="6"/>
      <c r="E184" s="31"/>
    </row>
    <row r="185" spans="1:5" x14ac:dyDescent="0.25">
      <c r="A185" s="40"/>
      <c r="B185" s="9"/>
      <c r="C185" s="5"/>
      <c r="D185" s="6"/>
      <c r="E185" s="31"/>
    </row>
    <row r="186" spans="1:5" x14ac:dyDescent="0.25">
      <c r="A186" s="40"/>
      <c r="B186" s="9"/>
      <c r="C186" s="5"/>
      <c r="D186" s="6"/>
      <c r="E186" s="31"/>
    </row>
    <row r="187" spans="1:5" x14ac:dyDescent="0.25">
      <c r="A187" s="40"/>
      <c r="B187" s="9"/>
      <c r="C187" s="5"/>
      <c r="D187" s="6"/>
      <c r="E187" s="31"/>
    </row>
    <row r="188" spans="1:5" x14ac:dyDescent="0.25">
      <c r="A188" s="40"/>
      <c r="B188" s="9"/>
      <c r="C188" s="9"/>
      <c r="D188" s="6"/>
      <c r="E188" s="31"/>
    </row>
    <row r="189" spans="1:5" x14ac:dyDescent="0.25">
      <c r="A189" s="40"/>
      <c r="B189" s="9"/>
      <c r="C189" s="5"/>
      <c r="D189" s="6"/>
      <c r="E189" s="31"/>
    </row>
    <row r="190" spans="1:5" x14ac:dyDescent="0.25">
      <c r="A190" s="40"/>
      <c r="B190" s="9"/>
      <c r="C190" s="9"/>
      <c r="D190" s="6"/>
      <c r="E190" s="31"/>
    </row>
    <row r="191" spans="1:5" x14ac:dyDescent="0.25">
      <c r="A191" s="40"/>
      <c r="B191" s="9"/>
      <c r="C191" s="5"/>
      <c r="D191" s="6"/>
      <c r="E191" s="31"/>
    </row>
    <row r="192" spans="1:5" x14ac:dyDescent="0.25">
      <c r="A192" s="40"/>
      <c r="B192" s="9"/>
      <c r="C192" s="9"/>
      <c r="D192" s="6"/>
      <c r="E192" s="31"/>
    </row>
    <row r="193" spans="1:5" x14ac:dyDescent="0.25">
      <c r="A193" s="40"/>
      <c r="B193" s="9"/>
      <c r="C193" s="5"/>
      <c r="D193" s="6"/>
      <c r="E193" s="31"/>
    </row>
    <row r="194" spans="1:5" x14ac:dyDescent="0.25">
      <c r="A194" s="40"/>
      <c r="B194" s="9"/>
      <c r="C194" s="9"/>
      <c r="D194" s="6"/>
      <c r="E194" s="31"/>
    </row>
    <row r="195" spans="1:5" x14ac:dyDescent="0.25">
      <c r="A195" s="40"/>
      <c r="B195" s="9"/>
      <c r="C195" s="9"/>
      <c r="D195" s="6"/>
      <c r="E195" s="31"/>
    </row>
    <row r="196" spans="1:5" x14ac:dyDescent="0.25">
      <c r="A196" s="40"/>
      <c r="B196" s="9"/>
      <c r="C196" s="5"/>
      <c r="D196" s="6"/>
      <c r="E196" s="31"/>
    </row>
    <row r="197" spans="1:5" x14ac:dyDescent="0.25">
      <c r="A197" s="40"/>
      <c r="B197" s="9"/>
      <c r="C197" s="9"/>
      <c r="D197" s="6"/>
      <c r="E197" s="31"/>
    </row>
    <row r="198" spans="1:5" x14ac:dyDescent="0.25">
      <c r="A198" s="40"/>
      <c r="B198" s="9"/>
      <c r="C198" s="5"/>
      <c r="D198" s="6"/>
      <c r="E198" s="31"/>
    </row>
    <row r="199" spans="1:5" x14ac:dyDescent="0.25">
      <c r="A199" s="40"/>
      <c r="B199" s="9"/>
      <c r="C199" s="9"/>
      <c r="D199" s="6"/>
      <c r="E199" s="31"/>
    </row>
    <row r="200" spans="1:5" x14ac:dyDescent="0.25">
      <c r="A200" s="40"/>
      <c r="B200" s="9"/>
      <c r="C200" s="9"/>
      <c r="D200" s="6"/>
      <c r="E200" s="31"/>
    </row>
    <row r="201" spans="1:5" x14ac:dyDescent="0.25">
      <c r="A201" s="40"/>
      <c r="B201" s="9"/>
      <c r="C201" s="5"/>
      <c r="D201" s="6"/>
      <c r="E201" s="31"/>
    </row>
    <row r="202" spans="1:5" x14ac:dyDescent="0.25">
      <c r="A202" s="40"/>
      <c r="B202" s="9"/>
      <c r="C202" s="5"/>
      <c r="D202" s="6"/>
      <c r="E202" s="31"/>
    </row>
    <row r="203" spans="1:5" hidden="1" x14ac:dyDescent="0.25">
      <c r="A203" s="40"/>
      <c r="B203" s="9"/>
      <c r="C203" s="9"/>
      <c r="D203" s="6"/>
      <c r="E203" s="31"/>
    </row>
    <row r="204" spans="1:5" x14ac:dyDescent="0.25">
      <c r="A204" s="40"/>
      <c r="B204" s="9"/>
      <c r="C204" s="5"/>
      <c r="D204" s="6"/>
      <c r="E204" s="31"/>
    </row>
    <row r="205" spans="1:5" hidden="1" x14ac:dyDescent="0.25">
      <c r="A205" s="40"/>
      <c r="B205" s="9"/>
      <c r="C205" s="5"/>
      <c r="D205" s="6"/>
      <c r="E205" s="31"/>
    </row>
    <row r="206" spans="1:5" x14ac:dyDescent="0.25">
      <c r="A206" s="40"/>
      <c r="B206" s="9"/>
      <c r="C206" s="9"/>
      <c r="D206" s="6"/>
      <c r="E206" s="31"/>
    </row>
    <row r="207" spans="1:5" x14ac:dyDescent="0.25">
      <c r="A207" s="40"/>
      <c r="B207" s="9"/>
      <c r="C207" s="9"/>
      <c r="D207" s="6"/>
      <c r="E207" s="31"/>
    </row>
    <row r="208" spans="1:5" x14ac:dyDescent="0.25">
      <c r="A208" s="40"/>
      <c r="B208" s="9"/>
      <c r="C208" s="9"/>
      <c r="D208" s="6"/>
      <c r="E208" s="31"/>
    </row>
    <row r="209" spans="1:5" x14ac:dyDescent="0.25">
      <c r="A209" s="40"/>
      <c r="B209" s="9"/>
      <c r="C209" s="9"/>
      <c r="D209" s="6"/>
      <c r="E209" s="31"/>
    </row>
    <row r="210" spans="1:5" x14ac:dyDescent="0.25">
      <c r="A210" s="40"/>
      <c r="B210" s="9"/>
      <c r="C210" s="5"/>
      <c r="D210" s="6"/>
      <c r="E210" s="31"/>
    </row>
    <row r="211" spans="1:5" hidden="1" x14ac:dyDescent="0.25">
      <c r="A211" s="40"/>
      <c r="B211" s="9"/>
      <c r="C211" s="5"/>
      <c r="D211" s="6"/>
      <c r="E211" s="31"/>
    </row>
    <row r="212" spans="1:5" x14ac:dyDescent="0.25">
      <c r="A212" s="40"/>
      <c r="B212" s="9"/>
      <c r="C212" s="5"/>
      <c r="D212" s="6"/>
      <c r="E212" s="31"/>
    </row>
    <row r="213" spans="1:5" x14ac:dyDescent="0.25">
      <c r="A213" s="40"/>
      <c r="B213" s="9"/>
      <c r="C213" s="5"/>
      <c r="D213" s="6"/>
      <c r="E213" s="31"/>
    </row>
    <row r="214" spans="1:5" x14ac:dyDescent="0.25">
      <c r="A214" s="40"/>
      <c r="B214" s="9"/>
      <c r="C214" s="9"/>
      <c r="D214" s="6"/>
      <c r="E214" s="31"/>
    </row>
    <row r="215" spans="1:5" x14ac:dyDescent="0.25">
      <c r="A215" s="40"/>
      <c r="B215" s="9"/>
      <c r="C215" s="5"/>
      <c r="D215" s="6"/>
      <c r="E215" s="31"/>
    </row>
    <row r="216" spans="1:5" x14ac:dyDescent="0.25">
      <c r="A216" s="40"/>
      <c r="B216" s="9"/>
      <c r="C216" s="9"/>
      <c r="D216" s="6"/>
      <c r="E216" s="31"/>
    </row>
    <row r="217" spans="1:5" x14ac:dyDescent="0.25">
      <c r="A217" s="40"/>
      <c r="B217" s="9"/>
      <c r="C217" s="5"/>
      <c r="D217" s="6"/>
      <c r="E217" s="31"/>
    </row>
    <row r="218" spans="1:5" x14ac:dyDescent="0.25">
      <c r="A218" s="40"/>
      <c r="B218" s="9"/>
      <c r="C218" s="9"/>
      <c r="D218" s="6"/>
      <c r="E218" s="31"/>
    </row>
    <row r="219" spans="1:5" x14ac:dyDescent="0.25">
      <c r="A219" s="40"/>
      <c r="B219" s="9"/>
      <c r="C219" s="5"/>
      <c r="D219" s="6"/>
      <c r="E219" s="31"/>
    </row>
    <row r="220" spans="1:5" x14ac:dyDescent="0.25">
      <c r="A220" s="40"/>
      <c r="B220" s="9"/>
      <c r="C220" s="5"/>
      <c r="D220" s="6"/>
      <c r="E220" s="31"/>
    </row>
    <row r="221" spans="1:5" hidden="1" x14ac:dyDescent="0.25">
      <c r="A221" s="40"/>
      <c r="B221" s="9"/>
      <c r="C221" s="5"/>
      <c r="D221" s="6"/>
      <c r="E221" s="31"/>
    </row>
    <row r="222" spans="1:5" x14ac:dyDescent="0.25">
      <c r="A222" s="40"/>
      <c r="B222" s="9"/>
      <c r="C222" s="9"/>
      <c r="D222" s="6"/>
      <c r="E222" s="31"/>
    </row>
    <row r="223" spans="1:5" x14ac:dyDescent="0.25">
      <c r="A223" s="40"/>
      <c r="B223" s="9"/>
      <c r="C223" s="9"/>
      <c r="D223" s="6"/>
      <c r="E223" s="31"/>
    </row>
    <row r="224" spans="1:5" x14ac:dyDescent="0.25">
      <c r="A224" s="40"/>
      <c r="B224" s="9"/>
      <c r="C224" s="9"/>
      <c r="D224" s="6"/>
      <c r="E224" s="31"/>
    </row>
    <row r="225" spans="1:5" x14ac:dyDescent="0.25">
      <c r="A225" s="40"/>
      <c r="B225" s="9"/>
      <c r="C225" s="5"/>
      <c r="D225" s="6"/>
      <c r="E225" s="31"/>
    </row>
    <row r="226" spans="1:5" hidden="1" x14ac:dyDescent="0.25">
      <c r="A226" s="40"/>
      <c r="B226" s="9"/>
      <c r="C226" s="5"/>
      <c r="D226" s="6"/>
      <c r="E226" s="31"/>
    </row>
    <row r="227" spans="1:5" x14ac:dyDescent="0.25">
      <c r="A227" s="40"/>
      <c r="B227" s="9"/>
      <c r="C227" s="9"/>
      <c r="D227" s="6"/>
      <c r="E227" s="31"/>
    </row>
    <row r="228" spans="1:5" x14ac:dyDescent="0.25">
      <c r="A228" s="40"/>
      <c r="B228" s="9"/>
      <c r="C228" s="5"/>
      <c r="D228" s="6"/>
      <c r="E228" s="31"/>
    </row>
    <row r="229" spans="1:5" x14ac:dyDescent="0.25">
      <c r="A229" s="40"/>
      <c r="B229" s="9"/>
      <c r="C229" s="9"/>
      <c r="D229" s="6"/>
      <c r="E229" s="31"/>
    </row>
    <row r="230" spans="1:5" x14ac:dyDescent="0.25">
      <c r="A230" s="40"/>
      <c r="B230" s="9"/>
      <c r="C230" s="5"/>
      <c r="D230" s="6"/>
      <c r="E230" s="31"/>
    </row>
    <row r="231" spans="1:5" x14ac:dyDescent="0.25">
      <c r="A231" s="40"/>
      <c r="B231" s="9"/>
      <c r="C231" s="5"/>
      <c r="D231" s="42"/>
      <c r="E231" s="32"/>
    </row>
    <row r="232" spans="1:5" x14ac:dyDescent="0.25">
      <c r="A232" s="40"/>
      <c r="B232" s="9"/>
      <c r="C232" s="5"/>
      <c r="D232" s="6"/>
      <c r="E232" s="31"/>
    </row>
    <row r="233" spans="1:5" x14ac:dyDescent="0.25">
      <c r="A233" s="40"/>
      <c r="B233" s="9"/>
      <c r="C233" s="5"/>
      <c r="D233" s="6"/>
      <c r="E233" s="31"/>
    </row>
    <row r="234" spans="1:5" x14ac:dyDescent="0.25">
      <c r="A234" s="40"/>
      <c r="B234" s="9"/>
      <c r="C234" s="5"/>
      <c r="D234" s="6"/>
      <c r="E234" s="31"/>
    </row>
    <row r="235" spans="1:5" x14ac:dyDescent="0.25">
      <c r="A235" s="40"/>
      <c r="B235" s="9"/>
      <c r="C235" s="9"/>
      <c r="D235" s="6"/>
      <c r="E235" s="31"/>
    </row>
    <row r="236" spans="1:5" x14ac:dyDescent="0.25">
      <c r="A236" s="40"/>
      <c r="B236" s="9"/>
      <c r="C236" s="9"/>
      <c r="D236" s="6"/>
      <c r="E236" s="31"/>
    </row>
    <row r="237" spans="1:5" x14ac:dyDescent="0.25">
      <c r="A237" s="40"/>
      <c r="B237" s="9"/>
      <c r="C237" s="9"/>
      <c r="D237" s="6"/>
      <c r="E237" s="31"/>
    </row>
    <row r="238" spans="1:5" x14ac:dyDescent="0.25">
      <c r="A238" s="40"/>
      <c r="B238" s="9"/>
      <c r="C238" s="9"/>
      <c r="D238" s="6"/>
      <c r="E238" s="31"/>
    </row>
    <row r="239" spans="1:5" x14ac:dyDescent="0.25">
      <c r="A239" s="40"/>
      <c r="B239" s="9"/>
      <c r="C239" s="5"/>
      <c r="D239" s="6"/>
      <c r="E239" s="31"/>
    </row>
    <row r="240" spans="1:5" hidden="1" x14ac:dyDescent="0.25">
      <c r="A240" s="40"/>
      <c r="B240" s="9"/>
      <c r="C240" s="5"/>
      <c r="D240" s="6"/>
      <c r="E240" s="31"/>
    </row>
    <row r="241" spans="1:5" x14ac:dyDescent="0.25">
      <c r="A241" s="40"/>
      <c r="B241" s="9"/>
      <c r="C241" s="5"/>
      <c r="D241" s="6"/>
      <c r="E241" s="31"/>
    </row>
    <row r="242" spans="1:5" x14ac:dyDescent="0.25">
      <c r="A242" s="40"/>
      <c r="B242" s="9"/>
      <c r="C242" s="9"/>
      <c r="D242" s="6"/>
      <c r="E242" s="31"/>
    </row>
    <row r="243" spans="1:5" x14ac:dyDescent="0.25">
      <c r="A243" s="40"/>
      <c r="B243" s="9"/>
      <c r="C243" s="5"/>
      <c r="D243" s="6"/>
      <c r="E243" s="31"/>
    </row>
    <row r="244" spans="1:5" x14ac:dyDescent="0.25">
      <c r="A244" s="40"/>
      <c r="B244" s="9"/>
      <c r="C244" s="5"/>
      <c r="D244" s="6"/>
      <c r="E244" s="31"/>
    </row>
    <row r="245" spans="1:5" x14ac:dyDescent="0.25">
      <c r="A245" s="40"/>
      <c r="B245" s="9"/>
      <c r="C245" s="5"/>
      <c r="D245" s="6"/>
      <c r="E245" s="31"/>
    </row>
    <row r="246" spans="1:5" hidden="1" x14ac:dyDescent="0.25">
      <c r="A246" s="40"/>
      <c r="B246" s="9"/>
      <c r="C246" s="5"/>
      <c r="D246" s="6"/>
      <c r="E246" s="31"/>
    </row>
    <row r="247" spans="1:5" hidden="1" x14ac:dyDescent="0.25">
      <c r="A247" s="40"/>
      <c r="B247" s="9"/>
      <c r="C247" s="5"/>
      <c r="D247" s="6"/>
      <c r="E247" s="31"/>
    </row>
    <row r="248" spans="1:5" x14ac:dyDescent="0.25">
      <c r="A248" s="40"/>
      <c r="B248" s="9"/>
      <c r="C248" s="5"/>
      <c r="D248" s="6"/>
      <c r="E248" s="31"/>
    </row>
    <row r="249" spans="1:5" x14ac:dyDescent="0.25">
      <c r="A249" s="40"/>
      <c r="B249" s="9"/>
      <c r="C249" s="5"/>
      <c r="D249" s="42"/>
      <c r="E249" s="32"/>
    </row>
    <row r="250" spans="1:5" x14ac:dyDescent="0.25">
      <c r="A250" s="40"/>
      <c r="B250" s="9"/>
      <c r="C250" s="5"/>
      <c r="D250" s="6"/>
      <c r="E250" s="31"/>
    </row>
    <row r="251" spans="1:5" x14ac:dyDescent="0.25">
      <c r="A251" s="40"/>
      <c r="B251" s="9"/>
      <c r="C251" s="5"/>
      <c r="D251" s="6"/>
      <c r="E251" s="31"/>
    </row>
    <row r="252" spans="1:5" x14ac:dyDescent="0.25">
      <c r="A252" s="40"/>
      <c r="B252" s="9"/>
      <c r="C252" s="5"/>
      <c r="D252" s="6"/>
      <c r="E252" s="31"/>
    </row>
    <row r="253" spans="1:5" x14ac:dyDescent="0.25">
      <c r="A253" s="40"/>
      <c r="B253" s="9"/>
      <c r="C253" s="5"/>
      <c r="D253" s="6"/>
      <c r="E253" s="31"/>
    </row>
    <row r="254" spans="1:5" x14ac:dyDescent="0.25">
      <c r="A254" s="40"/>
      <c r="B254" s="9"/>
      <c r="C254" s="5"/>
      <c r="D254" s="6"/>
      <c r="E254" s="31"/>
    </row>
    <row r="255" spans="1:5" x14ac:dyDescent="0.25">
      <c r="A255" s="40"/>
      <c r="B255" s="9"/>
      <c r="C255" s="9"/>
      <c r="D255" s="6"/>
      <c r="E255" s="31"/>
    </row>
    <row r="256" spans="1:5" x14ac:dyDescent="0.25">
      <c r="A256" s="40"/>
      <c r="B256" s="9"/>
      <c r="C256" s="9"/>
      <c r="D256" s="6"/>
      <c r="E256" s="31"/>
    </row>
    <row r="257" spans="1:5" x14ac:dyDescent="0.25">
      <c r="A257" s="40"/>
      <c r="B257" s="9"/>
      <c r="C257" s="9"/>
      <c r="D257" s="6"/>
      <c r="E257" s="31"/>
    </row>
    <row r="258" spans="1:5" x14ac:dyDescent="0.25">
      <c r="A258" s="40"/>
      <c r="B258" s="9"/>
      <c r="C258" s="9"/>
      <c r="D258" s="6"/>
      <c r="E258" s="31"/>
    </row>
    <row r="259" spans="1:5" x14ac:dyDescent="0.25">
      <c r="A259" s="40"/>
      <c r="B259" s="9"/>
      <c r="C259" s="9"/>
      <c r="D259" s="6"/>
      <c r="E259" s="31"/>
    </row>
    <row r="260" spans="1:5" x14ac:dyDescent="0.25">
      <c r="A260" s="40"/>
      <c r="B260" s="9"/>
      <c r="C260" s="9"/>
      <c r="D260" s="6"/>
      <c r="E260" s="31"/>
    </row>
    <row r="261" spans="1:5" x14ac:dyDescent="0.25">
      <c r="A261" s="40"/>
      <c r="B261" s="9"/>
      <c r="C261" s="5"/>
      <c r="D261" s="6"/>
      <c r="E261" s="31"/>
    </row>
    <row r="262" spans="1:5" x14ac:dyDescent="0.25">
      <c r="A262" s="40"/>
      <c r="B262" s="9"/>
      <c r="C262" s="5"/>
      <c r="D262" s="42"/>
      <c r="E262" s="32"/>
    </row>
    <row r="263" spans="1:5" x14ac:dyDescent="0.25">
      <c r="A263" s="40"/>
      <c r="B263" s="5"/>
      <c r="C263" s="5"/>
      <c r="D263" s="6"/>
      <c r="E263" s="31"/>
    </row>
    <row r="264" spans="1:5" x14ac:dyDescent="0.25">
      <c r="A264" s="40"/>
      <c r="B264" s="5"/>
      <c r="C264" s="5"/>
      <c r="D264" s="42"/>
      <c r="E264" s="32"/>
    </row>
    <row r="265" spans="1:5" ht="15.75" thickBot="1" x14ac:dyDescent="0.3">
      <c r="A265" s="40"/>
      <c r="B265" s="5"/>
      <c r="C265" s="5"/>
      <c r="D265" s="6"/>
      <c r="E265" s="31"/>
    </row>
    <row r="266" spans="1:5" ht="15.75" thickTop="1" x14ac:dyDescent="0.25">
      <c r="A266" s="47"/>
      <c r="B266" s="19"/>
      <c r="C266" s="19"/>
      <c r="D266" s="20"/>
      <c r="E266" s="21"/>
    </row>
    <row r="267" spans="1:5" ht="15.75" x14ac:dyDescent="0.25">
      <c r="A267" s="40"/>
      <c r="B267" s="5"/>
      <c r="C267" s="3"/>
      <c r="D267" s="78"/>
      <c r="E267" s="79"/>
    </row>
    <row r="268" spans="1:5" ht="15.75" thickBot="1" x14ac:dyDescent="0.3">
      <c r="A268" s="43"/>
      <c r="B268" s="44"/>
      <c r="C268" s="44"/>
      <c r="D268" s="45"/>
      <c r="E268" s="46"/>
    </row>
    <row r="269" spans="1:5" ht="15.75" thickTop="1" x14ac:dyDescent="0.25">
      <c r="D269"/>
      <c r="E269"/>
    </row>
  </sheetData>
  <pageMargins left="0.44" right="0.38" top="0.74803149606299213" bottom="0.74803149606299213" header="0.31496062992125984" footer="0.31496062992125984"/>
  <pageSetup scale="71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9"/>
  <sheetViews>
    <sheetView topLeftCell="A61" workbookViewId="0">
      <selection activeCell="C90" sqref="C90"/>
    </sheetView>
  </sheetViews>
  <sheetFormatPr baseColWidth="10" defaultRowHeight="15" x14ac:dyDescent="0.25"/>
  <cols>
    <col min="1" max="1" width="25.7109375" style="5" customWidth="1"/>
    <col min="2" max="2" width="12.85546875" style="4" customWidth="1"/>
    <col min="3" max="3" width="8.42578125" style="5" customWidth="1"/>
    <col min="4" max="4" width="11.42578125" style="5"/>
    <col min="5" max="5" width="12.5703125" style="5" customWidth="1"/>
    <col min="6" max="256" width="11.42578125" style="5"/>
    <col min="257" max="257" width="25.7109375" style="5" customWidth="1"/>
    <col min="258" max="258" width="12.85546875" style="5" customWidth="1"/>
    <col min="259" max="259" width="8.42578125" style="5" customWidth="1"/>
    <col min="260" max="260" width="11.42578125" style="5"/>
    <col min="261" max="261" width="12.5703125" style="5" customWidth="1"/>
    <col min="262" max="512" width="11.42578125" style="5"/>
    <col min="513" max="513" width="25.7109375" style="5" customWidth="1"/>
    <col min="514" max="514" width="12.85546875" style="5" customWidth="1"/>
    <col min="515" max="515" width="8.42578125" style="5" customWidth="1"/>
    <col min="516" max="516" width="11.42578125" style="5"/>
    <col min="517" max="517" width="12.5703125" style="5" customWidth="1"/>
    <col min="518" max="768" width="11.42578125" style="5"/>
    <col min="769" max="769" width="25.7109375" style="5" customWidth="1"/>
    <col min="770" max="770" width="12.85546875" style="5" customWidth="1"/>
    <col min="771" max="771" width="8.42578125" style="5" customWidth="1"/>
    <col min="772" max="772" width="11.42578125" style="5"/>
    <col min="773" max="773" width="12.5703125" style="5" customWidth="1"/>
    <col min="774" max="1024" width="11.42578125" style="5"/>
    <col min="1025" max="1025" width="25.7109375" style="5" customWidth="1"/>
    <col min="1026" max="1026" width="12.85546875" style="5" customWidth="1"/>
    <col min="1027" max="1027" width="8.42578125" style="5" customWidth="1"/>
    <col min="1028" max="1028" width="11.42578125" style="5"/>
    <col min="1029" max="1029" width="12.5703125" style="5" customWidth="1"/>
    <col min="1030" max="1280" width="11.42578125" style="5"/>
    <col min="1281" max="1281" width="25.7109375" style="5" customWidth="1"/>
    <col min="1282" max="1282" width="12.85546875" style="5" customWidth="1"/>
    <col min="1283" max="1283" width="8.42578125" style="5" customWidth="1"/>
    <col min="1284" max="1284" width="11.42578125" style="5"/>
    <col min="1285" max="1285" width="12.5703125" style="5" customWidth="1"/>
    <col min="1286" max="1536" width="11.42578125" style="5"/>
    <col min="1537" max="1537" width="25.7109375" style="5" customWidth="1"/>
    <col min="1538" max="1538" width="12.85546875" style="5" customWidth="1"/>
    <col min="1539" max="1539" width="8.42578125" style="5" customWidth="1"/>
    <col min="1540" max="1540" width="11.42578125" style="5"/>
    <col min="1541" max="1541" width="12.5703125" style="5" customWidth="1"/>
    <col min="1542" max="1792" width="11.42578125" style="5"/>
    <col min="1793" max="1793" width="25.7109375" style="5" customWidth="1"/>
    <col min="1794" max="1794" width="12.85546875" style="5" customWidth="1"/>
    <col min="1795" max="1795" width="8.42578125" style="5" customWidth="1"/>
    <col min="1796" max="1796" width="11.42578125" style="5"/>
    <col min="1797" max="1797" width="12.5703125" style="5" customWidth="1"/>
    <col min="1798" max="2048" width="11.42578125" style="5"/>
    <col min="2049" max="2049" width="25.7109375" style="5" customWidth="1"/>
    <col min="2050" max="2050" width="12.85546875" style="5" customWidth="1"/>
    <col min="2051" max="2051" width="8.42578125" style="5" customWidth="1"/>
    <col min="2052" max="2052" width="11.42578125" style="5"/>
    <col min="2053" max="2053" width="12.5703125" style="5" customWidth="1"/>
    <col min="2054" max="2304" width="11.42578125" style="5"/>
    <col min="2305" max="2305" width="25.7109375" style="5" customWidth="1"/>
    <col min="2306" max="2306" width="12.85546875" style="5" customWidth="1"/>
    <col min="2307" max="2307" width="8.42578125" style="5" customWidth="1"/>
    <col min="2308" max="2308" width="11.42578125" style="5"/>
    <col min="2309" max="2309" width="12.5703125" style="5" customWidth="1"/>
    <col min="2310" max="2560" width="11.42578125" style="5"/>
    <col min="2561" max="2561" width="25.7109375" style="5" customWidth="1"/>
    <col min="2562" max="2562" width="12.85546875" style="5" customWidth="1"/>
    <col min="2563" max="2563" width="8.42578125" style="5" customWidth="1"/>
    <col min="2564" max="2564" width="11.42578125" style="5"/>
    <col min="2565" max="2565" width="12.5703125" style="5" customWidth="1"/>
    <col min="2566" max="2816" width="11.42578125" style="5"/>
    <col min="2817" max="2817" width="25.7109375" style="5" customWidth="1"/>
    <col min="2818" max="2818" width="12.85546875" style="5" customWidth="1"/>
    <col min="2819" max="2819" width="8.42578125" style="5" customWidth="1"/>
    <col min="2820" max="2820" width="11.42578125" style="5"/>
    <col min="2821" max="2821" width="12.5703125" style="5" customWidth="1"/>
    <col min="2822" max="3072" width="11.42578125" style="5"/>
    <col min="3073" max="3073" width="25.7109375" style="5" customWidth="1"/>
    <col min="3074" max="3074" width="12.85546875" style="5" customWidth="1"/>
    <col min="3075" max="3075" width="8.42578125" style="5" customWidth="1"/>
    <col min="3076" max="3076" width="11.42578125" style="5"/>
    <col min="3077" max="3077" width="12.5703125" style="5" customWidth="1"/>
    <col min="3078" max="3328" width="11.42578125" style="5"/>
    <col min="3329" max="3329" width="25.7109375" style="5" customWidth="1"/>
    <col min="3330" max="3330" width="12.85546875" style="5" customWidth="1"/>
    <col min="3331" max="3331" width="8.42578125" style="5" customWidth="1"/>
    <col min="3332" max="3332" width="11.42578125" style="5"/>
    <col min="3333" max="3333" width="12.5703125" style="5" customWidth="1"/>
    <col min="3334" max="3584" width="11.42578125" style="5"/>
    <col min="3585" max="3585" width="25.7109375" style="5" customWidth="1"/>
    <col min="3586" max="3586" width="12.85546875" style="5" customWidth="1"/>
    <col min="3587" max="3587" width="8.42578125" style="5" customWidth="1"/>
    <col min="3588" max="3588" width="11.42578125" style="5"/>
    <col min="3589" max="3589" width="12.5703125" style="5" customWidth="1"/>
    <col min="3590" max="3840" width="11.42578125" style="5"/>
    <col min="3841" max="3841" width="25.7109375" style="5" customWidth="1"/>
    <col min="3842" max="3842" width="12.85546875" style="5" customWidth="1"/>
    <col min="3843" max="3843" width="8.42578125" style="5" customWidth="1"/>
    <col min="3844" max="3844" width="11.42578125" style="5"/>
    <col min="3845" max="3845" width="12.5703125" style="5" customWidth="1"/>
    <col min="3846" max="4096" width="11.42578125" style="5"/>
    <col min="4097" max="4097" width="25.7109375" style="5" customWidth="1"/>
    <col min="4098" max="4098" width="12.85546875" style="5" customWidth="1"/>
    <col min="4099" max="4099" width="8.42578125" style="5" customWidth="1"/>
    <col min="4100" max="4100" width="11.42578125" style="5"/>
    <col min="4101" max="4101" width="12.5703125" style="5" customWidth="1"/>
    <col min="4102" max="4352" width="11.42578125" style="5"/>
    <col min="4353" max="4353" width="25.7109375" style="5" customWidth="1"/>
    <col min="4354" max="4354" width="12.85546875" style="5" customWidth="1"/>
    <col min="4355" max="4355" width="8.42578125" style="5" customWidth="1"/>
    <col min="4356" max="4356" width="11.42578125" style="5"/>
    <col min="4357" max="4357" width="12.5703125" style="5" customWidth="1"/>
    <col min="4358" max="4608" width="11.42578125" style="5"/>
    <col min="4609" max="4609" width="25.7109375" style="5" customWidth="1"/>
    <col min="4610" max="4610" width="12.85546875" style="5" customWidth="1"/>
    <col min="4611" max="4611" width="8.42578125" style="5" customWidth="1"/>
    <col min="4612" max="4612" width="11.42578125" style="5"/>
    <col min="4613" max="4613" width="12.5703125" style="5" customWidth="1"/>
    <col min="4614" max="4864" width="11.42578125" style="5"/>
    <col min="4865" max="4865" width="25.7109375" style="5" customWidth="1"/>
    <col min="4866" max="4866" width="12.85546875" style="5" customWidth="1"/>
    <col min="4867" max="4867" width="8.42578125" style="5" customWidth="1"/>
    <col min="4868" max="4868" width="11.42578125" style="5"/>
    <col min="4869" max="4869" width="12.5703125" style="5" customWidth="1"/>
    <col min="4870" max="5120" width="11.42578125" style="5"/>
    <col min="5121" max="5121" width="25.7109375" style="5" customWidth="1"/>
    <col min="5122" max="5122" width="12.85546875" style="5" customWidth="1"/>
    <col min="5123" max="5123" width="8.42578125" style="5" customWidth="1"/>
    <col min="5124" max="5124" width="11.42578125" style="5"/>
    <col min="5125" max="5125" width="12.5703125" style="5" customWidth="1"/>
    <col min="5126" max="5376" width="11.42578125" style="5"/>
    <col min="5377" max="5377" width="25.7109375" style="5" customWidth="1"/>
    <col min="5378" max="5378" width="12.85546875" style="5" customWidth="1"/>
    <col min="5379" max="5379" width="8.42578125" style="5" customWidth="1"/>
    <col min="5380" max="5380" width="11.42578125" style="5"/>
    <col min="5381" max="5381" width="12.5703125" style="5" customWidth="1"/>
    <col min="5382" max="5632" width="11.42578125" style="5"/>
    <col min="5633" max="5633" width="25.7109375" style="5" customWidth="1"/>
    <col min="5634" max="5634" width="12.85546875" style="5" customWidth="1"/>
    <col min="5635" max="5635" width="8.42578125" style="5" customWidth="1"/>
    <col min="5636" max="5636" width="11.42578125" style="5"/>
    <col min="5637" max="5637" width="12.5703125" style="5" customWidth="1"/>
    <col min="5638" max="5888" width="11.42578125" style="5"/>
    <col min="5889" max="5889" width="25.7109375" style="5" customWidth="1"/>
    <col min="5890" max="5890" width="12.85546875" style="5" customWidth="1"/>
    <col min="5891" max="5891" width="8.42578125" style="5" customWidth="1"/>
    <col min="5892" max="5892" width="11.42578125" style="5"/>
    <col min="5893" max="5893" width="12.5703125" style="5" customWidth="1"/>
    <col min="5894" max="6144" width="11.42578125" style="5"/>
    <col min="6145" max="6145" width="25.7109375" style="5" customWidth="1"/>
    <col min="6146" max="6146" width="12.85546875" style="5" customWidth="1"/>
    <col min="6147" max="6147" width="8.42578125" style="5" customWidth="1"/>
    <col min="6148" max="6148" width="11.42578125" style="5"/>
    <col min="6149" max="6149" width="12.5703125" style="5" customWidth="1"/>
    <col min="6150" max="6400" width="11.42578125" style="5"/>
    <col min="6401" max="6401" width="25.7109375" style="5" customWidth="1"/>
    <col min="6402" max="6402" width="12.85546875" style="5" customWidth="1"/>
    <col min="6403" max="6403" width="8.42578125" style="5" customWidth="1"/>
    <col min="6404" max="6404" width="11.42578125" style="5"/>
    <col min="6405" max="6405" width="12.5703125" style="5" customWidth="1"/>
    <col min="6406" max="6656" width="11.42578125" style="5"/>
    <col min="6657" max="6657" width="25.7109375" style="5" customWidth="1"/>
    <col min="6658" max="6658" width="12.85546875" style="5" customWidth="1"/>
    <col min="6659" max="6659" width="8.42578125" style="5" customWidth="1"/>
    <col min="6660" max="6660" width="11.42578125" style="5"/>
    <col min="6661" max="6661" width="12.5703125" style="5" customWidth="1"/>
    <col min="6662" max="6912" width="11.42578125" style="5"/>
    <col min="6913" max="6913" width="25.7109375" style="5" customWidth="1"/>
    <col min="6914" max="6914" width="12.85546875" style="5" customWidth="1"/>
    <col min="6915" max="6915" width="8.42578125" style="5" customWidth="1"/>
    <col min="6916" max="6916" width="11.42578125" style="5"/>
    <col min="6917" max="6917" width="12.5703125" style="5" customWidth="1"/>
    <col min="6918" max="7168" width="11.42578125" style="5"/>
    <col min="7169" max="7169" width="25.7109375" style="5" customWidth="1"/>
    <col min="7170" max="7170" width="12.85546875" style="5" customWidth="1"/>
    <col min="7171" max="7171" width="8.42578125" style="5" customWidth="1"/>
    <col min="7172" max="7172" width="11.42578125" style="5"/>
    <col min="7173" max="7173" width="12.5703125" style="5" customWidth="1"/>
    <col min="7174" max="7424" width="11.42578125" style="5"/>
    <col min="7425" max="7425" width="25.7109375" style="5" customWidth="1"/>
    <col min="7426" max="7426" width="12.85546875" style="5" customWidth="1"/>
    <col min="7427" max="7427" width="8.42578125" style="5" customWidth="1"/>
    <col min="7428" max="7428" width="11.42578125" style="5"/>
    <col min="7429" max="7429" width="12.5703125" style="5" customWidth="1"/>
    <col min="7430" max="7680" width="11.42578125" style="5"/>
    <col min="7681" max="7681" width="25.7109375" style="5" customWidth="1"/>
    <col min="7682" max="7682" width="12.85546875" style="5" customWidth="1"/>
    <col min="7683" max="7683" width="8.42578125" style="5" customWidth="1"/>
    <col min="7684" max="7684" width="11.42578125" style="5"/>
    <col min="7685" max="7685" width="12.5703125" style="5" customWidth="1"/>
    <col min="7686" max="7936" width="11.42578125" style="5"/>
    <col min="7937" max="7937" width="25.7109375" style="5" customWidth="1"/>
    <col min="7938" max="7938" width="12.85546875" style="5" customWidth="1"/>
    <col min="7939" max="7939" width="8.42578125" style="5" customWidth="1"/>
    <col min="7940" max="7940" width="11.42578125" style="5"/>
    <col min="7941" max="7941" width="12.5703125" style="5" customWidth="1"/>
    <col min="7942" max="8192" width="11.42578125" style="5"/>
    <col min="8193" max="8193" width="25.7109375" style="5" customWidth="1"/>
    <col min="8194" max="8194" width="12.85546875" style="5" customWidth="1"/>
    <col min="8195" max="8195" width="8.42578125" style="5" customWidth="1"/>
    <col min="8196" max="8196" width="11.42578125" style="5"/>
    <col min="8197" max="8197" width="12.5703125" style="5" customWidth="1"/>
    <col min="8198" max="8448" width="11.42578125" style="5"/>
    <col min="8449" max="8449" width="25.7109375" style="5" customWidth="1"/>
    <col min="8450" max="8450" width="12.85546875" style="5" customWidth="1"/>
    <col min="8451" max="8451" width="8.42578125" style="5" customWidth="1"/>
    <col min="8452" max="8452" width="11.42578125" style="5"/>
    <col min="8453" max="8453" width="12.5703125" style="5" customWidth="1"/>
    <col min="8454" max="8704" width="11.42578125" style="5"/>
    <col min="8705" max="8705" width="25.7109375" style="5" customWidth="1"/>
    <col min="8706" max="8706" width="12.85546875" style="5" customWidth="1"/>
    <col min="8707" max="8707" width="8.42578125" style="5" customWidth="1"/>
    <col min="8708" max="8708" width="11.42578125" style="5"/>
    <col min="8709" max="8709" width="12.5703125" style="5" customWidth="1"/>
    <col min="8710" max="8960" width="11.42578125" style="5"/>
    <col min="8961" max="8961" width="25.7109375" style="5" customWidth="1"/>
    <col min="8962" max="8962" width="12.85546875" style="5" customWidth="1"/>
    <col min="8963" max="8963" width="8.42578125" style="5" customWidth="1"/>
    <col min="8964" max="8964" width="11.42578125" style="5"/>
    <col min="8965" max="8965" width="12.5703125" style="5" customWidth="1"/>
    <col min="8966" max="9216" width="11.42578125" style="5"/>
    <col min="9217" max="9217" width="25.7109375" style="5" customWidth="1"/>
    <col min="9218" max="9218" width="12.85546875" style="5" customWidth="1"/>
    <col min="9219" max="9219" width="8.42578125" style="5" customWidth="1"/>
    <col min="9220" max="9220" width="11.42578125" style="5"/>
    <col min="9221" max="9221" width="12.5703125" style="5" customWidth="1"/>
    <col min="9222" max="9472" width="11.42578125" style="5"/>
    <col min="9473" max="9473" width="25.7109375" style="5" customWidth="1"/>
    <col min="9474" max="9474" width="12.85546875" style="5" customWidth="1"/>
    <col min="9475" max="9475" width="8.42578125" style="5" customWidth="1"/>
    <col min="9476" max="9476" width="11.42578125" style="5"/>
    <col min="9477" max="9477" width="12.5703125" style="5" customWidth="1"/>
    <col min="9478" max="9728" width="11.42578125" style="5"/>
    <col min="9729" max="9729" width="25.7109375" style="5" customWidth="1"/>
    <col min="9730" max="9730" width="12.85546875" style="5" customWidth="1"/>
    <col min="9731" max="9731" width="8.42578125" style="5" customWidth="1"/>
    <col min="9732" max="9732" width="11.42578125" style="5"/>
    <col min="9733" max="9733" width="12.5703125" style="5" customWidth="1"/>
    <col min="9734" max="9984" width="11.42578125" style="5"/>
    <col min="9985" max="9985" width="25.7109375" style="5" customWidth="1"/>
    <col min="9986" max="9986" width="12.85546875" style="5" customWidth="1"/>
    <col min="9987" max="9987" width="8.42578125" style="5" customWidth="1"/>
    <col min="9988" max="9988" width="11.42578125" style="5"/>
    <col min="9989" max="9989" width="12.5703125" style="5" customWidth="1"/>
    <col min="9990" max="10240" width="11.42578125" style="5"/>
    <col min="10241" max="10241" width="25.7109375" style="5" customWidth="1"/>
    <col min="10242" max="10242" width="12.85546875" style="5" customWidth="1"/>
    <col min="10243" max="10243" width="8.42578125" style="5" customWidth="1"/>
    <col min="10244" max="10244" width="11.42578125" style="5"/>
    <col min="10245" max="10245" width="12.5703125" style="5" customWidth="1"/>
    <col min="10246" max="10496" width="11.42578125" style="5"/>
    <col min="10497" max="10497" width="25.7109375" style="5" customWidth="1"/>
    <col min="10498" max="10498" width="12.85546875" style="5" customWidth="1"/>
    <col min="10499" max="10499" width="8.42578125" style="5" customWidth="1"/>
    <col min="10500" max="10500" width="11.42578125" style="5"/>
    <col min="10501" max="10501" width="12.5703125" style="5" customWidth="1"/>
    <col min="10502" max="10752" width="11.42578125" style="5"/>
    <col min="10753" max="10753" width="25.7109375" style="5" customWidth="1"/>
    <col min="10754" max="10754" width="12.85546875" style="5" customWidth="1"/>
    <col min="10755" max="10755" width="8.42578125" style="5" customWidth="1"/>
    <col min="10756" max="10756" width="11.42578125" style="5"/>
    <col min="10757" max="10757" width="12.5703125" style="5" customWidth="1"/>
    <col min="10758" max="11008" width="11.42578125" style="5"/>
    <col min="11009" max="11009" width="25.7109375" style="5" customWidth="1"/>
    <col min="11010" max="11010" width="12.85546875" style="5" customWidth="1"/>
    <col min="11011" max="11011" width="8.42578125" style="5" customWidth="1"/>
    <col min="11012" max="11012" width="11.42578125" style="5"/>
    <col min="11013" max="11013" width="12.5703125" style="5" customWidth="1"/>
    <col min="11014" max="11264" width="11.42578125" style="5"/>
    <col min="11265" max="11265" width="25.7109375" style="5" customWidth="1"/>
    <col min="11266" max="11266" width="12.85546875" style="5" customWidth="1"/>
    <col min="11267" max="11267" width="8.42578125" style="5" customWidth="1"/>
    <col min="11268" max="11268" width="11.42578125" style="5"/>
    <col min="11269" max="11269" width="12.5703125" style="5" customWidth="1"/>
    <col min="11270" max="11520" width="11.42578125" style="5"/>
    <col min="11521" max="11521" width="25.7109375" style="5" customWidth="1"/>
    <col min="11522" max="11522" width="12.85546875" style="5" customWidth="1"/>
    <col min="11523" max="11523" width="8.42578125" style="5" customWidth="1"/>
    <col min="11524" max="11524" width="11.42578125" style="5"/>
    <col min="11525" max="11525" width="12.5703125" style="5" customWidth="1"/>
    <col min="11526" max="11776" width="11.42578125" style="5"/>
    <col min="11777" max="11777" width="25.7109375" style="5" customWidth="1"/>
    <col min="11778" max="11778" width="12.85546875" style="5" customWidth="1"/>
    <col min="11779" max="11779" width="8.42578125" style="5" customWidth="1"/>
    <col min="11780" max="11780" width="11.42578125" style="5"/>
    <col min="11781" max="11781" width="12.5703125" style="5" customWidth="1"/>
    <col min="11782" max="12032" width="11.42578125" style="5"/>
    <col min="12033" max="12033" width="25.7109375" style="5" customWidth="1"/>
    <col min="12034" max="12034" width="12.85546875" style="5" customWidth="1"/>
    <col min="12035" max="12035" width="8.42578125" style="5" customWidth="1"/>
    <col min="12036" max="12036" width="11.42578125" style="5"/>
    <col min="12037" max="12037" width="12.5703125" style="5" customWidth="1"/>
    <col min="12038" max="12288" width="11.42578125" style="5"/>
    <col min="12289" max="12289" width="25.7109375" style="5" customWidth="1"/>
    <col min="12290" max="12290" width="12.85546875" style="5" customWidth="1"/>
    <col min="12291" max="12291" width="8.42578125" style="5" customWidth="1"/>
    <col min="12292" max="12292" width="11.42578125" style="5"/>
    <col min="12293" max="12293" width="12.5703125" style="5" customWidth="1"/>
    <col min="12294" max="12544" width="11.42578125" style="5"/>
    <col min="12545" max="12545" width="25.7109375" style="5" customWidth="1"/>
    <col min="12546" max="12546" width="12.85546875" style="5" customWidth="1"/>
    <col min="12547" max="12547" width="8.42578125" style="5" customWidth="1"/>
    <col min="12548" max="12548" width="11.42578125" style="5"/>
    <col min="12549" max="12549" width="12.5703125" style="5" customWidth="1"/>
    <col min="12550" max="12800" width="11.42578125" style="5"/>
    <col min="12801" max="12801" width="25.7109375" style="5" customWidth="1"/>
    <col min="12802" max="12802" width="12.85546875" style="5" customWidth="1"/>
    <col min="12803" max="12803" width="8.42578125" style="5" customWidth="1"/>
    <col min="12804" max="12804" width="11.42578125" style="5"/>
    <col min="12805" max="12805" width="12.5703125" style="5" customWidth="1"/>
    <col min="12806" max="13056" width="11.42578125" style="5"/>
    <col min="13057" max="13057" width="25.7109375" style="5" customWidth="1"/>
    <col min="13058" max="13058" width="12.85546875" style="5" customWidth="1"/>
    <col min="13059" max="13059" width="8.42578125" style="5" customWidth="1"/>
    <col min="13060" max="13060" width="11.42578125" style="5"/>
    <col min="13061" max="13061" width="12.5703125" style="5" customWidth="1"/>
    <col min="13062" max="13312" width="11.42578125" style="5"/>
    <col min="13313" max="13313" width="25.7109375" style="5" customWidth="1"/>
    <col min="13314" max="13314" width="12.85546875" style="5" customWidth="1"/>
    <col min="13315" max="13315" width="8.42578125" style="5" customWidth="1"/>
    <col min="13316" max="13316" width="11.42578125" style="5"/>
    <col min="13317" max="13317" width="12.5703125" style="5" customWidth="1"/>
    <col min="13318" max="13568" width="11.42578125" style="5"/>
    <col min="13569" max="13569" width="25.7109375" style="5" customWidth="1"/>
    <col min="13570" max="13570" width="12.85546875" style="5" customWidth="1"/>
    <col min="13571" max="13571" width="8.42578125" style="5" customWidth="1"/>
    <col min="13572" max="13572" width="11.42578125" style="5"/>
    <col min="13573" max="13573" width="12.5703125" style="5" customWidth="1"/>
    <col min="13574" max="13824" width="11.42578125" style="5"/>
    <col min="13825" max="13825" width="25.7109375" style="5" customWidth="1"/>
    <col min="13826" max="13826" width="12.85546875" style="5" customWidth="1"/>
    <col min="13827" max="13827" width="8.42578125" style="5" customWidth="1"/>
    <col min="13828" max="13828" width="11.42578125" style="5"/>
    <col min="13829" max="13829" width="12.5703125" style="5" customWidth="1"/>
    <col min="13830" max="14080" width="11.42578125" style="5"/>
    <col min="14081" max="14081" width="25.7109375" style="5" customWidth="1"/>
    <col min="14082" max="14082" width="12.85546875" style="5" customWidth="1"/>
    <col min="14083" max="14083" width="8.42578125" style="5" customWidth="1"/>
    <col min="14084" max="14084" width="11.42578125" style="5"/>
    <col min="14085" max="14085" width="12.5703125" style="5" customWidth="1"/>
    <col min="14086" max="14336" width="11.42578125" style="5"/>
    <col min="14337" max="14337" width="25.7109375" style="5" customWidth="1"/>
    <col min="14338" max="14338" width="12.85546875" style="5" customWidth="1"/>
    <col min="14339" max="14339" width="8.42578125" style="5" customWidth="1"/>
    <col min="14340" max="14340" width="11.42578125" style="5"/>
    <col min="14341" max="14341" width="12.5703125" style="5" customWidth="1"/>
    <col min="14342" max="14592" width="11.42578125" style="5"/>
    <col min="14593" max="14593" width="25.7109375" style="5" customWidth="1"/>
    <col min="14594" max="14594" width="12.85546875" style="5" customWidth="1"/>
    <col min="14595" max="14595" width="8.42578125" style="5" customWidth="1"/>
    <col min="14596" max="14596" width="11.42578125" style="5"/>
    <col min="14597" max="14597" width="12.5703125" style="5" customWidth="1"/>
    <col min="14598" max="14848" width="11.42578125" style="5"/>
    <col min="14849" max="14849" width="25.7109375" style="5" customWidth="1"/>
    <col min="14850" max="14850" width="12.85546875" style="5" customWidth="1"/>
    <col min="14851" max="14851" width="8.42578125" style="5" customWidth="1"/>
    <col min="14852" max="14852" width="11.42578125" style="5"/>
    <col min="14853" max="14853" width="12.5703125" style="5" customWidth="1"/>
    <col min="14854" max="15104" width="11.42578125" style="5"/>
    <col min="15105" max="15105" width="25.7109375" style="5" customWidth="1"/>
    <col min="15106" max="15106" width="12.85546875" style="5" customWidth="1"/>
    <col min="15107" max="15107" width="8.42578125" style="5" customWidth="1"/>
    <col min="15108" max="15108" width="11.42578125" style="5"/>
    <col min="15109" max="15109" width="12.5703125" style="5" customWidth="1"/>
    <col min="15110" max="15360" width="11.42578125" style="5"/>
    <col min="15361" max="15361" width="25.7109375" style="5" customWidth="1"/>
    <col min="15362" max="15362" width="12.85546875" style="5" customWidth="1"/>
    <col min="15363" max="15363" width="8.42578125" style="5" customWidth="1"/>
    <col min="15364" max="15364" width="11.42578125" style="5"/>
    <col min="15365" max="15365" width="12.5703125" style="5" customWidth="1"/>
    <col min="15366" max="15616" width="11.42578125" style="5"/>
    <col min="15617" max="15617" width="25.7109375" style="5" customWidth="1"/>
    <col min="15618" max="15618" width="12.85546875" style="5" customWidth="1"/>
    <col min="15619" max="15619" width="8.42578125" style="5" customWidth="1"/>
    <col min="15620" max="15620" width="11.42578125" style="5"/>
    <col min="15621" max="15621" width="12.5703125" style="5" customWidth="1"/>
    <col min="15622" max="15872" width="11.42578125" style="5"/>
    <col min="15873" max="15873" width="25.7109375" style="5" customWidth="1"/>
    <col min="15874" max="15874" width="12.85546875" style="5" customWidth="1"/>
    <col min="15875" max="15875" width="8.42578125" style="5" customWidth="1"/>
    <col min="15876" max="15876" width="11.42578125" style="5"/>
    <col min="15877" max="15877" width="12.5703125" style="5" customWidth="1"/>
    <col min="15878" max="16128" width="11.42578125" style="5"/>
    <col min="16129" max="16129" width="25.7109375" style="5" customWidth="1"/>
    <col min="16130" max="16130" width="12.85546875" style="5" customWidth="1"/>
    <col min="16131" max="16131" width="8.42578125" style="5" customWidth="1"/>
    <col min="16132" max="16132" width="11.42578125" style="5"/>
    <col min="16133" max="16133" width="12.5703125" style="5" customWidth="1"/>
    <col min="16134" max="16384" width="11.42578125" style="5"/>
  </cols>
  <sheetData>
    <row r="1" spans="1:5" x14ac:dyDescent="0.25">
      <c r="A1" s="3"/>
      <c r="E1" s="101"/>
    </row>
    <row r="2" spans="1:5" x14ac:dyDescent="0.25">
      <c r="A2" s="3"/>
      <c r="E2" s="102"/>
    </row>
    <row r="3" spans="1:5" x14ac:dyDescent="0.25">
      <c r="A3" s="3"/>
      <c r="D3" s="6"/>
      <c r="E3" s="103"/>
    </row>
    <row r="4" spans="1:5" x14ac:dyDescent="0.25">
      <c r="A4" s="3"/>
      <c r="D4" s="6"/>
      <c r="E4" s="104"/>
    </row>
    <row r="5" spans="1:5" x14ac:dyDescent="0.25">
      <c r="A5" s="3"/>
      <c r="B5" s="23"/>
      <c r="C5" s="24"/>
      <c r="D5" s="25"/>
      <c r="E5" s="105"/>
    </row>
    <row r="6" spans="1:5" x14ac:dyDescent="0.25">
      <c r="A6" s="106"/>
      <c r="D6" s="6"/>
      <c r="E6" s="104"/>
    </row>
    <row r="7" spans="1:5" x14ac:dyDescent="0.25">
      <c r="A7" s="7"/>
      <c r="D7" s="6"/>
      <c r="E7" s="104"/>
    </row>
    <row r="8" spans="1:5" x14ac:dyDescent="0.25">
      <c r="A8" s="7"/>
      <c r="D8" s="6"/>
      <c r="E8" s="104"/>
    </row>
    <row r="9" spans="1:5" x14ac:dyDescent="0.25">
      <c r="A9" s="7"/>
      <c r="D9" s="6"/>
      <c r="E9" s="104"/>
    </row>
    <row r="10" spans="1:5" x14ac:dyDescent="0.25">
      <c r="A10" s="7"/>
      <c r="D10" s="6"/>
      <c r="E10" s="104"/>
    </row>
    <row r="11" spans="1:5" x14ac:dyDescent="0.25">
      <c r="A11" s="7"/>
      <c r="D11" s="6"/>
      <c r="E11" s="104"/>
    </row>
    <row r="12" spans="1:5" x14ac:dyDescent="0.25">
      <c r="A12" s="7"/>
      <c r="D12" s="6"/>
      <c r="E12" s="104"/>
    </row>
    <row r="13" spans="1:5" x14ac:dyDescent="0.25">
      <c r="A13" s="7"/>
      <c r="D13" s="6"/>
      <c r="E13" s="104"/>
    </row>
    <row r="14" spans="1:5" x14ac:dyDescent="0.25">
      <c r="A14" s="7"/>
      <c r="D14" s="6"/>
      <c r="E14" s="104"/>
    </row>
    <row r="15" spans="1:5" x14ac:dyDescent="0.25">
      <c r="A15" s="7"/>
      <c r="D15" s="6"/>
      <c r="E15" s="104"/>
    </row>
    <row r="16" spans="1:5" x14ac:dyDescent="0.25">
      <c r="A16" s="7"/>
      <c r="D16" s="6"/>
      <c r="E16" s="104"/>
    </row>
    <row r="17" spans="1:5" x14ac:dyDescent="0.25">
      <c r="A17" s="7"/>
      <c r="D17" s="6"/>
      <c r="E17" s="104"/>
    </row>
    <row r="18" spans="1:5" x14ac:dyDescent="0.25">
      <c r="A18" s="7"/>
      <c r="D18" s="6"/>
      <c r="E18" s="104"/>
    </row>
    <row r="19" spans="1:5" x14ac:dyDescent="0.25">
      <c r="A19" s="7"/>
      <c r="D19" s="6"/>
      <c r="E19" s="104"/>
    </row>
    <row r="20" spans="1:5" x14ac:dyDescent="0.25">
      <c r="A20" s="7"/>
      <c r="D20" s="6"/>
      <c r="E20" s="104"/>
    </row>
    <row r="21" spans="1:5" x14ac:dyDescent="0.25">
      <c r="A21" s="7"/>
      <c r="D21" s="6"/>
      <c r="E21" s="104"/>
    </row>
    <row r="22" spans="1:5" x14ac:dyDescent="0.25">
      <c r="A22" s="7"/>
      <c r="D22" s="6"/>
      <c r="E22" s="104"/>
    </row>
    <row r="23" spans="1:5" x14ac:dyDescent="0.25">
      <c r="A23" s="7"/>
      <c r="D23" s="6"/>
      <c r="E23" s="104"/>
    </row>
    <row r="24" spans="1:5" x14ac:dyDescent="0.25">
      <c r="A24" s="7"/>
      <c r="D24" s="6"/>
      <c r="E24" s="104"/>
    </row>
    <row r="25" spans="1:5" x14ac:dyDescent="0.25">
      <c r="A25" s="7"/>
      <c r="D25" s="6"/>
      <c r="E25" s="104"/>
    </row>
    <row r="26" spans="1:5" x14ac:dyDescent="0.25">
      <c r="A26" s="7"/>
      <c r="D26" s="6"/>
      <c r="E26" s="104"/>
    </row>
    <row r="27" spans="1:5" x14ac:dyDescent="0.25">
      <c r="A27" s="7"/>
      <c r="D27" s="6"/>
      <c r="E27" s="104"/>
    </row>
    <row r="28" spans="1:5" x14ac:dyDescent="0.25">
      <c r="A28" s="7"/>
      <c r="D28" s="6"/>
      <c r="E28" s="104"/>
    </row>
    <row r="29" spans="1:5" x14ac:dyDescent="0.25">
      <c r="A29" s="7"/>
      <c r="D29" s="6"/>
      <c r="E29" s="104"/>
    </row>
    <row r="30" spans="1:5" x14ac:dyDescent="0.25">
      <c r="A30" s="7"/>
      <c r="D30" s="6"/>
      <c r="E30" s="104"/>
    </row>
    <row r="31" spans="1:5" x14ac:dyDescent="0.25">
      <c r="A31" s="7"/>
      <c r="D31" s="6"/>
      <c r="E31" s="104"/>
    </row>
    <row r="32" spans="1:5" x14ac:dyDescent="0.25">
      <c r="A32" s="7"/>
      <c r="D32" s="6"/>
      <c r="E32" s="104"/>
    </row>
    <row r="33" spans="1:5" x14ac:dyDescent="0.25">
      <c r="A33" s="7"/>
      <c r="D33" s="6"/>
      <c r="E33" s="104"/>
    </row>
    <row r="34" spans="1:5" x14ac:dyDescent="0.25">
      <c r="A34" s="7"/>
      <c r="D34" s="6"/>
      <c r="E34" s="104"/>
    </row>
    <row r="35" spans="1:5" x14ac:dyDescent="0.25">
      <c r="A35" s="7"/>
      <c r="D35" s="6"/>
      <c r="E35" s="104"/>
    </row>
    <row r="36" spans="1:5" x14ac:dyDescent="0.25">
      <c r="A36" s="7"/>
      <c r="D36" s="6"/>
      <c r="E36" s="104"/>
    </row>
    <row r="37" spans="1:5" x14ac:dyDescent="0.25">
      <c r="A37" s="7"/>
      <c r="D37" s="6"/>
      <c r="E37" s="104"/>
    </row>
    <row r="38" spans="1:5" x14ac:dyDescent="0.25">
      <c r="A38" s="7"/>
      <c r="D38" s="6"/>
      <c r="E38" s="104"/>
    </row>
    <row r="39" spans="1:5" x14ac:dyDescent="0.25">
      <c r="A39" s="7"/>
      <c r="D39" s="6"/>
      <c r="E39" s="104"/>
    </row>
    <row r="40" spans="1:5" x14ac:dyDescent="0.25">
      <c r="A40" s="7"/>
      <c r="D40" s="6"/>
      <c r="E40" s="104"/>
    </row>
    <row r="41" spans="1:5" x14ac:dyDescent="0.25">
      <c r="A41" s="7"/>
      <c r="D41" s="6"/>
      <c r="E41" s="104"/>
    </row>
    <row r="42" spans="1:5" x14ac:dyDescent="0.25">
      <c r="A42" s="7"/>
      <c r="D42" s="6"/>
      <c r="E42" s="104"/>
    </row>
    <row r="43" spans="1:5" x14ac:dyDescent="0.25">
      <c r="A43" s="7"/>
      <c r="D43" s="6"/>
      <c r="E43" s="104"/>
    </row>
    <row r="44" spans="1:5" x14ac:dyDescent="0.25">
      <c r="A44" s="7"/>
      <c r="D44" s="6"/>
      <c r="E44" s="104"/>
    </row>
    <row r="45" spans="1:5" x14ac:dyDescent="0.25">
      <c r="A45" s="7"/>
      <c r="D45" s="6"/>
      <c r="E45" s="104"/>
    </row>
    <row r="46" spans="1:5" x14ac:dyDescent="0.25">
      <c r="A46" s="7"/>
      <c r="D46" s="6"/>
      <c r="E46" s="104"/>
    </row>
    <row r="47" spans="1:5" x14ac:dyDescent="0.25">
      <c r="A47" s="7"/>
      <c r="D47" s="6"/>
      <c r="E47" s="104"/>
    </row>
    <row r="48" spans="1:5" x14ac:dyDescent="0.25">
      <c r="A48" s="7"/>
      <c r="D48" s="6"/>
      <c r="E48" s="104"/>
    </row>
    <row r="49" spans="1:5" x14ac:dyDescent="0.25">
      <c r="A49" s="7"/>
      <c r="D49" s="6"/>
      <c r="E49" s="104"/>
    </row>
    <row r="50" spans="1:5" x14ac:dyDescent="0.25">
      <c r="A50" s="7"/>
      <c r="D50" s="6"/>
      <c r="E50" s="104"/>
    </row>
    <row r="51" spans="1:5" x14ac:dyDescent="0.25">
      <c r="A51" s="7"/>
      <c r="D51" s="6"/>
      <c r="E51" s="104"/>
    </row>
    <row r="52" spans="1:5" x14ac:dyDescent="0.25">
      <c r="A52" s="7"/>
      <c r="D52" s="6"/>
      <c r="E52" s="104"/>
    </row>
    <row r="53" spans="1:5" x14ac:dyDescent="0.25">
      <c r="A53" s="7"/>
      <c r="D53" s="6"/>
      <c r="E53" s="104"/>
    </row>
    <row r="54" spans="1:5" x14ac:dyDescent="0.25">
      <c r="A54" s="7"/>
      <c r="D54" s="6"/>
      <c r="E54" s="104"/>
    </row>
    <row r="55" spans="1:5" x14ac:dyDescent="0.25">
      <c r="A55" s="7"/>
      <c r="D55" s="6"/>
      <c r="E55" s="104"/>
    </row>
    <row r="56" spans="1:5" x14ac:dyDescent="0.25">
      <c r="A56" s="7"/>
      <c r="D56" s="6"/>
      <c r="E56" s="104"/>
    </row>
    <row r="57" spans="1:5" x14ac:dyDescent="0.25">
      <c r="A57" s="7"/>
      <c r="D57" s="6"/>
      <c r="E57" s="104"/>
    </row>
    <row r="58" spans="1:5" x14ac:dyDescent="0.25">
      <c r="A58" s="7"/>
      <c r="D58" s="6"/>
      <c r="E58" s="104"/>
    </row>
    <row r="59" spans="1:5" x14ac:dyDescent="0.25">
      <c r="A59" s="7"/>
      <c r="D59" s="6"/>
      <c r="E59" s="104"/>
    </row>
    <row r="60" spans="1:5" x14ac:dyDescent="0.25">
      <c r="A60" s="7"/>
      <c r="D60" s="6"/>
      <c r="E60" s="104"/>
    </row>
    <row r="61" spans="1:5" x14ac:dyDescent="0.25">
      <c r="A61" s="7"/>
      <c r="D61" s="6"/>
      <c r="E61" s="104"/>
    </row>
    <row r="62" spans="1:5" x14ac:dyDescent="0.25">
      <c r="A62" s="7"/>
      <c r="D62" s="6"/>
      <c r="E62" s="104"/>
    </row>
    <row r="63" spans="1:5" x14ac:dyDescent="0.25">
      <c r="A63" s="7"/>
      <c r="D63" s="6"/>
      <c r="E63" s="104"/>
    </row>
    <row r="64" spans="1:5" x14ac:dyDescent="0.25">
      <c r="A64" s="7"/>
      <c r="D64" s="6"/>
      <c r="E64" s="104"/>
    </row>
    <row r="65" spans="1:5" x14ac:dyDescent="0.25">
      <c r="A65" s="7"/>
      <c r="D65" s="6"/>
      <c r="E65" s="104"/>
    </row>
    <row r="66" spans="1:5" x14ac:dyDescent="0.25">
      <c r="A66" s="7"/>
      <c r="D66" s="6"/>
      <c r="E66" s="104"/>
    </row>
    <row r="67" spans="1:5" x14ac:dyDescent="0.25">
      <c r="A67" s="7"/>
      <c r="D67" s="6"/>
      <c r="E67" s="104"/>
    </row>
    <row r="68" spans="1:5" x14ac:dyDescent="0.25">
      <c r="A68" s="7"/>
      <c r="D68" s="6"/>
      <c r="E68" s="104"/>
    </row>
    <row r="69" spans="1:5" x14ac:dyDescent="0.25">
      <c r="A69" s="7"/>
      <c r="D69" s="6"/>
      <c r="E69" s="104"/>
    </row>
    <row r="70" spans="1:5" x14ac:dyDescent="0.25">
      <c r="A70" s="7"/>
      <c r="D70" s="6"/>
      <c r="E70" s="104"/>
    </row>
    <row r="71" spans="1:5" x14ac:dyDescent="0.25">
      <c r="A71" s="7"/>
      <c r="D71" s="6"/>
      <c r="E71" s="104"/>
    </row>
    <row r="72" spans="1:5" x14ac:dyDescent="0.25">
      <c r="A72" s="7"/>
      <c r="D72" s="6"/>
      <c r="E72" s="104"/>
    </row>
    <row r="73" spans="1:5" x14ac:dyDescent="0.25">
      <c r="A73" s="7"/>
      <c r="D73" s="6"/>
      <c r="E73" s="104"/>
    </row>
    <row r="74" spans="1:5" x14ac:dyDescent="0.25">
      <c r="A74" s="7"/>
      <c r="D74" s="6"/>
      <c r="E74" s="104"/>
    </row>
    <row r="75" spans="1:5" x14ac:dyDescent="0.25">
      <c r="A75" s="7"/>
      <c r="D75" s="6"/>
      <c r="E75" s="104"/>
    </row>
    <row r="76" spans="1:5" x14ac:dyDescent="0.25">
      <c r="A76" s="7"/>
      <c r="D76" s="6"/>
      <c r="E76" s="104"/>
    </row>
    <row r="77" spans="1:5" x14ac:dyDescent="0.25">
      <c r="A77" s="7"/>
      <c r="D77" s="6"/>
      <c r="E77" s="104"/>
    </row>
    <row r="78" spans="1:5" x14ac:dyDescent="0.25">
      <c r="A78" s="7"/>
      <c r="D78" s="6"/>
      <c r="E78" s="104"/>
    </row>
    <row r="79" spans="1:5" x14ac:dyDescent="0.25">
      <c r="A79" s="7"/>
      <c r="D79" s="6"/>
      <c r="E79" s="104"/>
    </row>
    <row r="80" spans="1:5" x14ac:dyDescent="0.25">
      <c r="A80" s="7"/>
      <c r="D80" s="6"/>
      <c r="E80" s="104"/>
    </row>
    <row r="81" spans="1:5" x14ac:dyDescent="0.25">
      <c r="A81" s="7"/>
      <c r="D81" s="6"/>
      <c r="E81" s="104"/>
    </row>
    <row r="82" spans="1:5" x14ac:dyDescent="0.25">
      <c r="A82" s="3"/>
      <c r="D82" s="6"/>
      <c r="E82" s="104"/>
    </row>
    <row r="83" spans="1:5" x14ac:dyDescent="0.25">
      <c r="A83" s="7"/>
      <c r="C83" s="4"/>
      <c r="D83" s="6"/>
      <c r="E83" s="104"/>
    </row>
    <row r="84" spans="1:5" x14ac:dyDescent="0.25">
      <c r="A84" s="7"/>
      <c r="C84" s="4"/>
      <c r="D84" s="6"/>
      <c r="E84" s="104"/>
    </row>
    <row r="85" spans="1:5" x14ac:dyDescent="0.25">
      <c r="A85" s="7"/>
      <c r="C85" s="4"/>
      <c r="D85" s="6"/>
      <c r="E85" s="104"/>
    </row>
    <row r="86" spans="1:5" x14ac:dyDescent="0.25">
      <c r="A86" s="7"/>
      <c r="C86" s="4"/>
      <c r="D86" s="6"/>
      <c r="E86" s="104"/>
    </row>
    <row r="87" spans="1:5" x14ac:dyDescent="0.25">
      <c r="A87" s="7"/>
      <c r="D87" s="6"/>
      <c r="E87" s="104"/>
    </row>
    <row r="88" spans="1:5" x14ac:dyDescent="0.25">
      <c r="A88" s="3"/>
      <c r="D88" s="6"/>
      <c r="E88" s="104"/>
    </row>
    <row r="89" spans="1:5" x14ac:dyDescent="0.25">
      <c r="A89" s="7"/>
      <c r="D89" s="6"/>
      <c r="E89" s="104"/>
    </row>
    <row r="90" spans="1:5" x14ac:dyDescent="0.25">
      <c r="A90" s="7"/>
      <c r="D90" s="6"/>
      <c r="E90" s="104"/>
    </row>
    <row r="91" spans="1:5" x14ac:dyDescent="0.25">
      <c r="A91" s="7"/>
      <c r="D91" s="6"/>
      <c r="E91" s="104"/>
    </row>
    <row r="92" spans="1:5" x14ac:dyDescent="0.25">
      <c r="A92" s="7"/>
      <c r="D92" s="6"/>
      <c r="E92" s="104"/>
    </row>
    <row r="93" spans="1:5" x14ac:dyDescent="0.25">
      <c r="A93" s="7"/>
      <c r="D93" s="6"/>
      <c r="E93" s="104"/>
    </row>
    <row r="94" spans="1:5" x14ac:dyDescent="0.25">
      <c r="A94" s="7"/>
      <c r="D94" s="6"/>
      <c r="E94" s="104"/>
    </row>
    <row r="95" spans="1:5" x14ac:dyDescent="0.25">
      <c r="A95" s="7"/>
      <c r="D95" s="6"/>
      <c r="E95" s="104"/>
    </row>
    <row r="96" spans="1:5" x14ac:dyDescent="0.25">
      <c r="A96" s="7"/>
      <c r="D96" s="6"/>
      <c r="E96" s="104"/>
    </row>
    <row r="97" spans="1:5" x14ac:dyDescent="0.25">
      <c r="A97" s="7"/>
      <c r="D97" s="6"/>
      <c r="E97" s="104"/>
    </row>
    <row r="98" spans="1:5" x14ac:dyDescent="0.25">
      <c r="A98" s="7"/>
      <c r="D98" s="6"/>
      <c r="E98" s="104"/>
    </row>
    <row r="99" spans="1:5" x14ac:dyDescent="0.25">
      <c r="A99" s="7"/>
      <c r="D99" s="6"/>
      <c r="E99" s="104"/>
    </row>
    <row r="100" spans="1:5" x14ac:dyDescent="0.25">
      <c r="A100" s="7"/>
      <c r="D100" s="6"/>
      <c r="E100" s="104"/>
    </row>
    <row r="101" spans="1:5" x14ac:dyDescent="0.25">
      <c r="A101" s="7"/>
      <c r="D101" s="6"/>
      <c r="E101" s="104"/>
    </row>
    <row r="102" spans="1:5" x14ac:dyDescent="0.25">
      <c r="A102" s="7"/>
      <c r="D102" s="6"/>
      <c r="E102" s="104"/>
    </row>
    <row r="103" spans="1:5" x14ac:dyDescent="0.25">
      <c r="A103" s="7"/>
      <c r="D103" s="6"/>
      <c r="E103" s="104"/>
    </row>
    <row r="104" spans="1:5" x14ac:dyDescent="0.25">
      <c r="A104" s="7"/>
      <c r="D104" s="6"/>
      <c r="E104" s="104"/>
    </row>
    <row r="105" spans="1:5" x14ac:dyDescent="0.25">
      <c r="A105" s="7"/>
      <c r="D105" s="6"/>
      <c r="E105" s="104"/>
    </row>
    <row r="106" spans="1:5" x14ac:dyDescent="0.25">
      <c r="A106" s="7"/>
      <c r="D106" s="6"/>
      <c r="E106" s="104"/>
    </row>
    <row r="107" spans="1:5" x14ac:dyDescent="0.25">
      <c r="A107" s="7"/>
      <c r="D107" s="6"/>
      <c r="E107" s="104"/>
    </row>
    <row r="108" spans="1:5" x14ac:dyDescent="0.25">
      <c r="A108" s="7"/>
      <c r="D108" s="6"/>
      <c r="E108" s="104"/>
    </row>
    <row r="109" spans="1:5" x14ac:dyDescent="0.25">
      <c r="A109" s="7"/>
      <c r="D109" s="6"/>
      <c r="E109" s="104"/>
    </row>
    <row r="110" spans="1:5" x14ac:dyDescent="0.25">
      <c r="A110" s="7"/>
      <c r="D110" s="6"/>
      <c r="E110" s="104"/>
    </row>
    <row r="111" spans="1:5" x14ac:dyDescent="0.25">
      <c r="A111" s="7"/>
      <c r="D111" s="6"/>
      <c r="E111" s="104"/>
    </row>
    <row r="112" spans="1:5" x14ac:dyDescent="0.25">
      <c r="A112" s="7"/>
      <c r="D112" s="6"/>
      <c r="E112" s="104"/>
    </row>
    <row r="113" spans="1:5" x14ac:dyDescent="0.25">
      <c r="A113" s="7"/>
      <c r="D113" s="6"/>
      <c r="E113" s="104"/>
    </row>
    <row r="114" spans="1:5" x14ac:dyDescent="0.25">
      <c r="A114" s="7"/>
      <c r="D114" s="6"/>
      <c r="E114" s="104"/>
    </row>
    <row r="115" spans="1:5" x14ac:dyDescent="0.25">
      <c r="A115" s="7"/>
      <c r="D115" s="6"/>
      <c r="E115" s="104"/>
    </row>
    <row r="116" spans="1:5" x14ac:dyDescent="0.25">
      <c r="A116" s="7"/>
      <c r="D116" s="6"/>
      <c r="E116" s="104"/>
    </row>
    <row r="117" spans="1:5" x14ac:dyDescent="0.25">
      <c r="A117" s="7"/>
      <c r="D117" s="6"/>
      <c r="E117" s="104"/>
    </row>
    <row r="118" spans="1:5" x14ac:dyDescent="0.25">
      <c r="A118" s="7"/>
      <c r="D118" s="6"/>
      <c r="E118" s="104"/>
    </row>
    <row r="119" spans="1:5" x14ac:dyDescent="0.25">
      <c r="A119" s="7"/>
      <c r="D119" s="6"/>
      <c r="E119" s="104"/>
    </row>
    <row r="120" spans="1:5" x14ac:dyDescent="0.25">
      <c r="A120" s="7"/>
      <c r="D120" s="6"/>
      <c r="E120" s="104"/>
    </row>
    <row r="121" spans="1:5" x14ac:dyDescent="0.25">
      <c r="A121" s="7"/>
      <c r="D121" s="6"/>
      <c r="E121" s="104"/>
    </row>
    <row r="122" spans="1:5" x14ac:dyDescent="0.25">
      <c r="A122" s="7"/>
      <c r="D122" s="6"/>
      <c r="E122" s="104"/>
    </row>
    <row r="123" spans="1:5" x14ac:dyDescent="0.25">
      <c r="A123" s="7"/>
      <c r="D123" s="6"/>
      <c r="E123" s="104"/>
    </row>
    <row r="124" spans="1:5" x14ac:dyDescent="0.25">
      <c r="A124" s="7"/>
      <c r="D124" s="6"/>
      <c r="E124" s="104"/>
    </row>
    <row r="125" spans="1:5" x14ac:dyDescent="0.25">
      <c r="A125" s="7"/>
      <c r="D125" s="6"/>
      <c r="E125" s="104"/>
    </row>
    <row r="126" spans="1:5" x14ac:dyDescent="0.25">
      <c r="A126" s="7"/>
      <c r="D126" s="6"/>
      <c r="E126" s="104"/>
    </row>
    <row r="127" spans="1:5" x14ac:dyDescent="0.25">
      <c r="A127" s="7"/>
      <c r="D127" s="6"/>
      <c r="E127" s="104"/>
    </row>
    <row r="128" spans="1:5" x14ac:dyDescent="0.25">
      <c r="D128" s="6"/>
      <c r="E128" s="104"/>
    </row>
    <row r="129" spans="1:5" x14ac:dyDescent="0.25">
      <c r="A129" s="107"/>
      <c r="B129" s="108"/>
      <c r="C129" s="3"/>
      <c r="D129" s="41"/>
      <c r="E129" s="10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30"/>
  <sheetViews>
    <sheetView workbookViewId="0">
      <selection activeCell="B21" sqref="B21"/>
    </sheetView>
  </sheetViews>
  <sheetFormatPr baseColWidth="10" defaultRowHeight="15" x14ac:dyDescent="0.25"/>
  <cols>
    <col min="2" max="2" width="31.85546875" customWidth="1"/>
    <col min="3" max="3" width="12.28515625" bestFit="1" customWidth="1"/>
    <col min="4" max="4" width="11.42578125" style="8"/>
    <col min="5" max="5" width="17.140625" style="8" customWidth="1"/>
    <col min="6" max="6" width="15.7109375" customWidth="1"/>
    <col min="258" max="258" width="31.85546875" customWidth="1"/>
    <col min="259" max="259" width="12.28515625" bestFit="1" customWidth="1"/>
    <col min="261" max="261" width="17.140625" customWidth="1"/>
    <col min="262" max="262" width="15.7109375" customWidth="1"/>
    <col min="514" max="514" width="31.85546875" customWidth="1"/>
    <col min="515" max="515" width="12.28515625" bestFit="1" customWidth="1"/>
    <col min="517" max="517" width="17.140625" customWidth="1"/>
    <col min="518" max="518" width="15.7109375" customWidth="1"/>
    <col min="770" max="770" width="31.85546875" customWidth="1"/>
    <col min="771" max="771" width="12.28515625" bestFit="1" customWidth="1"/>
    <col min="773" max="773" width="17.140625" customWidth="1"/>
    <col min="774" max="774" width="15.7109375" customWidth="1"/>
    <col min="1026" max="1026" width="31.85546875" customWidth="1"/>
    <col min="1027" max="1027" width="12.28515625" bestFit="1" customWidth="1"/>
    <col min="1029" max="1029" width="17.140625" customWidth="1"/>
    <col min="1030" max="1030" width="15.7109375" customWidth="1"/>
    <col min="1282" max="1282" width="31.85546875" customWidth="1"/>
    <col min="1283" max="1283" width="12.28515625" bestFit="1" customWidth="1"/>
    <col min="1285" max="1285" width="17.140625" customWidth="1"/>
    <col min="1286" max="1286" width="15.7109375" customWidth="1"/>
    <col min="1538" max="1538" width="31.85546875" customWidth="1"/>
    <col min="1539" max="1539" width="12.28515625" bestFit="1" customWidth="1"/>
    <col min="1541" max="1541" width="17.140625" customWidth="1"/>
    <col min="1542" max="1542" width="15.7109375" customWidth="1"/>
    <col min="1794" max="1794" width="31.85546875" customWidth="1"/>
    <col min="1795" max="1795" width="12.28515625" bestFit="1" customWidth="1"/>
    <col min="1797" max="1797" width="17.140625" customWidth="1"/>
    <col min="1798" max="1798" width="15.7109375" customWidth="1"/>
    <col min="2050" max="2050" width="31.85546875" customWidth="1"/>
    <col min="2051" max="2051" width="12.28515625" bestFit="1" customWidth="1"/>
    <col min="2053" max="2053" width="17.140625" customWidth="1"/>
    <col min="2054" max="2054" width="15.7109375" customWidth="1"/>
    <col min="2306" max="2306" width="31.85546875" customWidth="1"/>
    <col min="2307" max="2307" width="12.28515625" bestFit="1" customWidth="1"/>
    <col min="2309" max="2309" width="17.140625" customWidth="1"/>
    <col min="2310" max="2310" width="15.7109375" customWidth="1"/>
    <col min="2562" max="2562" width="31.85546875" customWidth="1"/>
    <col min="2563" max="2563" width="12.28515625" bestFit="1" customWidth="1"/>
    <col min="2565" max="2565" width="17.140625" customWidth="1"/>
    <col min="2566" max="2566" width="15.7109375" customWidth="1"/>
    <col min="2818" max="2818" width="31.85546875" customWidth="1"/>
    <col min="2819" max="2819" width="12.28515625" bestFit="1" customWidth="1"/>
    <col min="2821" max="2821" width="17.140625" customWidth="1"/>
    <col min="2822" max="2822" width="15.7109375" customWidth="1"/>
    <col min="3074" max="3074" width="31.85546875" customWidth="1"/>
    <col min="3075" max="3075" width="12.28515625" bestFit="1" customWidth="1"/>
    <col min="3077" max="3077" width="17.140625" customWidth="1"/>
    <col min="3078" max="3078" width="15.7109375" customWidth="1"/>
    <col min="3330" max="3330" width="31.85546875" customWidth="1"/>
    <col min="3331" max="3331" width="12.28515625" bestFit="1" customWidth="1"/>
    <col min="3333" max="3333" width="17.140625" customWidth="1"/>
    <col min="3334" max="3334" width="15.7109375" customWidth="1"/>
    <col min="3586" max="3586" width="31.85546875" customWidth="1"/>
    <col min="3587" max="3587" width="12.28515625" bestFit="1" customWidth="1"/>
    <col min="3589" max="3589" width="17.140625" customWidth="1"/>
    <col min="3590" max="3590" width="15.7109375" customWidth="1"/>
    <col min="3842" max="3842" width="31.85546875" customWidth="1"/>
    <col min="3843" max="3843" width="12.28515625" bestFit="1" customWidth="1"/>
    <col min="3845" max="3845" width="17.140625" customWidth="1"/>
    <col min="3846" max="3846" width="15.7109375" customWidth="1"/>
    <col min="4098" max="4098" width="31.85546875" customWidth="1"/>
    <col min="4099" max="4099" width="12.28515625" bestFit="1" customWidth="1"/>
    <col min="4101" max="4101" width="17.140625" customWidth="1"/>
    <col min="4102" max="4102" width="15.7109375" customWidth="1"/>
    <col min="4354" max="4354" width="31.85546875" customWidth="1"/>
    <col min="4355" max="4355" width="12.28515625" bestFit="1" customWidth="1"/>
    <col min="4357" max="4357" width="17.140625" customWidth="1"/>
    <col min="4358" max="4358" width="15.7109375" customWidth="1"/>
    <col min="4610" max="4610" width="31.85546875" customWidth="1"/>
    <col min="4611" max="4611" width="12.28515625" bestFit="1" customWidth="1"/>
    <col min="4613" max="4613" width="17.140625" customWidth="1"/>
    <col min="4614" max="4614" width="15.7109375" customWidth="1"/>
    <col min="4866" max="4866" width="31.85546875" customWidth="1"/>
    <col min="4867" max="4867" width="12.28515625" bestFit="1" customWidth="1"/>
    <col min="4869" max="4869" width="17.140625" customWidth="1"/>
    <col min="4870" max="4870" width="15.7109375" customWidth="1"/>
    <col min="5122" max="5122" width="31.85546875" customWidth="1"/>
    <col min="5123" max="5123" width="12.28515625" bestFit="1" customWidth="1"/>
    <col min="5125" max="5125" width="17.140625" customWidth="1"/>
    <col min="5126" max="5126" width="15.7109375" customWidth="1"/>
    <col min="5378" max="5378" width="31.85546875" customWidth="1"/>
    <col min="5379" max="5379" width="12.28515625" bestFit="1" customWidth="1"/>
    <col min="5381" max="5381" width="17.140625" customWidth="1"/>
    <col min="5382" max="5382" width="15.7109375" customWidth="1"/>
    <col min="5634" max="5634" width="31.85546875" customWidth="1"/>
    <col min="5635" max="5635" width="12.28515625" bestFit="1" customWidth="1"/>
    <col min="5637" max="5637" width="17.140625" customWidth="1"/>
    <col min="5638" max="5638" width="15.7109375" customWidth="1"/>
    <col min="5890" max="5890" width="31.85546875" customWidth="1"/>
    <col min="5891" max="5891" width="12.28515625" bestFit="1" customWidth="1"/>
    <col min="5893" max="5893" width="17.140625" customWidth="1"/>
    <col min="5894" max="5894" width="15.7109375" customWidth="1"/>
    <col min="6146" max="6146" width="31.85546875" customWidth="1"/>
    <col min="6147" max="6147" width="12.28515625" bestFit="1" customWidth="1"/>
    <col min="6149" max="6149" width="17.140625" customWidth="1"/>
    <col min="6150" max="6150" width="15.7109375" customWidth="1"/>
    <col min="6402" max="6402" width="31.85546875" customWidth="1"/>
    <col min="6403" max="6403" width="12.28515625" bestFit="1" customWidth="1"/>
    <col min="6405" max="6405" width="17.140625" customWidth="1"/>
    <col min="6406" max="6406" width="15.7109375" customWidth="1"/>
    <col min="6658" max="6658" width="31.85546875" customWidth="1"/>
    <col min="6659" max="6659" width="12.28515625" bestFit="1" customWidth="1"/>
    <col min="6661" max="6661" width="17.140625" customWidth="1"/>
    <col min="6662" max="6662" width="15.7109375" customWidth="1"/>
    <col min="6914" max="6914" width="31.85546875" customWidth="1"/>
    <col min="6915" max="6915" width="12.28515625" bestFit="1" customWidth="1"/>
    <col min="6917" max="6917" width="17.140625" customWidth="1"/>
    <col min="6918" max="6918" width="15.7109375" customWidth="1"/>
    <col min="7170" max="7170" width="31.85546875" customWidth="1"/>
    <col min="7171" max="7171" width="12.28515625" bestFit="1" customWidth="1"/>
    <col min="7173" max="7173" width="17.140625" customWidth="1"/>
    <col min="7174" max="7174" width="15.7109375" customWidth="1"/>
    <col min="7426" max="7426" width="31.85546875" customWidth="1"/>
    <col min="7427" max="7427" width="12.28515625" bestFit="1" customWidth="1"/>
    <col min="7429" max="7429" width="17.140625" customWidth="1"/>
    <col min="7430" max="7430" width="15.7109375" customWidth="1"/>
    <col min="7682" max="7682" width="31.85546875" customWidth="1"/>
    <col min="7683" max="7683" width="12.28515625" bestFit="1" customWidth="1"/>
    <col min="7685" max="7685" width="17.140625" customWidth="1"/>
    <col min="7686" max="7686" width="15.7109375" customWidth="1"/>
    <col min="7938" max="7938" width="31.85546875" customWidth="1"/>
    <col min="7939" max="7939" width="12.28515625" bestFit="1" customWidth="1"/>
    <col min="7941" max="7941" width="17.140625" customWidth="1"/>
    <col min="7942" max="7942" width="15.7109375" customWidth="1"/>
    <col min="8194" max="8194" width="31.85546875" customWidth="1"/>
    <col min="8195" max="8195" width="12.28515625" bestFit="1" customWidth="1"/>
    <col min="8197" max="8197" width="17.140625" customWidth="1"/>
    <col min="8198" max="8198" width="15.7109375" customWidth="1"/>
    <col min="8450" max="8450" width="31.85546875" customWidth="1"/>
    <col min="8451" max="8451" width="12.28515625" bestFit="1" customWidth="1"/>
    <col min="8453" max="8453" width="17.140625" customWidth="1"/>
    <col min="8454" max="8454" width="15.7109375" customWidth="1"/>
    <col min="8706" max="8706" width="31.85546875" customWidth="1"/>
    <col min="8707" max="8707" width="12.28515625" bestFit="1" customWidth="1"/>
    <col min="8709" max="8709" width="17.140625" customWidth="1"/>
    <col min="8710" max="8710" width="15.7109375" customWidth="1"/>
    <col min="8962" max="8962" width="31.85546875" customWidth="1"/>
    <col min="8963" max="8963" width="12.28515625" bestFit="1" customWidth="1"/>
    <col min="8965" max="8965" width="17.140625" customWidth="1"/>
    <col min="8966" max="8966" width="15.7109375" customWidth="1"/>
    <col min="9218" max="9218" width="31.85546875" customWidth="1"/>
    <col min="9219" max="9219" width="12.28515625" bestFit="1" customWidth="1"/>
    <col min="9221" max="9221" width="17.140625" customWidth="1"/>
    <col min="9222" max="9222" width="15.7109375" customWidth="1"/>
    <col min="9474" max="9474" width="31.85546875" customWidth="1"/>
    <col min="9475" max="9475" width="12.28515625" bestFit="1" customWidth="1"/>
    <col min="9477" max="9477" width="17.140625" customWidth="1"/>
    <col min="9478" max="9478" width="15.7109375" customWidth="1"/>
    <col min="9730" max="9730" width="31.85546875" customWidth="1"/>
    <col min="9731" max="9731" width="12.28515625" bestFit="1" customWidth="1"/>
    <col min="9733" max="9733" width="17.140625" customWidth="1"/>
    <col min="9734" max="9734" width="15.7109375" customWidth="1"/>
    <col min="9986" max="9986" width="31.85546875" customWidth="1"/>
    <col min="9987" max="9987" width="12.28515625" bestFit="1" customWidth="1"/>
    <col min="9989" max="9989" width="17.140625" customWidth="1"/>
    <col min="9990" max="9990" width="15.7109375" customWidth="1"/>
    <col min="10242" max="10242" width="31.85546875" customWidth="1"/>
    <col min="10243" max="10243" width="12.28515625" bestFit="1" customWidth="1"/>
    <col min="10245" max="10245" width="17.140625" customWidth="1"/>
    <col min="10246" max="10246" width="15.7109375" customWidth="1"/>
    <col min="10498" max="10498" width="31.85546875" customWidth="1"/>
    <col min="10499" max="10499" width="12.28515625" bestFit="1" customWidth="1"/>
    <col min="10501" max="10501" width="17.140625" customWidth="1"/>
    <col min="10502" max="10502" width="15.7109375" customWidth="1"/>
    <col min="10754" max="10754" width="31.85546875" customWidth="1"/>
    <col min="10755" max="10755" width="12.28515625" bestFit="1" customWidth="1"/>
    <col min="10757" max="10757" width="17.140625" customWidth="1"/>
    <col min="10758" max="10758" width="15.7109375" customWidth="1"/>
    <col min="11010" max="11010" width="31.85546875" customWidth="1"/>
    <col min="11011" max="11011" width="12.28515625" bestFit="1" customWidth="1"/>
    <col min="11013" max="11013" width="17.140625" customWidth="1"/>
    <col min="11014" max="11014" width="15.7109375" customWidth="1"/>
    <col min="11266" max="11266" width="31.85546875" customWidth="1"/>
    <col min="11267" max="11267" width="12.28515625" bestFit="1" customWidth="1"/>
    <col min="11269" max="11269" width="17.140625" customWidth="1"/>
    <col min="11270" max="11270" width="15.7109375" customWidth="1"/>
    <col min="11522" max="11522" width="31.85546875" customWidth="1"/>
    <col min="11523" max="11523" width="12.28515625" bestFit="1" customWidth="1"/>
    <col min="11525" max="11525" width="17.140625" customWidth="1"/>
    <col min="11526" max="11526" width="15.7109375" customWidth="1"/>
    <col min="11778" max="11778" width="31.85546875" customWidth="1"/>
    <col min="11779" max="11779" width="12.28515625" bestFit="1" customWidth="1"/>
    <col min="11781" max="11781" width="17.140625" customWidth="1"/>
    <col min="11782" max="11782" width="15.7109375" customWidth="1"/>
    <col min="12034" max="12034" width="31.85546875" customWidth="1"/>
    <col min="12035" max="12035" width="12.28515625" bestFit="1" customWidth="1"/>
    <col min="12037" max="12037" width="17.140625" customWidth="1"/>
    <col min="12038" max="12038" width="15.7109375" customWidth="1"/>
    <col min="12290" max="12290" width="31.85546875" customWidth="1"/>
    <col min="12291" max="12291" width="12.28515625" bestFit="1" customWidth="1"/>
    <col min="12293" max="12293" width="17.140625" customWidth="1"/>
    <col min="12294" max="12294" width="15.7109375" customWidth="1"/>
    <col min="12546" max="12546" width="31.85546875" customWidth="1"/>
    <col min="12547" max="12547" width="12.28515625" bestFit="1" customWidth="1"/>
    <col min="12549" max="12549" width="17.140625" customWidth="1"/>
    <col min="12550" max="12550" width="15.7109375" customWidth="1"/>
    <col min="12802" max="12802" width="31.85546875" customWidth="1"/>
    <col min="12803" max="12803" width="12.28515625" bestFit="1" customWidth="1"/>
    <col min="12805" max="12805" width="17.140625" customWidth="1"/>
    <col min="12806" max="12806" width="15.7109375" customWidth="1"/>
    <col min="13058" max="13058" width="31.85546875" customWidth="1"/>
    <col min="13059" max="13059" width="12.28515625" bestFit="1" customWidth="1"/>
    <col min="13061" max="13061" width="17.140625" customWidth="1"/>
    <col min="13062" max="13062" width="15.7109375" customWidth="1"/>
    <col min="13314" max="13314" width="31.85546875" customWidth="1"/>
    <col min="13315" max="13315" width="12.28515625" bestFit="1" customWidth="1"/>
    <col min="13317" max="13317" width="17.140625" customWidth="1"/>
    <col min="13318" max="13318" width="15.7109375" customWidth="1"/>
    <col min="13570" max="13570" width="31.85546875" customWidth="1"/>
    <col min="13571" max="13571" width="12.28515625" bestFit="1" customWidth="1"/>
    <col min="13573" max="13573" width="17.140625" customWidth="1"/>
    <col min="13574" max="13574" width="15.7109375" customWidth="1"/>
    <col min="13826" max="13826" width="31.85546875" customWidth="1"/>
    <col min="13827" max="13827" width="12.28515625" bestFit="1" customWidth="1"/>
    <col min="13829" max="13829" width="17.140625" customWidth="1"/>
    <col min="13830" max="13830" width="15.7109375" customWidth="1"/>
    <col min="14082" max="14082" width="31.85546875" customWidth="1"/>
    <col min="14083" max="14083" width="12.28515625" bestFit="1" customWidth="1"/>
    <col min="14085" max="14085" width="17.140625" customWidth="1"/>
    <col min="14086" max="14086" width="15.7109375" customWidth="1"/>
    <col min="14338" max="14338" width="31.85546875" customWidth="1"/>
    <col min="14339" max="14339" width="12.28515625" bestFit="1" customWidth="1"/>
    <col min="14341" max="14341" width="17.140625" customWidth="1"/>
    <col min="14342" max="14342" width="15.7109375" customWidth="1"/>
    <col min="14594" max="14594" width="31.85546875" customWidth="1"/>
    <col min="14595" max="14595" width="12.28515625" bestFit="1" customWidth="1"/>
    <col min="14597" max="14597" width="17.140625" customWidth="1"/>
    <col min="14598" max="14598" width="15.7109375" customWidth="1"/>
    <col min="14850" max="14850" width="31.85546875" customWidth="1"/>
    <col min="14851" max="14851" width="12.28515625" bestFit="1" customWidth="1"/>
    <col min="14853" max="14853" width="17.140625" customWidth="1"/>
    <col min="14854" max="14854" width="15.7109375" customWidth="1"/>
    <col min="15106" max="15106" width="31.85546875" customWidth="1"/>
    <col min="15107" max="15107" width="12.28515625" bestFit="1" customWidth="1"/>
    <col min="15109" max="15109" width="17.140625" customWidth="1"/>
    <col min="15110" max="15110" width="15.7109375" customWidth="1"/>
    <col min="15362" max="15362" width="31.85546875" customWidth="1"/>
    <col min="15363" max="15363" width="12.28515625" bestFit="1" customWidth="1"/>
    <col min="15365" max="15365" width="17.140625" customWidth="1"/>
    <col min="15366" max="15366" width="15.7109375" customWidth="1"/>
    <col min="15618" max="15618" width="31.85546875" customWidth="1"/>
    <col min="15619" max="15619" width="12.28515625" bestFit="1" customWidth="1"/>
    <col min="15621" max="15621" width="17.140625" customWidth="1"/>
    <col min="15622" max="15622" width="15.7109375" customWidth="1"/>
    <col min="15874" max="15874" width="31.85546875" customWidth="1"/>
    <col min="15875" max="15875" width="12.28515625" bestFit="1" customWidth="1"/>
    <col min="15877" max="15877" width="17.140625" customWidth="1"/>
    <col min="15878" max="15878" width="15.7109375" customWidth="1"/>
    <col min="16130" max="16130" width="31.85546875" customWidth="1"/>
    <col min="16131" max="16131" width="12.28515625" bestFit="1" customWidth="1"/>
    <col min="16133" max="16133" width="17.140625" customWidth="1"/>
    <col min="16134" max="16134" width="15.7109375" customWidth="1"/>
  </cols>
  <sheetData>
    <row r="2" spans="1:6" s="49" customFormat="1" ht="18" x14ac:dyDescent="0.25">
      <c r="D2" s="82"/>
      <c r="F2" s="70"/>
    </row>
    <row r="3" spans="1:6" s="2" customFormat="1" ht="12.75" x14ac:dyDescent="0.2">
      <c r="B3" s="10"/>
      <c r="C3" s="10"/>
      <c r="D3" s="83"/>
      <c r="E3" s="83"/>
      <c r="F3" s="85"/>
    </row>
    <row r="4" spans="1:6" s="2" customFormat="1" ht="12.75" x14ac:dyDescent="0.2">
      <c r="B4" s="10"/>
      <c r="C4" s="10"/>
      <c r="D4" s="83"/>
      <c r="E4" s="83"/>
      <c r="F4" s="85"/>
    </row>
    <row r="5" spans="1:6" x14ac:dyDescent="0.25">
      <c r="A5" s="2"/>
      <c r="B5" s="10"/>
      <c r="C5" s="67"/>
      <c r="D5" s="68"/>
      <c r="E5" s="83"/>
      <c r="F5" s="2"/>
    </row>
    <row r="6" spans="1:6" x14ac:dyDescent="0.25">
      <c r="A6" s="2"/>
      <c r="B6" s="10"/>
      <c r="C6" s="67"/>
      <c r="D6" s="68"/>
      <c r="E6" s="83"/>
      <c r="F6" s="2"/>
    </row>
    <row r="7" spans="1:6" x14ac:dyDescent="0.25">
      <c r="A7" s="2"/>
      <c r="B7" s="10"/>
      <c r="C7" s="67"/>
      <c r="D7" s="68"/>
      <c r="E7" s="83"/>
      <c r="F7" s="2"/>
    </row>
    <row r="8" spans="1:6" x14ac:dyDescent="0.25">
      <c r="B8" s="10"/>
      <c r="C8" s="67"/>
      <c r="D8" s="68"/>
      <c r="E8" s="83"/>
      <c r="F8" s="2"/>
    </row>
    <row r="9" spans="1:6" x14ac:dyDescent="0.25">
      <c r="B9" s="10"/>
      <c r="C9" s="67"/>
      <c r="D9" s="68"/>
      <c r="E9" s="83"/>
      <c r="F9" s="2"/>
    </row>
    <row r="10" spans="1:6" x14ac:dyDescent="0.25">
      <c r="B10" s="10"/>
      <c r="C10" s="67"/>
      <c r="D10" s="68"/>
      <c r="E10" s="83"/>
      <c r="F10" s="2"/>
    </row>
    <row r="11" spans="1:6" x14ac:dyDescent="0.25">
      <c r="A11" s="2"/>
      <c r="B11" s="10"/>
      <c r="C11" s="67"/>
      <c r="D11" s="68"/>
      <c r="E11" s="83"/>
      <c r="F11" s="2"/>
    </row>
    <row r="12" spans="1:6" x14ac:dyDescent="0.25">
      <c r="A12" s="2"/>
      <c r="B12" s="2"/>
      <c r="C12" s="67"/>
      <c r="D12" s="68"/>
      <c r="E12" s="84"/>
      <c r="F12" s="2"/>
    </row>
    <row r="13" spans="1:6" x14ac:dyDescent="0.25">
      <c r="A13" s="2"/>
      <c r="B13" s="2"/>
      <c r="C13" s="67"/>
      <c r="D13" s="68"/>
      <c r="E13" s="84"/>
      <c r="F13" s="2"/>
    </row>
    <row r="14" spans="1:6" x14ac:dyDescent="0.25">
      <c r="B14" s="2"/>
      <c r="C14" s="67"/>
      <c r="D14" s="68"/>
      <c r="E14" s="84"/>
      <c r="F14" s="2"/>
    </row>
    <row r="15" spans="1:6" x14ac:dyDescent="0.25">
      <c r="B15" s="2"/>
      <c r="C15" s="67"/>
      <c r="D15" s="68"/>
      <c r="E15" s="84"/>
      <c r="F15" s="2"/>
    </row>
    <row r="16" spans="1:6" x14ac:dyDescent="0.25">
      <c r="B16" s="2"/>
      <c r="C16" s="67"/>
      <c r="D16" s="68"/>
      <c r="E16" s="84"/>
      <c r="F16" s="2"/>
    </row>
    <row r="17" spans="1:6" x14ac:dyDescent="0.25">
      <c r="A17" s="2"/>
      <c r="B17" s="2"/>
      <c r="C17" s="67"/>
      <c r="D17" s="68"/>
      <c r="E17" s="84"/>
      <c r="F17" s="2"/>
    </row>
    <row r="18" spans="1:6" x14ac:dyDescent="0.25">
      <c r="A18" s="2"/>
      <c r="B18" s="2"/>
      <c r="C18" s="67"/>
      <c r="D18" s="68"/>
      <c r="E18" s="84"/>
      <c r="F18" s="2"/>
    </row>
    <row r="19" spans="1:6" x14ac:dyDescent="0.25">
      <c r="A19" s="2"/>
      <c r="B19" s="2"/>
      <c r="C19" s="67"/>
      <c r="D19" s="68"/>
      <c r="E19" s="84"/>
      <c r="F19" s="2"/>
    </row>
    <row r="20" spans="1:6" x14ac:dyDescent="0.25">
      <c r="A20" s="2"/>
      <c r="B20" s="2"/>
      <c r="C20" s="67"/>
      <c r="D20" s="68"/>
      <c r="E20" s="84"/>
      <c r="F20" s="2"/>
    </row>
    <row r="21" spans="1:6" x14ac:dyDescent="0.25">
      <c r="A21" s="2"/>
      <c r="B21" s="2"/>
      <c r="C21" s="67"/>
      <c r="D21" s="68"/>
      <c r="E21" s="84"/>
      <c r="F21" s="2"/>
    </row>
    <row r="22" spans="1:6" x14ac:dyDescent="0.25">
      <c r="A22" s="2"/>
      <c r="B22" s="2"/>
      <c r="C22" s="67"/>
      <c r="D22" s="68"/>
      <c r="E22" s="84"/>
      <c r="F22" s="2"/>
    </row>
    <row r="23" spans="1:6" x14ac:dyDescent="0.25">
      <c r="A23" s="2"/>
      <c r="B23" s="2"/>
      <c r="C23" s="67"/>
      <c r="D23" s="68"/>
      <c r="E23" s="84"/>
      <c r="F23" s="2"/>
    </row>
    <row r="24" spans="1:6" x14ac:dyDescent="0.25">
      <c r="B24" s="2"/>
      <c r="C24" s="67"/>
      <c r="D24" s="68"/>
      <c r="E24" s="84"/>
      <c r="F24" s="2"/>
    </row>
    <row r="25" spans="1:6" x14ac:dyDescent="0.25">
      <c r="A25" s="2"/>
      <c r="B25" s="2"/>
      <c r="C25" s="67"/>
      <c r="D25" s="68"/>
      <c r="E25" s="84"/>
      <c r="F25" s="2"/>
    </row>
    <row r="26" spans="1:6" x14ac:dyDescent="0.25">
      <c r="B26" s="2"/>
      <c r="C26" s="67"/>
      <c r="D26" s="68"/>
      <c r="E26" s="84"/>
    </row>
    <row r="27" spans="1:6" x14ac:dyDescent="0.25">
      <c r="B27" s="2"/>
      <c r="C27" s="67"/>
      <c r="D27" s="68"/>
      <c r="E27" s="84"/>
    </row>
    <row r="28" spans="1:6" ht="18" x14ac:dyDescent="0.25">
      <c r="C28" s="67"/>
      <c r="D28" s="68"/>
      <c r="E28" s="69"/>
    </row>
    <row r="29" spans="1:6" ht="18" x14ac:dyDescent="0.25">
      <c r="C29" s="67"/>
      <c r="D29" s="68"/>
      <c r="E29" s="69"/>
    </row>
    <row r="30" spans="1:6" ht="18" x14ac:dyDescent="0.25">
      <c r="E30" s="82"/>
    </row>
    <row r="33" spans="4:5" ht="12" customHeight="1" x14ac:dyDescent="0.25">
      <c r="D33"/>
      <c r="E33"/>
    </row>
    <row r="34" spans="4:5" x14ac:dyDescent="0.25">
      <c r="D34"/>
      <c r="E34"/>
    </row>
    <row r="49" spans="4:5" hidden="1" x14ac:dyDescent="0.25">
      <c r="D49"/>
      <c r="E49"/>
    </row>
    <row r="50" spans="4:5" x14ac:dyDescent="0.25">
      <c r="D50"/>
      <c r="E50"/>
    </row>
    <row r="51" spans="4:5" x14ac:dyDescent="0.25">
      <c r="D51"/>
      <c r="E51"/>
    </row>
    <row r="52" spans="4:5" x14ac:dyDescent="0.25">
      <c r="D52"/>
      <c r="E52"/>
    </row>
    <row r="53" spans="4:5" hidden="1" x14ac:dyDescent="0.25">
      <c r="D53"/>
      <c r="E53"/>
    </row>
    <row r="54" spans="4:5" hidden="1" x14ac:dyDescent="0.25">
      <c r="D54"/>
      <c r="E54"/>
    </row>
    <row r="55" spans="4:5" hidden="1" x14ac:dyDescent="0.25">
      <c r="D55"/>
      <c r="E55"/>
    </row>
    <row r="56" spans="4:5" x14ac:dyDescent="0.25">
      <c r="D56"/>
      <c r="E56"/>
    </row>
    <row r="57" spans="4:5" x14ac:dyDescent="0.25">
      <c r="D57"/>
      <c r="E57"/>
    </row>
    <row r="58" spans="4:5" x14ac:dyDescent="0.25">
      <c r="D58"/>
      <c r="E58"/>
    </row>
    <row r="59" spans="4:5" x14ac:dyDescent="0.25">
      <c r="D59"/>
      <c r="E59"/>
    </row>
    <row r="60" spans="4:5" x14ac:dyDescent="0.25">
      <c r="D60"/>
      <c r="E60"/>
    </row>
    <row r="61" spans="4:5" x14ac:dyDescent="0.25">
      <c r="D61"/>
      <c r="E61"/>
    </row>
    <row r="62" spans="4:5" hidden="1" x14ac:dyDescent="0.25">
      <c r="D62"/>
      <c r="E62"/>
    </row>
    <row r="63" spans="4:5" x14ac:dyDescent="0.25">
      <c r="D63"/>
      <c r="E63"/>
    </row>
    <row r="64" spans="4:5" x14ac:dyDescent="0.25">
      <c r="D64"/>
      <c r="E64"/>
    </row>
    <row r="65" spans="4:5" x14ac:dyDescent="0.25">
      <c r="D65"/>
      <c r="E65"/>
    </row>
    <row r="66" spans="4:5" x14ac:dyDescent="0.25">
      <c r="D66"/>
      <c r="E66"/>
    </row>
    <row r="67" spans="4:5" x14ac:dyDescent="0.25">
      <c r="D67"/>
      <c r="E67"/>
    </row>
    <row r="68" spans="4:5" x14ac:dyDescent="0.25">
      <c r="D68"/>
      <c r="E68"/>
    </row>
    <row r="69" spans="4:5" x14ac:dyDescent="0.25">
      <c r="D69"/>
      <c r="E69"/>
    </row>
    <row r="70" spans="4:5" x14ac:dyDescent="0.25">
      <c r="D70"/>
      <c r="E70"/>
    </row>
    <row r="71" spans="4:5" x14ac:dyDescent="0.25">
      <c r="D71"/>
      <c r="E71"/>
    </row>
    <row r="72" spans="4:5" x14ac:dyDescent="0.25">
      <c r="D72"/>
      <c r="E72"/>
    </row>
    <row r="73" spans="4:5" x14ac:dyDescent="0.25">
      <c r="D73"/>
      <c r="E73"/>
    </row>
    <row r="74" spans="4:5" x14ac:dyDescent="0.25">
      <c r="D74"/>
      <c r="E74"/>
    </row>
    <row r="75" spans="4:5" x14ac:dyDescent="0.25">
      <c r="D75"/>
      <c r="E75"/>
    </row>
    <row r="76" spans="4:5" x14ac:dyDescent="0.25">
      <c r="D76"/>
      <c r="E76"/>
    </row>
    <row r="77" spans="4:5" x14ac:dyDescent="0.25">
      <c r="D77"/>
      <c r="E77"/>
    </row>
    <row r="78" spans="4:5" x14ac:dyDescent="0.25">
      <c r="D78"/>
      <c r="E78"/>
    </row>
    <row r="79" spans="4:5" x14ac:dyDescent="0.25">
      <c r="D79"/>
      <c r="E79"/>
    </row>
    <row r="80" spans="4:5" x14ac:dyDescent="0.25">
      <c r="D80"/>
      <c r="E80"/>
    </row>
    <row r="81" spans="4:5" x14ac:dyDescent="0.25">
      <c r="D81"/>
      <c r="E81"/>
    </row>
    <row r="82" spans="4:5" x14ac:dyDescent="0.25">
      <c r="D82"/>
      <c r="E82"/>
    </row>
    <row r="83" spans="4:5" x14ac:dyDescent="0.25">
      <c r="D83"/>
      <c r="E83"/>
    </row>
    <row r="84" spans="4:5" x14ac:dyDescent="0.25">
      <c r="D84"/>
      <c r="E84"/>
    </row>
    <row r="85" spans="4:5" x14ac:dyDescent="0.25">
      <c r="D85"/>
      <c r="E85"/>
    </row>
    <row r="86" spans="4:5" x14ac:dyDescent="0.25">
      <c r="D86"/>
      <c r="E86"/>
    </row>
    <row r="87" spans="4:5" x14ac:dyDescent="0.25">
      <c r="D87"/>
      <c r="E87"/>
    </row>
    <row r="88" spans="4:5" x14ac:dyDescent="0.25">
      <c r="D88"/>
      <c r="E88"/>
    </row>
    <row r="89" spans="4:5" x14ac:dyDescent="0.25">
      <c r="D89"/>
      <c r="E89"/>
    </row>
    <row r="90" spans="4:5" x14ac:dyDescent="0.25">
      <c r="D90"/>
      <c r="E90"/>
    </row>
    <row r="91" spans="4:5" x14ac:dyDescent="0.25">
      <c r="D91"/>
      <c r="E91"/>
    </row>
    <row r="92" spans="4:5" x14ac:dyDescent="0.25">
      <c r="D92"/>
      <c r="E92"/>
    </row>
    <row r="93" spans="4:5" x14ac:dyDescent="0.25">
      <c r="D93"/>
      <c r="E93"/>
    </row>
    <row r="94" spans="4:5" x14ac:dyDescent="0.25">
      <c r="D94"/>
      <c r="E94"/>
    </row>
    <row r="95" spans="4:5" x14ac:dyDescent="0.25">
      <c r="D95"/>
      <c r="E95"/>
    </row>
    <row r="96" spans="4:5" x14ac:dyDescent="0.25">
      <c r="D96"/>
      <c r="E96"/>
    </row>
    <row r="97" spans="4:5" x14ac:dyDescent="0.25">
      <c r="D97"/>
      <c r="E97"/>
    </row>
    <row r="98" spans="4:5" x14ac:dyDescent="0.25">
      <c r="D98"/>
      <c r="E98"/>
    </row>
    <row r="99" spans="4:5" x14ac:dyDescent="0.25">
      <c r="D99"/>
      <c r="E99"/>
    </row>
    <row r="100" spans="4:5" x14ac:dyDescent="0.25">
      <c r="D100"/>
      <c r="E100"/>
    </row>
    <row r="101" spans="4:5" x14ac:dyDescent="0.25">
      <c r="D101"/>
      <c r="E101"/>
    </row>
    <row r="102" spans="4:5" x14ac:dyDescent="0.25">
      <c r="D102"/>
      <c r="E102"/>
    </row>
    <row r="103" spans="4:5" x14ac:dyDescent="0.25">
      <c r="D103"/>
      <c r="E103"/>
    </row>
    <row r="104" spans="4:5" x14ac:dyDescent="0.25">
      <c r="D104"/>
      <c r="E104"/>
    </row>
    <row r="105" spans="4:5" x14ac:dyDescent="0.25">
      <c r="D105"/>
      <c r="E105"/>
    </row>
    <row r="106" spans="4:5" x14ac:dyDescent="0.25">
      <c r="D106"/>
      <c r="E106"/>
    </row>
    <row r="107" spans="4:5" x14ac:dyDescent="0.25">
      <c r="D107"/>
      <c r="E107"/>
    </row>
    <row r="108" spans="4:5" x14ac:dyDescent="0.25">
      <c r="D108"/>
      <c r="E108"/>
    </row>
    <row r="109" spans="4:5" x14ac:dyDescent="0.25">
      <c r="D109"/>
      <c r="E109"/>
    </row>
    <row r="110" spans="4:5" x14ac:dyDescent="0.25">
      <c r="D110"/>
      <c r="E110"/>
    </row>
    <row r="111" spans="4:5" x14ac:dyDescent="0.25">
      <c r="D111"/>
      <c r="E111"/>
    </row>
    <row r="112" spans="4:5" x14ac:dyDescent="0.25">
      <c r="D112"/>
      <c r="E112"/>
    </row>
    <row r="113" spans="4:5" x14ac:dyDescent="0.25">
      <c r="D113"/>
      <c r="E113"/>
    </row>
    <row r="114" spans="4:5" x14ac:dyDescent="0.25">
      <c r="D114"/>
      <c r="E114"/>
    </row>
    <row r="115" spans="4:5" x14ac:dyDescent="0.25">
      <c r="D115"/>
      <c r="E115"/>
    </row>
    <row r="116" spans="4:5" x14ac:dyDescent="0.25">
      <c r="D116"/>
      <c r="E116"/>
    </row>
    <row r="117" spans="4:5" x14ac:dyDescent="0.25">
      <c r="D117"/>
      <c r="E117"/>
    </row>
    <row r="118" spans="4:5" x14ac:dyDescent="0.25">
      <c r="D118"/>
      <c r="E118"/>
    </row>
    <row r="119" spans="4:5" x14ac:dyDescent="0.25">
      <c r="D119"/>
      <c r="E119"/>
    </row>
    <row r="120" spans="4:5" x14ac:dyDescent="0.25">
      <c r="D120"/>
      <c r="E120"/>
    </row>
    <row r="121" spans="4:5" x14ac:dyDescent="0.25">
      <c r="D121"/>
      <c r="E121"/>
    </row>
    <row r="122" spans="4:5" x14ac:dyDescent="0.25">
      <c r="D122"/>
      <c r="E122"/>
    </row>
    <row r="123" spans="4:5" x14ac:dyDescent="0.25">
      <c r="D123"/>
      <c r="E123"/>
    </row>
    <row r="124" spans="4:5" x14ac:dyDescent="0.25">
      <c r="D124"/>
      <c r="E124"/>
    </row>
    <row r="125" spans="4:5" x14ac:dyDescent="0.25">
      <c r="D125"/>
      <c r="E125"/>
    </row>
    <row r="126" spans="4:5" x14ac:dyDescent="0.25">
      <c r="D126"/>
      <c r="E126"/>
    </row>
    <row r="127" spans="4:5" x14ac:dyDescent="0.25">
      <c r="D127"/>
      <c r="E127"/>
    </row>
    <row r="128" spans="4:5" x14ac:dyDescent="0.25">
      <c r="D128"/>
      <c r="E128"/>
    </row>
    <row r="129" spans="4:5" x14ac:dyDescent="0.25">
      <c r="D129"/>
      <c r="E129"/>
    </row>
    <row r="130" spans="4:5" x14ac:dyDescent="0.25">
      <c r="D130"/>
      <c r="E13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2</vt:i4>
      </vt:variant>
    </vt:vector>
  </HeadingPairs>
  <TitlesOfParts>
    <vt:vector size="8" baseType="lpstr">
      <vt:lpstr>Deuda</vt:lpstr>
      <vt:lpstr>compras</vt:lpstr>
      <vt:lpstr>Alm Gral</vt:lpstr>
      <vt:lpstr>Central</vt:lpstr>
      <vt:lpstr>Herr</vt:lpstr>
      <vt:lpstr>CIC</vt:lpstr>
      <vt:lpstr>'Alm Gral'!Área_de_impresión</vt:lpstr>
      <vt:lpstr>Central!Área_de_impresión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octavio-cic</dc:creator>
  <cp:lastModifiedBy>ROUSS</cp:lastModifiedBy>
  <cp:lastPrinted>2014-01-07T21:18:46Z</cp:lastPrinted>
  <dcterms:created xsi:type="dcterms:W3CDTF">2011-09-01T14:27:58Z</dcterms:created>
  <dcterms:modified xsi:type="dcterms:W3CDTF">2014-01-07T21:19:46Z</dcterms:modified>
</cp:coreProperties>
</file>