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Deuda" sheetId="1" r:id="rId1"/>
    <sheet name="compras" sheetId="2" r:id="rId2"/>
    <sheet name="Alm Gral" sheetId="8" r:id="rId3"/>
    <sheet name="Central" sheetId="10" r:id="rId4"/>
    <sheet name="Herr" sheetId="6" r:id="rId5"/>
    <sheet name="CIC" sheetId="7" r:id="rId6"/>
  </sheets>
  <definedNames>
    <definedName name="_xlnm.Print_Area" localSheetId="2">'Alm Gral'!$A$1:$F$28</definedName>
    <definedName name="_xlnm.Print_Area" localSheetId="3">Central!$A$1:$J$6</definedName>
  </definedNames>
  <calcPr calcId="144525"/>
</workbook>
</file>

<file path=xl/calcChain.xml><?xml version="1.0" encoding="utf-8"?>
<calcChain xmlns="http://schemas.openxmlformats.org/spreadsheetml/2006/main">
  <c r="F25" i="8" l="1"/>
  <c r="E25" i="8"/>
  <c r="I25" i="8" s="1"/>
  <c r="C25" i="8"/>
  <c r="I24" i="8"/>
  <c r="G24" i="8"/>
  <c r="F24" i="8"/>
  <c r="I23" i="8"/>
  <c r="G23" i="8"/>
  <c r="F23" i="8"/>
  <c r="F22" i="8"/>
  <c r="E22" i="8"/>
  <c r="I22" i="8" s="1"/>
  <c r="C22" i="8"/>
  <c r="E21" i="8"/>
  <c r="I21" i="8" s="1"/>
  <c r="B21" i="8"/>
  <c r="F21" i="8" s="1"/>
  <c r="F20" i="8"/>
  <c r="E20" i="8"/>
  <c r="I20" i="8" s="1"/>
  <c r="I19" i="8"/>
  <c r="G19" i="8"/>
  <c r="F19" i="8"/>
  <c r="F18" i="8"/>
  <c r="E18" i="8"/>
  <c r="I18" i="8" s="1"/>
  <c r="F17" i="8"/>
  <c r="E17" i="8"/>
  <c r="I17" i="8" s="1"/>
  <c r="I16" i="8"/>
  <c r="G16" i="8"/>
  <c r="F16" i="8"/>
  <c r="F15" i="8"/>
  <c r="E15" i="8"/>
  <c r="I15" i="8" s="1"/>
  <c r="I14" i="8"/>
  <c r="G14" i="8"/>
  <c r="F14" i="8"/>
  <c r="I13" i="8"/>
  <c r="G13" i="8"/>
  <c r="F13" i="8"/>
  <c r="I12" i="8"/>
  <c r="G12" i="8"/>
  <c r="F12" i="8"/>
  <c r="I11" i="8"/>
  <c r="G11" i="8"/>
  <c r="F11" i="8"/>
  <c r="F10" i="8"/>
  <c r="E10" i="8"/>
  <c r="E27" i="8" s="1"/>
  <c r="I9" i="8"/>
  <c r="G9" i="8"/>
  <c r="F9" i="8"/>
  <c r="G10" i="8" l="1"/>
  <c r="I10" i="8"/>
  <c r="I27" i="8" s="1"/>
  <c r="G15" i="8"/>
  <c r="G17" i="8"/>
  <c r="G18" i="8"/>
  <c r="G20" i="8"/>
  <c r="C21" i="8"/>
  <c r="G21" i="8"/>
  <c r="G22" i="8"/>
  <c r="G25" i="8"/>
  <c r="X83" i="2" l="1"/>
  <c r="Y83" i="2" s="1"/>
  <c r="W83" i="2"/>
  <c r="H83" i="2"/>
  <c r="X82" i="2"/>
  <c r="Y82" i="2" s="1"/>
  <c r="W82" i="2"/>
  <c r="H82" i="2"/>
  <c r="F81" i="2"/>
  <c r="E81" i="2"/>
  <c r="U81" i="2" s="1"/>
  <c r="X80" i="2"/>
  <c r="Y80" i="2" s="1"/>
  <c r="W80" i="2"/>
  <c r="H80" i="2"/>
  <c r="P79" i="2"/>
  <c r="F79" i="2"/>
  <c r="H79" i="2" s="1"/>
  <c r="G78" i="2"/>
  <c r="F78" i="2"/>
  <c r="E78" i="2"/>
  <c r="U78" i="2" s="1"/>
  <c r="X77" i="2"/>
  <c r="Y77" i="2" s="1"/>
  <c r="W77" i="2"/>
  <c r="H77" i="2"/>
  <c r="X76" i="2"/>
  <c r="Y76" i="2" s="1"/>
  <c r="W76" i="2"/>
  <c r="H76" i="2"/>
  <c r="F75" i="2"/>
  <c r="E75" i="2"/>
  <c r="U75" i="2" s="1"/>
  <c r="W74" i="2"/>
  <c r="F74" i="2"/>
  <c r="T74" i="2" s="1"/>
  <c r="X74" i="2" s="1"/>
  <c r="Y74" i="2" s="1"/>
  <c r="W73" i="2"/>
  <c r="F73" i="2"/>
  <c r="T73" i="2" s="1"/>
  <c r="X73" i="2" s="1"/>
  <c r="Y73" i="2" s="1"/>
  <c r="X72" i="2"/>
  <c r="Y72" i="2" s="1"/>
  <c r="W72" i="2"/>
  <c r="H72" i="2"/>
  <c r="U71" i="2"/>
  <c r="G71" i="2"/>
  <c r="H71" i="2" s="1"/>
  <c r="X69" i="2"/>
  <c r="Y69" i="2" s="1"/>
  <c r="W69" i="2"/>
  <c r="H69" i="2"/>
  <c r="W68" i="2"/>
  <c r="F68" i="2"/>
  <c r="T68" i="2" s="1"/>
  <c r="X68" i="2" s="1"/>
  <c r="Y68" i="2" s="1"/>
  <c r="X67" i="2"/>
  <c r="Y67" i="2" s="1"/>
  <c r="W67" i="2"/>
  <c r="H67" i="2"/>
  <c r="W66" i="2"/>
  <c r="F66" i="2"/>
  <c r="T66" i="2" s="1"/>
  <c r="X66" i="2" s="1"/>
  <c r="Y66" i="2" s="1"/>
  <c r="W65" i="2"/>
  <c r="F65" i="2"/>
  <c r="T65" i="2" s="1"/>
  <c r="X65" i="2" s="1"/>
  <c r="Y65" i="2" s="1"/>
  <c r="U64" i="2"/>
  <c r="S64" i="2"/>
  <c r="R64" i="2"/>
  <c r="G64" i="2"/>
  <c r="H64" i="2" s="1"/>
  <c r="X63" i="2"/>
  <c r="Y63" i="2" s="1"/>
  <c r="W63" i="2"/>
  <c r="H63" i="2"/>
  <c r="U62" i="2"/>
  <c r="F62" i="2"/>
  <c r="X62" i="2" s="1"/>
  <c r="Y62" i="2" s="1"/>
  <c r="X61" i="2"/>
  <c r="Y61" i="2" s="1"/>
  <c r="W61" i="2"/>
  <c r="H61" i="2"/>
  <c r="P60" i="2"/>
  <c r="F60" i="2"/>
  <c r="H60" i="2" s="1"/>
  <c r="U59" i="2"/>
  <c r="S59" i="2"/>
  <c r="R59" i="2"/>
  <c r="G59" i="2"/>
  <c r="H59" i="2" s="1"/>
  <c r="U58" i="2"/>
  <c r="X58" i="2" s="1"/>
  <c r="Y58" i="2" s="1"/>
  <c r="H58" i="2"/>
  <c r="W57" i="2"/>
  <c r="F57" i="2"/>
  <c r="T57" i="2" s="1"/>
  <c r="X57" i="2" s="1"/>
  <c r="Y57" i="2" s="1"/>
  <c r="W56" i="2"/>
  <c r="F56" i="2"/>
  <c r="T56" i="2" s="1"/>
  <c r="X56" i="2" s="1"/>
  <c r="Y56" i="2" s="1"/>
  <c r="X55" i="2"/>
  <c r="Y55" i="2" s="1"/>
  <c r="W55" i="2"/>
  <c r="H55" i="2"/>
  <c r="U54" i="2"/>
  <c r="G54" i="2"/>
  <c r="H54" i="2" s="1"/>
  <c r="U52" i="2"/>
  <c r="S52" i="2"/>
  <c r="R52" i="2"/>
  <c r="G52" i="2"/>
  <c r="F52" i="2"/>
  <c r="X52" i="2" s="1"/>
  <c r="Y52" i="2" s="1"/>
  <c r="W51" i="2"/>
  <c r="F51" i="2"/>
  <c r="T51" i="2" s="1"/>
  <c r="X51" i="2" s="1"/>
  <c r="Y51" i="2" s="1"/>
  <c r="U50" i="2"/>
  <c r="S50" i="2"/>
  <c r="R50" i="2"/>
  <c r="G50" i="2"/>
  <c r="F50" i="2"/>
  <c r="X50" i="2" s="1"/>
  <c r="Y50" i="2" s="1"/>
  <c r="U49" i="2"/>
  <c r="S49" i="2"/>
  <c r="R49" i="2"/>
  <c r="G49" i="2"/>
  <c r="H49" i="2" s="1"/>
  <c r="W48" i="2"/>
  <c r="F48" i="2"/>
  <c r="T48" i="2" s="1"/>
  <c r="X48" i="2" s="1"/>
  <c r="Y48" i="2" s="1"/>
  <c r="X47" i="2"/>
  <c r="Y47" i="2" s="1"/>
  <c r="W47" i="2"/>
  <c r="H47" i="2"/>
  <c r="U46" i="2"/>
  <c r="X46" i="2" s="1"/>
  <c r="Y46" i="2" s="1"/>
  <c r="H46" i="2"/>
  <c r="X45" i="2"/>
  <c r="Y45" i="2" s="1"/>
  <c r="W45" i="2"/>
  <c r="H45" i="2"/>
  <c r="W44" i="2"/>
  <c r="F44" i="2"/>
  <c r="T44" i="2" s="1"/>
  <c r="X44" i="2" s="1"/>
  <c r="Y44" i="2" s="1"/>
  <c r="U43" i="2"/>
  <c r="G43" i="2"/>
  <c r="H43" i="2" s="1"/>
  <c r="X42" i="2"/>
  <c r="Y42" i="2" s="1"/>
  <c r="W42" i="2"/>
  <c r="H42" i="2"/>
  <c r="F41" i="2"/>
  <c r="E41" i="2"/>
  <c r="U41" i="2" s="1"/>
  <c r="P40" i="2"/>
  <c r="F40" i="2"/>
  <c r="H40" i="2" s="1"/>
  <c r="P39" i="2"/>
  <c r="F39" i="2"/>
  <c r="H39" i="2" s="1"/>
  <c r="X38" i="2"/>
  <c r="Y38" i="2" s="1"/>
  <c r="W38" i="2"/>
  <c r="H38" i="2"/>
  <c r="G37" i="2"/>
  <c r="H37" i="2" s="1"/>
  <c r="E37" i="2"/>
  <c r="U37" i="2" s="1"/>
  <c r="W35" i="2"/>
  <c r="F35" i="2"/>
  <c r="T35" i="2" s="1"/>
  <c r="X35" i="2" s="1"/>
  <c r="Y35" i="2" s="1"/>
  <c r="W34" i="2"/>
  <c r="F34" i="2"/>
  <c r="T34" i="2" s="1"/>
  <c r="X34" i="2" s="1"/>
  <c r="Y34" i="2" s="1"/>
  <c r="W33" i="2"/>
  <c r="F33" i="2"/>
  <c r="T33" i="2" s="1"/>
  <c r="X33" i="2" s="1"/>
  <c r="Y33" i="2" s="1"/>
  <c r="U32" i="2"/>
  <c r="S32" i="2"/>
  <c r="R32" i="2"/>
  <c r="G32" i="2"/>
  <c r="H32" i="2" s="1"/>
  <c r="X31" i="2"/>
  <c r="Y31" i="2" s="1"/>
  <c r="W31" i="2"/>
  <c r="H31" i="2"/>
  <c r="X30" i="2"/>
  <c r="Y30" i="2" s="1"/>
  <c r="W30" i="2"/>
  <c r="H30" i="2"/>
  <c r="U29" i="2"/>
  <c r="F29" i="2"/>
  <c r="X29" i="2" s="1"/>
  <c r="Y29" i="2" s="1"/>
  <c r="X28" i="2"/>
  <c r="Y28" i="2" s="1"/>
  <c r="W28" i="2"/>
  <c r="H28" i="2"/>
  <c r="W27" i="2"/>
  <c r="F27" i="2"/>
  <c r="T27" i="2" s="1"/>
  <c r="X27" i="2" s="1"/>
  <c r="Y27" i="2" s="1"/>
  <c r="U26" i="2"/>
  <c r="S26" i="2"/>
  <c r="R26" i="2"/>
  <c r="G26" i="2"/>
  <c r="F26" i="2"/>
  <c r="X26" i="2" s="1"/>
  <c r="Y26" i="2" s="1"/>
  <c r="U25" i="2"/>
  <c r="X25" i="2" s="1"/>
  <c r="Y25" i="2" s="1"/>
  <c r="H25" i="2"/>
  <c r="W24" i="2"/>
  <c r="F24" i="2"/>
  <c r="T24" i="2" s="1"/>
  <c r="X24" i="2" s="1"/>
  <c r="Y24" i="2" s="1"/>
  <c r="W23" i="2"/>
  <c r="F23" i="2"/>
  <c r="T23" i="2" s="1"/>
  <c r="X23" i="2" s="1"/>
  <c r="Y23" i="2" s="1"/>
  <c r="X22" i="2"/>
  <c r="Y22" i="2" s="1"/>
  <c r="W22" i="2"/>
  <c r="H22" i="2"/>
  <c r="U21" i="2"/>
  <c r="G21" i="2"/>
  <c r="H21" i="2" s="1"/>
  <c r="F19" i="2"/>
  <c r="E19" i="2"/>
  <c r="U19" i="2" s="1"/>
  <c r="W18" i="2"/>
  <c r="F18" i="2"/>
  <c r="T18" i="2" s="1"/>
  <c r="X18" i="2" s="1"/>
  <c r="Y18" i="2" s="1"/>
  <c r="W17" i="2"/>
  <c r="F17" i="2"/>
  <c r="T17" i="2" s="1"/>
  <c r="X17" i="2" s="1"/>
  <c r="Y17" i="2" s="1"/>
  <c r="U16" i="2"/>
  <c r="S16" i="2"/>
  <c r="R16" i="2"/>
  <c r="G16" i="2"/>
  <c r="F16" i="2"/>
  <c r="X16" i="2" s="1"/>
  <c r="Y16" i="2" s="1"/>
  <c r="X15" i="2"/>
  <c r="Y15" i="2" s="1"/>
  <c r="W15" i="2"/>
  <c r="H15" i="2"/>
  <c r="F14" i="2"/>
  <c r="E14" i="2"/>
  <c r="U14" i="2" s="1"/>
  <c r="X13" i="2"/>
  <c r="Y13" i="2" s="1"/>
  <c r="W13" i="2"/>
  <c r="H13" i="2"/>
  <c r="W12" i="2"/>
  <c r="F12" i="2"/>
  <c r="T12" i="2" s="1"/>
  <c r="X12" i="2" s="1"/>
  <c r="Y12" i="2" s="1"/>
  <c r="X11" i="2"/>
  <c r="Y11" i="2" s="1"/>
  <c r="W11" i="2"/>
  <c r="H11" i="2"/>
  <c r="G10" i="2"/>
  <c r="F10" i="2"/>
  <c r="E10" i="2"/>
  <c r="U10" i="2" s="1"/>
  <c r="U9" i="2"/>
  <c r="F9" i="2"/>
  <c r="X9" i="2" s="1"/>
  <c r="Y9" i="2" s="1"/>
  <c r="W8" i="2"/>
  <c r="F8" i="2"/>
  <c r="T8" i="2" s="1"/>
  <c r="X8" i="2" s="1"/>
  <c r="Y8" i="2" s="1"/>
  <c r="W7" i="2"/>
  <c r="F7" i="2"/>
  <c r="T7" i="2" s="1"/>
  <c r="X7" i="2" s="1"/>
  <c r="Y7" i="2" s="1"/>
  <c r="W6" i="2"/>
  <c r="F6" i="2"/>
  <c r="T6" i="2" s="1"/>
  <c r="X6" i="2" s="1"/>
  <c r="Y6" i="2" s="1"/>
  <c r="F5" i="2"/>
  <c r="F4" i="2"/>
  <c r="R4" i="2" s="1"/>
  <c r="C122" i="1"/>
  <c r="D115" i="1"/>
  <c r="D110" i="1"/>
  <c r="D109" i="1"/>
  <c r="D107" i="1"/>
  <c r="C92" i="1"/>
  <c r="D114" i="1" s="1"/>
  <c r="C82" i="1"/>
  <c r="C125" i="1" s="1"/>
  <c r="C80" i="1"/>
  <c r="D113" i="1" s="1"/>
  <c r="D116" i="1" s="1"/>
  <c r="C79" i="1"/>
  <c r="C73" i="1"/>
  <c r="C126" i="1" s="1"/>
  <c r="C71" i="1"/>
  <c r="D108" i="1" s="1"/>
  <c r="C70" i="1"/>
  <c r="C69" i="1"/>
  <c r="C68" i="1"/>
  <c r="C67" i="1"/>
  <c r="C66" i="1"/>
  <c r="C65" i="1"/>
  <c r="C64" i="1"/>
  <c r="C63" i="1"/>
  <c r="C62" i="1"/>
  <c r="C60" i="1"/>
  <c r="C57" i="1"/>
  <c r="C56" i="1"/>
  <c r="C55" i="1"/>
  <c r="C53" i="1"/>
  <c r="C52" i="1"/>
  <c r="C51" i="1"/>
  <c r="C50" i="1"/>
  <c r="C48" i="1"/>
  <c r="C45" i="1"/>
  <c r="C44" i="1"/>
  <c r="C38" i="1"/>
  <c r="C35" i="1"/>
  <c r="C33" i="1"/>
  <c r="C32" i="1"/>
  <c r="C31" i="1"/>
  <c r="C30" i="1"/>
  <c r="C29" i="1"/>
  <c r="C28" i="1"/>
  <c r="C27" i="1"/>
  <c r="H10" i="2" l="1"/>
  <c r="H16" i="2"/>
  <c r="X21" i="2"/>
  <c r="Y21" i="2" s="1"/>
  <c r="H26" i="2"/>
  <c r="X32" i="2"/>
  <c r="Y32" i="2" s="1"/>
  <c r="X43" i="2"/>
  <c r="Y43" i="2" s="1"/>
  <c r="X49" i="2"/>
  <c r="Y49" i="2" s="1"/>
  <c r="H50" i="2"/>
  <c r="H52" i="2"/>
  <c r="X54" i="2"/>
  <c r="Y54" i="2" s="1"/>
  <c r="X59" i="2"/>
  <c r="Y59" i="2" s="1"/>
  <c r="X64" i="2"/>
  <c r="Y64" i="2" s="1"/>
  <c r="X71" i="2"/>
  <c r="Y71" i="2" s="1"/>
  <c r="H78" i="2"/>
  <c r="H4" i="2"/>
  <c r="Q4" i="2"/>
  <c r="R5" i="2"/>
  <c r="Q5" i="2"/>
  <c r="H5" i="2"/>
  <c r="X14" i="2"/>
  <c r="Y14" i="2" s="1"/>
  <c r="X19" i="2"/>
  <c r="Y19" i="2" s="1"/>
  <c r="X37" i="2"/>
  <c r="Y37" i="2" s="1"/>
  <c r="W37" i="2"/>
  <c r="X41" i="2"/>
  <c r="Y41" i="2" s="1"/>
  <c r="H6" i="2"/>
  <c r="H7" i="2"/>
  <c r="H8" i="2"/>
  <c r="H9" i="2"/>
  <c r="W9" i="2"/>
  <c r="R10" i="2"/>
  <c r="S10" i="2"/>
  <c r="W10" i="2"/>
  <c r="H12" i="2"/>
  <c r="H14" i="2"/>
  <c r="W14" i="2"/>
  <c r="W16" i="2"/>
  <c r="H17" i="2"/>
  <c r="H18" i="2"/>
  <c r="H19" i="2"/>
  <c r="W19" i="2"/>
  <c r="W21" i="2"/>
  <c r="H23" i="2"/>
  <c r="H24" i="2"/>
  <c r="W25" i="2"/>
  <c r="W26" i="2"/>
  <c r="H27" i="2"/>
  <c r="H29" i="2"/>
  <c r="W29" i="2"/>
  <c r="W32" i="2"/>
  <c r="H33" i="2"/>
  <c r="H34" i="2"/>
  <c r="H35" i="2"/>
  <c r="W39" i="2"/>
  <c r="T39" i="2" s="1"/>
  <c r="X39" i="2" s="1"/>
  <c r="Y39" i="2" s="1"/>
  <c r="W40" i="2"/>
  <c r="T40" i="2" s="1"/>
  <c r="X40" i="2" s="1"/>
  <c r="Y40" i="2" s="1"/>
  <c r="H41" i="2"/>
  <c r="W41" i="2"/>
  <c r="W43" i="2"/>
  <c r="H44" i="2"/>
  <c r="W46" i="2"/>
  <c r="H48" i="2"/>
  <c r="W49" i="2"/>
  <c r="W50" i="2"/>
  <c r="H51" i="2"/>
  <c r="W52" i="2"/>
  <c r="W54" i="2"/>
  <c r="X75" i="2"/>
  <c r="Y75" i="2" s="1"/>
  <c r="X81" i="2"/>
  <c r="Y81" i="2" s="1"/>
  <c r="H56" i="2"/>
  <c r="H57" i="2"/>
  <c r="W58" i="2"/>
  <c r="W59" i="2"/>
  <c r="W60" i="2"/>
  <c r="T60" i="2" s="1"/>
  <c r="X60" i="2" s="1"/>
  <c r="Y60" i="2" s="1"/>
  <c r="H62" i="2"/>
  <c r="W62" i="2"/>
  <c r="W64" i="2"/>
  <c r="H65" i="2"/>
  <c r="H66" i="2"/>
  <c r="H68" i="2"/>
  <c r="W71" i="2"/>
  <c r="H73" i="2"/>
  <c r="H74" i="2"/>
  <c r="H75" i="2"/>
  <c r="W75" i="2"/>
  <c r="R78" i="2"/>
  <c r="S78" i="2"/>
  <c r="W78" i="2"/>
  <c r="W79" i="2"/>
  <c r="T79" i="2" s="1"/>
  <c r="X79" i="2" s="1"/>
  <c r="Y79" i="2" s="1"/>
  <c r="H81" i="2"/>
  <c r="W81" i="2"/>
  <c r="C128" i="1"/>
  <c r="D111" i="1"/>
  <c r="C104" i="1"/>
  <c r="X78" i="2" l="1"/>
  <c r="Y78" i="2" s="1"/>
  <c r="X10" i="2"/>
  <c r="Y10" i="2" s="1"/>
  <c r="W5" i="2"/>
  <c r="T5" i="2" s="1"/>
  <c r="X5" i="2" s="1"/>
  <c r="Y5" i="2" s="1"/>
  <c r="W4" i="2"/>
  <c r="T4" i="2" s="1"/>
  <c r="X4" i="2" s="1"/>
  <c r="Y4" i="2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1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<sst xmlns="http://schemas.openxmlformats.org/spreadsheetml/2006/main" count="844" uniqueCount="365">
  <si>
    <t>PRODUCTO</t>
  </si>
  <si>
    <t>CONTRA SWIFT</t>
  </si>
  <si>
    <t>CORBATA FARMLAND</t>
  </si>
  <si>
    <t>CUERO PAPEL BELLY FARMLAND</t>
  </si>
  <si>
    <t>FILETE DE PESCADO BASA</t>
  </si>
  <si>
    <t>matanza</t>
  </si>
  <si>
    <t>$ vixcera</t>
  </si>
  <si>
    <t>$ cargada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</si>
  <si>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</si>
  <si>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</si>
  <si>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</si>
  <si>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</si>
  <si>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</si>
  <si>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</si>
  <si>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</si>
  <si>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</si>
  <si>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</si>
  <si>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</si>
  <si>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</si>
  <si>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</si>
  <si>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</si>
  <si>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</si>
  <si>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</si>
  <si>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</si>
  <si>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</si>
  <si>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</si>
  <si>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seguro carga</t>
  </si>
  <si>
    <t>com</t>
  </si>
  <si>
    <t>costo integrado</t>
  </si>
  <si>
    <t>costo real</t>
  </si>
  <si>
    <t>$ carga total</t>
  </si>
  <si>
    <t>Canal de cerdo</t>
  </si>
  <si>
    <t>Granjerito</t>
  </si>
  <si>
    <t>lu</t>
  </si>
  <si>
    <t>Pernil con piel</t>
  </si>
  <si>
    <t>Seaboard</t>
  </si>
  <si>
    <t>21 combos</t>
  </si>
  <si>
    <t>Vazquez</t>
  </si>
  <si>
    <t>Sukarne</t>
  </si>
  <si>
    <t>20 combos</t>
  </si>
  <si>
    <t>Farmland</t>
  </si>
  <si>
    <t>24 combos</t>
  </si>
  <si>
    <t>Guerrero</t>
  </si>
  <si>
    <t>ma</t>
  </si>
  <si>
    <t>Atosa</t>
  </si>
  <si>
    <t>Torres</t>
  </si>
  <si>
    <t>Nu3</t>
  </si>
  <si>
    <t>Agrop Las Reses</t>
  </si>
  <si>
    <t>mi</t>
  </si>
  <si>
    <t>Paco</t>
  </si>
  <si>
    <t>ju</t>
  </si>
  <si>
    <t xml:space="preserve">Pernil con piel </t>
  </si>
  <si>
    <t>Excell</t>
  </si>
  <si>
    <t>Carnes Ali</t>
  </si>
  <si>
    <t>Lengua de cerdo</t>
  </si>
  <si>
    <t>Swift</t>
  </si>
  <si>
    <t>Impeg</t>
  </si>
  <si>
    <t>vi</t>
  </si>
  <si>
    <t>sa</t>
  </si>
  <si>
    <t>Agrop El Topete</t>
  </si>
  <si>
    <t>do</t>
  </si>
  <si>
    <t>Granjero Feliz</t>
  </si>
  <si>
    <t>23 combos</t>
  </si>
  <si>
    <t>Corbata</t>
  </si>
  <si>
    <t>Carrol</t>
  </si>
  <si>
    <t>19 combos</t>
  </si>
  <si>
    <t>Cano</t>
  </si>
  <si>
    <t>Adams</t>
  </si>
  <si>
    <t>Villarruel</t>
  </si>
  <si>
    <t>Moreno Villarruel</t>
  </si>
  <si>
    <t>RLG</t>
  </si>
  <si>
    <t>Agrop La Chemita</t>
  </si>
  <si>
    <t>Arrachera</t>
  </si>
  <si>
    <t>Ali</t>
  </si>
  <si>
    <t>5 cajas</t>
  </si>
  <si>
    <t>M</t>
  </si>
  <si>
    <t>cerdo vivo y matanza</t>
  </si>
  <si>
    <t>Mi</t>
  </si>
  <si>
    <t>transfer santander</t>
  </si>
  <si>
    <t>J</t>
  </si>
  <si>
    <t>transfer Cicodelpa</t>
  </si>
  <si>
    <t>V</t>
  </si>
  <si>
    <t>transfer bancomer</t>
  </si>
  <si>
    <t>S</t>
  </si>
  <si>
    <t>D</t>
  </si>
  <si>
    <t>L</t>
  </si>
  <si>
    <t>puerco vivo</t>
  </si>
  <si>
    <t>nlp057</t>
  </si>
  <si>
    <t>arrachera</t>
  </si>
  <si>
    <t>nlp058</t>
  </si>
  <si>
    <t>Transfer bancomer</t>
  </si>
  <si>
    <t>DESGLOSE POR PROVEEDORES</t>
  </si>
  <si>
    <t>CARNES ALI</t>
  </si>
  <si>
    <t>ADAMS INTERNATIONAL</t>
  </si>
  <si>
    <t>GRUPO NU3 CERDO VIVO Y MATANZAS</t>
  </si>
  <si>
    <t>TORRES</t>
  </si>
  <si>
    <t>GRANJERO FELIZ</t>
  </si>
  <si>
    <t>PRESTAMO ODELPA</t>
  </si>
  <si>
    <t>PRESTAMO BBVA</t>
  </si>
  <si>
    <t>PRESTAMO SANTANDER NLP</t>
  </si>
  <si>
    <t xml:space="preserve">PAGO ANTICIPADO CARGA SEABOARD </t>
  </si>
  <si>
    <t>DEUDA AL 30 DE OCTUBRE DE 2013</t>
  </si>
  <si>
    <t>Agrop Las Reses  mi 09/10/13</t>
  </si>
  <si>
    <t>fact 2656, 2657, 2652</t>
  </si>
  <si>
    <t>Seaboard  ju  17/10/13  nlp061</t>
  </si>
  <si>
    <t>fact 977099</t>
  </si>
  <si>
    <t>intercam  $40,583.56- 41,000</t>
  </si>
  <si>
    <t>Premium 15/10/13 nl13-495</t>
  </si>
  <si>
    <t>fact 94337479</t>
  </si>
  <si>
    <t>intercam $39,646.64</t>
  </si>
  <si>
    <t>Premium 15/10/13 nl13-496</t>
  </si>
  <si>
    <t>fact 94337480</t>
  </si>
  <si>
    <t>intercam $39,534.31</t>
  </si>
  <si>
    <t>Juan Pablo Torres  ju 10/10/13</t>
  </si>
  <si>
    <t>fact  12</t>
  </si>
  <si>
    <t>Agrop Las Reses  vi 11/10/13</t>
  </si>
  <si>
    <t>fact 2661, 2662</t>
  </si>
  <si>
    <t>Carnes Ali  ju 17/10/13</t>
  </si>
  <si>
    <t>fact 23439</t>
  </si>
  <si>
    <t>intercam $41,319.08</t>
  </si>
  <si>
    <t>Ryc Alimentos  4/10/13</t>
  </si>
  <si>
    <t>fact 45393</t>
  </si>
  <si>
    <t>Espaldilla de carnero</t>
  </si>
  <si>
    <t>Premium  18/10/13    nl13-498</t>
  </si>
  <si>
    <t>fact 94339004</t>
  </si>
  <si>
    <t>intercam $40,520.48</t>
  </si>
  <si>
    <t>Granjas Carroll   vi 18/10/13</t>
  </si>
  <si>
    <t>fact 21653</t>
  </si>
  <si>
    <t>Seaboard  sa  19/10/13  nlp062</t>
  </si>
  <si>
    <t>fact 978113</t>
  </si>
  <si>
    <t>intercam  $40,480.16- 40,000</t>
  </si>
  <si>
    <t>ASO del 6 al 11 oct</t>
  </si>
  <si>
    <t>fact 6388</t>
  </si>
  <si>
    <t>2 fletes sem 41</t>
  </si>
  <si>
    <t>Carnes Ali  mi 02/10/13</t>
  </si>
  <si>
    <t>fact 22408</t>
  </si>
  <si>
    <t>Contra excel</t>
  </si>
  <si>
    <t>Granjero Feliz  lu 14/10/13</t>
  </si>
  <si>
    <t>fact 66862</t>
  </si>
  <si>
    <t>Carnes Ali  lu 21/10/13</t>
  </si>
  <si>
    <t>fact 23698</t>
  </si>
  <si>
    <t>intercam $41,485.11</t>
  </si>
  <si>
    <t>Juan Pablo Torres   ma 15/10/13</t>
  </si>
  <si>
    <t>fact 13</t>
  </si>
  <si>
    <t>Impeg  15/10/13</t>
  </si>
  <si>
    <t>fact 75706</t>
  </si>
  <si>
    <t>lengua de cerdo</t>
  </si>
  <si>
    <t>Villarruel  vi  18/10/13</t>
  </si>
  <si>
    <t>fact 1544</t>
  </si>
  <si>
    <t>Seaboard  ju  24/10/13  nlp063</t>
  </si>
  <si>
    <t>fact 979319</t>
  </si>
  <si>
    <t>intercam  $40,954.71- 38,000</t>
  </si>
  <si>
    <t>Transfer santander</t>
  </si>
  <si>
    <t>Granjero Feliz  mi 16/10/13</t>
  </si>
  <si>
    <t>fact 66871</t>
  </si>
  <si>
    <t>Premium 22/10/13 nl13-499</t>
  </si>
  <si>
    <t>fact 94342298</t>
  </si>
  <si>
    <t>intercam $40,120.78</t>
  </si>
  <si>
    <t>Premium 22/10/13 nl13-500</t>
  </si>
  <si>
    <t>fact 94341229</t>
  </si>
  <si>
    <t>intercam $40,396.17</t>
  </si>
  <si>
    <t>Juan Pablo Torres  vi 18/10/13</t>
  </si>
  <si>
    <t>fact 14</t>
  </si>
  <si>
    <t>Carnes Ali  24/10/13</t>
  </si>
  <si>
    <t>fact 23915</t>
  </si>
  <si>
    <t>intercam $41,307.12</t>
  </si>
  <si>
    <t>Seaboard  sa  26/10/13  nlp064</t>
  </si>
  <si>
    <t>fact 979988</t>
  </si>
  <si>
    <t>intercam  $43,147.11- 38,000</t>
  </si>
  <si>
    <t>Premium 25/10/13  nl13-501</t>
  </si>
  <si>
    <t>fact 94343345</t>
  </si>
  <si>
    <t>intercam $41,473.50</t>
  </si>
  <si>
    <t>Premium 25/10/13  nl13-502</t>
  </si>
  <si>
    <t>fact 94343642</t>
  </si>
  <si>
    <t>intercam $41,123.42</t>
  </si>
  <si>
    <t>Agrop El Topete  do 20/10/13</t>
  </si>
  <si>
    <t>fact 1953, 1954, 1955</t>
  </si>
  <si>
    <t>Granjero Feliz  lu 21/10/13</t>
  </si>
  <si>
    <t>fact 66981</t>
  </si>
  <si>
    <t>Carnes Ali  28/10/13</t>
  </si>
  <si>
    <t>fact 24202</t>
  </si>
  <si>
    <t>intercam $43,349.52</t>
  </si>
  <si>
    <t>Agrop La Chemita  mi 23/10/13</t>
  </si>
  <si>
    <t>fact 1274, 1275</t>
  </si>
  <si>
    <t>Juan Pablo Torres  ma 22/10/13</t>
  </si>
  <si>
    <t>fact 15</t>
  </si>
  <si>
    <t>Carnes Ali  ju 10/10/13</t>
  </si>
  <si>
    <t>fact 22884</t>
  </si>
  <si>
    <t>esp de cordero ALB</t>
  </si>
  <si>
    <t>Premium 29/10/13  nl13-503</t>
  </si>
  <si>
    <t>fact 94346001</t>
  </si>
  <si>
    <t>intercam $41,553.35</t>
  </si>
  <si>
    <t>Premium 29/10/13  nl13-504</t>
  </si>
  <si>
    <t>fact 94347123</t>
  </si>
  <si>
    <t>intercam $41,518.57</t>
  </si>
  <si>
    <t>MI</t>
  </si>
  <si>
    <t>Seaboard  ju  31/10/13  nlp065</t>
  </si>
  <si>
    <t>fact 981564</t>
  </si>
  <si>
    <t>intercam  $43,151.54- 42,000</t>
  </si>
  <si>
    <t>Agrop El Topete  vi 25/10/13</t>
  </si>
  <si>
    <t>fact 1971, 1972</t>
  </si>
  <si>
    <t>Juan Pablo Torres  ju 24/10/13</t>
  </si>
  <si>
    <t>fact 16</t>
  </si>
  <si>
    <t>Carnes Ali  31/10/13</t>
  </si>
  <si>
    <t>fact 24347</t>
  </si>
  <si>
    <t>intercam $43,119.40</t>
  </si>
  <si>
    <t>Noviembre</t>
  </si>
  <si>
    <t>Premium 1/11/13  nl13-506</t>
  </si>
  <si>
    <t>fact 94348254</t>
  </si>
  <si>
    <t>intercam $41,591.58</t>
  </si>
  <si>
    <t>ASO del 20 al 26 oct</t>
  </si>
  <si>
    <t>fact 6506</t>
  </si>
  <si>
    <t>3 fletes sem 43</t>
  </si>
  <si>
    <t>Adams   sa 26/10/13</t>
  </si>
  <si>
    <t>fact 18978</t>
  </si>
  <si>
    <t>esp de Carnero Ararat</t>
  </si>
  <si>
    <t>Granjero Feliz  lu 28/10/13</t>
  </si>
  <si>
    <t>fact 67123</t>
  </si>
  <si>
    <t>Juan Pablo Torres  ma 29/10/13</t>
  </si>
  <si>
    <t>fact 17</t>
  </si>
  <si>
    <t>Agrop Las Reses  mi 30/10/13</t>
  </si>
  <si>
    <t>fact 2732, 2733, 2734</t>
  </si>
  <si>
    <t>Seaboard  ju  7/11/13  nlp067</t>
  </si>
  <si>
    <t>nlp067</t>
  </si>
  <si>
    <t>intercam  $- 48,000</t>
  </si>
  <si>
    <t>Carnes Ali  ju 24/10/13</t>
  </si>
  <si>
    <t>fact 23861</t>
  </si>
  <si>
    <t>Ryc Alimentos  30/10/13</t>
  </si>
  <si>
    <t>fact 46227</t>
  </si>
  <si>
    <t>Menudo excel</t>
  </si>
  <si>
    <t>Juan Pablo Torres ju 31/10/13</t>
  </si>
  <si>
    <t>fact 18</t>
  </si>
  <si>
    <t>Carnes Ali  ju 31/10/13</t>
  </si>
  <si>
    <t>fact 24334</t>
  </si>
  <si>
    <t>Sukarne  vi 25/10/13</t>
  </si>
  <si>
    <t>fact 7595</t>
  </si>
  <si>
    <t>contra Swift</t>
  </si>
  <si>
    <t>Sukarne ju 31/10/13</t>
  </si>
  <si>
    <t>fact 37185</t>
  </si>
  <si>
    <t>DEUDA AL 31 DE OCTUBRE 2013</t>
  </si>
  <si>
    <t>SUKARNE</t>
  </si>
  <si>
    <t>RYC ALIMENTOS</t>
  </si>
  <si>
    <t>congelado</t>
  </si>
  <si>
    <t>canales</t>
  </si>
  <si>
    <t xml:space="preserve">PAGO ANTICIPADO CARGA FARMLAND </t>
  </si>
  <si>
    <t>DEUDA COMBOS ALB&amp;CIA</t>
  </si>
  <si>
    <t>OCTUBRE  2013</t>
  </si>
  <si>
    <t>Sesos en copa</t>
  </si>
  <si>
    <t>1756 cajas</t>
  </si>
  <si>
    <t>nlp050</t>
  </si>
  <si>
    <t>567 cajas</t>
  </si>
  <si>
    <t>"  "</t>
  </si>
  <si>
    <t>nl13-487</t>
  </si>
  <si>
    <t>hoja + 10.5 ju 26 sep</t>
  </si>
  <si>
    <t>nl13-490</t>
  </si>
  <si>
    <t>nl13-488</t>
  </si>
  <si>
    <t>fact 8</t>
  </si>
  <si>
    <t>Reses/Topete</t>
  </si>
  <si>
    <t>fact 2626,26271897,1898</t>
  </si>
  <si>
    <t>Contra</t>
  </si>
  <si>
    <t>633 cajas</t>
  </si>
  <si>
    <t>hoja + 10 vi 27 sep</t>
  </si>
  <si>
    <t>fact 22570</t>
  </si>
  <si>
    <t>hoja + 16 vi 27 sep</t>
  </si>
  <si>
    <t>fact 9</t>
  </si>
  <si>
    <t>Espaldilla carnero</t>
  </si>
  <si>
    <t>Alliance</t>
  </si>
  <si>
    <t>Ryc</t>
  </si>
  <si>
    <t>90 cajas</t>
  </si>
  <si>
    <t>fact 15393</t>
  </si>
  <si>
    <t>Agrop La Gaby</t>
  </si>
  <si>
    <t>fact 2024, 2025, 2026</t>
  </si>
  <si>
    <t>22 combos</t>
  </si>
  <si>
    <t>nl13-489</t>
  </si>
  <si>
    <t>hoja + 10.5 vi 27 sep</t>
  </si>
  <si>
    <t>hoja + 10 lu 30 sep</t>
  </si>
  <si>
    <t>fact 10</t>
  </si>
  <si>
    <t>fact 66370</t>
  </si>
  <si>
    <t>fact 22701</t>
  </si>
  <si>
    <t>hoja + 16 ma 1 oct</t>
  </si>
  <si>
    <t>nl13-491</t>
  </si>
  <si>
    <t>hoja + 10.5 ju 3 sep</t>
  </si>
  <si>
    <t>nl13-492</t>
  </si>
  <si>
    <t>fact 11</t>
  </si>
  <si>
    <t>nlp059</t>
  </si>
  <si>
    <t>hoja + 10 vi 4 oct</t>
  </si>
  <si>
    <t>fact 23117</t>
  </si>
  <si>
    <t>hoja + 16 vi 4 oct</t>
  </si>
  <si>
    <t>fact 12</t>
  </si>
  <si>
    <t>Esp de cordero</t>
  </si>
  <si>
    <t>48 cajas</t>
  </si>
  <si>
    <t>Borrego en caja</t>
  </si>
  <si>
    <t>Ararat</t>
  </si>
  <si>
    <t xml:space="preserve">  "   "</t>
  </si>
  <si>
    <t>nl13-493</t>
  </si>
  <si>
    <t>hoja + 10.5 vi 4 oct</t>
  </si>
  <si>
    <t>nl13-494</t>
  </si>
  <si>
    <t>Contreras</t>
  </si>
  <si>
    <t>nlp060</t>
  </si>
  <si>
    <t>hoja + 10 lu 7 oct</t>
  </si>
  <si>
    <t>fact 23351</t>
  </si>
  <si>
    <t>nl13-495</t>
  </si>
  <si>
    <t>nl13-496</t>
  </si>
  <si>
    <t>56 cajas</t>
  </si>
  <si>
    <t>nlp061</t>
  </si>
  <si>
    <t>hoja + 10 vi 11 oct</t>
  </si>
  <si>
    <t>nl13-497</t>
  </si>
  <si>
    <t>CANCELADA</t>
  </si>
  <si>
    <t>nl13-498</t>
  </si>
  <si>
    <t>nlp062</t>
  </si>
  <si>
    <t>hoja + 16 ma 15 oct</t>
  </si>
  <si>
    <t>nl13-499</t>
  </si>
  <si>
    <t>hoja + 10.5 ju 17 oct</t>
  </si>
  <si>
    <t>nl13-500</t>
  </si>
  <si>
    <t>nlp063</t>
  </si>
  <si>
    <t>hoja + 10 vi 18 oct</t>
  </si>
  <si>
    <t>hoja + 16 vi 18 oct</t>
  </si>
  <si>
    <t>6 cajas</t>
  </si>
  <si>
    <t>nl13-501</t>
  </si>
  <si>
    <t>hoja + 10.5 vi 18 oct</t>
  </si>
  <si>
    <t>nl13-502</t>
  </si>
  <si>
    <t>277 cajas</t>
  </si>
  <si>
    <t>nlp064</t>
  </si>
  <si>
    <t>hoja + 10 lu 21 oct</t>
  </si>
  <si>
    <t>Esp de carnero</t>
  </si>
  <si>
    <t>157 cajas</t>
  </si>
  <si>
    <t>nl13-503</t>
  </si>
  <si>
    <t>nl13-504</t>
  </si>
  <si>
    <t>Menudo</t>
  </si>
  <si>
    <t>523 cajas</t>
  </si>
  <si>
    <t xml:space="preserve">Contra </t>
  </si>
  <si>
    <t>255 cajas</t>
  </si>
  <si>
    <t>nlp065</t>
  </si>
  <si>
    <t>14 cajas</t>
  </si>
  <si>
    <t>Puntas de Arrachera</t>
  </si>
  <si>
    <t>1 caja</t>
  </si>
  <si>
    <t xml:space="preserve">    "   "</t>
  </si>
  <si>
    <t>ALMACEN CENTRAL CONGELADOS</t>
  </si>
  <si>
    <t>31/10/2013</t>
  </si>
  <si>
    <t>COMPARATIVO INVENTARIO MES DE OCTUBRE 2013</t>
  </si>
  <si>
    <t>INVENTARIO EN SISTEMA OCTUBRE</t>
  </si>
  <si>
    <t>INVENTARIO FISICO OCTUBRE</t>
  </si>
  <si>
    <t xml:space="preserve">COMPARATIVO </t>
  </si>
  <si>
    <t>COSTO</t>
  </si>
  <si>
    <t>COSTO TOTAL</t>
  </si>
  <si>
    <t>UNIDADES</t>
  </si>
  <si>
    <t>CANTIDAD KG</t>
  </si>
  <si>
    <t>T0TAL DE UD</t>
  </si>
  <si>
    <t>TOTAL DE CANTIDAD KG</t>
  </si>
  <si>
    <t>$</t>
  </si>
  <si>
    <t>ARRACHERA ANGUS MARINADA</t>
  </si>
  <si>
    <t>14</t>
  </si>
  <si>
    <t>BUCHE FARMLAND  13.61</t>
  </si>
  <si>
    <t>CONTRA EXCEL</t>
  </si>
  <si>
    <t>CORBATA SEABOARD</t>
  </si>
  <si>
    <t>ESPALDILLA DE CARNERO ARARAT</t>
  </si>
  <si>
    <t>LENGUA DE PUERCO SEABOARD 27.22 KG</t>
  </si>
  <si>
    <t>LENGUA DE RES EXCEL</t>
  </si>
  <si>
    <t>MANTECA SMITHFIELD 22.68 KG</t>
  </si>
  <si>
    <t>MENUDO EXCEL 27.22</t>
  </si>
  <si>
    <t>MENUDO EXCEL 27.23</t>
  </si>
  <si>
    <t>PERNIL CON PIEL EXCEL</t>
  </si>
  <si>
    <t>PUNTAS DE ARRACHERA MARINADA ANGUS</t>
  </si>
  <si>
    <t>SESOS EN COPA SEABOARD  5.45 KG</t>
  </si>
  <si>
    <t>1281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</si>
</sst>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_ ;\-#,##0\ "/>
    <numFmt numFmtId="167" formatCode="_-&quot;$&quot;* #,##0.000_-;\-&quot;$&quot;* #,##0.000_-;_-&quot;$&quot;* &quot;-&quot;??_-;_-@_-"/>
    <numFmt numFmtId="168" formatCode="&quot;$&quot;#,##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DD5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9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14" fontId="2" fillId="0" borderId="6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7" xfId="0" applyFont="1" applyBorder="1"/>
    <xf numFmtId="4" fontId="0" fillId="0" borderId="8" xfId="0" applyNumberFormat="1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2" fillId="0" borderId="10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4" fillId="0" borderId="10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1" xfId="1" applyFont="1" applyBorder="1"/>
    <xf numFmtId="44" fontId="2" fillId="0" borderId="11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1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1" xfId="1" applyFont="1" applyBorder="1" applyAlignment="1">
      <alignment horizontal="right"/>
    </xf>
    <xf numFmtId="0" fontId="0" fillId="0" borderId="10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44" fontId="0" fillId="0" borderId="13" xfId="1" applyFont="1" applyBorder="1"/>
    <xf numFmtId="44" fontId="0" fillId="0" borderId="14" xfId="1" applyFont="1" applyBorder="1"/>
    <xf numFmtId="0" fontId="0" fillId="0" borderId="7" xfId="0" applyBorder="1"/>
    <xf numFmtId="44" fontId="5" fillId="0" borderId="0" xfId="1" applyFont="1" applyFill="1"/>
    <xf numFmtId="0" fontId="10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/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2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3" xfId="0" applyNumberFormat="1" applyFont="1" applyFill="1" applyBorder="1"/>
    <xf numFmtId="0" fontId="11" fillId="0" borderId="0" xfId="0" applyFont="1" applyFill="1" applyBorder="1"/>
    <xf numFmtId="0" fontId="0" fillId="2" borderId="0" xfId="0" applyFont="1" applyFill="1" applyBorder="1"/>
    <xf numFmtId="165" fontId="11" fillId="0" borderId="0" xfId="0" applyNumberFormat="1" applyFont="1" applyFill="1" applyBorder="1"/>
    <xf numFmtId="0" fontId="0" fillId="0" borderId="5" xfId="0" applyFont="1" applyFill="1" applyBorder="1"/>
    <xf numFmtId="14" fontId="0" fillId="0" borderId="4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164" fontId="10" fillId="0" borderId="0" xfId="0" applyNumberFormat="1" applyFont="1" applyFill="1"/>
    <xf numFmtId="14" fontId="12" fillId="0" borderId="0" xfId="0" applyNumberFormat="1" applyFont="1"/>
    <xf numFmtId="0" fontId="13" fillId="0" borderId="0" xfId="0" applyFont="1" applyFill="1"/>
    <xf numFmtId="44" fontId="13" fillId="0" borderId="0" xfId="1" applyFont="1"/>
    <xf numFmtId="44" fontId="13" fillId="2" borderId="0" xfId="1" applyFont="1" applyFill="1"/>
    <xf numFmtId="14" fontId="13" fillId="2" borderId="0" xfId="1" applyNumberFormat="1" applyFont="1" applyFill="1"/>
    <xf numFmtId="0" fontId="13" fillId="3" borderId="0" xfId="0" applyFont="1" applyFill="1"/>
    <xf numFmtId="167" fontId="13" fillId="2" borderId="0" xfId="1" applyNumberFormat="1" applyFont="1" applyFill="1"/>
    <xf numFmtId="0" fontId="13" fillId="0" borderId="0" xfId="0" applyFont="1"/>
    <xf numFmtId="0" fontId="13" fillId="2" borderId="0" xfId="0" applyFont="1" applyFill="1"/>
    <xf numFmtId="44" fontId="12" fillId="0" borderId="0" xfId="1" applyFont="1"/>
    <xf numFmtId="166" fontId="0" fillId="0" borderId="0" xfId="1" applyNumberFormat="1" applyFont="1"/>
    <xf numFmtId="4" fontId="0" fillId="0" borderId="0" xfId="0" applyNumberFormat="1" applyFill="1"/>
    <xf numFmtId="44" fontId="0" fillId="0" borderId="0" xfId="1" applyFont="1" applyFill="1"/>
    <xf numFmtId="44" fontId="12" fillId="0" borderId="0" xfId="1" applyFont="1" applyFill="1"/>
    <xf numFmtId="44" fontId="2" fillId="0" borderId="0" xfId="1" applyFont="1" applyFill="1"/>
    <xf numFmtId="4" fontId="2" fillId="0" borderId="0" xfId="0" applyNumberFormat="1" applyFont="1" applyFill="1"/>
    <xf numFmtId="44" fontId="13" fillId="4" borderId="0" xfId="1" applyFont="1" applyFill="1"/>
    <xf numFmtId="0" fontId="13" fillId="4" borderId="0" xfId="0" applyFont="1" applyFill="1"/>
    <xf numFmtId="0" fontId="14" fillId="0" borderId="0" xfId="0" applyFont="1"/>
    <xf numFmtId="17" fontId="14" fillId="0" borderId="0" xfId="0" quotePrefix="1" applyNumberFormat="1" applyFont="1"/>
    <xf numFmtId="44" fontId="12" fillId="0" borderId="0" xfId="1" applyFont="1" applyBorder="1" applyAlignment="1">
      <alignment horizontal="right"/>
    </xf>
    <xf numFmtId="44" fontId="12" fillId="0" borderId="11" xfId="1" applyFont="1" applyBorder="1"/>
    <xf numFmtId="168" fontId="0" fillId="0" borderId="0" xfId="0" applyNumberFormat="1" applyFont="1" applyFill="1" applyBorder="1"/>
    <xf numFmtId="14" fontId="13" fillId="2" borderId="0" xfId="0" applyNumberFormat="1" applyFont="1" applyFill="1"/>
    <xf numFmtId="167" fontId="13" fillId="4" borderId="0" xfId="1" applyNumberFormat="1" applyFont="1" applyFill="1"/>
    <xf numFmtId="14" fontId="13" fillId="4" borderId="0" xfId="0" applyNumberFormat="1" applyFont="1" applyFill="1"/>
    <xf numFmtId="44" fontId="0" fillId="0" borderId="0" xfId="1" applyFont="1" applyFill="1" applyBorder="1"/>
    <xf numFmtId="164" fontId="10" fillId="0" borderId="0" xfId="0" applyNumberFormat="1" applyFont="1"/>
    <xf numFmtId="164" fontId="4" fillId="0" borderId="0" xfId="0" applyNumberFormat="1" applyFont="1" applyFill="1"/>
    <xf numFmtId="164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44" fontId="1" fillId="0" borderId="0" xfId="1" applyFont="1" applyBorder="1"/>
    <xf numFmtId="44" fontId="0" fillId="0" borderId="1" xfId="1" applyFont="1" applyFill="1" applyBorder="1"/>
    <xf numFmtId="0" fontId="0" fillId="6" borderId="0" xfId="0" applyFont="1" applyFill="1" applyBorder="1"/>
    <xf numFmtId="0" fontId="0" fillId="7" borderId="15" xfId="0" applyFont="1" applyFill="1" applyBorder="1" applyAlignment="1">
      <alignment textRotation="255"/>
    </xf>
    <xf numFmtId="44" fontId="13" fillId="0" borderId="0" xfId="1" applyFont="1" applyFill="1"/>
    <xf numFmtId="44" fontId="13" fillId="3" borderId="0" xfId="1" applyFont="1" applyFill="1"/>
    <xf numFmtId="44" fontId="0" fillId="0" borderId="16" xfId="1" applyFont="1" applyFill="1" applyBorder="1"/>
    <xf numFmtId="44" fontId="0" fillId="0" borderId="16" xfId="1" applyFont="1" applyBorder="1"/>
    <xf numFmtId="0" fontId="16" fillId="0" borderId="0" xfId="0" applyFont="1" applyFill="1" applyBorder="1"/>
    <xf numFmtId="4" fontId="16" fillId="0" borderId="0" xfId="0" applyNumberFormat="1" applyFont="1" applyFill="1" applyBorder="1"/>
    <xf numFmtId="165" fontId="16" fillId="0" borderId="0" xfId="0" applyNumberFormat="1" applyFont="1" applyFill="1" applyBorder="1"/>
    <xf numFmtId="164" fontId="16" fillId="5" borderId="0" xfId="0" applyNumberFormat="1" applyFont="1" applyFill="1" applyBorder="1"/>
    <xf numFmtId="164" fontId="16" fillId="0" borderId="0" xfId="0" applyNumberFormat="1" applyFont="1" applyFill="1" applyBorder="1"/>
    <xf numFmtId="0" fontId="0" fillId="8" borderId="15" xfId="0" applyFont="1" applyFill="1" applyBorder="1" applyAlignment="1">
      <alignment textRotation="255"/>
    </xf>
    <xf numFmtId="0" fontId="0" fillId="9" borderId="0" xfId="0" applyFont="1" applyFill="1" applyBorder="1"/>
    <xf numFmtId="14" fontId="13" fillId="0" borderId="0" xfId="0" applyNumberFormat="1" applyFont="1"/>
    <xf numFmtId="14" fontId="13" fillId="0" borderId="0" xfId="0" applyNumberFormat="1" applyFont="1" applyFill="1"/>
    <xf numFmtId="167" fontId="13" fillId="0" borderId="0" xfId="1" applyNumberFormat="1" applyFont="1" applyFill="1"/>
    <xf numFmtId="14" fontId="2" fillId="0" borderId="0" xfId="0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14" fontId="2" fillId="0" borderId="0" xfId="0" quotePrefix="1" applyNumberFormat="1" applyFont="1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4" fillId="0" borderId="0" xfId="0" quotePrefix="1" applyFont="1" applyBorder="1"/>
    <xf numFmtId="0" fontId="2" fillId="0" borderId="0" xfId="0" applyFont="1" applyBorder="1" applyAlignment="1">
      <alignment horizontal="right"/>
    </xf>
    <xf numFmtId="4" fontId="2" fillId="0" borderId="0" xfId="0" applyNumberFormat="1" applyFont="1" applyBorder="1"/>
    <xf numFmtId="164" fontId="2" fillId="0" borderId="0" xfId="0" applyNumberFormat="1" applyFont="1" applyBorder="1"/>
    <xf numFmtId="0" fontId="14" fillId="0" borderId="0" xfId="0" applyFont="1" applyFill="1"/>
    <xf numFmtId="14" fontId="13" fillId="0" borderId="0" xfId="1" applyNumberFormat="1" applyFont="1" applyFill="1"/>
    <xf numFmtId="0" fontId="15" fillId="0" borderId="0" xfId="0" applyFont="1" applyFill="1"/>
    <xf numFmtId="0" fontId="13" fillId="11" borderId="0" xfId="0" applyFont="1" applyFill="1"/>
    <xf numFmtId="0" fontId="13" fillId="9" borderId="0" xfId="0" applyFont="1" applyFill="1"/>
    <xf numFmtId="14" fontId="13" fillId="0" borderId="0" xfId="1" applyNumberFormat="1" applyFont="1"/>
    <xf numFmtId="44" fontId="3" fillId="0" borderId="0" xfId="1" applyFont="1" applyFill="1"/>
    <xf numFmtId="44" fontId="2" fillId="12" borderId="0" xfId="1" applyFont="1" applyFill="1"/>
    <xf numFmtId="44" fontId="2" fillId="2" borderId="0" xfId="1" applyFont="1" applyFill="1"/>
    <xf numFmtId="0" fontId="0" fillId="10" borderId="15" xfId="0" applyFont="1" applyFill="1" applyBorder="1" applyAlignment="1">
      <alignment textRotation="255"/>
    </xf>
    <xf numFmtId="164" fontId="11" fillId="5" borderId="0" xfId="0" applyNumberFormat="1" applyFont="1" applyFill="1" applyBorder="1"/>
    <xf numFmtId="0" fontId="0" fillId="13" borderId="0" xfId="0" applyFont="1" applyFill="1" applyBorder="1"/>
    <xf numFmtId="0" fontId="0" fillId="14" borderId="15" xfId="0" applyFont="1" applyFill="1" applyBorder="1" applyAlignment="1">
      <alignment textRotation="255"/>
    </xf>
    <xf numFmtId="0" fontId="0" fillId="15" borderId="15" xfId="0" applyFont="1" applyFill="1" applyBorder="1" applyAlignment="1">
      <alignment textRotation="255"/>
    </xf>
    <xf numFmtId="0" fontId="0" fillId="3" borderId="0" xfId="0" applyFont="1" applyFill="1" applyBorder="1"/>
    <xf numFmtId="49" fontId="4" fillId="0" borderId="0" xfId="0" applyNumberFormat="1" applyFont="1" applyAlignment="1">
      <alignment horizontal="right" vertical="center"/>
    </xf>
    <xf numFmtId="0" fontId="12" fillId="0" borderId="0" xfId="0" applyFont="1"/>
    <xf numFmtId="14" fontId="12" fillId="0" borderId="0" xfId="0" quotePrefix="1" applyNumberFormat="1" applyFont="1" applyBorder="1"/>
    <xf numFmtId="0" fontId="2" fillId="0" borderId="19" xfId="0" applyFont="1" applyBorder="1" applyAlignment="1">
      <alignment vertical="center"/>
    </xf>
    <xf numFmtId="44" fontId="2" fillId="0" borderId="19" xfId="1" applyFont="1" applyBorder="1" applyAlignment="1">
      <alignment horizontal="center" vertical="center" wrapText="1"/>
    </xf>
    <xf numFmtId="44" fontId="2" fillId="0" borderId="23" xfId="1" applyFont="1" applyBorder="1" applyAlignment="1">
      <alignment horizontal="center" vertical="center" wrapText="1"/>
    </xf>
    <xf numFmtId="0" fontId="0" fillId="0" borderId="17" xfId="0" applyBorder="1"/>
    <xf numFmtId="0" fontId="21" fillId="0" borderId="24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wrapText="1"/>
    </xf>
    <xf numFmtId="0" fontId="21" fillId="0" borderId="19" xfId="0" applyFont="1" applyFill="1" applyBorder="1" applyAlignment="1">
      <alignment horizontal="center" vertical="center" wrapText="1"/>
    </xf>
    <xf numFmtId="44" fontId="2" fillId="0" borderId="17" xfId="1" applyFont="1" applyBorder="1" applyAlignment="1">
      <alignment horizontal="center"/>
    </xf>
    <xf numFmtId="44" fontId="2" fillId="0" borderId="18" xfId="1" applyFont="1" applyBorder="1" applyAlignment="1">
      <alignment horizontal="center"/>
    </xf>
    <xf numFmtId="0" fontId="0" fillId="0" borderId="25" xfId="0" applyBorder="1"/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49" fontId="5" fillId="0" borderId="27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center"/>
    </xf>
    <xf numFmtId="4" fontId="22" fillId="0" borderId="29" xfId="0" applyNumberFormat="1" applyFont="1" applyFill="1" applyBorder="1" applyAlignment="1">
      <alignment horizontal="center"/>
    </xf>
    <xf numFmtId="44" fontId="0" fillId="0" borderId="30" xfId="1" applyFont="1" applyBorder="1"/>
    <xf numFmtId="0" fontId="0" fillId="0" borderId="31" xfId="0" applyBorder="1"/>
    <xf numFmtId="0" fontId="5" fillId="0" borderId="3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23" fillId="0" borderId="16" xfId="2" applyFont="1" applyFill="1" applyBorder="1" applyAlignment="1">
      <alignment horizontal="center"/>
    </xf>
    <xf numFmtId="0" fontId="0" fillId="0" borderId="31" xfId="0" applyFill="1" applyBorder="1"/>
    <xf numFmtId="0" fontId="4" fillId="0" borderId="31" xfId="0" applyFont="1" applyFill="1" applyBorder="1"/>
    <xf numFmtId="0" fontId="4" fillId="0" borderId="31" xfId="0" applyFont="1" applyBorder="1"/>
    <xf numFmtId="49" fontId="5" fillId="0" borderId="16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0" fontId="0" fillId="0" borderId="33" xfId="0" applyBorder="1"/>
    <xf numFmtId="0" fontId="5" fillId="0" borderId="34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/>
    </xf>
    <xf numFmtId="4" fontId="24" fillId="0" borderId="36" xfId="0" applyNumberFormat="1" applyFont="1" applyFill="1" applyBorder="1" applyAlignment="1">
      <alignment horizontal="center"/>
    </xf>
    <xf numFmtId="44" fontId="2" fillId="0" borderId="35" xfId="1" applyFont="1" applyBorder="1"/>
    <xf numFmtId="44" fontId="12" fillId="0" borderId="37" xfId="1" applyFont="1" applyBorder="1"/>
    <xf numFmtId="49" fontId="25" fillId="0" borderId="0" xfId="2" applyNumberFormat="1" applyFont="1" applyFill="1" applyBorder="1" applyAlignment="1">
      <alignment horizontal="center"/>
    </xf>
    <xf numFmtId="4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471488</xdr:colOff>
      <xdr:row>0</xdr:row>
      <xdr:rowOff>80963</xdr:rowOff>
    </xdr:from>
    <xdr:to>
      <xdr:col>0</xdr:col>
      <xdr:colOff>1281113</xdr:colOff>
      <xdr:row>3</xdr:row>
      <xdr:rowOff>142875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80963"/>
          <a:ext cx="809625" cy="833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88" zoomScale="78" zoomScaleNormal="78" workbookViewId="0">
      <selection activeCell="D67" sqref="D67"/>
    </sheetView>
  </sheetViews>
  <sheetFormatPr baseColWidth="10" defaultRowHeight="15" x14ac:dyDescent="0.25"/>
  <cols>
    <col min="1" max="1" width="3.85546875" style="50" customWidth="1"/>
    <col min="2" max="2" width="6.28515625" style="50" customWidth="1"/>
    <col min="3" max="3" width="19.42578125" style="50" customWidth="1"/>
    <col min="4" max="4" width="28.7109375" style="50" customWidth="1"/>
    <col min="5" max="5" width="20.28515625" style="50" customWidth="1"/>
    <col min="6" max="6" width="22.28515625" style="50" customWidth="1"/>
    <col min="7" max="7" width="14.85546875" style="50" customWidth="1"/>
    <col min="8" max="8" width="19.5703125" style="50" customWidth="1"/>
    <col min="9" max="9" width="12.5703125" style="50" customWidth="1"/>
    <col min="10" max="10" width="21.85546875" style="50" customWidth="1"/>
    <col min="11" max="11" width="11.42578125" style="50"/>
    <col min="12" max="12" width="23.140625" style="50" customWidth="1"/>
    <col min="13" max="16384" width="11.42578125" style="50"/>
  </cols>
  <sheetData>
    <row r="1" spans="1:11" x14ac:dyDescent="0.25">
      <c r="A1" s="133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s="74" customForma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s="74" customFormat="1" ht="12.75" x14ac:dyDescent="0.2">
      <c r="C3" s="110"/>
      <c r="G3" s="110"/>
    </row>
    <row r="4" spans="1:11" s="70" customFormat="1" x14ac:dyDescent="0.25">
      <c r="A4" s="74"/>
      <c r="B4" s="74"/>
      <c r="C4" s="110"/>
      <c r="D4" s="74"/>
      <c r="E4" s="74"/>
      <c r="F4" s="74"/>
      <c r="G4" s="110"/>
      <c r="H4" s="74"/>
      <c r="I4" s="74"/>
      <c r="J4" s="74"/>
      <c r="K4" s="74"/>
    </row>
    <row r="5" spans="1:11" s="70" customFormat="1" x14ac:dyDescent="0.25">
      <c r="A5" s="74"/>
      <c r="B5" s="74"/>
      <c r="C5" s="110"/>
      <c r="D5" s="74"/>
      <c r="E5" s="74"/>
      <c r="F5" s="74"/>
      <c r="G5" s="110"/>
      <c r="H5" s="74"/>
      <c r="I5" s="74"/>
      <c r="J5" s="74"/>
      <c r="K5" s="74"/>
    </row>
    <row r="6" spans="1:11" s="70" customFormat="1" x14ac:dyDescent="0.25">
      <c r="A6" s="74"/>
      <c r="B6" s="74"/>
      <c r="C6" s="110"/>
      <c r="D6" s="74"/>
      <c r="E6" s="74"/>
      <c r="F6" s="74"/>
      <c r="G6" s="123"/>
      <c r="H6" s="74"/>
      <c r="I6" s="122"/>
      <c r="J6" s="74"/>
      <c r="K6" s="74"/>
    </row>
    <row r="7" spans="1:11" s="70" customFormat="1" x14ac:dyDescent="0.25">
      <c r="A7" s="74"/>
      <c r="B7" s="74"/>
      <c r="C7" s="110"/>
      <c r="D7" s="74"/>
      <c r="E7" s="74"/>
      <c r="F7" s="74"/>
      <c r="G7" s="123"/>
      <c r="H7" s="74"/>
      <c r="I7" s="122"/>
      <c r="J7" s="74"/>
      <c r="K7" s="74"/>
    </row>
    <row r="8" spans="1:11" s="70" customFormat="1" x14ac:dyDescent="0.25">
      <c r="A8" s="74"/>
      <c r="B8" s="74"/>
      <c r="C8" s="110"/>
      <c r="D8" s="74"/>
      <c r="E8" s="74"/>
      <c r="F8" s="74"/>
      <c r="G8" s="123"/>
      <c r="H8" s="74"/>
      <c r="I8" s="122"/>
      <c r="J8" s="74"/>
      <c r="K8" s="74"/>
    </row>
    <row r="9" spans="1:11" s="70" customFormat="1" x14ac:dyDescent="0.25">
      <c r="A9" s="74"/>
      <c r="B9" s="74"/>
      <c r="C9" s="110"/>
      <c r="D9" s="74"/>
      <c r="E9" s="74"/>
      <c r="F9" s="74"/>
      <c r="G9" s="123"/>
      <c r="H9" s="74"/>
      <c r="I9" s="122"/>
      <c r="J9" s="74"/>
      <c r="K9" s="74"/>
    </row>
    <row r="10" spans="1:11" s="70" customFormat="1" x14ac:dyDescent="0.25">
      <c r="A10" s="74"/>
      <c r="B10" s="74"/>
      <c r="C10" s="110"/>
      <c r="D10" s="74"/>
      <c r="E10" s="74"/>
      <c r="F10" s="74"/>
      <c r="G10" s="110"/>
      <c r="H10" s="74"/>
      <c r="I10" s="74"/>
      <c r="J10" s="74"/>
      <c r="K10" s="74"/>
    </row>
    <row r="11" spans="1:11" s="70" customFormat="1" x14ac:dyDescent="0.25">
      <c r="A11" s="74"/>
      <c r="B11" s="74"/>
      <c r="C11" s="110"/>
      <c r="D11" s="74"/>
      <c r="E11" s="74"/>
      <c r="F11" s="74"/>
      <c r="G11" s="110"/>
      <c r="H11" s="74"/>
      <c r="I11" s="74"/>
      <c r="J11" s="74"/>
      <c r="K11" s="74"/>
    </row>
    <row r="12" spans="1:11" s="70" customFormat="1" x14ac:dyDescent="0.25">
      <c r="A12" s="74"/>
      <c r="B12" s="74"/>
      <c r="C12" s="110"/>
      <c r="D12" s="74"/>
      <c r="E12" s="74"/>
      <c r="F12" s="74"/>
      <c r="G12" s="134"/>
      <c r="H12" s="74"/>
      <c r="I12" s="74"/>
      <c r="J12" s="74"/>
      <c r="K12" s="74"/>
    </row>
    <row r="13" spans="1:11" s="70" customFormat="1" x14ac:dyDescent="0.25">
      <c r="A13" s="74"/>
      <c r="B13" s="74"/>
      <c r="C13" s="110"/>
      <c r="D13" s="74"/>
      <c r="E13" s="74"/>
      <c r="F13" s="74"/>
      <c r="G13" s="123"/>
      <c r="H13" s="74"/>
      <c r="I13" s="122"/>
      <c r="J13" s="74"/>
      <c r="K13" s="74"/>
    </row>
    <row r="14" spans="1:11" s="70" customFormat="1" x14ac:dyDescent="0.25">
      <c r="A14" s="74"/>
      <c r="B14" s="74"/>
      <c r="C14" s="110"/>
      <c r="D14" s="74"/>
      <c r="E14" s="74"/>
      <c r="F14" s="74"/>
      <c r="G14" s="110"/>
      <c r="H14" s="74"/>
      <c r="I14" s="74"/>
      <c r="J14" s="74"/>
      <c r="K14" s="74"/>
    </row>
    <row r="15" spans="1:11" s="70" customFormat="1" x14ac:dyDescent="0.25">
      <c r="A15" s="74"/>
      <c r="B15" s="74"/>
      <c r="C15" s="110"/>
      <c r="D15" s="74"/>
      <c r="E15" s="74"/>
      <c r="F15" s="74"/>
      <c r="G15" s="110"/>
      <c r="H15" s="74"/>
      <c r="I15" s="122"/>
      <c r="J15" s="74"/>
      <c r="K15" s="74"/>
    </row>
    <row r="16" spans="1:11" s="70" customFormat="1" x14ac:dyDescent="0.25">
      <c r="A16" s="74"/>
      <c r="B16" s="74"/>
      <c r="C16" s="110"/>
      <c r="D16" s="74"/>
      <c r="E16" s="74"/>
      <c r="F16" s="74"/>
      <c r="G16" s="110"/>
      <c r="H16" s="74"/>
      <c r="I16" s="122"/>
      <c r="J16" s="74"/>
      <c r="K16" s="74"/>
    </row>
    <row r="17" spans="1:17" s="70" customFormat="1" x14ac:dyDescent="0.25">
      <c r="A17" s="74"/>
      <c r="B17" s="74"/>
      <c r="C17" s="110"/>
      <c r="D17" s="74"/>
      <c r="E17" s="74"/>
      <c r="F17" s="74"/>
      <c r="G17" s="123"/>
      <c r="H17" s="74"/>
      <c r="I17" s="122"/>
      <c r="J17" s="74"/>
      <c r="K17" s="74"/>
    </row>
    <row r="18" spans="1:17" s="70" customFormat="1" x14ac:dyDescent="0.25">
      <c r="A18" s="74"/>
      <c r="B18" s="74"/>
      <c r="C18" s="110"/>
      <c r="D18" s="74"/>
      <c r="E18" s="74"/>
      <c r="F18" s="74"/>
      <c r="G18" s="110"/>
      <c r="H18" s="74"/>
      <c r="I18" s="74"/>
      <c r="J18" s="74"/>
      <c r="K18" s="74"/>
    </row>
    <row r="19" spans="1:17" s="70" customFormat="1" x14ac:dyDescent="0.25">
      <c r="A19" s="74"/>
      <c r="B19" s="74"/>
      <c r="C19" s="110"/>
      <c r="D19" s="74"/>
      <c r="E19" s="74"/>
      <c r="F19" s="74"/>
      <c r="G19" s="134"/>
      <c r="H19" s="74"/>
      <c r="I19" s="74"/>
      <c r="J19" s="74"/>
      <c r="K19" s="74"/>
    </row>
    <row r="20" spans="1:17" s="70" customFormat="1" x14ac:dyDescent="0.25">
      <c r="A20" s="74"/>
      <c r="B20" s="74"/>
      <c r="C20" s="110"/>
      <c r="D20" s="74"/>
      <c r="E20" s="74"/>
      <c r="F20" s="74"/>
      <c r="G20" s="110"/>
      <c r="H20" s="74"/>
      <c r="I20" s="74"/>
      <c r="J20" s="74"/>
      <c r="K20" s="74"/>
    </row>
    <row r="21" spans="1:17" s="70" customFormat="1" x14ac:dyDescent="0.25">
      <c r="A21" s="74"/>
      <c r="B21" s="74"/>
      <c r="C21" s="110"/>
      <c r="D21" s="74"/>
      <c r="E21" s="74"/>
      <c r="F21" s="74"/>
      <c r="G21" s="110"/>
      <c r="H21" s="74"/>
      <c r="I21" s="74"/>
      <c r="J21" s="74"/>
      <c r="K21" s="74"/>
    </row>
    <row r="22" spans="1:17" s="70" customFormat="1" x14ac:dyDescent="0.25">
      <c r="A22" s="74"/>
      <c r="B22" s="74"/>
      <c r="C22" s="110"/>
      <c r="D22" s="74"/>
      <c r="E22" s="74"/>
      <c r="F22" s="74"/>
      <c r="G22" s="134"/>
      <c r="H22" s="74"/>
      <c r="I22" s="74"/>
      <c r="J22" s="74"/>
      <c r="K22" s="74"/>
    </row>
    <row r="23" spans="1:17" s="70" customFormat="1" x14ac:dyDescent="0.25">
      <c r="A23" s="74"/>
      <c r="B23" s="74"/>
      <c r="C23" s="110"/>
      <c r="D23" s="74"/>
      <c r="E23" s="74"/>
      <c r="F23" s="74"/>
      <c r="G23" s="134"/>
      <c r="H23" s="74"/>
      <c r="I23" s="74"/>
      <c r="J23" s="74"/>
      <c r="K23" s="74"/>
    </row>
    <row r="24" spans="1:17" s="70" customFormat="1" x14ac:dyDescent="0.25">
      <c r="A24" s="74"/>
      <c r="B24" s="74"/>
      <c r="C24" s="110"/>
      <c r="D24" s="74"/>
      <c r="E24" s="74"/>
      <c r="F24" s="74"/>
      <c r="G24" s="110"/>
      <c r="H24" s="135"/>
      <c r="I24" s="122"/>
      <c r="J24" s="74"/>
      <c r="K24" s="74"/>
    </row>
    <row r="25" spans="1:17" customFormat="1" x14ac:dyDescent="0.25">
      <c r="A25" s="91" t="s">
        <v>101</v>
      </c>
    </row>
    <row r="26" spans="1:17" customFormat="1" x14ac:dyDescent="0.25"/>
    <row r="27" spans="1:17" s="80" customFormat="1" ht="12.75" x14ac:dyDescent="0.2">
      <c r="A27" s="136" t="s">
        <v>75</v>
      </c>
      <c r="B27" s="80">
        <v>15</v>
      </c>
      <c r="C27" s="110">
        <f>527850+153112.5+14562.5</f>
        <v>695525</v>
      </c>
      <c r="D27" s="80" t="s">
        <v>102</v>
      </c>
      <c r="E27" s="80" t="s">
        <v>103</v>
      </c>
      <c r="F27" s="80" t="s">
        <v>76</v>
      </c>
      <c r="G27" s="75"/>
    </row>
    <row r="28" spans="1:17" s="80" customFormat="1" ht="12.75" hidden="1" x14ac:dyDescent="0.2">
      <c r="A28" s="80" t="s">
        <v>77</v>
      </c>
      <c r="B28" s="80">
        <v>16</v>
      </c>
      <c r="C28" s="110">
        <f>41000*G28</f>
        <v>539150</v>
      </c>
      <c r="D28" s="90" t="s">
        <v>104</v>
      </c>
      <c r="E28" s="90" t="s">
        <v>105</v>
      </c>
      <c r="F28" s="90" t="s">
        <v>106</v>
      </c>
      <c r="G28" s="97">
        <v>13.15</v>
      </c>
      <c r="H28" s="90">
        <v>28.72</v>
      </c>
      <c r="I28" s="98">
        <v>41557</v>
      </c>
      <c r="J28" s="90" t="s">
        <v>78</v>
      </c>
    </row>
    <row r="29" spans="1:17" s="74" customFormat="1" ht="12.75" hidden="1" x14ac:dyDescent="0.2">
      <c r="A29" s="74" t="s">
        <v>77</v>
      </c>
      <c r="B29" s="74">
        <v>16</v>
      </c>
      <c r="C29" s="110">
        <f>39646.64*G29</f>
        <v>517388.652</v>
      </c>
      <c r="D29" s="81" t="s">
        <v>107</v>
      </c>
      <c r="E29" s="81" t="s">
        <v>108</v>
      </c>
      <c r="F29" s="81" t="s">
        <v>109</v>
      </c>
      <c r="G29" s="79">
        <v>13.05</v>
      </c>
      <c r="H29" s="81">
        <v>28.94</v>
      </c>
      <c r="I29" s="96">
        <v>41562</v>
      </c>
      <c r="J29" s="81" t="s">
        <v>78</v>
      </c>
    </row>
    <row r="30" spans="1:17" s="74" customFormat="1" ht="12.75" hidden="1" x14ac:dyDescent="0.2">
      <c r="A30" s="74" t="s">
        <v>77</v>
      </c>
      <c r="B30" s="74">
        <v>16</v>
      </c>
      <c r="C30" s="110">
        <f>39534.31*G30</f>
        <v>515922.74550000002</v>
      </c>
      <c r="D30" s="81" t="s">
        <v>110</v>
      </c>
      <c r="E30" s="81" t="s">
        <v>111</v>
      </c>
      <c r="F30" s="81" t="s">
        <v>112</v>
      </c>
      <c r="G30" s="79">
        <v>13.05</v>
      </c>
      <c r="H30" s="81">
        <v>28.95</v>
      </c>
      <c r="I30" s="96">
        <v>41563</v>
      </c>
      <c r="J30" s="81" t="s">
        <v>78</v>
      </c>
    </row>
    <row r="31" spans="1:17" s="80" customFormat="1" ht="12.75" hidden="1" x14ac:dyDescent="0.2">
      <c r="A31" s="74" t="s">
        <v>79</v>
      </c>
      <c r="B31" s="80">
        <v>17</v>
      </c>
      <c r="C31" s="110">
        <f>20700*30</f>
        <v>621000</v>
      </c>
      <c r="D31" s="81" t="s">
        <v>113</v>
      </c>
      <c r="E31" s="81" t="s">
        <v>114</v>
      </c>
      <c r="F31" s="81" t="s">
        <v>76</v>
      </c>
      <c r="G31" s="77">
        <v>41565</v>
      </c>
      <c r="H31" s="81" t="s">
        <v>80</v>
      </c>
      <c r="Q31" s="74"/>
    </row>
    <row r="32" spans="1:17" s="80" customFormat="1" ht="12.75" x14ac:dyDescent="0.2">
      <c r="A32" s="80" t="s">
        <v>79</v>
      </c>
      <c r="B32" s="80">
        <v>17</v>
      </c>
      <c r="C32" s="110">
        <f>655425+14562.5</f>
        <v>669987.5</v>
      </c>
      <c r="D32" s="80" t="s">
        <v>115</v>
      </c>
      <c r="E32" s="80" t="s">
        <v>116</v>
      </c>
      <c r="F32" s="80" t="s">
        <v>76</v>
      </c>
      <c r="G32" s="75"/>
    </row>
    <row r="33" spans="1:10" s="74" customFormat="1" ht="12.75" x14ac:dyDescent="0.2">
      <c r="A33" s="74" t="s">
        <v>79</v>
      </c>
      <c r="B33" s="74">
        <v>17</v>
      </c>
      <c r="C33" s="76">
        <f>41319.08*G33</f>
        <v>530123.79639999999</v>
      </c>
      <c r="D33" s="81" t="s">
        <v>117</v>
      </c>
      <c r="E33" s="81" t="s">
        <v>118</v>
      </c>
      <c r="F33" s="81" t="s">
        <v>119</v>
      </c>
      <c r="G33" s="76">
        <v>12.83</v>
      </c>
      <c r="H33" s="81">
        <v>28.29</v>
      </c>
      <c r="I33" s="96">
        <v>41568</v>
      </c>
      <c r="J33" s="81" t="s">
        <v>78</v>
      </c>
    </row>
    <row r="34" spans="1:10" s="80" customFormat="1" ht="12.75" x14ac:dyDescent="0.2">
      <c r="A34" s="80" t="s">
        <v>81</v>
      </c>
      <c r="B34" s="80">
        <v>18</v>
      </c>
      <c r="C34" s="76">
        <v>123274.6</v>
      </c>
      <c r="D34" s="81" t="s">
        <v>120</v>
      </c>
      <c r="E34" s="81" t="s">
        <v>121</v>
      </c>
      <c r="F34" s="81" t="s">
        <v>122</v>
      </c>
      <c r="G34" s="77">
        <v>41576</v>
      </c>
      <c r="H34" s="81" t="s">
        <v>78</v>
      </c>
    </row>
    <row r="35" spans="1:10" s="80" customFormat="1" ht="12.75" x14ac:dyDescent="0.2">
      <c r="A35" s="80" t="s">
        <v>81</v>
      </c>
      <c r="B35" s="80">
        <v>18</v>
      </c>
      <c r="C35" s="76">
        <f>40520.48*G35</f>
        <v>523159.91728000005</v>
      </c>
      <c r="D35" s="81" t="s">
        <v>123</v>
      </c>
      <c r="E35" s="81" t="s">
        <v>124</v>
      </c>
      <c r="F35" s="81" t="s">
        <v>125</v>
      </c>
      <c r="G35" s="79">
        <v>12.911</v>
      </c>
      <c r="H35" s="81">
        <v>28.62</v>
      </c>
      <c r="I35" s="96">
        <v>41564</v>
      </c>
      <c r="J35" s="81" t="s">
        <v>78</v>
      </c>
    </row>
    <row r="36" spans="1:10" s="80" customFormat="1" ht="12.75" x14ac:dyDescent="0.2">
      <c r="A36" s="80" t="s">
        <v>81</v>
      </c>
      <c r="B36" s="80">
        <v>18</v>
      </c>
      <c r="C36" s="76">
        <v>679855</v>
      </c>
      <c r="D36" s="81" t="s">
        <v>126</v>
      </c>
      <c r="E36" s="81" t="s">
        <v>127</v>
      </c>
      <c r="F36" s="81" t="s">
        <v>86</v>
      </c>
      <c r="G36" s="77">
        <v>41568</v>
      </c>
      <c r="H36" s="81" t="s">
        <v>80</v>
      </c>
    </row>
    <row r="37" spans="1:10" s="80" customFormat="1" ht="12.75" x14ac:dyDescent="0.2">
      <c r="A37" s="80" t="s">
        <v>81</v>
      </c>
      <c r="B37" s="80">
        <v>18</v>
      </c>
      <c r="C37" s="75"/>
      <c r="G37" s="75"/>
    </row>
    <row r="38" spans="1:10" s="80" customFormat="1" ht="12.75" x14ac:dyDescent="0.2">
      <c r="A38" s="80" t="s">
        <v>81</v>
      </c>
      <c r="B38" s="80">
        <v>18</v>
      </c>
      <c r="C38" s="89">
        <f>40000*G38</f>
        <v>524400</v>
      </c>
      <c r="D38" s="90" t="s">
        <v>128</v>
      </c>
      <c r="E38" s="90" t="s">
        <v>129</v>
      </c>
      <c r="F38" s="90" t="s">
        <v>130</v>
      </c>
      <c r="G38" s="97">
        <v>13.11</v>
      </c>
      <c r="H38" s="90">
        <v>28.71</v>
      </c>
      <c r="I38" s="98">
        <v>41561</v>
      </c>
      <c r="J38" s="90" t="s">
        <v>90</v>
      </c>
    </row>
    <row r="39" spans="1:10" s="80" customFormat="1" ht="12.75" x14ac:dyDescent="0.2">
      <c r="A39" s="80" t="s">
        <v>81</v>
      </c>
      <c r="B39" s="80">
        <v>18</v>
      </c>
      <c r="C39" s="76">
        <v>30000</v>
      </c>
      <c r="D39" s="81" t="s">
        <v>131</v>
      </c>
      <c r="E39" s="81" t="s">
        <v>132</v>
      </c>
      <c r="F39" s="81" t="s">
        <v>133</v>
      </c>
      <c r="G39" s="77">
        <v>41578</v>
      </c>
      <c r="H39" s="81" t="s">
        <v>80</v>
      </c>
    </row>
    <row r="40" spans="1:10" s="80" customFormat="1" ht="12.75" x14ac:dyDescent="0.2">
      <c r="A40" s="78" t="s">
        <v>83</v>
      </c>
      <c r="B40" s="80">
        <v>19</v>
      </c>
      <c r="C40" s="75"/>
      <c r="G40" s="75"/>
    </row>
    <row r="41" spans="1:10" s="80" customFormat="1" ht="12.75" x14ac:dyDescent="0.2">
      <c r="A41" s="78" t="s">
        <v>84</v>
      </c>
      <c r="B41" s="80">
        <v>20</v>
      </c>
      <c r="C41" s="75"/>
      <c r="G41" s="75"/>
    </row>
    <row r="42" spans="1:10" s="80" customFormat="1" ht="12.75" hidden="1" x14ac:dyDescent="0.2">
      <c r="A42" s="80" t="s">
        <v>85</v>
      </c>
      <c r="B42" s="80">
        <v>21</v>
      </c>
      <c r="C42" s="76">
        <v>1111935.24</v>
      </c>
      <c r="D42" s="81" t="s">
        <v>134</v>
      </c>
      <c r="E42" s="81" t="s">
        <v>135</v>
      </c>
      <c r="F42" s="81" t="s">
        <v>136</v>
      </c>
      <c r="G42" s="77">
        <v>41568</v>
      </c>
      <c r="H42" s="81" t="s">
        <v>78</v>
      </c>
    </row>
    <row r="43" spans="1:10" s="80" customFormat="1" ht="12.75" hidden="1" x14ac:dyDescent="0.2">
      <c r="A43" s="80" t="s">
        <v>85</v>
      </c>
      <c r="B43" s="80">
        <v>21</v>
      </c>
      <c r="C43" s="76">
        <v>629397.02</v>
      </c>
      <c r="D43" s="81" t="s">
        <v>137</v>
      </c>
      <c r="E43" s="81" t="s">
        <v>138</v>
      </c>
      <c r="F43" s="81" t="s">
        <v>31</v>
      </c>
      <c r="G43" s="77">
        <v>41569</v>
      </c>
      <c r="H43" s="81" t="s">
        <v>80</v>
      </c>
    </row>
    <row r="44" spans="1:10" s="80" customFormat="1" ht="12.75" hidden="1" x14ac:dyDescent="0.2">
      <c r="A44" s="74" t="s">
        <v>85</v>
      </c>
      <c r="B44" s="80">
        <v>21</v>
      </c>
      <c r="C44" s="76">
        <f>41485.11*G44</f>
        <v>538476.72779999999</v>
      </c>
      <c r="D44" s="81" t="s">
        <v>139</v>
      </c>
      <c r="E44" s="81" t="s">
        <v>140</v>
      </c>
      <c r="F44" s="81" t="s">
        <v>141</v>
      </c>
      <c r="G44" s="76">
        <v>12.98</v>
      </c>
      <c r="H44" s="81"/>
      <c r="I44" s="96">
        <v>41571</v>
      </c>
      <c r="J44" s="81" t="s">
        <v>78</v>
      </c>
    </row>
    <row r="45" spans="1:10" s="80" customFormat="1" ht="12.75" hidden="1" x14ac:dyDescent="0.2">
      <c r="A45" s="80" t="s">
        <v>75</v>
      </c>
      <c r="B45" s="80">
        <v>22</v>
      </c>
      <c r="C45" s="76">
        <f>20640*30.4</f>
        <v>627456</v>
      </c>
      <c r="D45" s="81" t="s">
        <v>142</v>
      </c>
      <c r="E45" s="81" t="s">
        <v>143</v>
      </c>
      <c r="F45" s="81" t="s">
        <v>31</v>
      </c>
      <c r="G45" s="77">
        <v>41570</v>
      </c>
      <c r="H45" s="81" t="s">
        <v>80</v>
      </c>
    </row>
    <row r="46" spans="1:10" s="80" customFormat="1" ht="12.75" hidden="1" x14ac:dyDescent="0.2">
      <c r="A46" s="80" t="s">
        <v>75</v>
      </c>
      <c r="B46" s="80">
        <v>22</v>
      </c>
      <c r="C46" s="76">
        <v>62497.120000000003</v>
      </c>
      <c r="D46" s="81" t="s">
        <v>144</v>
      </c>
      <c r="E46" s="81" t="s">
        <v>145</v>
      </c>
      <c r="F46" s="81" t="s">
        <v>146</v>
      </c>
      <c r="G46" s="77">
        <v>41572</v>
      </c>
      <c r="H46" s="81" t="s">
        <v>78</v>
      </c>
    </row>
    <row r="47" spans="1:10" s="74" customFormat="1" ht="12.75" hidden="1" x14ac:dyDescent="0.2">
      <c r="A47" s="74" t="s">
        <v>75</v>
      </c>
      <c r="B47" s="74">
        <v>22</v>
      </c>
      <c r="C47" s="76">
        <v>405592</v>
      </c>
      <c r="D47" s="81" t="s">
        <v>147</v>
      </c>
      <c r="E47" s="81" t="s">
        <v>148</v>
      </c>
      <c r="F47" s="81" t="s">
        <v>86</v>
      </c>
      <c r="G47" s="77">
        <v>41569</v>
      </c>
      <c r="H47" s="81" t="s">
        <v>80</v>
      </c>
    </row>
    <row r="48" spans="1:10" s="80" customFormat="1" ht="12.75" hidden="1" x14ac:dyDescent="0.2">
      <c r="A48" s="80" t="s">
        <v>77</v>
      </c>
      <c r="B48" s="80">
        <v>23</v>
      </c>
      <c r="C48" s="89">
        <f>38000*G48</f>
        <v>487540</v>
      </c>
      <c r="D48" s="90" t="s">
        <v>149</v>
      </c>
      <c r="E48" s="90" t="s">
        <v>150</v>
      </c>
      <c r="F48" s="90" t="s">
        <v>151</v>
      </c>
      <c r="G48" s="97">
        <v>12.83</v>
      </c>
      <c r="H48" s="90">
        <v>29.14</v>
      </c>
      <c r="I48" s="98">
        <v>41564</v>
      </c>
      <c r="J48" s="90" t="s">
        <v>152</v>
      </c>
    </row>
    <row r="49" spans="1:10" s="80" customFormat="1" ht="12.75" hidden="1" x14ac:dyDescent="0.2">
      <c r="A49" s="80" t="s">
        <v>77</v>
      </c>
      <c r="B49" s="74">
        <v>23</v>
      </c>
      <c r="C49" s="76">
        <v>597722.79</v>
      </c>
      <c r="D49" s="81" t="s">
        <v>153</v>
      </c>
      <c r="E49" s="81" t="s">
        <v>154</v>
      </c>
      <c r="F49" s="81" t="s">
        <v>31</v>
      </c>
      <c r="G49" s="77">
        <v>41572</v>
      </c>
      <c r="H49" s="81" t="s">
        <v>80</v>
      </c>
    </row>
    <row r="50" spans="1:10" s="80" customFormat="1" ht="12.75" hidden="1" x14ac:dyDescent="0.2">
      <c r="A50" s="80" t="s">
        <v>77</v>
      </c>
      <c r="B50" s="80">
        <v>23</v>
      </c>
      <c r="C50" s="76">
        <f>40120.78*G50</f>
        <v>517758.66589999996</v>
      </c>
      <c r="D50" s="81" t="s">
        <v>155</v>
      </c>
      <c r="E50" s="81" t="s">
        <v>156</v>
      </c>
      <c r="F50" s="81" t="s">
        <v>157</v>
      </c>
      <c r="G50" s="79">
        <v>12.904999999999999</v>
      </c>
      <c r="H50" s="81">
        <v>29.05</v>
      </c>
      <c r="I50" s="96">
        <v>41569</v>
      </c>
      <c r="J50" s="81" t="s">
        <v>78</v>
      </c>
    </row>
    <row r="51" spans="1:10" s="80" customFormat="1" ht="12.75" hidden="1" x14ac:dyDescent="0.2">
      <c r="A51" s="80" t="s">
        <v>77</v>
      </c>
      <c r="B51" s="80">
        <v>23</v>
      </c>
      <c r="C51" s="76">
        <f>40396.17*G51</f>
        <v>521312.57384999993</v>
      </c>
      <c r="D51" s="81" t="s">
        <v>158</v>
      </c>
      <c r="E51" s="81" t="s">
        <v>159</v>
      </c>
      <c r="F51" s="81" t="s">
        <v>160</v>
      </c>
      <c r="G51" s="79">
        <v>12.904999999999999</v>
      </c>
      <c r="H51" s="81">
        <v>29.04</v>
      </c>
      <c r="I51" s="96">
        <v>41570</v>
      </c>
      <c r="J51" s="81" t="s">
        <v>78</v>
      </c>
    </row>
    <row r="52" spans="1:10" s="80" customFormat="1" ht="12.75" hidden="1" x14ac:dyDescent="0.2">
      <c r="A52" s="74" t="s">
        <v>79</v>
      </c>
      <c r="B52" s="74">
        <v>24</v>
      </c>
      <c r="C52" s="76">
        <f>21500*30.5</f>
        <v>655750</v>
      </c>
      <c r="D52" s="81" t="s">
        <v>161</v>
      </c>
      <c r="E52" s="81" t="s">
        <v>162</v>
      </c>
      <c r="F52" s="81" t="s">
        <v>31</v>
      </c>
      <c r="G52" s="77">
        <v>41575</v>
      </c>
      <c r="H52" s="81" t="s">
        <v>80</v>
      </c>
    </row>
    <row r="53" spans="1:10" s="80" customFormat="1" ht="12.75" hidden="1" x14ac:dyDescent="0.2">
      <c r="A53" s="80" t="s">
        <v>79</v>
      </c>
      <c r="B53" s="80">
        <v>24</v>
      </c>
      <c r="C53" s="76">
        <f>41307.12*G53</f>
        <v>533068.38360000006</v>
      </c>
      <c r="D53" s="81" t="s">
        <v>163</v>
      </c>
      <c r="E53" s="81" t="s">
        <v>164</v>
      </c>
      <c r="F53" s="81" t="s">
        <v>165</v>
      </c>
      <c r="G53" s="79">
        <v>12.904999999999999</v>
      </c>
      <c r="H53" s="81">
        <v>29.46</v>
      </c>
      <c r="I53" s="96">
        <v>41575</v>
      </c>
      <c r="J53" s="81" t="s">
        <v>78</v>
      </c>
    </row>
    <row r="54" spans="1:10" s="80" customFormat="1" ht="12.75" hidden="1" x14ac:dyDescent="0.2">
      <c r="A54" s="80" t="s">
        <v>79</v>
      </c>
      <c r="B54" s="80">
        <v>24</v>
      </c>
      <c r="C54" s="75"/>
      <c r="G54" s="75"/>
    </row>
    <row r="55" spans="1:10" s="80" customFormat="1" ht="12.75" hidden="1" x14ac:dyDescent="0.2">
      <c r="A55" s="80" t="s">
        <v>81</v>
      </c>
      <c r="B55" s="80">
        <v>25</v>
      </c>
      <c r="C55" s="89">
        <f>38000*G55</f>
        <v>491530</v>
      </c>
      <c r="D55" s="90" t="s">
        <v>166</v>
      </c>
      <c r="E55" s="90" t="s">
        <v>167</v>
      </c>
      <c r="F55" s="90" t="s">
        <v>168</v>
      </c>
      <c r="G55" s="97">
        <v>12.935</v>
      </c>
      <c r="H55" s="90">
        <v>29.93</v>
      </c>
      <c r="I55" s="98">
        <v>41568</v>
      </c>
      <c r="J55" s="90" t="s">
        <v>152</v>
      </c>
    </row>
    <row r="56" spans="1:10" s="80" customFormat="1" ht="12.75" hidden="1" x14ac:dyDescent="0.2">
      <c r="A56" s="80" t="s">
        <v>81</v>
      </c>
      <c r="B56" s="80">
        <v>25</v>
      </c>
      <c r="C56" s="76">
        <f>41473.5*G56</f>
        <v>541229.17500000005</v>
      </c>
      <c r="D56" s="81" t="s">
        <v>169</v>
      </c>
      <c r="E56" s="81" t="s">
        <v>170</v>
      </c>
      <c r="F56" s="81" t="s">
        <v>171</v>
      </c>
      <c r="G56" s="76">
        <v>13.05</v>
      </c>
      <c r="H56" s="81">
        <v>29.67</v>
      </c>
      <c r="I56" s="96">
        <v>41572</v>
      </c>
      <c r="J56" s="81" t="s">
        <v>78</v>
      </c>
    </row>
    <row r="57" spans="1:10" s="80" customFormat="1" ht="12.75" hidden="1" x14ac:dyDescent="0.2">
      <c r="A57" s="80" t="s">
        <v>81</v>
      </c>
      <c r="B57" s="80">
        <v>25</v>
      </c>
      <c r="C57" s="76">
        <f>41123.42*G57</f>
        <v>536660.63100000005</v>
      </c>
      <c r="D57" s="81" t="s">
        <v>172</v>
      </c>
      <c r="E57" s="81" t="s">
        <v>173</v>
      </c>
      <c r="F57" s="81" t="s">
        <v>174</v>
      </c>
      <c r="G57" s="76">
        <v>13.05</v>
      </c>
      <c r="H57" s="81">
        <v>29.76</v>
      </c>
      <c r="I57" s="96">
        <v>41572</v>
      </c>
      <c r="J57" s="81" t="s">
        <v>78</v>
      </c>
    </row>
    <row r="58" spans="1:10" s="80" customFormat="1" ht="12.75" x14ac:dyDescent="0.2">
      <c r="A58" s="78" t="s">
        <v>83</v>
      </c>
      <c r="B58" s="80">
        <v>26</v>
      </c>
      <c r="C58" s="75"/>
      <c r="G58" s="75"/>
    </row>
    <row r="59" spans="1:10" s="80" customFormat="1" ht="12.75" x14ac:dyDescent="0.2">
      <c r="A59" s="78" t="s">
        <v>84</v>
      </c>
      <c r="B59" s="80">
        <v>27</v>
      </c>
      <c r="C59" s="75"/>
      <c r="G59" s="75"/>
    </row>
    <row r="60" spans="1:10" s="80" customFormat="1" ht="12.75" x14ac:dyDescent="0.2">
      <c r="A60" s="74" t="s">
        <v>85</v>
      </c>
      <c r="B60" s="80">
        <v>28</v>
      </c>
      <c r="C60" s="75">
        <f>314876+350667.5+14562.5</f>
        <v>680106</v>
      </c>
      <c r="D60" s="80" t="s">
        <v>175</v>
      </c>
      <c r="E60" s="80" t="s">
        <v>176</v>
      </c>
      <c r="F60" s="80" t="s">
        <v>76</v>
      </c>
      <c r="G60" s="75"/>
    </row>
    <row r="61" spans="1:10" s="80" customFormat="1" ht="12.75" x14ac:dyDescent="0.2">
      <c r="A61" s="80" t="s">
        <v>85</v>
      </c>
      <c r="B61" s="80">
        <v>28</v>
      </c>
      <c r="C61" s="76">
        <v>632617.52</v>
      </c>
      <c r="D61" s="81" t="s">
        <v>177</v>
      </c>
      <c r="E61" s="81" t="s">
        <v>178</v>
      </c>
      <c r="F61" s="81" t="s">
        <v>31</v>
      </c>
      <c r="G61" s="77">
        <v>41576</v>
      </c>
      <c r="H61" s="81" t="s">
        <v>80</v>
      </c>
    </row>
    <row r="62" spans="1:10" s="80" customFormat="1" ht="12.75" x14ac:dyDescent="0.2">
      <c r="A62" s="80" t="s">
        <v>85</v>
      </c>
      <c r="B62" s="80">
        <v>28</v>
      </c>
      <c r="C62" s="76">
        <f>43349.52*G62</f>
        <v>560075.79839999997</v>
      </c>
      <c r="D62" s="81" t="s">
        <v>179</v>
      </c>
      <c r="E62" s="81" t="s">
        <v>180</v>
      </c>
      <c r="F62" s="81" t="s">
        <v>181</v>
      </c>
      <c r="G62" s="76">
        <v>12.92</v>
      </c>
      <c r="H62" s="81">
        <v>29.94</v>
      </c>
      <c r="I62" s="96">
        <v>41577</v>
      </c>
      <c r="J62" s="81" t="s">
        <v>78</v>
      </c>
    </row>
    <row r="63" spans="1:10" s="80" customFormat="1" ht="12.75" x14ac:dyDescent="0.2">
      <c r="A63" s="80" t="s">
        <v>75</v>
      </c>
      <c r="B63" s="80">
        <v>29</v>
      </c>
      <c r="C63" s="75">
        <f>704025+14504.25</f>
        <v>718529.25</v>
      </c>
      <c r="D63" s="80" t="s">
        <v>182</v>
      </c>
      <c r="E63" s="80" t="s">
        <v>183</v>
      </c>
      <c r="F63" s="80" t="s">
        <v>76</v>
      </c>
      <c r="G63" s="75"/>
    </row>
    <row r="64" spans="1:10" s="80" customFormat="1" ht="12.75" x14ac:dyDescent="0.2">
      <c r="A64" s="80" t="s">
        <v>75</v>
      </c>
      <c r="B64" s="80">
        <v>29</v>
      </c>
      <c r="C64" s="76">
        <f>21860*30.5</f>
        <v>666730</v>
      </c>
      <c r="D64" s="81" t="s">
        <v>184</v>
      </c>
      <c r="E64" s="81" t="s">
        <v>185</v>
      </c>
      <c r="F64" s="81" t="s">
        <v>31</v>
      </c>
      <c r="G64" s="77">
        <v>41576</v>
      </c>
      <c r="H64" s="81" t="s">
        <v>80</v>
      </c>
    </row>
    <row r="65" spans="1:10" s="80" customFormat="1" ht="12.75" x14ac:dyDescent="0.2">
      <c r="A65" s="80" t="s">
        <v>77</v>
      </c>
      <c r="B65" s="80">
        <v>30</v>
      </c>
      <c r="C65" s="75">
        <f>73376.32</f>
        <v>73376.320000000007</v>
      </c>
      <c r="D65" s="80" t="s">
        <v>186</v>
      </c>
      <c r="E65" s="80" t="s">
        <v>187</v>
      </c>
      <c r="F65" s="137" t="s">
        <v>188</v>
      </c>
      <c r="G65" s="75"/>
    </row>
    <row r="66" spans="1:10" s="74" customFormat="1" ht="12.75" x14ac:dyDescent="0.2">
      <c r="A66" s="74" t="s">
        <v>77</v>
      </c>
      <c r="B66" s="74">
        <v>30</v>
      </c>
      <c r="C66" s="76">
        <f>41553.35*G66</f>
        <v>536038.21499999997</v>
      </c>
      <c r="D66" s="81" t="s">
        <v>189</v>
      </c>
      <c r="E66" s="81" t="s">
        <v>190</v>
      </c>
      <c r="F66" s="81" t="s">
        <v>191</v>
      </c>
      <c r="G66" s="76">
        <v>12.9</v>
      </c>
      <c r="H66" s="81">
        <v>29.81</v>
      </c>
      <c r="I66" s="96">
        <v>41575</v>
      </c>
      <c r="J66" s="81" t="s">
        <v>78</v>
      </c>
    </row>
    <row r="67" spans="1:10" s="74" customFormat="1" ht="12.75" x14ac:dyDescent="0.2">
      <c r="A67" s="74" t="s">
        <v>77</v>
      </c>
      <c r="B67" s="74">
        <v>30</v>
      </c>
      <c r="C67" s="76">
        <f>41518.57*G67</f>
        <v>536212.33155</v>
      </c>
      <c r="D67" s="81" t="s">
        <v>192</v>
      </c>
      <c r="E67" s="81" t="s">
        <v>193</v>
      </c>
      <c r="F67" s="81" t="s">
        <v>194</v>
      </c>
      <c r="G67" s="79">
        <v>12.914999999999999</v>
      </c>
      <c r="H67" s="81">
        <v>29.85</v>
      </c>
      <c r="I67" s="96">
        <v>41576</v>
      </c>
      <c r="J67" s="81" t="s">
        <v>78</v>
      </c>
    </row>
    <row r="68" spans="1:10" s="74" customFormat="1" ht="12.75" x14ac:dyDescent="0.2">
      <c r="A68" s="74" t="s">
        <v>195</v>
      </c>
      <c r="B68" s="74">
        <v>30</v>
      </c>
      <c r="C68" s="89">
        <f>42000*G68</f>
        <v>548100</v>
      </c>
      <c r="D68" s="90" t="s">
        <v>196</v>
      </c>
      <c r="E68" s="90" t="s">
        <v>197</v>
      </c>
      <c r="F68" s="90" t="s">
        <v>198</v>
      </c>
      <c r="G68" s="97">
        <v>13.05</v>
      </c>
      <c r="H68" s="90">
        <v>30.09</v>
      </c>
      <c r="I68" s="98">
        <v>41571</v>
      </c>
      <c r="J68" s="90" t="s">
        <v>152</v>
      </c>
    </row>
    <row r="69" spans="1:10" s="80" customFormat="1" ht="12.75" x14ac:dyDescent="0.2">
      <c r="A69" s="74" t="s">
        <v>79</v>
      </c>
      <c r="B69" s="80">
        <v>31</v>
      </c>
      <c r="C69" s="75">
        <f>692775+14562.5</f>
        <v>707337.5</v>
      </c>
      <c r="D69" s="80" t="s">
        <v>199</v>
      </c>
      <c r="E69" s="80" t="s">
        <v>200</v>
      </c>
      <c r="F69" s="74" t="s">
        <v>76</v>
      </c>
      <c r="G69" s="75"/>
    </row>
    <row r="70" spans="1:10" s="80" customFormat="1" ht="12.75" x14ac:dyDescent="0.2">
      <c r="A70" s="80" t="s">
        <v>79</v>
      </c>
      <c r="B70" s="80">
        <v>31</v>
      </c>
      <c r="C70" s="75">
        <f>22770*30.5</f>
        <v>694485</v>
      </c>
      <c r="D70" s="80" t="s">
        <v>201</v>
      </c>
      <c r="E70" s="74" t="s">
        <v>202</v>
      </c>
      <c r="F70" s="74" t="s">
        <v>31</v>
      </c>
      <c r="G70" s="138">
        <v>41579</v>
      </c>
      <c r="H70" s="81" t="s">
        <v>80</v>
      </c>
    </row>
    <row r="71" spans="1:10" s="80" customFormat="1" ht="12.75" x14ac:dyDescent="0.2">
      <c r="A71" s="80" t="s">
        <v>79</v>
      </c>
      <c r="B71" s="80">
        <v>31</v>
      </c>
      <c r="C71" s="75">
        <f>43119.4*G71</f>
        <v>564432.946</v>
      </c>
      <c r="D71" s="80" t="s">
        <v>203</v>
      </c>
      <c r="E71" s="80" t="s">
        <v>204</v>
      </c>
      <c r="F71" s="74" t="s">
        <v>205</v>
      </c>
      <c r="G71" s="111">
        <v>13.09</v>
      </c>
      <c r="H71" s="80">
        <v>30.37</v>
      </c>
      <c r="I71" s="121">
        <v>41579</v>
      </c>
      <c r="J71" s="81" t="s">
        <v>78</v>
      </c>
    </row>
    <row r="72" spans="1:10" s="80" customFormat="1" ht="12.75" x14ac:dyDescent="0.2">
      <c r="A72" s="80" t="s">
        <v>206</v>
      </c>
      <c r="C72" s="75"/>
      <c r="F72" s="74"/>
      <c r="G72" s="75"/>
    </row>
    <row r="73" spans="1:10" s="80" customFormat="1" ht="12.75" x14ac:dyDescent="0.2">
      <c r="A73" s="80" t="s">
        <v>81</v>
      </c>
      <c r="B73" s="80">
        <v>1</v>
      </c>
      <c r="C73" s="76">
        <f>41591.58*G73</f>
        <v>541106.4558</v>
      </c>
      <c r="D73" s="81" t="s">
        <v>207</v>
      </c>
      <c r="E73" s="81" t="s">
        <v>208</v>
      </c>
      <c r="F73" s="81" t="s">
        <v>209</v>
      </c>
      <c r="G73" s="76">
        <v>13.01</v>
      </c>
      <c r="H73" s="81">
        <v>30.08</v>
      </c>
      <c r="I73" s="96">
        <v>41578</v>
      </c>
      <c r="J73" s="81" t="s">
        <v>78</v>
      </c>
    </row>
    <row r="74" spans="1:10" s="80" customFormat="1" ht="12.75" x14ac:dyDescent="0.2">
      <c r="A74" s="80" t="s">
        <v>81</v>
      </c>
      <c r="B74" s="80">
        <v>1</v>
      </c>
      <c r="C74" s="76">
        <v>45000</v>
      </c>
      <c r="D74" s="81" t="s">
        <v>210</v>
      </c>
      <c r="E74" s="81" t="s">
        <v>211</v>
      </c>
      <c r="F74" s="81" t="s">
        <v>212</v>
      </c>
      <c r="G74" s="77">
        <v>41578</v>
      </c>
      <c r="H74" s="81" t="s">
        <v>80</v>
      </c>
    </row>
    <row r="75" spans="1:10" s="80" customFormat="1" ht="12.75" x14ac:dyDescent="0.2">
      <c r="A75" s="78" t="s">
        <v>83</v>
      </c>
      <c r="B75" s="80">
        <v>2</v>
      </c>
      <c r="C75" s="75"/>
      <c r="G75" s="75"/>
    </row>
    <row r="76" spans="1:10" s="80" customFormat="1" ht="12.75" x14ac:dyDescent="0.2">
      <c r="A76" s="78" t="s">
        <v>84</v>
      </c>
      <c r="B76" s="80">
        <v>3</v>
      </c>
      <c r="C76" s="75"/>
      <c r="G76" s="75"/>
    </row>
    <row r="77" spans="1:10" s="80" customFormat="1" ht="12.75" x14ac:dyDescent="0.2">
      <c r="A77" s="80" t="s">
        <v>85</v>
      </c>
      <c r="B77" s="80">
        <v>4</v>
      </c>
      <c r="C77" s="75">
        <v>180435</v>
      </c>
      <c r="D77" s="80" t="s">
        <v>213</v>
      </c>
      <c r="E77" s="80" t="s">
        <v>214</v>
      </c>
      <c r="F77" s="80" t="s">
        <v>215</v>
      </c>
      <c r="G77" s="75"/>
    </row>
    <row r="78" spans="1:10" s="80" customFormat="1" ht="12.75" x14ac:dyDescent="0.2">
      <c r="A78" s="80" t="s">
        <v>85</v>
      </c>
      <c r="B78" s="80">
        <v>4</v>
      </c>
      <c r="C78" s="75">
        <v>618035.16</v>
      </c>
      <c r="D78" s="80" t="s">
        <v>216</v>
      </c>
      <c r="E78" s="80" t="s">
        <v>217</v>
      </c>
      <c r="F78" s="80" t="s">
        <v>31</v>
      </c>
      <c r="G78" s="75"/>
    </row>
    <row r="79" spans="1:10" s="80" customFormat="1" ht="12.75" x14ac:dyDescent="0.2">
      <c r="A79" s="80" t="s">
        <v>75</v>
      </c>
      <c r="B79" s="80">
        <v>5</v>
      </c>
      <c r="C79" s="75">
        <f>22070*30.5</f>
        <v>673135</v>
      </c>
      <c r="D79" s="80" t="s">
        <v>218</v>
      </c>
      <c r="E79" s="74" t="s">
        <v>219</v>
      </c>
      <c r="F79" s="74" t="s">
        <v>31</v>
      </c>
      <c r="G79" s="75"/>
    </row>
    <row r="80" spans="1:10" s="80" customFormat="1" ht="12.75" x14ac:dyDescent="0.2">
      <c r="A80" s="80" t="s">
        <v>75</v>
      </c>
      <c r="B80" s="80">
        <v>5</v>
      </c>
      <c r="C80" s="75">
        <f>455175+151087.5+14562.5</f>
        <v>620825</v>
      </c>
      <c r="D80" s="80" t="s">
        <v>220</v>
      </c>
      <c r="E80" s="74" t="s">
        <v>221</v>
      </c>
      <c r="F80" s="74" t="s">
        <v>76</v>
      </c>
      <c r="G80" s="75"/>
    </row>
    <row r="81" spans="1:10" s="80" customFormat="1" ht="12.75" x14ac:dyDescent="0.2">
      <c r="A81" s="80" t="s">
        <v>77</v>
      </c>
      <c r="B81" s="80">
        <v>6</v>
      </c>
      <c r="C81" s="75"/>
      <c r="G81" s="75"/>
    </row>
    <row r="82" spans="1:10" s="80" customFormat="1" ht="12.75" x14ac:dyDescent="0.2">
      <c r="A82" s="80" t="s">
        <v>77</v>
      </c>
      <c r="B82" s="80">
        <v>6</v>
      </c>
      <c r="C82" s="89">
        <f>48000*G82</f>
        <v>624480</v>
      </c>
      <c r="D82" s="90" t="s">
        <v>222</v>
      </c>
      <c r="E82" s="90" t="s">
        <v>223</v>
      </c>
      <c r="F82" s="90" t="s">
        <v>224</v>
      </c>
      <c r="G82" s="97">
        <v>13.01</v>
      </c>
      <c r="H82" s="90"/>
      <c r="I82" s="98">
        <v>41578</v>
      </c>
      <c r="J82" s="98" t="s">
        <v>82</v>
      </c>
    </row>
    <row r="83" spans="1:10" s="80" customFormat="1" ht="12.75" x14ac:dyDescent="0.2">
      <c r="A83" s="80" t="s">
        <v>79</v>
      </c>
      <c r="B83" s="80">
        <v>7</v>
      </c>
      <c r="C83" s="75">
        <v>15927.5</v>
      </c>
      <c r="D83" s="80" t="s">
        <v>225</v>
      </c>
      <c r="E83" s="80" t="s">
        <v>226</v>
      </c>
      <c r="F83" s="80" t="s">
        <v>88</v>
      </c>
      <c r="G83" s="75"/>
    </row>
    <row r="84" spans="1:10" s="80" customFormat="1" ht="12.75" x14ac:dyDescent="0.2">
      <c r="A84" s="80" t="s">
        <v>79</v>
      </c>
      <c r="B84" s="80">
        <v>7</v>
      </c>
      <c r="C84" s="75"/>
      <c r="G84" s="75"/>
    </row>
    <row r="85" spans="1:10" s="80" customFormat="1" ht="12.75" x14ac:dyDescent="0.2">
      <c r="A85" s="80" t="s">
        <v>81</v>
      </c>
      <c r="B85" s="80">
        <v>8</v>
      </c>
      <c r="C85" s="110"/>
      <c r="D85" s="74"/>
      <c r="E85" s="74"/>
      <c r="F85" s="74"/>
      <c r="G85" s="75"/>
    </row>
    <row r="86" spans="1:10" s="80" customFormat="1" ht="12.75" x14ac:dyDescent="0.2">
      <c r="A86" s="78" t="s">
        <v>83</v>
      </c>
      <c r="B86" s="80">
        <v>9</v>
      </c>
      <c r="C86" s="75"/>
      <c r="G86" s="75"/>
    </row>
    <row r="87" spans="1:10" s="80" customFormat="1" ht="12.75" x14ac:dyDescent="0.2">
      <c r="A87" s="78" t="s">
        <v>84</v>
      </c>
      <c r="B87" s="80">
        <v>10</v>
      </c>
      <c r="C87" s="75"/>
      <c r="G87" s="75"/>
    </row>
    <row r="88" spans="1:10" s="80" customFormat="1" ht="12.75" x14ac:dyDescent="0.2">
      <c r="A88" s="80" t="s">
        <v>85</v>
      </c>
      <c r="B88" s="80">
        <v>11</v>
      </c>
      <c r="C88" s="75"/>
      <c r="G88" s="75"/>
    </row>
    <row r="89" spans="1:10" s="80" customFormat="1" ht="12.75" x14ac:dyDescent="0.2">
      <c r="A89" s="80" t="s">
        <v>75</v>
      </c>
      <c r="B89" s="80">
        <v>12</v>
      </c>
      <c r="C89" s="75"/>
      <c r="G89" s="75"/>
    </row>
    <row r="90" spans="1:10" s="80" customFormat="1" ht="12.75" x14ac:dyDescent="0.2">
      <c r="A90" s="80" t="s">
        <v>77</v>
      </c>
      <c r="B90" s="80">
        <v>13</v>
      </c>
      <c r="C90" s="75">
        <v>438398.33</v>
      </c>
      <c r="D90" s="80" t="s">
        <v>227</v>
      </c>
      <c r="E90" s="80" t="s">
        <v>228</v>
      </c>
      <c r="F90" s="80" t="s">
        <v>229</v>
      </c>
      <c r="G90" s="75"/>
    </row>
    <row r="91" spans="1:10" s="80" customFormat="1" ht="12.75" x14ac:dyDescent="0.2">
      <c r="A91" s="80" t="s">
        <v>77</v>
      </c>
      <c r="B91" s="80">
        <v>13</v>
      </c>
      <c r="C91" s="75"/>
      <c r="G91" s="75"/>
    </row>
    <row r="92" spans="1:10" s="80" customFormat="1" ht="12.75" x14ac:dyDescent="0.2">
      <c r="A92" s="80" t="s">
        <v>79</v>
      </c>
      <c r="B92" s="80">
        <v>14</v>
      </c>
      <c r="C92" s="75">
        <f>20710*30.5</f>
        <v>631655</v>
      </c>
      <c r="D92" s="80" t="s">
        <v>230</v>
      </c>
      <c r="E92" s="74" t="s">
        <v>231</v>
      </c>
      <c r="F92" s="74" t="s">
        <v>31</v>
      </c>
      <c r="G92" s="75"/>
    </row>
    <row r="93" spans="1:10" s="74" customFormat="1" ht="12.75" x14ac:dyDescent="0.2">
      <c r="A93" s="74" t="s">
        <v>79</v>
      </c>
      <c r="B93" s="74">
        <v>14</v>
      </c>
      <c r="C93" s="110">
        <v>25083.8</v>
      </c>
      <c r="D93" s="74" t="s">
        <v>232</v>
      </c>
      <c r="E93" s="74" t="s">
        <v>233</v>
      </c>
      <c r="F93" s="74" t="s">
        <v>88</v>
      </c>
      <c r="G93" s="110"/>
    </row>
    <row r="94" spans="1:10" s="80" customFormat="1" ht="12.75" x14ac:dyDescent="0.2">
      <c r="A94" s="80" t="s">
        <v>81</v>
      </c>
      <c r="B94" s="80">
        <v>15</v>
      </c>
      <c r="C94" s="75">
        <v>550149.48</v>
      </c>
      <c r="D94" s="80" t="s">
        <v>234</v>
      </c>
      <c r="E94" s="80" t="s">
        <v>235</v>
      </c>
      <c r="F94" s="80" t="s">
        <v>236</v>
      </c>
      <c r="G94" s="75"/>
    </row>
    <row r="95" spans="1:10" s="80" customFormat="1" ht="12.75" x14ac:dyDescent="0.2">
      <c r="A95" s="80" t="s">
        <v>81</v>
      </c>
      <c r="B95" s="80">
        <v>15</v>
      </c>
      <c r="C95" s="75"/>
      <c r="G95" s="75"/>
    </row>
    <row r="96" spans="1:10" s="80" customFormat="1" ht="12.75" x14ac:dyDescent="0.2">
      <c r="A96" s="78" t="s">
        <v>83</v>
      </c>
      <c r="B96" s="80">
        <v>16</v>
      </c>
      <c r="C96" s="75"/>
      <c r="G96" s="75"/>
    </row>
    <row r="97" spans="1:7" s="80" customFormat="1" ht="12.75" x14ac:dyDescent="0.2">
      <c r="A97" s="78" t="s">
        <v>84</v>
      </c>
      <c r="B97" s="80">
        <v>17</v>
      </c>
      <c r="C97" s="75"/>
      <c r="G97" s="75"/>
    </row>
    <row r="98" spans="1:7" s="80" customFormat="1" ht="12.75" x14ac:dyDescent="0.2">
      <c r="A98" s="80" t="s">
        <v>85</v>
      </c>
      <c r="B98" s="80">
        <v>18</v>
      </c>
      <c r="C98" s="75"/>
      <c r="G98" s="75"/>
    </row>
    <row r="99" spans="1:7" s="80" customFormat="1" ht="12.75" x14ac:dyDescent="0.2">
      <c r="A99" s="80" t="s">
        <v>75</v>
      </c>
      <c r="B99" s="80">
        <v>19</v>
      </c>
      <c r="C99" s="75"/>
      <c r="G99" s="75"/>
    </row>
    <row r="100" spans="1:7" s="80" customFormat="1" ht="12.75" x14ac:dyDescent="0.2">
      <c r="A100" s="80" t="s">
        <v>77</v>
      </c>
      <c r="B100" s="80">
        <v>20</v>
      </c>
      <c r="C100" s="75">
        <v>489158.09</v>
      </c>
      <c r="D100" s="80" t="s">
        <v>237</v>
      </c>
      <c r="E100" s="74" t="s">
        <v>238</v>
      </c>
      <c r="F100" s="80" t="s">
        <v>236</v>
      </c>
      <c r="G100" s="75"/>
    </row>
    <row r="101" spans="1:7" s="80" customFormat="1" ht="12.75" x14ac:dyDescent="0.2">
      <c r="A101" s="80" t="s">
        <v>79</v>
      </c>
      <c r="B101" s="80">
        <v>21</v>
      </c>
      <c r="C101" s="75"/>
      <c r="G101" s="75"/>
    </row>
    <row r="102" spans="1:7" s="80" customFormat="1" ht="12.75" x14ac:dyDescent="0.2">
      <c r="A102" s="80" t="s">
        <v>81</v>
      </c>
      <c r="B102" s="80">
        <v>22</v>
      </c>
      <c r="C102" s="75"/>
      <c r="G102" s="75"/>
    </row>
    <row r="103" spans="1:7" s="80" customFormat="1" ht="12.75" x14ac:dyDescent="0.2">
      <c r="A103" s="78" t="s">
        <v>83</v>
      </c>
      <c r="B103" s="80">
        <v>23</v>
      </c>
      <c r="C103" s="75"/>
      <c r="G103" s="75"/>
    </row>
    <row r="104" spans="1:7" customFormat="1" ht="15.75" x14ac:dyDescent="0.25">
      <c r="C104" s="82">
        <f>SUM(C69:C103)-C82-C74-C73+C65+C63+C60+C32+C27</f>
        <v>9046581.876000002</v>
      </c>
      <c r="D104" s="82" t="s">
        <v>239</v>
      </c>
      <c r="E104" s="83"/>
    </row>
    <row r="105" spans="1:7" customFormat="1" x14ac:dyDescent="0.25">
      <c r="C105" s="70"/>
      <c r="D105" s="84"/>
      <c r="E105" s="85"/>
    </row>
    <row r="106" spans="1:7" customFormat="1" ht="15.75" x14ac:dyDescent="0.25">
      <c r="C106" s="70"/>
      <c r="D106" s="82" t="s">
        <v>91</v>
      </c>
      <c r="E106" s="48"/>
    </row>
    <row r="107" spans="1:7" customFormat="1" ht="15.75" x14ac:dyDescent="0.25">
      <c r="C107" s="70"/>
      <c r="D107" s="86">
        <f>C100+C94</f>
        <v>1039307.5700000001</v>
      </c>
      <c r="E107" s="86" t="s">
        <v>240</v>
      </c>
    </row>
    <row r="108" spans="1:7" customFormat="1" ht="15.75" x14ac:dyDescent="0.25">
      <c r="C108" s="70"/>
      <c r="D108" s="86">
        <f>C83+C71+C65+C93</f>
        <v>678820.56600000011</v>
      </c>
      <c r="E108" s="86" t="s">
        <v>92</v>
      </c>
    </row>
    <row r="109" spans="1:7" customFormat="1" ht="15.75" x14ac:dyDescent="0.25">
      <c r="D109" s="86">
        <f>C90</f>
        <v>438398.33</v>
      </c>
      <c r="E109" s="86" t="s">
        <v>241</v>
      </c>
    </row>
    <row r="110" spans="1:7" customFormat="1" ht="15.75" x14ac:dyDescent="0.25">
      <c r="D110" s="86">
        <f>C77</f>
        <v>180435</v>
      </c>
      <c r="E110" s="86" t="s">
        <v>93</v>
      </c>
    </row>
    <row r="111" spans="1:7" customFormat="1" x14ac:dyDescent="0.25">
      <c r="D111" s="139">
        <f>SUM(D107:D110)</f>
        <v>2336961.466</v>
      </c>
      <c r="E111" s="139" t="s">
        <v>242</v>
      </c>
    </row>
    <row r="112" spans="1:7" customFormat="1" x14ac:dyDescent="0.25"/>
    <row r="113" spans="3:5" customFormat="1" ht="15.75" x14ac:dyDescent="0.25">
      <c r="C113" s="70"/>
      <c r="D113" s="86">
        <f>C80+C69+C63+C32+C27+C60</f>
        <v>4092310.25</v>
      </c>
      <c r="E113" s="86" t="s">
        <v>94</v>
      </c>
    </row>
    <row r="114" spans="3:5" customFormat="1" ht="15.75" x14ac:dyDescent="0.25">
      <c r="C114" s="70"/>
      <c r="D114" s="86">
        <f>C92+C79+C70</f>
        <v>1999275</v>
      </c>
      <c r="E114" s="86" t="s">
        <v>95</v>
      </c>
    </row>
    <row r="115" spans="3:5" customFormat="1" ht="15.75" x14ac:dyDescent="0.25">
      <c r="C115" s="70"/>
      <c r="D115" s="86">
        <f>C78</f>
        <v>618035.16</v>
      </c>
      <c r="E115" s="86" t="s">
        <v>96</v>
      </c>
    </row>
    <row r="116" spans="3:5" customFormat="1" x14ac:dyDescent="0.25">
      <c r="C116" s="70"/>
      <c r="D116" s="139">
        <f>SUM(D113:D115)</f>
        <v>6709620.4100000001</v>
      </c>
      <c r="E116" s="139" t="s">
        <v>243</v>
      </c>
    </row>
    <row r="117" spans="3:5" customFormat="1" ht="15.75" x14ac:dyDescent="0.25">
      <c r="C117" s="70"/>
      <c r="D117" s="139"/>
      <c r="E117" s="86"/>
    </row>
    <row r="118" spans="3:5" customFormat="1" x14ac:dyDescent="0.25">
      <c r="C118" s="70"/>
      <c r="D118" s="84"/>
      <c r="E118" s="85"/>
    </row>
    <row r="119" spans="3:5" customFormat="1" x14ac:dyDescent="0.25">
      <c r="C119" s="87">
        <v>1402427.97</v>
      </c>
      <c r="D119" s="88" t="s">
        <v>97</v>
      </c>
      <c r="E119" s="85"/>
    </row>
    <row r="120" spans="3:5" customFormat="1" x14ac:dyDescent="0.25">
      <c r="C120" s="87">
        <v>0</v>
      </c>
      <c r="D120" s="88" t="s">
        <v>98</v>
      </c>
      <c r="E120" s="85"/>
    </row>
    <row r="121" spans="3:5" customFormat="1" x14ac:dyDescent="0.25">
      <c r="C121" s="87">
        <v>200000</v>
      </c>
      <c r="D121" s="88" t="s">
        <v>99</v>
      </c>
      <c r="E121" s="85"/>
    </row>
    <row r="122" spans="3:5" customFormat="1" x14ac:dyDescent="0.25">
      <c r="C122" s="140">
        <f>SUM(C119:C121)</f>
        <v>1602427.97</v>
      </c>
    </row>
    <row r="123" spans="3:5" customFormat="1" x14ac:dyDescent="0.25">
      <c r="C123" s="87"/>
    </row>
    <row r="124" spans="3:5" customFormat="1" x14ac:dyDescent="0.25"/>
    <row r="125" spans="3:5" customFormat="1" x14ac:dyDescent="0.25">
      <c r="C125" s="87">
        <f>C82</f>
        <v>624480</v>
      </c>
      <c r="D125" s="88" t="s">
        <v>100</v>
      </c>
    </row>
    <row r="126" spans="3:5" customFormat="1" x14ac:dyDescent="0.25">
      <c r="C126" s="87">
        <f>C73</f>
        <v>541106.4558</v>
      </c>
      <c r="D126" s="88" t="s">
        <v>244</v>
      </c>
    </row>
    <row r="127" spans="3:5" customFormat="1" x14ac:dyDescent="0.25">
      <c r="C127" s="87">
        <v>812976.83</v>
      </c>
      <c r="D127" s="88" t="s">
        <v>245</v>
      </c>
    </row>
    <row r="128" spans="3:5" customFormat="1" x14ac:dyDescent="0.25">
      <c r="C128" s="141">
        <f>SUM(C125:C127)</f>
        <v>1978563.2858000002</v>
      </c>
    </row>
    <row r="1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4"/>
  <sheetViews>
    <sheetView tabSelected="1" zoomScale="75" zoomScaleNormal="75" workbookViewId="0">
      <selection activeCell="J6" sqref="J6"/>
    </sheetView>
  </sheetViews>
  <sheetFormatPr baseColWidth="10" defaultRowHeight="15" x14ac:dyDescent="0.25"/>
  <cols>
    <col min="1" max="1" width="3.28515625" customWidth="1"/>
    <col min="2" max="2" width="17.5703125" customWidth="1"/>
    <col min="3" max="3" width="12.28515625" customWidth="1"/>
    <col min="4" max="4" width="17.28515625" customWidth="1"/>
    <col min="5" max="5" width="11.5703125" customWidth="1"/>
    <col min="6" max="6" width="13.5703125" customWidth="1"/>
    <col min="7" max="7" width="12.7109375" customWidth="1"/>
    <col min="8" max="8" width="10.42578125" customWidth="1"/>
    <col min="9" max="9" width="12.28515625" customWidth="1"/>
    <col min="10" max="11" width="11.42578125" customWidth="1"/>
    <col min="13" max="13" width="4.5703125" customWidth="1"/>
    <col min="14" max="18" width="11.42578125" customWidth="1"/>
    <col min="19" max="19" width="12.42578125" customWidth="1"/>
    <col min="20" max="23" width="11.42578125" customWidth="1"/>
    <col min="25" max="25" width="15.28515625" customWidth="1"/>
    <col min="26" max="26" width="14.140625" customWidth="1"/>
  </cols>
  <sheetData>
    <row r="1" spans="1:26" s="51" customFormat="1" x14ac:dyDescent="0.25"/>
    <row r="2" spans="1:26" s="51" customFormat="1" x14ac:dyDescent="0.25">
      <c r="A2" s="92" t="s">
        <v>246</v>
      </c>
      <c r="R2" s="51" t="s">
        <v>5</v>
      </c>
      <c r="S2" s="51" t="s">
        <v>6</v>
      </c>
      <c r="U2" s="51" t="s">
        <v>7</v>
      </c>
      <c r="Y2" s="99"/>
    </row>
    <row r="3" spans="1:26" s="51" customFormat="1" ht="15.75" thickBot="1" x14ac:dyDescent="0.3">
      <c r="A3" s="52"/>
      <c r="B3" s="53" t="s">
        <v>8</v>
      </c>
      <c r="C3" s="53" t="s">
        <v>9</v>
      </c>
      <c r="D3" s="53" t="s">
        <v>10</v>
      </c>
      <c r="E3" s="53" t="s">
        <v>11</v>
      </c>
      <c r="F3" s="54" t="s">
        <v>12</v>
      </c>
      <c r="G3" s="54" t="s">
        <v>13</v>
      </c>
      <c r="H3" s="54" t="s">
        <v>14</v>
      </c>
      <c r="I3" s="55" t="s">
        <v>15</v>
      </c>
      <c r="J3" s="53" t="s">
        <v>16</v>
      </c>
      <c r="K3" s="56" t="s">
        <v>17</v>
      </c>
      <c r="L3" s="56" t="s">
        <v>18</v>
      </c>
      <c r="M3" s="53" t="s">
        <v>19</v>
      </c>
      <c r="N3" s="53" t="s">
        <v>20</v>
      </c>
      <c r="O3" s="57" t="s">
        <v>21</v>
      </c>
      <c r="P3" s="58" t="s">
        <v>22</v>
      </c>
      <c r="Q3" s="57" t="s">
        <v>23</v>
      </c>
      <c r="R3" s="57" t="s">
        <v>24</v>
      </c>
      <c r="S3" s="57" t="s">
        <v>25</v>
      </c>
      <c r="T3" s="57" t="s">
        <v>26</v>
      </c>
      <c r="U3" s="57"/>
      <c r="V3" s="57" t="s">
        <v>27</v>
      </c>
      <c r="W3" s="57" t="s">
        <v>28</v>
      </c>
      <c r="X3" s="57" t="s">
        <v>29</v>
      </c>
      <c r="Y3" s="107" t="s">
        <v>30</v>
      </c>
      <c r="Z3" s="57"/>
    </row>
    <row r="4" spans="1:26" s="51" customFormat="1" x14ac:dyDescent="0.25">
      <c r="A4" s="142"/>
      <c r="B4" s="59" t="s">
        <v>247</v>
      </c>
      <c r="C4" s="114" t="s">
        <v>35</v>
      </c>
      <c r="D4" s="114" t="s">
        <v>35</v>
      </c>
      <c r="E4" s="11" t="s">
        <v>248</v>
      </c>
      <c r="F4" s="115">
        <f>1756*12*0.4536</f>
        <v>9558.2592000000004</v>
      </c>
      <c r="G4" s="60">
        <v>9558.26</v>
      </c>
      <c r="H4" s="60">
        <f t="shared" ref="H4:H12" si="0">G4-F4</f>
        <v>7.9999999979918357E-4</v>
      </c>
      <c r="I4" s="114" t="s">
        <v>249</v>
      </c>
      <c r="J4" s="66" t="s">
        <v>66</v>
      </c>
      <c r="K4" s="61">
        <v>41547</v>
      </c>
      <c r="L4" s="61">
        <v>41550</v>
      </c>
      <c r="M4" s="114" t="s">
        <v>50</v>
      </c>
      <c r="N4" s="11"/>
      <c r="O4" s="62"/>
      <c r="P4" s="95">
        <v>0.92</v>
      </c>
      <c r="Q4" s="62">
        <f>(17000*F4)/(F4+F5)</f>
        <v>8800.2102868597758</v>
      </c>
      <c r="R4" s="62">
        <f>(7729.5*F4)/(F4+F5)</f>
        <v>4001.2485536636846</v>
      </c>
      <c r="S4" s="116">
        <v>13.115</v>
      </c>
      <c r="T4" s="143">
        <f t="shared" ref="T4:T5" si="1">W4*F4*0.005</f>
        <v>1340.0474458630167</v>
      </c>
      <c r="V4" s="62">
        <v>0.1</v>
      </c>
      <c r="W4" s="62">
        <f t="shared" ref="W4:W5" si="2">IF(O4&gt;0,O4,((P4*2.2046*S4)+(Q4+R4)/G4)+V4)</f>
        <v>28.039571177626499</v>
      </c>
      <c r="X4" s="62">
        <f t="shared" ref="X4:X5" si="3">IF(O4&gt;0,O4,((P4*2.2046*S4)+(Q4+R4+T4)/G4)+V4)</f>
        <v>28.179769021780459</v>
      </c>
      <c r="Y4" s="99">
        <f t="shared" ref="Y4:Y12" si="4">X4*F4</f>
        <v>269349.53650630807</v>
      </c>
      <c r="Z4" s="64">
        <v>41544</v>
      </c>
    </row>
    <row r="5" spans="1:26" s="51" customFormat="1" x14ac:dyDescent="0.25">
      <c r="A5" s="142"/>
      <c r="B5" s="59" t="s">
        <v>63</v>
      </c>
      <c r="C5" s="114" t="s">
        <v>35</v>
      </c>
      <c r="D5" s="114" t="s">
        <v>35</v>
      </c>
      <c r="E5" s="11" t="s">
        <v>250</v>
      </c>
      <c r="F5" s="115">
        <f>19634.3*0.4536</f>
        <v>8906.1184799999992</v>
      </c>
      <c r="G5" s="60">
        <v>8900</v>
      </c>
      <c r="H5" s="60">
        <f t="shared" si="0"/>
        <v>-6.118479999999181</v>
      </c>
      <c r="I5" s="114" t="s">
        <v>251</v>
      </c>
      <c r="J5" s="11"/>
      <c r="K5" s="61">
        <v>41547</v>
      </c>
      <c r="L5" s="61">
        <v>41550</v>
      </c>
      <c r="M5" s="114" t="s">
        <v>50</v>
      </c>
      <c r="N5" s="11"/>
      <c r="O5" s="62"/>
      <c r="P5" s="95">
        <v>1.1499999999999999</v>
      </c>
      <c r="Q5" s="62">
        <f>(17000*F5)/(F5+F4)</f>
        <v>8199.7897131402278</v>
      </c>
      <c r="R5" s="62">
        <f>(7729.5*F5)/(F5+F4)</f>
        <v>3728.2514463363163</v>
      </c>
      <c r="S5" s="116">
        <v>13.115</v>
      </c>
      <c r="T5" s="143">
        <f t="shared" si="1"/>
        <v>1544.791084789573</v>
      </c>
      <c r="V5" s="62">
        <v>0.1</v>
      </c>
      <c r="W5" s="62">
        <f t="shared" si="2"/>
        <v>34.690557693761406</v>
      </c>
      <c r="X5" s="62">
        <f t="shared" si="3"/>
        <v>34.864129725760236</v>
      </c>
      <c r="Y5" s="99">
        <f t="shared" si="4"/>
        <v>310504.07003971055</v>
      </c>
      <c r="Z5" s="64">
        <v>41544</v>
      </c>
    </row>
    <row r="6" spans="1:26" s="51" customFormat="1" x14ac:dyDescent="0.25">
      <c r="A6" s="142"/>
      <c r="B6" s="59" t="s">
        <v>34</v>
      </c>
      <c r="C6" s="11" t="s">
        <v>40</v>
      </c>
      <c r="D6" s="11" t="s">
        <v>40</v>
      </c>
      <c r="E6" s="11" t="s">
        <v>62</v>
      </c>
      <c r="F6" s="115">
        <f>41103*0.4536</f>
        <v>18644.320800000001</v>
      </c>
      <c r="G6" s="60">
        <v>18602.13</v>
      </c>
      <c r="H6" s="60">
        <f t="shared" si="0"/>
        <v>-42.190800000000309</v>
      </c>
      <c r="I6" s="114" t="s">
        <v>252</v>
      </c>
      <c r="J6" s="66" t="s">
        <v>42</v>
      </c>
      <c r="K6" s="61">
        <v>41547</v>
      </c>
      <c r="L6" s="61">
        <v>41548</v>
      </c>
      <c r="M6" s="114" t="s">
        <v>43</v>
      </c>
      <c r="N6" s="114" t="s">
        <v>253</v>
      </c>
      <c r="O6" s="62"/>
      <c r="P6" s="95">
        <v>0.99929999999999997</v>
      </c>
      <c r="Q6" s="62">
        <v>17000</v>
      </c>
      <c r="R6" s="62">
        <v>7729.5</v>
      </c>
      <c r="S6" s="116">
        <v>13.21</v>
      </c>
      <c r="T6" s="117">
        <f>W6*F6*0.005</f>
        <v>2846.2206504664109</v>
      </c>
      <c r="V6" s="62">
        <v>0.1</v>
      </c>
      <c r="W6" s="62">
        <f>IF(O6&gt;0,O6,((P6*2.2046*S6)+(Q6+R6)/G6)+V6)</f>
        <v>30.531770837867271</v>
      </c>
      <c r="X6" s="62">
        <f>IF(O6&gt;0,O6,((P6*2.2046*S6)+(Q6+R6+T6)/G6)+V6)</f>
        <v>30.684775931932649</v>
      </c>
      <c r="Y6" s="99">
        <f t="shared" si="4"/>
        <v>572096.80615107133</v>
      </c>
      <c r="Z6" s="64">
        <v>41549</v>
      </c>
    </row>
    <row r="7" spans="1:26" s="51" customFormat="1" x14ac:dyDescent="0.25">
      <c r="A7" s="142"/>
      <c r="B7" s="59" t="s">
        <v>34</v>
      </c>
      <c r="C7" s="11" t="s">
        <v>40</v>
      </c>
      <c r="D7" s="11" t="s">
        <v>40</v>
      </c>
      <c r="E7" s="11" t="s">
        <v>62</v>
      </c>
      <c r="F7" s="115">
        <f>42436*0.4536</f>
        <v>19248.9696</v>
      </c>
      <c r="G7" s="60">
        <v>19235.310000000001</v>
      </c>
      <c r="H7" s="60">
        <f t="shared" si="0"/>
        <v>-13.659599999999045</v>
      </c>
      <c r="I7" s="114" t="s">
        <v>254</v>
      </c>
      <c r="J7" s="66" t="s">
        <v>37</v>
      </c>
      <c r="K7" s="61">
        <v>41547</v>
      </c>
      <c r="L7" s="61">
        <v>41548</v>
      </c>
      <c r="M7" s="114" t="s">
        <v>43</v>
      </c>
      <c r="N7" s="114" t="s">
        <v>253</v>
      </c>
      <c r="O7" s="62"/>
      <c r="P7" s="95">
        <v>0.99929999999999997</v>
      </c>
      <c r="Q7" s="62">
        <v>17000</v>
      </c>
      <c r="R7" s="62">
        <v>7729.5</v>
      </c>
      <c r="S7" s="116">
        <v>13.16</v>
      </c>
      <c r="T7" s="117">
        <f>W7*F7*0.005</f>
        <v>2923.7122932199195</v>
      </c>
      <c r="V7" s="62">
        <v>0.1</v>
      </c>
      <c r="W7" s="62">
        <f>IF(O7&gt;0,O7,((P7*2.2046*S7)+(Q7+R7)/G7)+V7)</f>
        <v>30.377857661741228</v>
      </c>
      <c r="X7" s="62">
        <f>IF(O7&gt;0,O7,((P7*2.2046*S7)+(Q7+R7+T7)/G7)+V7)</f>
        <v>30.529854811421682</v>
      </c>
      <c r="Y7" s="99">
        <f t="shared" si="4"/>
        <v>587668.24715746974</v>
      </c>
      <c r="Z7" s="64">
        <v>41549</v>
      </c>
    </row>
    <row r="8" spans="1:26" s="51" customFormat="1" x14ac:dyDescent="0.25">
      <c r="A8" s="142"/>
      <c r="B8" s="59" t="s">
        <v>34</v>
      </c>
      <c r="C8" s="11" t="s">
        <v>40</v>
      </c>
      <c r="D8" s="11" t="s">
        <v>40</v>
      </c>
      <c r="E8" s="11" t="s">
        <v>62</v>
      </c>
      <c r="F8" s="115">
        <f>41722*0.4536</f>
        <v>18925.099200000001</v>
      </c>
      <c r="G8" s="60">
        <v>18961.21</v>
      </c>
      <c r="H8" s="60">
        <f t="shared" si="0"/>
        <v>36.110799999998562</v>
      </c>
      <c r="I8" s="114" t="s">
        <v>255</v>
      </c>
      <c r="J8" s="66" t="s">
        <v>66</v>
      </c>
      <c r="K8" s="61">
        <v>41547</v>
      </c>
      <c r="L8" s="61">
        <v>41550</v>
      </c>
      <c r="M8" s="114" t="s">
        <v>50</v>
      </c>
      <c r="N8" s="114" t="s">
        <v>253</v>
      </c>
      <c r="O8" s="62"/>
      <c r="P8" s="95">
        <v>0.99929999999999997</v>
      </c>
      <c r="Q8" s="62">
        <v>17000</v>
      </c>
      <c r="R8" s="62">
        <v>7729.5</v>
      </c>
      <c r="S8" s="116">
        <v>13.14</v>
      </c>
      <c r="T8" s="117">
        <f>W8*F8*0.005</f>
        <v>2872.1091427934489</v>
      </c>
      <c r="V8" s="62">
        <v>0.1</v>
      </c>
      <c r="W8" s="62">
        <f>IF(O8&gt;0,O8,((P8*2.2046*S8)+(Q8+R8)/G8)+V8)</f>
        <v>30.352381379257963</v>
      </c>
      <c r="X8" s="62">
        <f>IF(O8&gt;0,O8,((P8*2.2046*S8)+(Q8+R8+T8)/G8)+V8)</f>
        <v>30.503854262201269</v>
      </c>
      <c r="Y8" s="99">
        <f t="shared" si="4"/>
        <v>577288.46789450187</v>
      </c>
      <c r="Z8" s="64">
        <v>41549</v>
      </c>
    </row>
    <row r="9" spans="1:26" s="51" customFormat="1" x14ac:dyDescent="0.25">
      <c r="A9" s="142"/>
      <c r="B9" s="114" t="s">
        <v>31</v>
      </c>
      <c r="C9" s="114" t="s">
        <v>44</v>
      </c>
      <c r="D9" s="114" t="s">
        <v>45</v>
      </c>
      <c r="E9" s="11">
        <v>252</v>
      </c>
      <c r="F9" s="115">
        <f>5055+16800</f>
        <v>21855</v>
      </c>
      <c r="G9" s="60">
        <v>21855</v>
      </c>
      <c r="H9" s="60">
        <f t="shared" si="0"/>
        <v>0</v>
      </c>
      <c r="I9" s="114" t="s">
        <v>256</v>
      </c>
      <c r="J9" s="11"/>
      <c r="K9" s="61"/>
      <c r="L9" s="61">
        <v>41548</v>
      </c>
      <c r="M9" s="114" t="s">
        <v>43</v>
      </c>
      <c r="N9" s="11"/>
      <c r="O9" s="62">
        <v>29.4</v>
      </c>
      <c r="P9" s="63"/>
      <c r="Q9" s="62"/>
      <c r="R9" s="62"/>
      <c r="S9" s="116"/>
      <c r="T9" s="116"/>
      <c r="U9" s="62">
        <f>E9*5</f>
        <v>1260</v>
      </c>
      <c r="V9" s="105"/>
      <c r="W9" s="62">
        <f>((O9*F9)+Q9+R9+S9+U9)/G9</f>
        <v>29.457652711050102</v>
      </c>
      <c r="X9" s="62">
        <f>((O9*F9)+R9+S9+T9+U9)/G9</f>
        <v>29.457652711050102</v>
      </c>
      <c r="Y9" s="99">
        <f t="shared" si="4"/>
        <v>643797</v>
      </c>
      <c r="Z9" s="64">
        <v>41555</v>
      </c>
    </row>
    <row r="10" spans="1:26" s="51" customFormat="1" x14ac:dyDescent="0.25">
      <c r="A10" s="142"/>
      <c r="B10" s="59" t="s">
        <v>31</v>
      </c>
      <c r="C10" s="11" t="s">
        <v>46</v>
      </c>
      <c r="D10" s="11" t="s">
        <v>257</v>
      </c>
      <c r="E10" s="11">
        <f>193+57</f>
        <v>250</v>
      </c>
      <c r="F10" s="115">
        <f>22290+6940</f>
        <v>29230</v>
      </c>
      <c r="G10" s="60">
        <f>15250+7590</f>
        <v>22840</v>
      </c>
      <c r="H10" s="60">
        <f t="shared" si="0"/>
        <v>-6390</v>
      </c>
      <c r="I10" s="114" t="s">
        <v>258</v>
      </c>
      <c r="J10" s="11"/>
      <c r="K10" s="61"/>
      <c r="L10" s="61">
        <v>41549</v>
      </c>
      <c r="M10" s="114" t="s">
        <v>48</v>
      </c>
      <c r="N10" s="11"/>
      <c r="O10" s="62">
        <v>22</v>
      </c>
      <c r="P10" s="63"/>
      <c r="Q10" s="62">
        <v>15000</v>
      </c>
      <c r="R10" s="62">
        <f>58.25*E10</f>
        <v>14562.5</v>
      </c>
      <c r="S10" s="116">
        <f>-35*E10</f>
        <v>-8750</v>
      </c>
      <c r="T10" s="116">
        <v>2250</v>
      </c>
      <c r="U10" s="62">
        <f>E10*5</f>
        <v>1250</v>
      </c>
      <c r="V10" s="11"/>
      <c r="W10" s="62">
        <f>((O10*F10)+Q10+R10+S10+U10)/G10</f>
        <v>29.120950087565674</v>
      </c>
      <c r="X10" s="62">
        <f>((O10*F10)+Q10+R10+S10+T10+U10)/G10</f>
        <v>29.219461471103326</v>
      </c>
      <c r="Y10" s="99">
        <f t="shared" si="4"/>
        <v>854084.85880035022</v>
      </c>
      <c r="Z10" s="64">
        <v>41555</v>
      </c>
    </row>
    <row r="11" spans="1:26" s="51" customFormat="1" x14ac:dyDescent="0.25">
      <c r="A11" s="142"/>
      <c r="B11" s="59" t="s">
        <v>259</v>
      </c>
      <c r="C11" s="11" t="s">
        <v>52</v>
      </c>
      <c r="D11" s="11" t="s">
        <v>53</v>
      </c>
      <c r="E11" s="11" t="s">
        <v>260</v>
      </c>
      <c r="F11" s="115">
        <v>18846.36</v>
      </c>
      <c r="G11" s="60">
        <v>18846.36</v>
      </c>
      <c r="H11" s="60">
        <f t="shared" si="0"/>
        <v>0</v>
      </c>
      <c r="I11" s="114" t="s">
        <v>135</v>
      </c>
      <c r="J11" s="11"/>
      <c r="K11" s="61"/>
      <c r="L11" s="61">
        <v>41549</v>
      </c>
      <c r="M11" s="114" t="s">
        <v>48</v>
      </c>
      <c r="N11" s="11"/>
      <c r="O11" s="62">
        <v>59</v>
      </c>
      <c r="P11" s="63"/>
      <c r="Q11" s="62"/>
      <c r="R11" s="62"/>
      <c r="S11" s="116"/>
      <c r="T11" s="116"/>
      <c r="U11" s="62"/>
      <c r="V11" s="62"/>
      <c r="W11" s="62">
        <f>IF(O11&gt;0,O11,((P11*2.2046*S11)+(Q11+R11)/G11)+V11)</f>
        <v>59</v>
      </c>
      <c r="X11" s="62">
        <f>IF(O11&gt;0,O11,((P11*2.2046*S11)+(Q11+R11+T11)/G11)+V11)</f>
        <v>59</v>
      </c>
      <c r="Y11" s="99">
        <f t="shared" si="4"/>
        <v>1111935.24</v>
      </c>
      <c r="Z11" s="64">
        <v>41568</v>
      </c>
    </row>
    <row r="12" spans="1:26" s="51" customFormat="1" x14ac:dyDescent="0.25">
      <c r="A12" s="142"/>
      <c r="B12" s="59" t="s">
        <v>34</v>
      </c>
      <c r="C12" s="114" t="s">
        <v>35</v>
      </c>
      <c r="D12" s="114" t="s">
        <v>35</v>
      </c>
      <c r="E12" s="11" t="s">
        <v>36</v>
      </c>
      <c r="F12" s="115">
        <f>43233*0.4536</f>
        <v>19610.488799999999</v>
      </c>
      <c r="G12" s="60">
        <v>19565.62</v>
      </c>
      <c r="H12" s="60">
        <f t="shared" si="0"/>
        <v>-44.868800000000192</v>
      </c>
      <c r="I12" s="114" t="s">
        <v>87</v>
      </c>
      <c r="J12" s="66" t="s">
        <v>42</v>
      </c>
      <c r="K12" s="61">
        <v>41549</v>
      </c>
      <c r="L12" s="61">
        <v>41550</v>
      </c>
      <c r="M12" s="114" t="s">
        <v>50</v>
      </c>
      <c r="N12" s="11" t="s">
        <v>261</v>
      </c>
      <c r="O12" s="62"/>
      <c r="P12" s="95">
        <v>0.97660000000000002</v>
      </c>
      <c r="Q12" s="62">
        <v>17000</v>
      </c>
      <c r="R12" s="62">
        <v>7736</v>
      </c>
      <c r="S12" s="116">
        <v>13.005000000000001</v>
      </c>
      <c r="T12" s="118">
        <f>W12*F12*0.005</f>
        <v>2879.2300239949577</v>
      </c>
      <c r="U12" s="105"/>
      <c r="V12" s="62">
        <v>0.1</v>
      </c>
      <c r="W12" s="62">
        <f>IF(O12&gt;0,O12,((P12*2.2046*S12)+(Q12+R12)/G12)+V12)</f>
        <v>29.364184170615445</v>
      </c>
      <c r="X12" s="62">
        <f>IF(O12&gt;0,O12,((P12*2.2046*S12)+(Q12+R12+T12)/G12)+V12)</f>
        <v>29.511341788109547</v>
      </c>
      <c r="Y12" s="99">
        <f t="shared" si="4"/>
        <v>578731.83760869422</v>
      </c>
      <c r="Z12" s="64">
        <v>41549</v>
      </c>
    </row>
    <row r="13" spans="1:26" s="51" customFormat="1" x14ac:dyDescent="0.25">
      <c r="A13" s="142"/>
      <c r="B13" s="59" t="s">
        <v>51</v>
      </c>
      <c r="C13" s="11" t="s">
        <v>52</v>
      </c>
      <c r="D13" s="11" t="s">
        <v>53</v>
      </c>
      <c r="E13" s="11" t="s">
        <v>39</v>
      </c>
      <c r="F13" s="115">
        <v>18693.91</v>
      </c>
      <c r="G13" s="60">
        <v>18651.509999999998</v>
      </c>
      <c r="H13" s="60">
        <f>G13-F13</f>
        <v>-42.400000000001455</v>
      </c>
      <c r="I13" s="114" t="s">
        <v>262</v>
      </c>
      <c r="J13" s="11"/>
      <c r="K13" s="61">
        <v>41548</v>
      </c>
      <c r="L13" s="61">
        <v>41550</v>
      </c>
      <c r="M13" s="114" t="s">
        <v>50</v>
      </c>
      <c r="N13" s="114" t="s">
        <v>263</v>
      </c>
      <c r="O13" s="62"/>
      <c r="P13" s="95">
        <v>2.2850000000000001</v>
      </c>
      <c r="Q13" s="62"/>
      <c r="R13" s="62"/>
      <c r="S13" s="116">
        <v>13.145</v>
      </c>
      <c r="T13" s="116"/>
      <c r="U13" s="62"/>
      <c r="V13" s="62"/>
      <c r="W13" s="62">
        <f>IF(O13&gt;0,O13,((P13*S13)+(Q13+R13)/G13)+V13)</f>
        <v>30.036325000000001</v>
      </c>
      <c r="X13" s="62">
        <f>IF(O13&gt;0,O13,((P13*S13)+(Q13+R13+T13)/G13)+V13)</f>
        <v>30.036325000000001</v>
      </c>
      <c r="Y13" s="99">
        <f>X13*F13</f>
        <v>561496.35628075001</v>
      </c>
      <c r="Z13" s="64">
        <v>41550</v>
      </c>
    </row>
    <row r="14" spans="1:26" s="51" customFormat="1" x14ac:dyDescent="0.25">
      <c r="A14" s="142"/>
      <c r="B14" s="114" t="s">
        <v>31</v>
      </c>
      <c r="C14" s="114" t="s">
        <v>44</v>
      </c>
      <c r="D14" s="114" t="s">
        <v>45</v>
      </c>
      <c r="E14" s="11">
        <f>100+151</f>
        <v>251</v>
      </c>
      <c r="F14" s="115">
        <f>12850+8300</f>
        <v>21150</v>
      </c>
      <c r="G14" s="60">
        <v>21150</v>
      </c>
      <c r="H14" s="60">
        <f t="shared" ref="H14:H19" si="5">G14-F14</f>
        <v>0</v>
      </c>
      <c r="I14" s="114" t="s">
        <v>264</v>
      </c>
      <c r="J14" s="11"/>
      <c r="K14" s="61"/>
      <c r="L14" s="61">
        <v>41550</v>
      </c>
      <c r="M14" s="114" t="s">
        <v>50</v>
      </c>
      <c r="N14" s="11"/>
      <c r="O14" s="62">
        <v>29.4</v>
      </c>
      <c r="P14" s="63"/>
      <c r="Q14" s="62"/>
      <c r="R14" s="62"/>
      <c r="S14" s="116"/>
      <c r="T14" s="116"/>
      <c r="U14" s="62">
        <f>E14*5</f>
        <v>1255</v>
      </c>
      <c r="V14" s="105"/>
      <c r="W14" s="62">
        <f>((O14*F14)+Q14+R14+S14+U14)/G14</f>
        <v>29.459338061465722</v>
      </c>
      <c r="X14" s="62">
        <f>((O14*F14)+R14+S14+T14+U14)/G14</f>
        <v>29.459338061465722</v>
      </c>
      <c r="Y14" s="99">
        <f t="shared" ref="Y14:Y19" si="6">X14*F14</f>
        <v>623065</v>
      </c>
      <c r="Z14" s="64">
        <v>41557</v>
      </c>
    </row>
    <row r="15" spans="1:26" s="51" customFormat="1" x14ac:dyDescent="0.25">
      <c r="A15" s="142"/>
      <c r="B15" s="114" t="s">
        <v>265</v>
      </c>
      <c r="C15" s="114" t="s">
        <v>266</v>
      </c>
      <c r="D15" s="114" t="s">
        <v>267</v>
      </c>
      <c r="E15" s="114" t="s">
        <v>268</v>
      </c>
      <c r="F15" s="115">
        <v>1988.3</v>
      </c>
      <c r="G15" s="60">
        <v>1988.3</v>
      </c>
      <c r="H15" s="60">
        <f t="shared" si="5"/>
        <v>0</v>
      </c>
      <c r="I15" s="114" t="s">
        <v>269</v>
      </c>
      <c r="J15" s="11"/>
      <c r="K15" s="61"/>
      <c r="L15" s="61">
        <v>41551</v>
      </c>
      <c r="M15" s="114" t="s">
        <v>50</v>
      </c>
      <c r="N15" s="11"/>
      <c r="O15" s="62">
        <v>62</v>
      </c>
      <c r="P15" s="63"/>
      <c r="Q15" s="62"/>
      <c r="R15" s="62"/>
      <c r="S15" s="116"/>
      <c r="T15" s="116"/>
      <c r="U15" s="62"/>
      <c r="V15" s="62"/>
      <c r="W15" s="62">
        <f>IF(O15&gt;0,O15,((P15*2.2046*S15)+(Q15+R15)/G15)+V15)</f>
        <v>62</v>
      </c>
      <c r="X15" s="62">
        <f>IF(O15&gt;0,O15,((P15*2.2046*S15)+(Q15+R15+T15)/G15)+V15)</f>
        <v>62</v>
      </c>
      <c r="Y15" s="99">
        <f t="shared" si="6"/>
        <v>123274.59999999999</v>
      </c>
      <c r="Z15" s="64">
        <v>41565</v>
      </c>
    </row>
    <row r="16" spans="1:26" s="51" customFormat="1" x14ac:dyDescent="0.25">
      <c r="A16" s="142"/>
      <c r="B16" s="59" t="s">
        <v>31</v>
      </c>
      <c r="C16" s="11" t="s">
        <v>46</v>
      </c>
      <c r="D16" s="11" t="s">
        <v>270</v>
      </c>
      <c r="E16" s="11">
        <v>250</v>
      </c>
      <c r="F16" s="115">
        <f>16200+16190</f>
        <v>32390</v>
      </c>
      <c r="G16" s="60">
        <f>11360+14610</f>
        <v>25970</v>
      </c>
      <c r="H16" s="60">
        <f t="shared" si="5"/>
        <v>-6420</v>
      </c>
      <c r="I16" s="114" t="s">
        <v>271</v>
      </c>
      <c r="J16" s="11"/>
      <c r="K16" s="61"/>
      <c r="L16" s="61">
        <v>41551</v>
      </c>
      <c r="M16" s="114" t="s">
        <v>57</v>
      </c>
      <c r="N16" s="11"/>
      <c r="O16" s="62">
        <v>22</v>
      </c>
      <c r="P16" s="63"/>
      <c r="Q16" s="62">
        <v>15000</v>
      </c>
      <c r="R16" s="62">
        <f>58.25*E16</f>
        <v>14562.5</v>
      </c>
      <c r="S16" s="116">
        <f>-35*E16</f>
        <v>-8750</v>
      </c>
      <c r="T16" s="116">
        <v>2250</v>
      </c>
      <c r="U16" s="62">
        <f>E16*5</f>
        <v>1250</v>
      </c>
      <c r="V16" s="11"/>
      <c r="W16" s="62">
        <f>((O16*F16)+Q16+R16+S16+U16)/G16</f>
        <v>28.288120908740854</v>
      </c>
      <c r="X16" s="62">
        <f>((O16*F16)+Q16+R16+S16+T16+U16)/G16</f>
        <v>28.374759337697345</v>
      </c>
      <c r="Y16" s="99">
        <f t="shared" si="6"/>
        <v>919058.45494801702</v>
      </c>
      <c r="Z16" s="64">
        <v>41557</v>
      </c>
    </row>
    <row r="17" spans="1:26" s="51" customFormat="1" x14ac:dyDescent="0.25">
      <c r="A17" s="142"/>
      <c r="B17" s="59" t="s">
        <v>34</v>
      </c>
      <c r="C17" s="11" t="s">
        <v>40</v>
      </c>
      <c r="D17" s="11" t="s">
        <v>40</v>
      </c>
      <c r="E17" s="11" t="s">
        <v>272</v>
      </c>
      <c r="F17" s="115">
        <f>41222*0.4536</f>
        <v>18698.299200000001</v>
      </c>
      <c r="G17" s="60">
        <v>18683.47</v>
      </c>
      <c r="H17" s="60">
        <f t="shared" si="5"/>
        <v>-14.829200000000128</v>
      </c>
      <c r="I17" s="114" t="s">
        <v>273</v>
      </c>
      <c r="J17" s="66" t="s">
        <v>42</v>
      </c>
      <c r="K17" s="61">
        <v>41550</v>
      </c>
      <c r="L17" s="61">
        <v>41551</v>
      </c>
      <c r="M17" s="114" t="s">
        <v>57</v>
      </c>
      <c r="N17" s="114" t="s">
        <v>274</v>
      </c>
      <c r="O17" s="62"/>
      <c r="P17" s="95">
        <v>0.98160000000000003</v>
      </c>
      <c r="Q17" s="62">
        <v>17000</v>
      </c>
      <c r="R17" s="62">
        <v>7729.5</v>
      </c>
      <c r="S17" s="116">
        <v>13.14</v>
      </c>
      <c r="T17" s="118">
        <f>W17*F17*0.005</f>
        <v>2791.5651775715155</v>
      </c>
      <c r="U17" s="105"/>
      <c r="V17" s="62">
        <v>0.1</v>
      </c>
      <c r="W17" s="62">
        <f>IF(O17&gt;0,O17,((P17*2.2046*S17)+(Q17+R17)/G17)+V17)</f>
        <v>29.859027794052153</v>
      </c>
      <c r="X17" s="62">
        <f>IF(O17&gt;0,O17,((P17*2.2046*S17)+(Q17+R17+T17)/G17)+V17)</f>
        <v>30.008441429611903</v>
      </c>
      <c r="Y17" s="99">
        <f t="shared" si="6"/>
        <v>561106.81637655909</v>
      </c>
      <c r="Z17" s="64">
        <v>41551</v>
      </c>
    </row>
    <row r="18" spans="1:26" s="51" customFormat="1" x14ac:dyDescent="0.25">
      <c r="A18" s="142"/>
      <c r="B18" s="59" t="s">
        <v>34</v>
      </c>
      <c r="C18" s="114" t="s">
        <v>35</v>
      </c>
      <c r="D18" s="114" t="s">
        <v>35</v>
      </c>
      <c r="E18" s="11" t="s">
        <v>36</v>
      </c>
      <c r="F18" s="115">
        <f>42261*0.4536</f>
        <v>19169.589599999999</v>
      </c>
      <c r="G18" s="60">
        <v>19145.68</v>
      </c>
      <c r="H18" s="60">
        <f t="shared" si="5"/>
        <v>-23.909599999999045</v>
      </c>
      <c r="I18" s="114" t="s">
        <v>89</v>
      </c>
      <c r="J18" s="66" t="s">
        <v>49</v>
      </c>
      <c r="K18" s="61">
        <v>41551</v>
      </c>
      <c r="L18" s="61">
        <v>41552</v>
      </c>
      <c r="M18" s="114" t="s">
        <v>58</v>
      </c>
      <c r="N18" s="11" t="s">
        <v>275</v>
      </c>
      <c r="O18" s="62"/>
      <c r="P18" s="95">
        <v>0.9819</v>
      </c>
      <c r="Q18" s="62">
        <v>17000</v>
      </c>
      <c r="R18" s="62">
        <v>7729.5</v>
      </c>
      <c r="S18" s="116">
        <v>13.195</v>
      </c>
      <c r="T18" s="118">
        <f>W18*F18*0.005</f>
        <v>2871.1082757026434</v>
      </c>
      <c r="U18" s="105"/>
      <c r="V18" s="62">
        <v>0.1</v>
      </c>
      <c r="W18" s="62">
        <f>IF(O18&gt;0,O18,((P18*2.2046*S18)+(Q18+R18)/G18)+V18)</f>
        <v>29.954822566495046</v>
      </c>
      <c r="X18" s="62">
        <f>IF(O18&gt;0,O18,((P18*2.2046*S18)+(Q18+R18+T18)/G18)+V18)</f>
        <v>30.10478372095405</v>
      </c>
      <c r="Y18" s="99">
        <f t="shared" si="6"/>
        <v>577096.34892745002</v>
      </c>
      <c r="Z18" s="64">
        <v>41551</v>
      </c>
    </row>
    <row r="19" spans="1:26" s="51" customFormat="1" x14ac:dyDescent="0.25">
      <c r="A19" s="142"/>
      <c r="B19" s="114" t="s">
        <v>31</v>
      </c>
      <c r="C19" s="114" t="s">
        <v>44</v>
      </c>
      <c r="D19" s="114" t="s">
        <v>45</v>
      </c>
      <c r="E19" s="11">
        <f>50+98</f>
        <v>148</v>
      </c>
      <c r="F19" s="115">
        <f>4220+8310</f>
        <v>12530</v>
      </c>
      <c r="G19" s="60">
        <v>12530</v>
      </c>
      <c r="H19" s="60">
        <f t="shared" si="5"/>
        <v>0</v>
      </c>
      <c r="I19" s="114" t="s">
        <v>276</v>
      </c>
      <c r="J19" s="11"/>
      <c r="K19" s="61"/>
      <c r="L19" s="61">
        <v>41553</v>
      </c>
      <c r="M19" s="114" t="s">
        <v>60</v>
      </c>
      <c r="N19" s="11"/>
      <c r="O19" s="62">
        <v>29.9</v>
      </c>
      <c r="P19" s="63"/>
      <c r="Q19" s="62"/>
      <c r="R19" s="62"/>
      <c r="S19" s="116"/>
      <c r="T19" s="116"/>
      <c r="U19" s="62">
        <f>E19*5</f>
        <v>740</v>
      </c>
      <c r="W19" s="62">
        <f>((O19*F19)+Q19+R19+S19+U19)/G19</f>
        <v>29.959058260175578</v>
      </c>
      <c r="X19" s="62">
        <f>((O19*F19)+R19+S19+T19+U19)/G19</f>
        <v>29.959058260175578</v>
      </c>
      <c r="Y19" s="99">
        <f t="shared" si="6"/>
        <v>375387</v>
      </c>
      <c r="Z19" s="64">
        <v>41561</v>
      </c>
    </row>
    <row r="20" spans="1:26" s="51" customFormat="1" ht="15.75" thickBot="1" x14ac:dyDescent="0.3">
      <c r="A20" s="142"/>
      <c r="B20" s="68"/>
      <c r="C20" s="53"/>
      <c r="D20" s="53"/>
      <c r="E20" s="53"/>
      <c r="F20" s="54"/>
      <c r="G20" s="54"/>
      <c r="H20" s="54"/>
      <c r="I20" s="55"/>
      <c r="J20" s="53"/>
      <c r="K20" s="56"/>
      <c r="L20" s="56"/>
      <c r="M20" s="53"/>
      <c r="N20" s="53"/>
      <c r="O20" s="57"/>
      <c r="P20" s="58"/>
      <c r="Q20" s="57"/>
      <c r="R20" s="57"/>
      <c r="S20" s="57"/>
      <c r="T20" s="57"/>
      <c r="U20" s="57"/>
      <c r="V20" s="57"/>
      <c r="W20" s="57"/>
      <c r="X20" s="57"/>
      <c r="Y20" s="57"/>
      <c r="Z20" s="69"/>
    </row>
    <row r="21" spans="1:26" s="51" customFormat="1" x14ac:dyDescent="0.25">
      <c r="A21" s="109"/>
      <c r="B21" s="114" t="s">
        <v>31</v>
      </c>
      <c r="C21" s="114" t="s">
        <v>32</v>
      </c>
      <c r="D21" s="114" t="s">
        <v>61</v>
      </c>
      <c r="E21" s="11">
        <v>250</v>
      </c>
      <c r="F21" s="115">
        <v>22817</v>
      </c>
      <c r="G21" s="60">
        <f>4690+18160</f>
        <v>22850</v>
      </c>
      <c r="H21" s="60">
        <f t="shared" ref="H21:H27" si="7">G21-F21</f>
        <v>33</v>
      </c>
      <c r="I21" s="114" t="s">
        <v>277</v>
      </c>
      <c r="J21" s="11"/>
      <c r="K21" s="61"/>
      <c r="L21" s="61">
        <v>41554</v>
      </c>
      <c r="M21" s="114" t="s">
        <v>33</v>
      </c>
      <c r="N21" s="11"/>
      <c r="O21" s="62">
        <v>29.8</v>
      </c>
      <c r="P21" s="63"/>
      <c r="Q21" s="62"/>
      <c r="R21" s="62"/>
      <c r="S21" s="116"/>
      <c r="T21" s="116"/>
      <c r="U21" s="62">
        <f>E21*5</f>
        <v>1250</v>
      </c>
      <c r="W21" s="62">
        <f>((O21*F21)+Q21+R21+S21+U21)/G21</f>
        <v>29.811667396061267</v>
      </c>
      <c r="X21" s="62">
        <f>((O21*F21)+R21+S21+T21+U21)/G21</f>
        <v>29.811667396061267</v>
      </c>
      <c r="Y21" s="99">
        <f t="shared" ref="Y21:Y27" si="8">X21*F21</f>
        <v>680212.81497592991</v>
      </c>
      <c r="Z21" s="64">
        <v>41561</v>
      </c>
    </row>
    <row r="22" spans="1:26" s="51" customFormat="1" x14ac:dyDescent="0.25">
      <c r="A22" s="109"/>
      <c r="B22" s="59" t="s">
        <v>51</v>
      </c>
      <c r="C22" s="11" t="s">
        <v>52</v>
      </c>
      <c r="D22" s="11" t="s">
        <v>53</v>
      </c>
      <c r="E22" s="11" t="s">
        <v>39</v>
      </c>
      <c r="F22" s="115">
        <v>18789.61</v>
      </c>
      <c r="G22" s="60">
        <v>18820.169999999998</v>
      </c>
      <c r="H22" s="60">
        <f>G22-F22</f>
        <v>30.559999999997672</v>
      </c>
      <c r="I22" s="114" t="s">
        <v>278</v>
      </c>
      <c r="J22" s="11"/>
      <c r="K22" s="61">
        <v>41551</v>
      </c>
      <c r="L22" s="61">
        <v>41554</v>
      </c>
      <c r="M22" s="114" t="s">
        <v>50</v>
      </c>
      <c r="N22" s="114" t="s">
        <v>279</v>
      </c>
      <c r="O22" s="62"/>
      <c r="P22" s="95">
        <v>2.2970000000000002</v>
      </c>
      <c r="Q22" s="62"/>
      <c r="R22" s="62"/>
      <c r="S22" s="116">
        <v>13.115</v>
      </c>
      <c r="T22" s="116"/>
      <c r="U22" s="62"/>
      <c r="V22" s="62"/>
      <c r="W22" s="62">
        <f>IF(O22&gt;0,O22,((P22*S22)+(Q22+R22)/G22)+V22)</f>
        <v>30.125155000000003</v>
      </c>
      <c r="X22" s="62">
        <f>IF(O22&gt;0,O22,((P22*S22)+(Q22+R22+T22)/G22)+V22)</f>
        <v>30.125155000000003</v>
      </c>
      <c r="Y22" s="99">
        <f>X22*F22</f>
        <v>566039.9136395501</v>
      </c>
      <c r="Z22" s="64">
        <v>41554</v>
      </c>
    </row>
    <row r="23" spans="1:26" s="51" customFormat="1" x14ac:dyDescent="0.25">
      <c r="A23" s="109"/>
      <c r="B23" s="59" t="s">
        <v>34</v>
      </c>
      <c r="C23" s="11" t="s">
        <v>40</v>
      </c>
      <c r="D23" s="11" t="s">
        <v>40</v>
      </c>
      <c r="E23" s="11" t="s">
        <v>62</v>
      </c>
      <c r="F23" s="115">
        <f>40612*0.4536</f>
        <v>18421.603200000001</v>
      </c>
      <c r="G23" s="60">
        <v>18559.95</v>
      </c>
      <c r="H23" s="60">
        <f t="shared" si="7"/>
        <v>138.34679999999935</v>
      </c>
      <c r="I23" s="114" t="s">
        <v>280</v>
      </c>
      <c r="J23" s="66" t="s">
        <v>42</v>
      </c>
      <c r="K23" s="61">
        <v>41554</v>
      </c>
      <c r="L23" s="61">
        <v>41555</v>
      </c>
      <c r="M23" s="114" t="s">
        <v>43</v>
      </c>
      <c r="N23" s="114" t="s">
        <v>281</v>
      </c>
      <c r="O23" s="62"/>
      <c r="P23" s="95">
        <v>0.9869</v>
      </c>
      <c r="Q23" s="62">
        <v>17000</v>
      </c>
      <c r="R23" s="62">
        <v>7684</v>
      </c>
      <c r="S23" s="116">
        <v>13.225</v>
      </c>
      <c r="T23" s="118">
        <f>W23*F23*0.005</f>
        <v>2782.0170712626687</v>
      </c>
      <c r="V23" s="62">
        <v>0.1</v>
      </c>
      <c r="W23" s="62">
        <f>IF(O23&gt;0,O23,((P23*2.2046*S23)+(Q23+R23)/G23)+V23)</f>
        <v>30.203854040919396</v>
      </c>
      <c r="X23" s="62">
        <f>IF(O23&gt;0,O23,((P23*2.2046*S23)+(Q23+R23+T23)/G23)+V23)</f>
        <v>30.353747605894661</v>
      </c>
      <c r="Y23" s="99">
        <f t="shared" si="8"/>
        <v>559164.69402874145</v>
      </c>
      <c r="Z23" s="64">
        <v>41556</v>
      </c>
    </row>
    <row r="24" spans="1:26" s="51" customFormat="1" x14ac:dyDescent="0.25">
      <c r="A24" s="109"/>
      <c r="B24" s="59" t="s">
        <v>34</v>
      </c>
      <c r="C24" s="11" t="s">
        <v>40</v>
      </c>
      <c r="D24" s="11" t="s">
        <v>40</v>
      </c>
      <c r="E24" s="11" t="s">
        <v>62</v>
      </c>
      <c r="F24" s="115">
        <f>41459*0.4536</f>
        <v>18805.8024</v>
      </c>
      <c r="G24" s="60">
        <v>18779.97</v>
      </c>
      <c r="H24" s="60">
        <f t="shared" si="7"/>
        <v>-25.832399999999325</v>
      </c>
      <c r="I24" s="114" t="s">
        <v>282</v>
      </c>
      <c r="J24" s="66" t="s">
        <v>42</v>
      </c>
      <c r="K24" s="61">
        <v>41554</v>
      </c>
      <c r="L24" s="61">
        <v>41555</v>
      </c>
      <c r="M24" s="114" t="s">
        <v>43</v>
      </c>
      <c r="N24" s="114" t="s">
        <v>281</v>
      </c>
      <c r="O24" s="62"/>
      <c r="P24" s="95">
        <v>0.9869</v>
      </c>
      <c r="Q24" s="62">
        <v>17000</v>
      </c>
      <c r="R24" s="62">
        <v>7684</v>
      </c>
      <c r="S24" s="116">
        <v>13.225</v>
      </c>
      <c r="T24" s="118">
        <f>W24*F24*0.005</f>
        <v>2838.5734520138626</v>
      </c>
      <c r="V24" s="62">
        <v>0.1</v>
      </c>
      <c r="W24" s="62">
        <f>IF(O24&gt;0,O24,((P24*2.2046*S24)+(Q24+R24)/G24)+V24)</f>
        <v>30.188272657952233</v>
      </c>
      <c r="X24" s="62">
        <f>IF(O24&gt;0,O24,((P24*2.2046*S24)+(Q24+R24+T24)/G24)+V24)</f>
        <v>30.339421645517913</v>
      </c>
      <c r="Y24" s="99">
        <f t="shared" si="8"/>
        <v>570557.16839589272</v>
      </c>
      <c r="Z24" s="64">
        <v>41556</v>
      </c>
    </row>
    <row r="25" spans="1:26" s="51" customFormat="1" x14ac:dyDescent="0.25">
      <c r="A25" s="109"/>
      <c r="B25" s="114" t="s">
        <v>31</v>
      </c>
      <c r="C25" s="114" t="s">
        <v>44</v>
      </c>
      <c r="D25" s="114" t="s">
        <v>45</v>
      </c>
      <c r="E25" s="11">
        <v>250</v>
      </c>
      <c r="F25" s="115">
        <v>19600</v>
      </c>
      <c r="G25" s="60">
        <v>19600</v>
      </c>
      <c r="H25" s="60">
        <f t="shared" si="7"/>
        <v>0</v>
      </c>
      <c r="I25" s="114" t="s">
        <v>283</v>
      </c>
      <c r="J25" s="11"/>
      <c r="K25" s="61"/>
      <c r="L25" s="61">
        <v>41555</v>
      </c>
      <c r="M25" s="114" t="s">
        <v>43</v>
      </c>
      <c r="N25" s="11"/>
      <c r="O25" s="62">
        <v>29.9</v>
      </c>
      <c r="P25" s="63"/>
      <c r="Q25" s="62"/>
      <c r="R25" s="62"/>
      <c r="S25" s="116"/>
      <c r="T25" s="116"/>
      <c r="U25" s="62">
        <f>E25*5</f>
        <v>1250</v>
      </c>
      <c r="W25" s="62">
        <f>((O25*F25)+Q25+R25+S25+U25)/G25</f>
        <v>29.96377551020408</v>
      </c>
      <c r="X25" s="62">
        <f>((O25*F25)+R25+S25+T25+U25)/G25</f>
        <v>29.96377551020408</v>
      </c>
      <c r="Y25" s="99">
        <f t="shared" si="8"/>
        <v>587290</v>
      </c>
      <c r="Z25" s="64">
        <v>41562</v>
      </c>
    </row>
    <row r="26" spans="1:26" s="51" customFormat="1" x14ac:dyDescent="0.25">
      <c r="A26" s="109"/>
      <c r="B26" s="59" t="s">
        <v>31</v>
      </c>
      <c r="C26" s="11" t="s">
        <v>46</v>
      </c>
      <c r="D26" s="11" t="s">
        <v>47</v>
      </c>
      <c r="E26" s="11">
        <v>250</v>
      </c>
      <c r="F26" s="115">
        <f>23460+6805</f>
        <v>30265</v>
      </c>
      <c r="G26" s="60">
        <f>23480</f>
        <v>23480</v>
      </c>
      <c r="H26" s="60">
        <f t="shared" si="7"/>
        <v>-6785</v>
      </c>
      <c r="I26" s="114" t="s">
        <v>103</v>
      </c>
      <c r="J26" s="11"/>
      <c r="K26" s="61"/>
      <c r="L26" s="61">
        <v>41556</v>
      </c>
      <c r="M26" s="114" t="s">
        <v>48</v>
      </c>
      <c r="N26" s="11"/>
      <c r="O26" s="62">
        <v>22.5</v>
      </c>
      <c r="P26" s="63"/>
      <c r="Q26" s="62">
        <v>15000</v>
      </c>
      <c r="R26" s="62">
        <f>58.25*E26</f>
        <v>14562.5</v>
      </c>
      <c r="S26" s="116">
        <f>-35*E26</f>
        <v>-8750</v>
      </c>
      <c r="T26" s="116">
        <v>2250</v>
      </c>
      <c r="U26" s="62">
        <f>E26*5</f>
        <v>1250</v>
      </c>
      <c r="V26" s="11"/>
      <c r="W26" s="62">
        <f>((O26*F26)+Q26+R26+S26+U26)/G26</f>
        <v>29.941439522998298</v>
      </c>
      <c r="X26" s="62">
        <f>((O26*F26)+Q26+R26+S26+T26+U26)/G26</f>
        <v>30.037265758091994</v>
      </c>
      <c r="Y26" s="99">
        <f t="shared" si="8"/>
        <v>909077.84816865425</v>
      </c>
      <c r="Z26" s="64">
        <v>41562</v>
      </c>
    </row>
    <row r="27" spans="1:26" s="51" customFormat="1" x14ac:dyDescent="0.25">
      <c r="A27" s="109"/>
      <c r="B27" s="59" t="s">
        <v>34</v>
      </c>
      <c r="C27" s="114" t="s">
        <v>35</v>
      </c>
      <c r="D27" s="114" t="s">
        <v>35</v>
      </c>
      <c r="E27" s="11" t="s">
        <v>36</v>
      </c>
      <c r="F27" s="115">
        <f>42357*0.4536</f>
        <v>19213.135200000001</v>
      </c>
      <c r="G27" s="60">
        <v>19133.349999999999</v>
      </c>
      <c r="H27" s="60">
        <f t="shared" si="7"/>
        <v>-79.785200000002078</v>
      </c>
      <c r="I27" s="114" t="s">
        <v>284</v>
      </c>
      <c r="J27" s="66" t="s">
        <v>42</v>
      </c>
      <c r="K27" s="61">
        <v>41556</v>
      </c>
      <c r="L27" s="61">
        <v>41557</v>
      </c>
      <c r="M27" s="114" t="s">
        <v>50</v>
      </c>
      <c r="N27" s="11" t="s">
        <v>285</v>
      </c>
      <c r="O27" s="62"/>
      <c r="P27" s="95">
        <v>0.96</v>
      </c>
      <c r="Q27" s="62">
        <v>17000</v>
      </c>
      <c r="R27" s="62">
        <v>7729.5</v>
      </c>
      <c r="S27" s="116">
        <v>13.23</v>
      </c>
      <c r="T27" s="118">
        <f>W27*F27*0.005</f>
        <v>2823.6262453993054</v>
      </c>
      <c r="V27" s="62">
        <v>0.1</v>
      </c>
      <c r="W27" s="62">
        <f>IF(O27&gt;0,O27,((P27*2.2046*S27)+(Q27+R27)/G27)+V27)</f>
        <v>29.392665132542295</v>
      </c>
      <c r="X27" s="62">
        <f>IF(O27&gt;0,O27,((P27*2.2046*S27)+(Q27+R27+T27)/G27)+V27)</f>
        <v>29.540241288594384</v>
      </c>
      <c r="Y27" s="99">
        <f t="shared" si="8"/>
        <v>567560.64971838612</v>
      </c>
      <c r="Z27" s="64">
        <v>41556</v>
      </c>
    </row>
    <row r="28" spans="1:26" s="51" customFormat="1" x14ac:dyDescent="0.25">
      <c r="A28" s="109"/>
      <c r="B28" s="59" t="s">
        <v>51</v>
      </c>
      <c r="C28" s="11" t="s">
        <v>52</v>
      </c>
      <c r="D28" s="11" t="s">
        <v>53</v>
      </c>
      <c r="E28" s="11" t="s">
        <v>65</v>
      </c>
      <c r="F28" s="115">
        <v>18268.43</v>
      </c>
      <c r="G28" s="60">
        <v>18237.84</v>
      </c>
      <c r="H28" s="60">
        <f>G28-F28</f>
        <v>-30.590000000000146</v>
      </c>
      <c r="I28" s="114" t="s">
        <v>286</v>
      </c>
      <c r="J28" s="11"/>
      <c r="K28" s="61">
        <v>41555</v>
      </c>
      <c r="L28" s="61">
        <v>41558</v>
      </c>
      <c r="M28" s="114" t="s">
        <v>57</v>
      </c>
      <c r="N28" s="114" t="s">
        <v>287</v>
      </c>
      <c r="O28" s="62"/>
      <c r="P28" s="95">
        <v>2.2970000000000002</v>
      </c>
      <c r="Q28" s="62"/>
      <c r="R28" s="62"/>
      <c r="S28" s="116">
        <v>13.115</v>
      </c>
      <c r="T28" s="116"/>
      <c r="U28" s="62"/>
      <c r="V28" s="62"/>
      <c r="W28" s="62">
        <f>IF(O28&gt;0,O28,((P28*S28)+(Q28+R28)/G28)+V28)</f>
        <v>30.125155000000003</v>
      </c>
      <c r="X28" s="62">
        <f>IF(O28&gt;0,O28,((P28*S28)+(Q28+R28+T28)/G28)+V28)</f>
        <v>30.125155000000003</v>
      </c>
      <c r="Y28" s="99">
        <f>X28*F28</f>
        <v>550339.28535665001</v>
      </c>
      <c r="Z28" s="64">
        <v>41558</v>
      </c>
    </row>
    <row r="29" spans="1:26" s="51" customFormat="1" x14ac:dyDescent="0.25">
      <c r="A29" s="109"/>
      <c r="B29" s="114" t="s">
        <v>31</v>
      </c>
      <c r="C29" s="114" t="s">
        <v>44</v>
      </c>
      <c r="D29" s="114" t="s">
        <v>45</v>
      </c>
      <c r="E29" s="11">
        <v>252</v>
      </c>
      <c r="F29" s="115">
        <f>6580+14120</f>
        <v>20700</v>
      </c>
      <c r="G29" s="60">
        <v>20700</v>
      </c>
      <c r="H29" s="60">
        <f t="shared" ref="H29:H32" si="9">G29-F29</f>
        <v>0</v>
      </c>
      <c r="I29" s="50" t="s">
        <v>288</v>
      </c>
      <c r="J29" s="11"/>
      <c r="K29" s="61"/>
      <c r="L29" s="61">
        <v>41557</v>
      </c>
      <c r="M29" s="114" t="s">
        <v>50</v>
      </c>
      <c r="N29" s="11"/>
      <c r="O29" s="62">
        <v>30</v>
      </c>
      <c r="P29" s="63"/>
      <c r="Q29" s="62"/>
      <c r="R29" s="62"/>
      <c r="S29" s="116"/>
      <c r="T29" s="116"/>
      <c r="U29" s="62">
        <f>E29*5</f>
        <v>1260</v>
      </c>
      <c r="W29" s="62">
        <f>((O29*F29)+Q29+R29+S29+U29)/G29</f>
        <v>30.060869565217391</v>
      </c>
      <c r="X29" s="62">
        <f>((O29*F29)+R29+S29+T29+U29)/G29</f>
        <v>30.060869565217391</v>
      </c>
      <c r="Y29" s="99">
        <f t="shared" ref="Y29:Y32" si="10">X29*F29</f>
        <v>622260</v>
      </c>
      <c r="Z29" s="64">
        <v>41564</v>
      </c>
    </row>
    <row r="30" spans="1:26" s="51" customFormat="1" x14ac:dyDescent="0.25">
      <c r="A30" s="109"/>
      <c r="B30" s="114" t="s">
        <v>289</v>
      </c>
      <c r="C30" s="114" t="s">
        <v>266</v>
      </c>
      <c r="D30" s="114" t="s">
        <v>53</v>
      </c>
      <c r="E30" s="114" t="s">
        <v>290</v>
      </c>
      <c r="F30" s="115">
        <v>1004.46</v>
      </c>
      <c r="G30" s="60">
        <v>1004.46</v>
      </c>
      <c r="H30" s="60">
        <f t="shared" si="9"/>
        <v>0</v>
      </c>
      <c r="I30" s="50" t="s">
        <v>187</v>
      </c>
      <c r="J30" s="11"/>
      <c r="K30" s="61"/>
      <c r="L30" s="61">
        <v>41557</v>
      </c>
      <c r="M30" s="114" t="s">
        <v>50</v>
      </c>
      <c r="N30" s="11"/>
      <c r="O30" s="62">
        <v>67</v>
      </c>
      <c r="P30" s="63"/>
      <c r="Q30" s="62"/>
      <c r="R30" s="62"/>
      <c r="S30" s="116"/>
      <c r="T30" s="116"/>
      <c r="U30" s="62"/>
      <c r="V30" s="62"/>
      <c r="W30" s="62">
        <f t="shared" ref="W30:W31" si="11">IF(O30&gt;0,O30,((P30*2.2046*S30)+(Q30+R30)/G30)+V30)</f>
        <v>67</v>
      </c>
      <c r="X30" s="62">
        <f t="shared" ref="X30:X31" si="12">IF(O30&gt;0,O30,((P30*2.2046*S30)+(Q30+R30+T30)/G30)+V30)</f>
        <v>67</v>
      </c>
      <c r="Y30" s="99">
        <f t="shared" si="10"/>
        <v>67298.820000000007</v>
      </c>
      <c r="Z30" s="64">
        <v>41578</v>
      </c>
    </row>
    <row r="31" spans="1:26" s="51" customFormat="1" x14ac:dyDescent="0.25">
      <c r="A31" s="109"/>
      <c r="B31" s="114" t="s">
        <v>291</v>
      </c>
      <c r="C31" s="114" t="s">
        <v>292</v>
      </c>
      <c r="D31" s="114" t="s">
        <v>53</v>
      </c>
      <c r="E31" s="11" t="s">
        <v>74</v>
      </c>
      <c r="F31" s="115">
        <v>110.5</v>
      </c>
      <c r="G31" s="60">
        <v>110.5</v>
      </c>
      <c r="H31" s="60">
        <f t="shared" si="9"/>
        <v>0</v>
      </c>
      <c r="I31" s="114" t="s">
        <v>293</v>
      </c>
      <c r="J31" s="11"/>
      <c r="K31" s="61"/>
      <c r="L31" s="61">
        <v>41557</v>
      </c>
      <c r="M31" s="114" t="s">
        <v>50</v>
      </c>
      <c r="N31" s="11"/>
      <c r="O31" s="62">
        <v>55</v>
      </c>
      <c r="P31" s="63"/>
      <c r="Q31" s="62"/>
      <c r="R31" s="62"/>
      <c r="S31" s="116"/>
      <c r="T31" s="116"/>
      <c r="U31" s="62"/>
      <c r="V31" s="62"/>
      <c r="W31" s="62">
        <f t="shared" si="11"/>
        <v>55</v>
      </c>
      <c r="X31" s="62">
        <f t="shared" si="12"/>
        <v>55</v>
      </c>
      <c r="Y31" s="99">
        <f t="shared" si="10"/>
        <v>6077.5</v>
      </c>
      <c r="Z31" s="64">
        <v>41578</v>
      </c>
    </row>
    <row r="32" spans="1:26" s="51" customFormat="1" x14ac:dyDescent="0.25">
      <c r="A32" s="109"/>
      <c r="B32" s="59" t="s">
        <v>31</v>
      </c>
      <c r="C32" s="11" t="s">
        <v>46</v>
      </c>
      <c r="D32" s="11" t="s">
        <v>47</v>
      </c>
      <c r="E32" s="11">
        <v>250</v>
      </c>
      <c r="F32" s="115">
        <v>29130</v>
      </c>
      <c r="G32" s="60">
        <f>10770+11640</f>
        <v>22410</v>
      </c>
      <c r="H32" s="60">
        <f t="shared" si="9"/>
        <v>-6720</v>
      </c>
      <c r="I32" s="114" t="s">
        <v>116</v>
      </c>
      <c r="J32" s="11"/>
      <c r="K32" s="61"/>
      <c r="L32" s="61">
        <v>41558</v>
      </c>
      <c r="M32" s="114" t="s">
        <v>57</v>
      </c>
      <c r="N32" s="11"/>
      <c r="O32" s="62">
        <v>22.5</v>
      </c>
      <c r="P32" s="63"/>
      <c r="Q32" s="62">
        <v>15000</v>
      </c>
      <c r="R32" s="62">
        <f>58.25*E32</f>
        <v>14562.5</v>
      </c>
      <c r="S32" s="116">
        <f>-35*E32</f>
        <v>-8750</v>
      </c>
      <c r="T32" s="116">
        <v>2250</v>
      </c>
      <c r="U32" s="62">
        <f>E32*5</f>
        <v>1250</v>
      </c>
      <c r="V32" s="11"/>
      <c r="W32" s="62">
        <f>((O32*F32)+Q32+R32+S32+U32)/G32</f>
        <v>30.231481481481481</v>
      </c>
      <c r="X32" s="62">
        <f>((O32*F32)+Q32+R32+S32+T32+U32)/G32</f>
        <v>30.331883087907183</v>
      </c>
      <c r="Y32" s="99">
        <f t="shared" si="10"/>
        <v>883567.75435073627</v>
      </c>
      <c r="Z32" s="64">
        <v>41564</v>
      </c>
    </row>
    <row r="33" spans="1:26" s="51" customFormat="1" x14ac:dyDescent="0.25">
      <c r="A33" s="109"/>
      <c r="B33" s="59" t="s">
        <v>34</v>
      </c>
      <c r="C33" s="11" t="s">
        <v>40</v>
      </c>
      <c r="D33" s="11" t="s">
        <v>40</v>
      </c>
      <c r="E33" s="11" t="s">
        <v>41</v>
      </c>
      <c r="F33" s="115">
        <f>41899*0.4536</f>
        <v>19005.386399999999</v>
      </c>
      <c r="G33" s="60">
        <v>18903.150000000001</v>
      </c>
      <c r="H33" s="60">
        <f>G33-F33</f>
        <v>-102.23639999999796</v>
      </c>
      <c r="I33" s="114" t="s">
        <v>294</v>
      </c>
      <c r="J33" s="66" t="s">
        <v>70</v>
      </c>
      <c r="K33" s="61">
        <v>41557</v>
      </c>
      <c r="L33" s="61">
        <v>41559</v>
      </c>
      <c r="M33" s="114" t="s">
        <v>58</v>
      </c>
      <c r="N33" s="114" t="s">
        <v>295</v>
      </c>
      <c r="O33" s="62"/>
      <c r="P33" s="95">
        <v>0.9869</v>
      </c>
      <c r="Q33" s="62">
        <v>17000</v>
      </c>
      <c r="R33" s="62">
        <v>7723</v>
      </c>
      <c r="S33" s="116">
        <v>13.115</v>
      </c>
      <c r="T33" s="118">
        <f>W33*F33*0.005</f>
        <v>1363.7382251001231</v>
      </c>
      <c r="V33" s="62">
        <v>0.1</v>
      </c>
      <c r="W33" s="62">
        <f>IF(O33&gt;0,O33,((P33*S33)+(Q33+R33)/G33)+V33)</f>
        <v>14.351070758552146</v>
      </c>
      <c r="X33" s="62">
        <f>IF(O33&gt;0,O33,((P33*2.2046*S33)+(Q33+R33+T33)/G33)+V33)</f>
        <v>30.014585086391364</v>
      </c>
      <c r="Y33" s="99">
        <f>X33*F33</f>
        <v>570438.78720254521</v>
      </c>
      <c r="Z33" s="64">
        <v>41558</v>
      </c>
    </row>
    <row r="34" spans="1:26" s="51" customFormat="1" x14ac:dyDescent="0.25">
      <c r="A34" s="109"/>
      <c r="B34" s="59" t="s">
        <v>34</v>
      </c>
      <c r="C34" s="11" t="s">
        <v>40</v>
      </c>
      <c r="D34" s="11" t="s">
        <v>40</v>
      </c>
      <c r="E34" s="11" t="s">
        <v>62</v>
      </c>
      <c r="F34" s="115">
        <f>41326*0.4536</f>
        <v>18745.473600000001</v>
      </c>
      <c r="G34" s="60">
        <v>18714.419999999998</v>
      </c>
      <c r="H34" s="60">
        <f t="shared" ref="H34:H35" si="13">G34-F34</f>
        <v>-31.053600000002916</v>
      </c>
      <c r="I34" s="114" t="s">
        <v>296</v>
      </c>
      <c r="J34" s="66" t="s">
        <v>297</v>
      </c>
      <c r="K34" s="61">
        <v>41557</v>
      </c>
      <c r="L34" s="61">
        <v>41559</v>
      </c>
      <c r="M34" s="114" t="s">
        <v>58</v>
      </c>
      <c r="N34" s="114" t="s">
        <v>295</v>
      </c>
      <c r="O34" s="62"/>
      <c r="P34" s="95">
        <v>0.9869</v>
      </c>
      <c r="Q34" s="62">
        <v>17000</v>
      </c>
      <c r="R34" s="62">
        <v>7723</v>
      </c>
      <c r="S34" s="116">
        <v>13.115</v>
      </c>
      <c r="T34" s="118">
        <f>W34*F34*0.005</f>
        <v>2807.6624735192681</v>
      </c>
      <c r="V34" s="62">
        <v>0.1</v>
      </c>
      <c r="W34" s="62">
        <f>IF(O34&gt;0,O34,((P34*2.2046*S34)+(Q34+R34)/G34)+V34)</f>
        <v>29.955631246566831</v>
      </c>
      <c r="X34" s="62">
        <f>IF(O34&gt;0,O34,((P34*2.2046*S34)+(Q34+R34+T34)/G34)+V34)</f>
        <v>30.105657935800014</v>
      </c>
      <c r="Y34" s="99">
        <f t="shared" ref="Y34:Y35" si="14">X34*F34</f>
        <v>564344.81604616973</v>
      </c>
      <c r="Z34" s="64">
        <v>41558</v>
      </c>
    </row>
    <row r="35" spans="1:26" s="51" customFormat="1" x14ac:dyDescent="0.25">
      <c r="A35" s="109"/>
      <c r="B35" s="59" t="s">
        <v>34</v>
      </c>
      <c r="C35" s="114" t="s">
        <v>35</v>
      </c>
      <c r="D35" s="114" t="s">
        <v>35</v>
      </c>
      <c r="E35" s="11" t="s">
        <v>36</v>
      </c>
      <c r="F35" s="115">
        <f>42946*0.4536</f>
        <v>19480.3056</v>
      </c>
      <c r="G35" s="60">
        <v>19380.169999999998</v>
      </c>
      <c r="H35" s="60">
        <f t="shared" si="13"/>
        <v>-100.13560000000143</v>
      </c>
      <c r="I35" s="114" t="s">
        <v>298</v>
      </c>
      <c r="J35" s="66" t="s">
        <v>42</v>
      </c>
      <c r="K35" s="61">
        <v>41558</v>
      </c>
      <c r="L35" s="61">
        <v>41559</v>
      </c>
      <c r="M35" s="114" t="s">
        <v>58</v>
      </c>
      <c r="N35" s="11" t="s">
        <v>299</v>
      </c>
      <c r="O35" s="62"/>
      <c r="P35" s="95">
        <v>0.96</v>
      </c>
      <c r="Q35" s="62">
        <v>17000</v>
      </c>
      <c r="R35" s="62">
        <v>7723</v>
      </c>
      <c r="S35" s="116">
        <v>13.145</v>
      </c>
      <c r="T35" s="118">
        <f>W35*F35*0.005</f>
        <v>2843.7324521853589</v>
      </c>
      <c r="V35" s="62">
        <v>0.1</v>
      </c>
      <c r="W35" s="62">
        <f>IF(O35&gt;0,O35,((P35*2.2046*S35)+(Q35+R35)/G35)+V35)</f>
        <v>29.1959737242044</v>
      </c>
      <c r="X35" s="62">
        <f>IF(O35&gt;0,O35,((P35*2.2046*S35)+(Q35+R35+T35)/G35)+V35)</f>
        <v>29.342707857712281</v>
      </c>
      <c r="Y35" s="99">
        <f t="shared" si="14"/>
        <v>571604.91619975655</v>
      </c>
      <c r="Z35" s="64">
        <v>41558</v>
      </c>
    </row>
    <row r="36" spans="1:26" s="51" customFormat="1" ht="15.75" thickBot="1" x14ac:dyDescent="0.3">
      <c r="A36" s="109"/>
      <c r="B36" s="68"/>
      <c r="C36" s="53"/>
      <c r="D36" s="53"/>
      <c r="E36" s="53"/>
      <c r="F36" s="54"/>
      <c r="G36" s="54"/>
      <c r="H36" s="54"/>
      <c r="I36" s="55"/>
      <c r="J36" s="53"/>
      <c r="K36" s="56"/>
      <c r="L36" s="56"/>
      <c r="M36" s="53"/>
      <c r="N36" s="53"/>
      <c r="O36" s="57"/>
      <c r="P36" s="58"/>
      <c r="Q36" s="57"/>
      <c r="R36" s="57"/>
      <c r="S36" s="57"/>
      <c r="T36" s="57"/>
      <c r="U36" s="57"/>
      <c r="V36" s="57"/>
      <c r="W36" s="57"/>
      <c r="X36" s="57"/>
      <c r="Y36" s="57"/>
      <c r="Z36" s="69"/>
    </row>
    <row r="37" spans="1:26" s="51" customFormat="1" x14ac:dyDescent="0.25">
      <c r="A37" s="119"/>
      <c r="B37" s="114" t="s">
        <v>31</v>
      </c>
      <c r="C37" s="114" t="s">
        <v>32</v>
      </c>
      <c r="D37" s="114" t="s">
        <v>61</v>
      </c>
      <c r="E37" s="11">
        <f>70+180</f>
        <v>250</v>
      </c>
      <c r="F37" s="115">
        <v>20910.2</v>
      </c>
      <c r="G37" s="60">
        <f>6070+14950</f>
        <v>21020</v>
      </c>
      <c r="H37" s="60">
        <f t="shared" ref="H37" si="15">G37-F37</f>
        <v>109.79999999999927</v>
      </c>
      <c r="I37" s="114" t="s">
        <v>138</v>
      </c>
      <c r="J37" s="11"/>
      <c r="K37" s="61"/>
      <c r="L37" s="61">
        <v>41561</v>
      </c>
      <c r="M37" s="114" t="s">
        <v>33</v>
      </c>
      <c r="N37" s="11"/>
      <c r="O37" s="62">
        <v>30.1</v>
      </c>
      <c r="P37" s="63"/>
      <c r="Q37" s="62"/>
      <c r="R37" s="62"/>
      <c r="S37" s="116"/>
      <c r="T37" s="116"/>
      <c r="U37" s="62">
        <f>E37*5</f>
        <v>1250</v>
      </c>
      <c r="W37" s="62">
        <f>((O37*F37)+Q37+R37+S37+U37)/G37</f>
        <v>30.002236917221694</v>
      </c>
      <c r="X37" s="62">
        <f>((O37*F37)+R37+S37+T37+U37)/G37</f>
        <v>30.002236917221694</v>
      </c>
      <c r="Y37" s="99">
        <f t="shared" ref="Y37" si="16">X37*F37</f>
        <v>627352.77438648907</v>
      </c>
      <c r="Z37" s="64">
        <v>41568</v>
      </c>
    </row>
    <row r="38" spans="1:26" s="51" customFormat="1" x14ac:dyDescent="0.25">
      <c r="A38" s="119"/>
      <c r="B38" s="59" t="s">
        <v>51</v>
      </c>
      <c r="C38" s="11" t="s">
        <v>52</v>
      </c>
      <c r="D38" s="11" t="s">
        <v>53</v>
      </c>
      <c r="E38" s="11" t="s">
        <v>39</v>
      </c>
      <c r="F38" s="115">
        <v>18764.669999999998</v>
      </c>
      <c r="G38" s="60">
        <v>18776.52</v>
      </c>
      <c r="H38" s="60">
        <f>G38-F38</f>
        <v>11.850000000002183</v>
      </c>
      <c r="I38" s="114" t="s">
        <v>300</v>
      </c>
      <c r="J38" s="11"/>
      <c r="K38" s="61">
        <v>41558</v>
      </c>
      <c r="L38" s="61">
        <v>41562</v>
      </c>
      <c r="M38" s="114" t="s">
        <v>43</v>
      </c>
      <c r="N38" s="114" t="s">
        <v>279</v>
      </c>
      <c r="O38" s="62"/>
      <c r="P38" s="95">
        <v>2.2490000000000001</v>
      </c>
      <c r="Q38" s="62"/>
      <c r="R38" s="62"/>
      <c r="S38" s="116">
        <v>12.9</v>
      </c>
      <c r="T38" s="116"/>
      <c r="U38" s="62"/>
      <c r="V38" s="62"/>
      <c r="W38" s="62">
        <f>IF(O38&gt;0,O38,((P38*S38)+(Q38+R38)/G38)+V38)</f>
        <v>29.012100000000004</v>
      </c>
      <c r="X38" s="62">
        <f>IF(O38&gt;0,O38,((P38*S38)+(Q38+R38+T38)/G38)+V38)</f>
        <v>29.012100000000004</v>
      </c>
      <c r="Y38" s="99">
        <f>X38*F38</f>
        <v>544402.48250699998</v>
      </c>
      <c r="Z38" s="64">
        <v>41561</v>
      </c>
    </row>
    <row r="39" spans="1:26" s="51" customFormat="1" x14ac:dyDescent="0.25">
      <c r="A39" s="119"/>
      <c r="B39" s="59" t="s">
        <v>34</v>
      </c>
      <c r="C39" s="11" t="s">
        <v>40</v>
      </c>
      <c r="D39" s="11" t="s">
        <v>40</v>
      </c>
      <c r="E39" s="11" t="s">
        <v>62</v>
      </c>
      <c r="F39" s="115">
        <f>41650*0.4536</f>
        <v>18892.439999999999</v>
      </c>
      <c r="G39" s="60">
        <v>18898.939999999999</v>
      </c>
      <c r="H39" s="60">
        <f t="shared" ref="H39:H44" si="17">G39-F39</f>
        <v>6.5</v>
      </c>
      <c r="I39" s="114" t="s">
        <v>301</v>
      </c>
      <c r="J39" s="108" t="s">
        <v>49</v>
      </c>
      <c r="K39" s="61">
        <v>41561</v>
      </c>
      <c r="L39" s="61">
        <v>41562</v>
      </c>
      <c r="M39" s="114" t="s">
        <v>43</v>
      </c>
      <c r="N39" s="114" t="s">
        <v>281</v>
      </c>
      <c r="O39" s="62"/>
      <c r="P39" s="95">
        <f>0.84+0.105+0.0069</f>
        <v>0.95189999999999997</v>
      </c>
      <c r="Q39" s="62">
        <v>17000</v>
      </c>
      <c r="R39" s="62">
        <v>7716.5</v>
      </c>
      <c r="S39" s="116">
        <v>13.05</v>
      </c>
      <c r="T39" s="118">
        <f>W39*F39*0.005</f>
        <v>2719.9461197938172</v>
      </c>
      <c r="V39" s="62">
        <v>0.1</v>
      </c>
      <c r="W39" s="62">
        <f>IF(O39&gt;0,O39,((P39*2.2046*S39)+(Q39+R39)/G39)+V39)</f>
        <v>28.794016228648257</v>
      </c>
      <c r="X39" s="62">
        <f>IF(O39&gt;0,O39,((P39*2.2046*S39)+(Q39+R39+T39)/G39)+V39)</f>
        <v>28.937936793494423</v>
      </c>
      <c r="Y39" s="99">
        <f t="shared" ref="Y39:Y44" si="18">X39*F39</f>
        <v>546708.23459488573</v>
      </c>
      <c r="Z39" s="64">
        <v>41563</v>
      </c>
    </row>
    <row r="40" spans="1:26" s="51" customFormat="1" x14ac:dyDescent="0.25">
      <c r="A40" s="119"/>
      <c r="B40" s="59" t="s">
        <v>34</v>
      </c>
      <c r="C40" s="11" t="s">
        <v>40</v>
      </c>
      <c r="D40" s="11" t="s">
        <v>40</v>
      </c>
      <c r="E40" s="11" t="s">
        <v>62</v>
      </c>
      <c r="F40" s="115">
        <f>41532*0.4536</f>
        <v>18838.915199999999</v>
      </c>
      <c r="G40" s="60">
        <v>18830.71</v>
      </c>
      <c r="H40" s="60">
        <f t="shared" si="17"/>
        <v>-8.2052000000003318</v>
      </c>
      <c r="I40" s="114" t="s">
        <v>302</v>
      </c>
      <c r="J40" s="108" t="s">
        <v>42</v>
      </c>
      <c r="K40" s="61">
        <v>41561</v>
      </c>
      <c r="L40" s="61">
        <v>41562</v>
      </c>
      <c r="M40" s="114" t="s">
        <v>43</v>
      </c>
      <c r="N40" s="114" t="s">
        <v>281</v>
      </c>
      <c r="O40" s="62"/>
      <c r="P40" s="95">
        <f>0.84+0.105+0.0069</f>
        <v>0.95189999999999997</v>
      </c>
      <c r="Q40" s="62">
        <v>17000</v>
      </c>
      <c r="R40" s="62">
        <v>7716.5</v>
      </c>
      <c r="S40" s="116">
        <v>13.05</v>
      </c>
      <c r="T40" s="118">
        <f>W40*F40*0.005</f>
        <v>2712.6865087908268</v>
      </c>
      <c r="V40" s="62">
        <v>0.1</v>
      </c>
      <c r="W40" s="62">
        <f>IF(O40&gt;0,O40,((P40*2.2046*S40)+(Q40+R40)/G40)+V40)</f>
        <v>28.798754917595542</v>
      </c>
      <c r="X40" s="62">
        <f>IF(O40&gt;0,O40,((P40*2.2046*S40)+(Q40+R40+T40)/G40)+V40)</f>
        <v>28.942811435315313</v>
      </c>
      <c r="Y40" s="99">
        <f t="shared" si="18"/>
        <v>545251.17027949542</v>
      </c>
      <c r="Z40" s="64">
        <v>41563</v>
      </c>
    </row>
    <row r="41" spans="1:26" s="51" customFormat="1" x14ac:dyDescent="0.25">
      <c r="A41" s="119"/>
      <c r="B41" s="114" t="s">
        <v>31</v>
      </c>
      <c r="C41" s="114" t="s">
        <v>44</v>
      </c>
      <c r="D41" s="114" t="s">
        <v>45</v>
      </c>
      <c r="E41" s="11">
        <f>188+60</f>
        <v>248</v>
      </c>
      <c r="F41" s="115">
        <f>15630+5010</f>
        <v>20640</v>
      </c>
      <c r="G41" s="60">
        <v>20640</v>
      </c>
      <c r="H41" s="60">
        <f t="shared" si="17"/>
        <v>0</v>
      </c>
      <c r="I41" s="114" t="s">
        <v>143</v>
      </c>
      <c r="J41" s="11"/>
      <c r="K41" s="61"/>
      <c r="L41" s="61">
        <v>41562</v>
      </c>
      <c r="M41" s="114" t="s">
        <v>43</v>
      </c>
      <c r="N41" s="11"/>
      <c r="O41" s="62">
        <v>30.4</v>
      </c>
      <c r="P41" s="63"/>
      <c r="Q41" s="62"/>
      <c r="R41" s="62"/>
      <c r="S41" s="116"/>
      <c r="T41" s="116"/>
      <c r="U41" s="62">
        <f>E41*5</f>
        <v>1240</v>
      </c>
      <c r="W41" s="62">
        <f>((O41*F41)+Q41+R41+S41+U41)/G41</f>
        <v>30.460077519379844</v>
      </c>
      <c r="X41" s="62">
        <f>((O41*F41)+R41+S41+T41+U41)/G41</f>
        <v>30.460077519379844</v>
      </c>
      <c r="Y41" s="99">
        <f t="shared" si="18"/>
        <v>628696</v>
      </c>
      <c r="Z41" s="64">
        <v>41569</v>
      </c>
    </row>
    <row r="42" spans="1:26" s="51" customFormat="1" x14ac:dyDescent="0.25">
      <c r="A42" s="119"/>
      <c r="B42" s="114" t="s">
        <v>54</v>
      </c>
      <c r="C42" s="114" t="s">
        <v>35</v>
      </c>
      <c r="D42" s="114" t="s">
        <v>56</v>
      </c>
      <c r="E42" s="114" t="s">
        <v>303</v>
      </c>
      <c r="F42" s="115">
        <v>1524.32</v>
      </c>
      <c r="G42" s="60">
        <v>1524.32</v>
      </c>
      <c r="H42" s="60">
        <f t="shared" si="17"/>
        <v>0</v>
      </c>
      <c r="I42" s="114" t="s">
        <v>145</v>
      </c>
      <c r="J42" s="11"/>
      <c r="K42" s="61"/>
      <c r="L42" s="61">
        <v>41562</v>
      </c>
      <c r="M42" s="114" t="s">
        <v>43</v>
      </c>
      <c r="N42" s="11"/>
      <c r="O42" s="62">
        <v>41</v>
      </c>
      <c r="P42" s="63"/>
      <c r="Q42" s="62"/>
      <c r="R42" s="62"/>
      <c r="S42" s="116"/>
      <c r="T42" s="116"/>
      <c r="U42" s="62"/>
      <c r="V42" s="62"/>
      <c r="W42" s="62">
        <f>IF(O42&gt;0,O42,((P42*2.2046*S42)+(Q42+R42)/G42)+V42)</f>
        <v>41</v>
      </c>
      <c r="X42" s="62">
        <f>IF(O42&gt;0,O42,((P42*2.2046*S42)+(Q42+R42+T42)/G42)+V42)</f>
        <v>41</v>
      </c>
      <c r="Y42" s="99">
        <f t="shared" si="18"/>
        <v>62497.119999999995</v>
      </c>
      <c r="Z42" s="64">
        <v>41569</v>
      </c>
    </row>
    <row r="43" spans="1:26" s="51" customFormat="1" x14ac:dyDescent="0.25">
      <c r="A43" s="119"/>
      <c r="B43" s="114" t="s">
        <v>31</v>
      </c>
      <c r="C43" s="114" t="s">
        <v>32</v>
      </c>
      <c r="D43" s="114" t="s">
        <v>61</v>
      </c>
      <c r="E43" s="11">
        <v>250</v>
      </c>
      <c r="F43" s="115">
        <v>19857.900000000001</v>
      </c>
      <c r="G43" s="60">
        <f>15860+4050</f>
        <v>19910</v>
      </c>
      <c r="H43" s="60">
        <f t="shared" si="17"/>
        <v>52.099999999998545</v>
      </c>
      <c r="I43" s="114" t="s">
        <v>154</v>
      </c>
      <c r="J43" s="11"/>
      <c r="K43" s="61"/>
      <c r="L43" s="61">
        <v>41564</v>
      </c>
      <c r="M43" s="114" t="s">
        <v>50</v>
      </c>
      <c r="N43" s="11"/>
      <c r="O43" s="62">
        <v>30.1</v>
      </c>
      <c r="P43" s="63"/>
      <c r="Q43" s="62"/>
      <c r="R43" s="62"/>
      <c r="S43" s="116"/>
      <c r="T43" s="116"/>
      <c r="U43" s="62">
        <f>E43*5</f>
        <v>1250</v>
      </c>
      <c r="W43" s="62">
        <f>((O43*F43)+Q43+R43+S43+U43)/G43</f>
        <v>30.084017579105979</v>
      </c>
      <c r="X43" s="62">
        <f>((O43*F43)+R43+S43+T43+U43)/G43</f>
        <v>30.084017579105979</v>
      </c>
      <c r="Y43" s="99">
        <f t="shared" si="18"/>
        <v>597405.41268412862</v>
      </c>
      <c r="Z43" s="64">
        <v>41570</v>
      </c>
    </row>
    <row r="44" spans="1:26" s="51" customFormat="1" x14ac:dyDescent="0.25">
      <c r="A44" s="119"/>
      <c r="B44" s="59" t="s">
        <v>34</v>
      </c>
      <c r="C44" s="114" t="s">
        <v>35</v>
      </c>
      <c r="D44" s="114" t="s">
        <v>35</v>
      </c>
      <c r="E44" s="11" t="s">
        <v>36</v>
      </c>
      <c r="F44" s="115">
        <f>43174*0.4536</f>
        <v>19583.7264</v>
      </c>
      <c r="G44" s="60">
        <v>19441.580000000002</v>
      </c>
      <c r="H44" s="60">
        <f t="shared" si="17"/>
        <v>-142.14639999999781</v>
      </c>
      <c r="I44" s="114" t="s">
        <v>304</v>
      </c>
      <c r="J44" s="108" t="s">
        <v>42</v>
      </c>
      <c r="K44" s="61">
        <v>41563</v>
      </c>
      <c r="L44" s="61">
        <v>41564</v>
      </c>
      <c r="M44" s="114" t="s">
        <v>50</v>
      </c>
      <c r="N44" s="11" t="s">
        <v>305</v>
      </c>
      <c r="O44" s="62"/>
      <c r="P44" s="95">
        <v>0.94</v>
      </c>
      <c r="Q44" s="62">
        <v>17000</v>
      </c>
      <c r="R44" s="62">
        <v>7671</v>
      </c>
      <c r="S44" s="116">
        <v>13.15</v>
      </c>
      <c r="T44" s="118">
        <f>W44*F44*0.005</f>
        <v>2802.4353432649473</v>
      </c>
      <c r="V44" s="62">
        <v>0.1</v>
      </c>
      <c r="W44" s="62">
        <f>IF(O44&gt;0,O44,((P44*2.2046*S44)+(Q44+R44)/G44)+V44)</f>
        <v>28.620041824777001</v>
      </c>
      <c r="X44" s="62">
        <f>IF(O44&gt;0,O44,((P44*2.2046*S44)+(Q44+R44+T44)/G44)+V44)</f>
        <v>28.764188305837951</v>
      </c>
      <c r="Y44" s="99">
        <f t="shared" si="18"/>
        <v>563309.99389960989</v>
      </c>
      <c r="Z44" s="64">
        <v>41563</v>
      </c>
    </row>
    <row r="45" spans="1:26" s="51" customFormat="1" x14ac:dyDescent="0.25">
      <c r="A45" s="119"/>
      <c r="B45" s="59" t="s">
        <v>51</v>
      </c>
      <c r="C45" s="11" t="s">
        <v>52</v>
      </c>
      <c r="D45" s="11" t="s">
        <v>53</v>
      </c>
      <c r="E45" s="11" t="s">
        <v>39</v>
      </c>
      <c r="F45" s="115">
        <v>18738.810000000001</v>
      </c>
      <c r="G45" s="60">
        <v>18737.86</v>
      </c>
      <c r="H45" s="60">
        <f>G45-F45</f>
        <v>-0.9500000000007276</v>
      </c>
      <c r="I45" s="114" t="s">
        <v>118</v>
      </c>
      <c r="J45" s="11"/>
      <c r="K45" s="61">
        <v>41562</v>
      </c>
      <c r="L45" s="61">
        <v>41564</v>
      </c>
      <c r="M45" s="114" t="s">
        <v>50</v>
      </c>
      <c r="N45" s="114" t="s">
        <v>287</v>
      </c>
      <c r="O45" s="62"/>
      <c r="P45" s="95">
        <v>2.2050000000000001</v>
      </c>
      <c r="Q45" s="62"/>
      <c r="R45" s="62"/>
      <c r="S45" s="116">
        <v>12.83</v>
      </c>
      <c r="T45" s="116"/>
      <c r="U45" s="62"/>
      <c r="V45" s="62"/>
      <c r="W45" s="62">
        <f>IF(O45&gt;0,O45,((P45*S45)+(Q45+R45)/G45)+V45)</f>
        <v>28.290150000000001</v>
      </c>
      <c r="X45" s="62">
        <f>IF(O45&gt;0,O45,((P45*S45)+(Q45+R45+T45)/G45)+V45)</f>
        <v>28.290150000000001</v>
      </c>
      <c r="Y45" s="99">
        <f>X45*F45</f>
        <v>530123.74572150002</v>
      </c>
      <c r="Z45" s="64">
        <v>41564</v>
      </c>
    </row>
    <row r="46" spans="1:26" s="51" customFormat="1" x14ac:dyDescent="0.25">
      <c r="A46" s="119"/>
      <c r="B46" s="114" t="s">
        <v>31</v>
      </c>
      <c r="C46" s="114" t="s">
        <v>44</v>
      </c>
      <c r="D46" s="114" t="s">
        <v>45</v>
      </c>
      <c r="E46" s="11">
        <v>252</v>
      </c>
      <c r="F46" s="115">
        <v>21500</v>
      </c>
      <c r="G46" s="60">
        <v>21500</v>
      </c>
      <c r="H46" s="60">
        <f t="shared" ref="H46" si="19">G46-F46</f>
        <v>0</v>
      </c>
      <c r="I46" s="114" t="s">
        <v>162</v>
      </c>
      <c r="J46" s="11"/>
      <c r="K46" s="61"/>
      <c r="L46" s="61">
        <v>41565</v>
      </c>
      <c r="M46" s="114" t="s">
        <v>57</v>
      </c>
      <c r="N46" s="11"/>
      <c r="O46" s="62">
        <v>30.5</v>
      </c>
      <c r="P46" s="63"/>
      <c r="Q46" s="62"/>
      <c r="R46" s="62"/>
      <c r="S46" s="116"/>
      <c r="T46" s="116"/>
      <c r="U46" s="62">
        <f>E46*5</f>
        <v>1260</v>
      </c>
      <c r="W46" s="62">
        <f>((O46*F46)+Q46+R46+S46+U46)/G46</f>
        <v>30.558604651162792</v>
      </c>
      <c r="X46" s="62">
        <f>((O46*F46)+R46+S46+T46+U46)/G46</f>
        <v>30.558604651162792</v>
      </c>
      <c r="Y46" s="99">
        <f t="shared" ref="Y46" si="20">X46*F46</f>
        <v>657010</v>
      </c>
      <c r="Z46" s="64">
        <v>41571</v>
      </c>
    </row>
    <row r="47" spans="1:26" s="51" customFormat="1" x14ac:dyDescent="0.25">
      <c r="A47" s="119"/>
      <c r="B47" s="59" t="s">
        <v>34</v>
      </c>
      <c r="C47" s="11" t="s">
        <v>40</v>
      </c>
      <c r="D47" s="11" t="s">
        <v>40</v>
      </c>
      <c r="E47" s="11"/>
      <c r="F47" s="115"/>
      <c r="G47" s="60"/>
      <c r="H47" s="60">
        <f>G47-F47</f>
        <v>0</v>
      </c>
      <c r="I47" s="114" t="s">
        <v>306</v>
      </c>
      <c r="J47" s="144" t="s">
        <v>307</v>
      </c>
      <c r="K47" s="61">
        <v>41564</v>
      </c>
      <c r="L47" s="61">
        <v>41565</v>
      </c>
      <c r="M47" s="114" t="s">
        <v>57</v>
      </c>
      <c r="N47" s="114" t="s">
        <v>295</v>
      </c>
      <c r="O47" s="62"/>
      <c r="P47" s="95"/>
      <c r="Q47" s="62"/>
      <c r="R47" s="62"/>
      <c r="S47" s="116"/>
      <c r="T47" s="118"/>
      <c r="V47" s="62"/>
      <c r="W47" s="62" t="e">
        <f>IF(O47&gt;0,O47,((P47*S47)+(Q47+R47)/G47)+V47)</f>
        <v>#DIV/0!</v>
      </c>
      <c r="X47" s="62" t="e">
        <f>IF(O47&gt;0,O47,((P47*2.2046*S47)+(Q47+R47+T47)/G47)+V47)</f>
        <v>#DIV/0!</v>
      </c>
      <c r="Y47" s="99" t="e">
        <f>X47*F47</f>
        <v>#DIV/0!</v>
      </c>
      <c r="Z47" s="64" t="s">
        <v>307</v>
      </c>
    </row>
    <row r="48" spans="1:26" s="51" customFormat="1" x14ac:dyDescent="0.25">
      <c r="A48" s="119"/>
      <c r="B48" s="59" t="s">
        <v>34</v>
      </c>
      <c r="C48" s="11" t="s">
        <v>40</v>
      </c>
      <c r="D48" s="11" t="s">
        <v>40</v>
      </c>
      <c r="E48" s="11" t="s">
        <v>41</v>
      </c>
      <c r="F48" s="115">
        <f>42568*0.4536</f>
        <v>19308.844799999999</v>
      </c>
      <c r="G48" s="60">
        <v>19266.22</v>
      </c>
      <c r="H48" s="60">
        <f t="shared" ref="H48:H52" si="21">G48-F48</f>
        <v>-42.624799999997776</v>
      </c>
      <c r="I48" s="114" t="s">
        <v>308</v>
      </c>
      <c r="J48" s="108" t="s">
        <v>42</v>
      </c>
      <c r="K48" s="61">
        <v>41564</v>
      </c>
      <c r="L48" s="61">
        <v>41565</v>
      </c>
      <c r="M48" s="114" t="s">
        <v>57</v>
      </c>
      <c r="N48" s="114" t="s">
        <v>295</v>
      </c>
      <c r="O48" s="62"/>
      <c r="P48" s="95">
        <v>0.95189999999999997</v>
      </c>
      <c r="Q48" s="62">
        <v>17000</v>
      </c>
      <c r="R48" s="62">
        <v>7671</v>
      </c>
      <c r="S48" s="116">
        <v>12.911</v>
      </c>
      <c r="T48" s="118">
        <f>W48*F48*0.005</f>
        <v>2749.0990287786994</v>
      </c>
      <c r="V48" s="62">
        <v>0.1</v>
      </c>
      <c r="W48" s="62">
        <f>IF(O48&gt;0,O48,((P48*2.2046*S48)+(Q48+R48)/G48)+V48)</f>
        <v>28.475023309304344</v>
      </c>
      <c r="X48" s="62">
        <f>IF(O48&gt;0,O48,((P48*2.2046*S48)+(Q48+R48+T48)/G48)+V48)</f>
        <v>28.61771341814659</v>
      </c>
      <c r="Y48" s="99">
        <f t="shared" ref="Y48:Y52" si="22">X48*F48</f>
        <v>552574.98692186992</v>
      </c>
      <c r="Z48" s="64">
        <v>41565</v>
      </c>
    </row>
    <row r="49" spans="1:26" s="51" customFormat="1" x14ac:dyDescent="0.25">
      <c r="A49" s="119"/>
      <c r="B49" s="59" t="s">
        <v>31</v>
      </c>
      <c r="C49" s="11" t="s">
        <v>68</v>
      </c>
      <c r="D49" s="65" t="s">
        <v>69</v>
      </c>
      <c r="E49" s="11">
        <v>143</v>
      </c>
      <c r="F49" s="115">
        <v>16760</v>
      </c>
      <c r="G49" s="60">
        <f>11540+2112</f>
        <v>13652</v>
      </c>
      <c r="H49" s="60">
        <f t="shared" si="21"/>
        <v>-3108</v>
      </c>
      <c r="I49" s="65" t="s">
        <v>148</v>
      </c>
      <c r="J49" s="11"/>
      <c r="K49" s="61">
        <v>41564</v>
      </c>
      <c r="L49" s="61">
        <v>41565</v>
      </c>
      <c r="M49" s="65" t="s">
        <v>57</v>
      </c>
      <c r="N49" s="11"/>
      <c r="O49" s="62">
        <v>24.2</v>
      </c>
      <c r="P49" s="63"/>
      <c r="Q49" s="62">
        <v>1000</v>
      </c>
      <c r="R49" s="62">
        <f>80*E49</f>
        <v>11440</v>
      </c>
      <c r="S49" s="67">
        <f>-25*E49</f>
        <v>-3575</v>
      </c>
      <c r="T49" s="67"/>
      <c r="U49" s="62">
        <f>E49*10</f>
        <v>1430</v>
      </c>
      <c r="V49" s="11"/>
      <c r="W49" s="62">
        <f>((O49*F49)+Q49+R49+S49+U49)/G49</f>
        <v>30.46344857896279</v>
      </c>
      <c r="X49" s="62">
        <f>((O49*F49)+Q49+R49+S49+T49+U49)/G49</f>
        <v>30.46344857896279</v>
      </c>
      <c r="Y49" s="99">
        <f t="shared" si="22"/>
        <v>510567.39818341634</v>
      </c>
      <c r="Z49" s="64">
        <v>41569</v>
      </c>
    </row>
    <row r="50" spans="1:26" s="51" customFormat="1" x14ac:dyDescent="0.25">
      <c r="A50" s="119"/>
      <c r="B50" s="59" t="s">
        <v>31</v>
      </c>
      <c r="C50" s="11" t="s">
        <v>64</v>
      </c>
      <c r="D50" s="114" t="s">
        <v>64</v>
      </c>
      <c r="E50" s="11">
        <v>239</v>
      </c>
      <c r="F50" s="115">
        <f>29520-(29520*0.02)</f>
        <v>28929.599999999999</v>
      </c>
      <c r="G50" s="60">
        <f>5788+10070+8120</f>
        <v>23978</v>
      </c>
      <c r="H50" s="60">
        <f t="shared" si="21"/>
        <v>-4951.5999999999985</v>
      </c>
      <c r="I50" s="114" t="s">
        <v>127</v>
      </c>
      <c r="J50" s="11"/>
      <c r="K50" s="61"/>
      <c r="L50" s="61">
        <v>41565</v>
      </c>
      <c r="M50" s="114" t="s">
        <v>57</v>
      </c>
      <c r="N50" s="11"/>
      <c r="O50" s="62">
        <v>23.5</v>
      </c>
      <c r="P50" s="63"/>
      <c r="Q50" s="62">
        <v>1000</v>
      </c>
      <c r="R50" s="62">
        <f>80*E50</f>
        <v>19120</v>
      </c>
      <c r="S50" s="67">
        <f>-25*E50</f>
        <v>-5975</v>
      </c>
      <c r="T50" s="67"/>
      <c r="U50" s="62">
        <f>E50*10</f>
        <v>2390</v>
      </c>
      <c r="V50" s="11"/>
      <c r="W50" s="62">
        <f>((O50*F50)+Q50+R50+S50+U50)/G50</f>
        <v>29.042480607223286</v>
      </c>
      <c r="X50" s="62">
        <f>((O50*F50)+Q50+R50+S50+T50+U50)/G50</f>
        <v>29.042480607223286</v>
      </c>
      <c r="Y50" s="99">
        <f t="shared" si="22"/>
        <v>840187.34697472677</v>
      </c>
      <c r="Z50" s="64">
        <v>41565</v>
      </c>
    </row>
    <row r="51" spans="1:26" s="51" customFormat="1" x14ac:dyDescent="0.25">
      <c r="A51" s="119"/>
      <c r="B51" s="59" t="s">
        <v>34</v>
      </c>
      <c r="C51" s="114" t="s">
        <v>35</v>
      </c>
      <c r="D51" s="114" t="s">
        <v>35</v>
      </c>
      <c r="E51" s="11" t="s">
        <v>36</v>
      </c>
      <c r="F51" s="115">
        <f>43064*0.4536</f>
        <v>19533.830399999999</v>
      </c>
      <c r="G51" s="60">
        <v>19460.150000000001</v>
      </c>
      <c r="H51" s="60">
        <f t="shared" si="21"/>
        <v>-73.680399999997462</v>
      </c>
      <c r="I51" s="114" t="s">
        <v>309</v>
      </c>
      <c r="J51" s="108" t="s">
        <v>49</v>
      </c>
      <c r="K51" s="61">
        <v>41565</v>
      </c>
      <c r="L51" s="61">
        <v>41566</v>
      </c>
      <c r="M51" s="114" t="s">
        <v>58</v>
      </c>
      <c r="N51" s="11" t="s">
        <v>299</v>
      </c>
      <c r="O51" s="62"/>
      <c r="P51" s="95">
        <v>0.94</v>
      </c>
      <c r="Q51" s="62">
        <v>17000</v>
      </c>
      <c r="R51" s="62">
        <v>7671</v>
      </c>
      <c r="S51" s="116">
        <v>13.11</v>
      </c>
      <c r="T51" s="118">
        <f>W51*F51*0.005</f>
        <v>2787.0808591028485</v>
      </c>
      <c r="V51" s="62">
        <v>0.1</v>
      </c>
      <c r="W51" s="62">
        <f>IF(O51&gt;0,O51,((P51*2.2046*S51)+(Q51+R51)/G51)+V51)</f>
        <v>28.53593792954042</v>
      </c>
      <c r="X51" s="62">
        <f>IF(O51&gt;0,O51,((P51*2.2046*S51)+(Q51+R51+T51)/G51)+V51)</f>
        <v>28.679157835815698</v>
      </c>
      <c r="Y51" s="99">
        <f t="shared" si="22"/>
        <v>560213.80517965485</v>
      </c>
      <c r="Z51" s="64">
        <v>41565</v>
      </c>
    </row>
    <row r="52" spans="1:26" s="51" customFormat="1" x14ac:dyDescent="0.25">
      <c r="A52" s="119"/>
      <c r="B52" s="59" t="s">
        <v>31</v>
      </c>
      <c r="C52" s="11" t="s">
        <v>46</v>
      </c>
      <c r="D52" s="11" t="s">
        <v>59</v>
      </c>
      <c r="E52" s="11">
        <v>249</v>
      </c>
      <c r="F52" s="115">
        <f>14120+15725</f>
        <v>29845</v>
      </c>
      <c r="G52" s="60">
        <f>4930+18390</f>
        <v>23320</v>
      </c>
      <c r="H52" s="60">
        <f t="shared" si="21"/>
        <v>-6525</v>
      </c>
      <c r="I52" s="114" t="s">
        <v>176</v>
      </c>
      <c r="J52" s="11"/>
      <c r="K52" s="61"/>
      <c r="L52" s="61">
        <v>41567</v>
      </c>
      <c r="M52" s="114" t="s">
        <v>60</v>
      </c>
      <c r="N52" s="11"/>
      <c r="O52" s="62">
        <v>22.3</v>
      </c>
      <c r="P52" s="63"/>
      <c r="Q52" s="62">
        <v>15000</v>
      </c>
      <c r="R52" s="62">
        <f>58.25*E52</f>
        <v>14504.25</v>
      </c>
      <c r="S52" s="116">
        <f>-35*E52</f>
        <v>-8715</v>
      </c>
      <c r="T52" s="116">
        <v>2250</v>
      </c>
      <c r="U52" s="62">
        <f>E52*5</f>
        <v>1245</v>
      </c>
      <c r="V52" s="11"/>
      <c r="W52" s="62">
        <f>((O52*F52)+Q52+R52+S52+U52)/G52</f>
        <v>29.484466123499143</v>
      </c>
      <c r="X52" s="62">
        <f>((O52*F52)+Q52+R52+S52+T52+U52)/G52</f>
        <v>29.580949828473415</v>
      </c>
      <c r="Y52" s="99">
        <f t="shared" si="22"/>
        <v>882843.44763078901</v>
      </c>
      <c r="Z52" s="64">
        <v>41575</v>
      </c>
    </row>
    <row r="53" spans="1:26" s="51" customFormat="1" ht="15.75" thickBot="1" x14ac:dyDescent="0.3">
      <c r="A53" s="119"/>
      <c r="B53" s="68"/>
      <c r="C53" s="53"/>
      <c r="D53" s="53"/>
      <c r="E53" s="53"/>
      <c r="F53" s="54"/>
      <c r="G53" s="54"/>
      <c r="H53" s="54"/>
      <c r="I53" s="55"/>
      <c r="J53" s="53"/>
      <c r="K53" s="56"/>
      <c r="L53" s="56"/>
      <c r="M53" s="53"/>
      <c r="N53" s="53"/>
      <c r="O53" s="57"/>
      <c r="P53" s="58"/>
      <c r="Q53" s="57"/>
      <c r="R53" s="57"/>
      <c r="S53" s="57"/>
      <c r="T53" s="57"/>
      <c r="U53" s="57"/>
      <c r="V53" s="57"/>
      <c r="W53" s="57"/>
      <c r="X53" s="57"/>
      <c r="Y53" s="57"/>
      <c r="Z53" s="69"/>
    </row>
    <row r="54" spans="1:26" s="51" customFormat="1" x14ac:dyDescent="0.25">
      <c r="A54" s="145"/>
      <c r="B54" s="114" t="s">
        <v>31</v>
      </c>
      <c r="C54" s="114" t="s">
        <v>32</v>
      </c>
      <c r="D54" s="114" t="s">
        <v>61</v>
      </c>
      <c r="E54" s="11">
        <v>252</v>
      </c>
      <c r="F54" s="115">
        <v>20947.599999999999</v>
      </c>
      <c r="G54" s="60">
        <f>16180+4800</f>
        <v>20980</v>
      </c>
      <c r="H54" s="60">
        <f t="shared" ref="H54" si="23">G54-F54</f>
        <v>32.400000000001455</v>
      </c>
      <c r="I54" s="114" t="s">
        <v>178</v>
      </c>
      <c r="J54" s="11"/>
      <c r="K54" s="61"/>
      <c r="L54" s="61">
        <v>41568</v>
      </c>
      <c r="M54" s="114" t="s">
        <v>33</v>
      </c>
      <c r="N54" s="11"/>
      <c r="O54" s="62">
        <v>30.1</v>
      </c>
      <c r="P54" s="63"/>
      <c r="Q54" s="62"/>
      <c r="R54" s="62"/>
      <c r="S54" s="116"/>
      <c r="T54" s="116"/>
      <c r="U54" s="62">
        <f>E54*5</f>
        <v>1260</v>
      </c>
      <c r="W54" s="62">
        <f>((O54*F54)+Q54+R54+S54+U54)/G54</f>
        <v>30.11357292659676</v>
      </c>
      <c r="X54" s="62">
        <f>((O54*F54)+R54+S54+T54+U54)/G54</f>
        <v>30.11357292659676</v>
      </c>
      <c r="Y54" s="99">
        <f t="shared" ref="Y54" si="24">X54*F54</f>
        <v>630807.08023717825</v>
      </c>
      <c r="Z54" s="64">
        <v>41575</v>
      </c>
    </row>
    <row r="55" spans="1:26" s="51" customFormat="1" x14ac:dyDescent="0.25">
      <c r="A55" s="145"/>
      <c r="B55" s="59" t="s">
        <v>51</v>
      </c>
      <c r="C55" s="11" t="s">
        <v>52</v>
      </c>
      <c r="D55" s="11" t="s">
        <v>53</v>
      </c>
      <c r="E55" s="11" t="s">
        <v>39</v>
      </c>
      <c r="F55" s="115">
        <v>18814.11</v>
      </c>
      <c r="G55" s="60">
        <v>18769.72</v>
      </c>
      <c r="H55" s="60">
        <f>G55-F55</f>
        <v>-44.389999999999418</v>
      </c>
      <c r="I55" s="114" t="s">
        <v>140</v>
      </c>
      <c r="J55" s="11"/>
      <c r="K55" s="61">
        <v>41565</v>
      </c>
      <c r="L55" s="61">
        <v>41568</v>
      </c>
      <c r="M55" s="114" t="s">
        <v>50</v>
      </c>
      <c r="N55" s="114" t="s">
        <v>310</v>
      </c>
      <c r="O55" s="62"/>
      <c r="P55" s="95">
        <v>2.2050000000000001</v>
      </c>
      <c r="Q55" s="62"/>
      <c r="R55" s="62"/>
      <c r="S55" s="116">
        <v>12.98</v>
      </c>
      <c r="T55" s="116"/>
      <c r="U55" s="62"/>
      <c r="V55" s="62"/>
      <c r="W55" s="62">
        <f>IF(O55&gt;0,O55,((P55*S55)+(Q55+R55)/G55)+V55)</f>
        <v>28.620900000000002</v>
      </c>
      <c r="X55" s="62">
        <f>IF(O55&gt;0,O55,((P55*S55)+(Q55+R55+T55)/G55)+V55)</f>
        <v>28.620900000000002</v>
      </c>
      <c r="Y55" s="99">
        <f>X55*F55</f>
        <v>538476.7608990001</v>
      </c>
      <c r="Z55" s="64">
        <v>41568</v>
      </c>
    </row>
    <row r="56" spans="1:26" s="51" customFormat="1" x14ac:dyDescent="0.25">
      <c r="A56" s="145"/>
      <c r="B56" s="59" t="s">
        <v>34</v>
      </c>
      <c r="C56" s="11" t="s">
        <v>40</v>
      </c>
      <c r="D56" s="11" t="s">
        <v>40</v>
      </c>
      <c r="E56" s="11" t="s">
        <v>41</v>
      </c>
      <c r="F56" s="115">
        <f>41520*0.4536</f>
        <v>18833.472000000002</v>
      </c>
      <c r="G56" s="60">
        <v>18811.14</v>
      </c>
      <c r="H56" s="60">
        <f t="shared" ref="H56:H60" si="25">G56-F56</f>
        <v>-22.332000000002154</v>
      </c>
      <c r="I56" s="114" t="s">
        <v>311</v>
      </c>
      <c r="J56" s="120" t="s">
        <v>42</v>
      </c>
      <c r="K56" s="61">
        <v>41568</v>
      </c>
      <c r="L56" s="61">
        <v>41569</v>
      </c>
      <c r="M56" s="114" t="s">
        <v>43</v>
      </c>
      <c r="N56" s="114" t="s">
        <v>312</v>
      </c>
      <c r="O56" s="62"/>
      <c r="P56" s="95">
        <v>0.96630000000000005</v>
      </c>
      <c r="Q56" s="62">
        <v>17000</v>
      </c>
      <c r="R56" s="62">
        <v>7690.5</v>
      </c>
      <c r="S56" s="116">
        <v>12.904999999999999</v>
      </c>
      <c r="T56" s="118">
        <f>W56*F56*0.005</f>
        <v>2721.8258488486717</v>
      </c>
      <c r="V56" s="62">
        <v>0.1</v>
      </c>
      <c r="W56" s="62">
        <f>IF(O56&gt;0,O56,((P56*2.2046*S56)+(Q56+R56)/G56)+V56)</f>
        <v>28.904132481240545</v>
      </c>
      <c r="X56" s="62">
        <f>IF(O56&gt;0,O56,((P56*2.2046*S56)+(Q56+R56+T56)/G56)+V56)</f>
        <v>29.048824714079633</v>
      </c>
      <c r="Y56" s="99">
        <f t="shared" ref="Y56:Y60" si="26">X56*F56</f>
        <v>547090.22688552679</v>
      </c>
      <c r="Z56" s="64">
        <v>41570</v>
      </c>
    </row>
    <row r="57" spans="1:26" s="51" customFormat="1" x14ac:dyDescent="0.25">
      <c r="A57" s="145"/>
      <c r="B57" s="59" t="s">
        <v>34</v>
      </c>
      <c r="C57" s="11" t="s">
        <v>40</v>
      </c>
      <c r="D57" s="11" t="s">
        <v>40</v>
      </c>
      <c r="E57" s="11" t="s">
        <v>41</v>
      </c>
      <c r="F57" s="115">
        <f>41805*0.4536</f>
        <v>18962.748</v>
      </c>
      <c r="G57" s="60">
        <v>18885.29</v>
      </c>
      <c r="H57" s="60">
        <f t="shared" si="25"/>
        <v>-77.457999999998719</v>
      </c>
      <c r="I57" s="114" t="s">
        <v>313</v>
      </c>
      <c r="J57" s="120" t="s">
        <v>42</v>
      </c>
      <c r="K57" s="61">
        <v>41568</v>
      </c>
      <c r="L57" s="61">
        <v>41569</v>
      </c>
      <c r="M57" s="114" t="s">
        <v>43</v>
      </c>
      <c r="N57" s="114" t="s">
        <v>312</v>
      </c>
      <c r="O57" s="62"/>
      <c r="P57" s="95">
        <v>0.96630000000000005</v>
      </c>
      <c r="Q57" s="62">
        <v>17000</v>
      </c>
      <c r="R57" s="62">
        <v>7690.5</v>
      </c>
      <c r="S57" s="116">
        <v>12.904999999999999</v>
      </c>
      <c r="T57" s="118">
        <f>W57*F57*0.005</f>
        <v>2740.0202794086035</v>
      </c>
      <c r="V57" s="62">
        <v>0.1</v>
      </c>
      <c r="W57" s="62">
        <f>IF(O57&gt;0,O57,((P57*2.2046*S57)+(Q57+R57)/G57)+V57)</f>
        <v>28.898978981407165</v>
      </c>
      <c r="X57" s="62">
        <f>IF(O57&gt;0,O57,((P57*2.2046*S57)+(Q57+R57+T57)/G57)+V57)</f>
        <v>29.044066521996086</v>
      </c>
      <c r="Y57" s="99">
        <f t="shared" si="26"/>
        <v>550755.31435184821</v>
      </c>
      <c r="Z57" s="64">
        <v>41570</v>
      </c>
    </row>
    <row r="58" spans="1:26" s="51" customFormat="1" x14ac:dyDescent="0.25">
      <c r="A58" s="145"/>
      <c r="B58" s="114" t="s">
        <v>31</v>
      </c>
      <c r="C58" s="114" t="s">
        <v>44</v>
      </c>
      <c r="D58" s="114" t="s">
        <v>45</v>
      </c>
      <c r="E58" s="11">
        <v>252</v>
      </c>
      <c r="F58" s="115">
        <v>21860</v>
      </c>
      <c r="G58" s="60">
        <v>21860</v>
      </c>
      <c r="H58" s="60">
        <f t="shared" si="25"/>
        <v>0</v>
      </c>
      <c r="I58" s="114" t="s">
        <v>185</v>
      </c>
      <c r="J58" s="11"/>
      <c r="K58" s="61"/>
      <c r="L58" s="61">
        <v>41569</v>
      </c>
      <c r="M58" s="114" t="s">
        <v>43</v>
      </c>
      <c r="N58" s="11"/>
      <c r="O58" s="62">
        <v>30.5</v>
      </c>
      <c r="P58" s="63"/>
      <c r="Q58" s="62"/>
      <c r="R58" s="62"/>
      <c r="S58" s="116"/>
      <c r="T58" s="116"/>
      <c r="U58" s="62">
        <f>E58*5</f>
        <v>1260</v>
      </c>
      <c r="W58" s="62">
        <f>((O58*F58)+Q58+R58+S58+U58)/G58</f>
        <v>30.557639524245197</v>
      </c>
      <c r="X58" s="62">
        <f>((O58*F58)+R58+S58+T58+U58)/G58</f>
        <v>30.557639524245197</v>
      </c>
      <c r="Y58" s="99">
        <f t="shared" si="26"/>
        <v>667990</v>
      </c>
      <c r="Z58" s="64">
        <v>41576</v>
      </c>
    </row>
    <row r="59" spans="1:26" s="51" customFormat="1" x14ac:dyDescent="0.25">
      <c r="A59" s="145"/>
      <c r="B59" s="59" t="s">
        <v>31</v>
      </c>
      <c r="C59" s="11" t="s">
        <v>46</v>
      </c>
      <c r="D59" s="11" t="s">
        <v>71</v>
      </c>
      <c r="E59" s="11">
        <v>249</v>
      </c>
      <c r="F59" s="115">
        <v>31290</v>
      </c>
      <c r="G59" s="60">
        <f>18930+6020</f>
        <v>24950</v>
      </c>
      <c r="H59" s="60">
        <f t="shared" si="25"/>
        <v>-6340</v>
      </c>
      <c r="I59" s="114" t="s">
        <v>183</v>
      </c>
      <c r="J59" s="11"/>
      <c r="K59" s="61"/>
      <c r="L59" s="61">
        <v>41570</v>
      </c>
      <c r="M59" s="114" t="s">
        <v>48</v>
      </c>
      <c r="N59" s="11"/>
      <c r="O59" s="62">
        <v>22.5</v>
      </c>
      <c r="P59" s="63"/>
      <c r="Q59" s="62">
        <v>15000</v>
      </c>
      <c r="R59" s="62">
        <f>58.25*E59</f>
        <v>14504.25</v>
      </c>
      <c r="S59" s="116">
        <f>-35*E59</f>
        <v>-8715</v>
      </c>
      <c r="T59" s="116">
        <v>2250</v>
      </c>
      <c r="U59" s="62">
        <f>E59*5</f>
        <v>1245</v>
      </c>
      <c r="V59" s="11"/>
      <c r="W59" s="62">
        <f>((O59*F59)+Q59+R59+S59+U59)/G59</f>
        <v>29.100571142284569</v>
      </c>
      <c r="X59" s="62">
        <f>((O59*F59)+Q59+R59+S59+T59+U59)/G59</f>
        <v>29.190751503006013</v>
      </c>
      <c r="Y59" s="99">
        <f t="shared" si="26"/>
        <v>913378.6145290581</v>
      </c>
      <c r="Z59" s="64">
        <v>41576</v>
      </c>
    </row>
    <row r="60" spans="1:26" s="51" customFormat="1" x14ac:dyDescent="0.25">
      <c r="A60" s="145"/>
      <c r="B60" s="59" t="s">
        <v>34</v>
      </c>
      <c r="C60" s="114" t="s">
        <v>35</v>
      </c>
      <c r="D60" s="114" t="s">
        <v>35</v>
      </c>
      <c r="E60" s="11" t="s">
        <v>36</v>
      </c>
      <c r="F60" s="115">
        <f>41979*0.4536</f>
        <v>19041.6744</v>
      </c>
      <c r="G60" s="60">
        <v>18976.57</v>
      </c>
      <c r="H60" s="60">
        <f t="shared" si="25"/>
        <v>-65.104400000000169</v>
      </c>
      <c r="I60" s="114" t="s">
        <v>314</v>
      </c>
      <c r="J60" s="120" t="s">
        <v>42</v>
      </c>
      <c r="K60" s="61">
        <v>41570</v>
      </c>
      <c r="L60" s="61">
        <v>41571</v>
      </c>
      <c r="M60" s="114" t="s">
        <v>50</v>
      </c>
      <c r="N60" s="11" t="s">
        <v>315</v>
      </c>
      <c r="O60" s="62"/>
      <c r="P60" s="95">
        <f>0.8756+0.1</f>
        <v>0.97560000000000002</v>
      </c>
      <c r="Q60" s="62">
        <v>17000</v>
      </c>
      <c r="R60" s="62">
        <v>7684</v>
      </c>
      <c r="S60" s="116">
        <v>12.83</v>
      </c>
      <c r="T60" s="118">
        <f>W60*F60*0.005</f>
        <v>2760.6262990139912</v>
      </c>
      <c r="V60" s="62">
        <v>0.1</v>
      </c>
      <c r="W60" s="62">
        <f>IF(O60&gt;0,O60,((P60*2.2046*S60)+(Q60+R60)/G60)+V60)</f>
        <v>28.995625500391828</v>
      </c>
      <c r="X60" s="62">
        <f>IF(O60&gt;0,O60,((P60*2.2046*S60)+(Q60+R60+T60)/G60)+V60)</f>
        <v>29.141101015672724</v>
      </c>
      <c r="Y60" s="99">
        <f t="shared" si="26"/>
        <v>554895.35719794931</v>
      </c>
      <c r="Z60" s="64">
        <v>41570</v>
      </c>
    </row>
    <row r="61" spans="1:26" s="51" customFormat="1" x14ac:dyDescent="0.25">
      <c r="A61" s="145"/>
      <c r="B61" s="59" t="s">
        <v>51</v>
      </c>
      <c r="C61" s="11" t="s">
        <v>52</v>
      </c>
      <c r="D61" s="11" t="s">
        <v>53</v>
      </c>
      <c r="E61" s="11" t="s">
        <v>65</v>
      </c>
      <c r="F61" s="115">
        <v>18093.349999999999</v>
      </c>
      <c r="G61" s="60">
        <v>18080.09</v>
      </c>
      <c r="H61" s="60">
        <f>G61-F61</f>
        <v>-13.259999999998399</v>
      </c>
      <c r="I61" s="114" t="s">
        <v>164</v>
      </c>
      <c r="J61" s="11"/>
      <c r="K61" s="61">
        <v>41569</v>
      </c>
      <c r="L61" s="61">
        <v>41571</v>
      </c>
      <c r="M61" s="114" t="s">
        <v>50</v>
      </c>
      <c r="N61" s="114" t="s">
        <v>316</v>
      </c>
      <c r="O61" s="62"/>
      <c r="P61" s="95">
        <v>2.2829999999999999</v>
      </c>
      <c r="Q61" s="62"/>
      <c r="R61" s="62"/>
      <c r="S61" s="116">
        <v>12.904999999999999</v>
      </c>
      <c r="T61" s="116"/>
      <c r="U61" s="62"/>
      <c r="V61" s="62"/>
      <c r="W61" s="62">
        <f>IF(O61&gt;0,O61,((P61*S61)+(Q61+R61)/G61)+V61)</f>
        <v>29.462114999999997</v>
      </c>
      <c r="X61" s="62">
        <f>IF(O61&gt;0,O61,((P61*S61)+(Q61+R61+T61)/G61)+V61)</f>
        <v>29.462114999999997</v>
      </c>
      <c r="Y61" s="99">
        <f>X61*F61</f>
        <v>533068.35843524989</v>
      </c>
      <c r="Z61" s="64">
        <v>41571</v>
      </c>
    </row>
    <row r="62" spans="1:26" s="51" customFormat="1" x14ac:dyDescent="0.25">
      <c r="A62" s="145"/>
      <c r="B62" s="114" t="s">
        <v>31</v>
      </c>
      <c r="C62" s="114" t="s">
        <v>44</v>
      </c>
      <c r="D62" s="114" t="s">
        <v>45</v>
      </c>
      <c r="E62" s="11">
        <v>256</v>
      </c>
      <c r="F62" s="115">
        <f>7420+15350</f>
        <v>22770</v>
      </c>
      <c r="G62" s="60">
        <v>22770</v>
      </c>
      <c r="H62" s="60">
        <f t="shared" ref="H62:H64" si="27">G62-F62</f>
        <v>0</v>
      </c>
      <c r="I62" s="114" t="s">
        <v>202</v>
      </c>
      <c r="J62" s="11"/>
      <c r="K62" s="61"/>
      <c r="L62" s="61">
        <v>41571</v>
      </c>
      <c r="M62" s="114" t="s">
        <v>50</v>
      </c>
      <c r="N62" s="11"/>
      <c r="O62" s="62">
        <v>30.5</v>
      </c>
      <c r="P62" s="63"/>
      <c r="Q62" s="62"/>
      <c r="R62" s="62"/>
      <c r="S62" s="116"/>
      <c r="T62" s="116"/>
      <c r="U62" s="62">
        <f>E62*5</f>
        <v>1280</v>
      </c>
      <c r="W62" s="62">
        <f>((O62*F62)+Q62+R62+S62+U62)/G62</f>
        <v>30.556214317083882</v>
      </c>
      <c r="X62" s="62">
        <f>((O62*F62)+R62+S62+T62+U62)/G62</f>
        <v>30.556214317083882</v>
      </c>
      <c r="Y62" s="99">
        <f t="shared" ref="Y62:Y64" si="28">X62*F62</f>
        <v>695765</v>
      </c>
      <c r="Z62" s="64">
        <v>41578</v>
      </c>
    </row>
    <row r="63" spans="1:26" s="51" customFormat="1" x14ac:dyDescent="0.25">
      <c r="A63" s="145"/>
      <c r="B63" s="114" t="s">
        <v>72</v>
      </c>
      <c r="C63" s="114" t="s">
        <v>73</v>
      </c>
      <c r="D63" s="114" t="s">
        <v>53</v>
      </c>
      <c r="E63" s="114" t="s">
        <v>317</v>
      </c>
      <c r="F63" s="115">
        <v>138.5</v>
      </c>
      <c r="G63" s="60">
        <v>138.5</v>
      </c>
      <c r="H63" s="60">
        <f t="shared" si="27"/>
        <v>0</v>
      </c>
      <c r="I63" s="114" t="s">
        <v>226</v>
      </c>
      <c r="J63" s="11"/>
      <c r="K63" s="61"/>
      <c r="L63" s="61">
        <v>41571</v>
      </c>
      <c r="M63" s="114" t="s">
        <v>50</v>
      </c>
      <c r="N63" s="11"/>
      <c r="O63" s="62">
        <v>115</v>
      </c>
      <c r="P63" s="63"/>
      <c r="Q63" s="62"/>
      <c r="R63" s="62"/>
      <c r="S63" s="116"/>
      <c r="T63" s="116"/>
      <c r="U63" s="62"/>
      <c r="V63" s="62"/>
      <c r="W63" s="62">
        <f>IF(O63&gt;0,O63,((P63*2.2046*S63)+(Q63+R63)/G63)+V63)</f>
        <v>115</v>
      </c>
      <c r="X63" s="62">
        <f>IF(O63&gt;0,O63,((P63*2.2046*S63)+(Q63+R63+T63)/G63)+V63)</f>
        <v>115</v>
      </c>
      <c r="Y63" s="99">
        <f t="shared" si="28"/>
        <v>15927.5</v>
      </c>
      <c r="Z63" s="64">
        <v>41585</v>
      </c>
    </row>
    <row r="64" spans="1:26" s="51" customFormat="1" x14ac:dyDescent="0.25">
      <c r="A64" s="145"/>
      <c r="B64" s="59" t="s">
        <v>31</v>
      </c>
      <c r="C64" s="11" t="s">
        <v>46</v>
      </c>
      <c r="D64" s="11" t="s">
        <v>59</v>
      </c>
      <c r="E64" s="11">
        <v>250</v>
      </c>
      <c r="F64" s="115">
        <v>30790</v>
      </c>
      <c r="G64" s="60">
        <f>16650+7750</f>
        <v>24400</v>
      </c>
      <c r="H64" s="60">
        <f t="shared" si="27"/>
        <v>-6390</v>
      </c>
      <c r="I64" s="114" t="s">
        <v>200</v>
      </c>
      <c r="J64" s="11"/>
      <c r="K64" s="61"/>
      <c r="L64" s="61">
        <v>41572</v>
      </c>
      <c r="M64" s="114" t="s">
        <v>57</v>
      </c>
      <c r="N64" s="11"/>
      <c r="O64" s="62">
        <v>22.5</v>
      </c>
      <c r="P64" s="63"/>
      <c r="Q64" s="62">
        <v>15000</v>
      </c>
      <c r="R64" s="62">
        <f>58.25*E64</f>
        <v>14562.5</v>
      </c>
      <c r="S64" s="116">
        <f>-35*E64</f>
        <v>-8750</v>
      </c>
      <c r="T64" s="116">
        <v>2250</v>
      </c>
      <c r="U64" s="62">
        <f>E64*5</f>
        <v>1250</v>
      </c>
      <c r="V64" s="11"/>
      <c r="W64" s="62">
        <f>((O64*F64)+Q64+R64+S64+U64)/G64</f>
        <v>29.296618852459016</v>
      </c>
      <c r="X64" s="62">
        <f>((O64*F64)+Q64+R64+S64+T64+U64)/G64</f>
        <v>29.388831967213115</v>
      </c>
      <c r="Y64" s="99">
        <f t="shared" si="28"/>
        <v>904882.13627049176</v>
      </c>
      <c r="Z64" s="64">
        <v>41578</v>
      </c>
    </row>
    <row r="65" spans="1:26" s="51" customFormat="1" x14ac:dyDescent="0.25">
      <c r="A65" s="145"/>
      <c r="B65" s="59" t="s">
        <v>34</v>
      </c>
      <c r="C65" s="11" t="s">
        <v>40</v>
      </c>
      <c r="D65" s="11" t="s">
        <v>40</v>
      </c>
      <c r="E65" s="11" t="s">
        <v>41</v>
      </c>
      <c r="F65" s="115">
        <f>42294*0.4536</f>
        <v>19184.558400000002</v>
      </c>
      <c r="G65" s="60">
        <v>19173.45</v>
      </c>
      <c r="H65" s="60">
        <f>G65-F65</f>
        <v>-11.108400000000984</v>
      </c>
      <c r="I65" s="114" t="s">
        <v>318</v>
      </c>
      <c r="J65" s="120" t="s">
        <v>37</v>
      </c>
      <c r="K65" s="61">
        <v>41570</v>
      </c>
      <c r="L65" s="61">
        <v>41571</v>
      </c>
      <c r="M65" s="114" t="s">
        <v>57</v>
      </c>
      <c r="N65" s="114" t="s">
        <v>319</v>
      </c>
      <c r="O65" s="62"/>
      <c r="P65" s="95">
        <v>0.98060000000000003</v>
      </c>
      <c r="Q65" s="62">
        <v>17000</v>
      </c>
      <c r="R65" s="62">
        <v>7684</v>
      </c>
      <c r="S65" s="116">
        <v>13.05</v>
      </c>
      <c r="T65" s="118">
        <f>W65*F65*0.005</f>
        <v>1360.5914466112038</v>
      </c>
      <c r="V65" s="62">
        <v>0.1</v>
      </c>
      <c r="W65" s="62">
        <f>IF(O65&gt;0,O65,((P65*S65)+(Q65+R65)/G65)+V65)</f>
        <v>14.18423524005852</v>
      </c>
      <c r="X65" s="62">
        <f>IF(O65&gt;0,O65,((P65*2.2046*S65)+(Q65+R65+T65)/G65)+V65)</f>
        <v>29.670258923410412</v>
      </c>
      <c r="Y65" s="99">
        <f>X65*F65</f>
        <v>569210.81505928817</v>
      </c>
      <c r="Z65" s="64">
        <v>41572</v>
      </c>
    </row>
    <row r="66" spans="1:26" s="51" customFormat="1" x14ac:dyDescent="0.25">
      <c r="A66" s="145"/>
      <c r="B66" s="59" t="s">
        <v>34</v>
      </c>
      <c r="C66" s="11" t="s">
        <v>40</v>
      </c>
      <c r="D66" s="11" t="s">
        <v>40</v>
      </c>
      <c r="E66" s="11" t="s">
        <v>41</v>
      </c>
      <c r="F66" s="115">
        <f>41937*0.4536</f>
        <v>19022.623200000002</v>
      </c>
      <c r="G66" s="60">
        <v>19000.32</v>
      </c>
      <c r="H66" s="60">
        <f t="shared" ref="H66:H69" si="29">G66-F66</f>
        <v>-22.303200000002107</v>
      </c>
      <c r="I66" s="114" t="s">
        <v>320</v>
      </c>
      <c r="J66" s="120" t="s">
        <v>49</v>
      </c>
      <c r="K66" s="61">
        <v>41571</v>
      </c>
      <c r="L66" s="61">
        <v>41572</v>
      </c>
      <c r="M66" s="114" t="s">
        <v>57</v>
      </c>
      <c r="N66" s="114" t="s">
        <v>319</v>
      </c>
      <c r="O66" s="62"/>
      <c r="P66" s="95">
        <v>0.98060000000000003</v>
      </c>
      <c r="Q66" s="62">
        <v>17000</v>
      </c>
      <c r="R66" s="62">
        <v>7710</v>
      </c>
      <c r="S66" s="116">
        <v>13.05</v>
      </c>
      <c r="T66" s="118">
        <f>W66*F66*0.005</f>
        <v>2816.5272396697101</v>
      </c>
      <c r="V66" s="62">
        <v>0.1</v>
      </c>
      <c r="W66" s="62">
        <f>IF(O66&gt;0,O66,((P66*2.2046*S66)+(Q66+R66)/G66)+V66)</f>
        <v>29.612395830557265</v>
      </c>
      <c r="X66" s="62">
        <f>IF(O66&gt;0,O66,((P66*2.2046*S66)+(Q66+R66+T66)/G66)+V66)</f>
        <v>29.760631609726758</v>
      </c>
      <c r="Y66" s="99">
        <f t="shared" ref="Y66:Y69" si="30">X66*F66</f>
        <v>566125.28130584164</v>
      </c>
      <c r="Z66" s="64">
        <v>41572</v>
      </c>
    </row>
    <row r="67" spans="1:26" s="51" customFormat="1" x14ac:dyDescent="0.25">
      <c r="A67" s="145"/>
      <c r="B67" s="59" t="s">
        <v>259</v>
      </c>
      <c r="C67" s="11" t="s">
        <v>55</v>
      </c>
      <c r="D67" s="11" t="s">
        <v>38</v>
      </c>
      <c r="E67" s="11" t="s">
        <v>321</v>
      </c>
      <c r="F67" s="115">
        <v>9018.84</v>
      </c>
      <c r="G67" s="60">
        <v>9027.7000000000007</v>
      </c>
      <c r="H67" s="60">
        <f t="shared" si="29"/>
        <v>8.8600000000005821</v>
      </c>
      <c r="I67" s="114" t="s">
        <v>235</v>
      </c>
      <c r="J67" s="11"/>
      <c r="K67" s="61"/>
      <c r="L67" s="61">
        <v>41572</v>
      </c>
      <c r="M67" s="114" t="s">
        <v>57</v>
      </c>
      <c r="N67" s="114"/>
      <c r="O67" s="62">
        <v>61</v>
      </c>
      <c r="P67" s="95"/>
      <c r="Q67" s="62"/>
      <c r="R67" s="62"/>
      <c r="S67" s="116"/>
      <c r="T67" s="118"/>
      <c r="V67" s="62"/>
      <c r="W67" s="62">
        <f>IF(O67&gt;0,O67,((P67*2.2046*S67)+(Q67+R67)/G67)+V67)</f>
        <v>61</v>
      </c>
      <c r="X67" s="62">
        <f>IF(O67&gt;0,O67,((P67*2.2046*S67)+(Q67+R67+T67)/G67)+V67)</f>
        <v>61</v>
      </c>
      <c r="Y67" s="99">
        <f t="shared" si="30"/>
        <v>550149.24</v>
      </c>
      <c r="Z67" s="64">
        <v>41593</v>
      </c>
    </row>
    <row r="68" spans="1:26" s="51" customFormat="1" x14ac:dyDescent="0.25">
      <c r="A68" s="145"/>
      <c r="B68" s="59" t="s">
        <v>34</v>
      </c>
      <c r="C68" s="114" t="s">
        <v>35</v>
      </c>
      <c r="D68" s="114" t="s">
        <v>35</v>
      </c>
      <c r="E68" s="11" t="s">
        <v>36</v>
      </c>
      <c r="F68" s="115">
        <f>43303*0.4536</f>
        <v>19642.2408</v>
      </c>
      <c r="G68" s="60">
        <v>19550.22</v>
      </c>
      <c r="H68" s="60">
        <f t="shared" si="29"/>
        <v>-92.020799999998417</v>
      </c>
      <c r="I68" s="114" t="s">
        <v>322</v>
      </c>
      <c r="J68" s="120" t="s">
        <v>42</v>
      </c>
      <c r="K68" s="61">
        <v>41572</v>
      </c>
      <c r="L68" s="61">
        <v>41573</v>
      </c>
      <c r="M68" s="114" t="s">
        <v>58</v>
      </c>
      <c r="N68" s="11" t="s">
        <v>323</v>
      </c>
      <c r="O68" s="62"/>
      <c r="P68" s="95">
        <v>0.99639999999999995</v>
      </c>
      <c r="Q68" s="62">
        <v>17000</v>
      </c>
      <c r="R68" s="62">
        <v>7703.5</v>
      </c>
      <c r="S68" s="116">
        <v>12.935</v>
      </c>
      <c r="T68" s="118">
        <f>W68*F68*0.005</f>
        <v>2924.4775975438683</v>
      </c>
      <c r="V68" s="62">
        <v>0.1</v>
      </c>
      <c r="W68" s="62">
        <f>IF(O68&gt;0,O68,((P68*2.2046*S68)+(Q68+R68)/G68)+V68)</f>
        <v>29.777433515058718</v>
      </c>
      <c r="X68" s="62">
        <f>IF(O68&gt;0,O68,((P68*2.2046*S68)+(Q68+R68+T68)/G68)+V68)</f>
        <v>29.927021478649095</v>
      </c>
      <c r="Y68" s="99">
        <f t="shared" si="30"/>
        <v>587833.76231039758</v>
      </c>
      <c r="Z68" s="64">
        <v>41572</v>
      </c>
    </row>
    <row r="69" spans="1:26" s="51" customFormat="1" x14ac:dyDescent="0.25">
      <c r="A69" s="145"/>
      <c r="B69" s="59" t="s">
        <v>324</v>
      </c>
      <c r="C69" s="114" t="s">
        <v>292</v>
      </c>
      <c r="D69" s="114" t="s">
        <v>67</v>
      </c>
      <c r="E69" s="11" t="s">
        <v>325</v>
      </c>
      <c r="F69" s="115">
        <v>3007.25</v>
      </c>
      <c r="G69" s="60">
        <v>3007.25</v>
      </c>
      <c r="H69" s="60">
        <f t="shared" si="29"/>
        <v>0</v>
      </c>
      <c r="I69" s="114" t="s">
        <v>214</v>
      </c>
      <c r="J69" s="11"/>
      <c r="K69" s="61"/>
      <c r="L69" s="61">
        <v>41573</v>
      </c>
      <c r="M69" s="114" t="s">
        <v>58</v>
      </c>
      <c r="N69" s="11"/>
      <c r="O69" s="62">
        <v>60</v>
      </c>
      <c r="P69" s="95"/>
      <c r="Q69" s="62"/>
      <c r="R69" s="62"/>
      <c r="S69" s="116"/>
      <c r="T69" s="118"/>
      <c r="V69" s="62"/>
      <c r="W69" s="62">
        <f>IF(O69&gt;0,O69,((P69*2.2046*S69)+(Q69+R69)/G69)+V69)</f>
        <v>60</v>
      </c>
      <c r="X69" s="62">
        <f>IF(O69&gt;0,O69,((P69*2.2046*S69)+(Q69+R69+T69)/G69)+V69)</f>
        <v>60</v>
      </c>
      <c r="Y69" s="99">
        <f t="shared" si="30"/>
        <v>180435</v>
      </c>
      <c r="Z69" s="64">
        <v>41582</v>
      </c>
    </row>
    <row r="70" spans="1:26" s="51" customFormat="1" ht="15.75" thickBot="1" x14ac:dyDescent="0.3">
      <c r="A70" s="145"/>
      <c r="B70" s="68"/>
      <c r="C70" s="53"/>
      <c r="D70" s="53"/>
      <c r="E70" s="53"/>
      <c r="F70" s="54"/>
      <c r="G70" s="54"/>
      <c r="H70" s="54"/>
      <c r="I70" s="55"/>
      <c r="J70" s="53"/>
      <c r="K70" s="56"/>
      <c r="L70" s="56"/>
      <c r="M70" s="53"/>
      <c r="N70" s="53"/>
      <c r="O70" s="57"/>
      <c r="P70" s="58"/>
      <c r="Q70" s="57"/>
      <c r="R70" s="57"/>
      <c r="S70" s="57"/>
      <c r="T70" s="57"/>
      <c r="U70" s="57"/>
      <c r="V70" s="57"/>
      <c r="W70" s="57"/>
      <c r="X70" s="57"/>
      <c r="Y70" s="57"/>
      <c r="Z70" s="69"/>
    </row>
    <row r="71" spans="1:26" s="51" customFormat="1" x14ac:dyDescent="0.25">
      <c r="A71" s="146"/>
      <c r="B71" s="114" t="s">
        <v>31</v>
      </c>
      <c r="C71" s="114" t="s">
        <v>32</v>
      </c>
      <c r="D71" s="114" t="s">
        <v>61</v>
      </c>
      <c r="E71" s="11">
        <v>252</v>
      </c>
      <c r="F71" s="115">
        <v>20397.2</v>
      </c>
      <c r="G71" s="60">
        <f>5000+15360</f>
        <v>20360</v>
      </c>
      <c r="H71" s="60">
        <f t="shared" ref="H71" si="31">G71-F71</f>
        <v>-37.200000000000728</v>
      </c>
      <c r="I71" s="114" t="s">
        <v>217</v>
      </c>
      <c r="J71" s="11"/>
      <c r="K71" s="61"/>
      <c r="L71" s="61">
        <v>41575</v>
      </c>
      <c r="M71" s="114" t="s">
        <v>33</v>
      </c>
      <c r="N71" s="11"/>
      <c r="O71" s="62">
        <v>30.3</v>
      </c>
      <c r="P71" s="63"/>
      <c r="Q71" s="62"/>
      <c r="R71" s="62"/>
      <c r="S71" s="116"/>
      <c r="T71" s="116"/>
      <c r="U71" s="62">
        <f>E71*5</f>
        <v>1260</v>
      </c>
      <c r="W71" s="62">
        <f>((O71*F71)+Q71+R71+S71+U71)/G71</f>
        <v>30.417247544204322</v>
      </c>
      <c r="X71" s="62">
        <f>((O71*F71)+R71+S71+T71+U71)/G71</f>
        <v>30.417247544204322</v>
      </c>
      <c r="Y71" s="99">
        <f t="shared" ref="Y71" si="32">X71*F71</f>
        <v>620426.68160864443</v>
      </c>
      <c r="Z71" s="64">
        <v>41582</v>
      </c>
    </row>
    <row r="72" spans="1:26" s="51" customFormat="1" x14ac:dyDescent="0.25">
      <c r="A72" s="146"/>
      <c r="B72" s="59" t="s">
        <v>51</v>
      </c>
      <c r="C72" s="11" t="s">
        <v>52</v>
      </c>
      <c r="D72" s="11" t="s">
        <v>53</v>
      </c>
      <c r="E72" s="11" t="s">
        <v>39</v>
      </c>
      <c r="F72" s="115">
        <v>18709.330000000002</v>
      </c>
      <c r="G72" s="60">
        <v>18799.25</v>
      </c>
      <c r="H72" s="60">
        <f>G72-F72</f>
        <v>89.919999999998254</v>
      </c>
      <c r="I72" s="114" t="s">
        <v>180</v>
      </c>
      <c r="J72" s="11"/>
      <c r="K72" s="61">
        <v>41572</v>
      </c>
      <c r="L72" s="61">
        <v>41575</v>
      </c>
      <c r="M72" s="114" t="s">
        <v>33</v>
      </c>
      <c r="N72" s="114" t="s">
        <v>310</v>
      </c>
      <c r="O72" s="62"/>
      <c r="P72" s="95">
        <v>2.3170000000000002</v>
      </c>
      <c r="Q72" s="62"/>
      <c r="R72" s="62"/>
      <c r="S72" s="116">
        <v>12.92</v>
      </c>
      <c r="T72" s="116"/>
      <c r="U72" s="62"/>
      <c r="V72" s="62"/>
      <c r="W72" s="62">
        <f>IF(O72&gt;0,O72,((P72*S72)+(Q72+R72)/G72)+V72)</f>
        <v>29.935640000000003</v>
      </c>
      <c r="X72" s="62">
        <f>IF(O72&gt;0,O72,((P72*S72)+(Q72+R72+T72)/G72)+V72)</f>
        <v>29.935640000000003</v>
      </c>
      <c r="Y72" s="99">
        <f>X72*F72</f>
        <v>560075.76752120012</v>
      </c>
      <c r="Z72" s="64">
        <v>41575</v>
      </c>
    </row>
    <row r="73" spans="1:26" s="51" customFormat="1" x14ac:dyDescent="0.25">
      <c r="A73" s="146"/>
      <c r="B73" s="59" t="s">
        <v>34</v>
      </c>
      <c r="C73" s="11" t="s">
        <v>40</v>
      </c>
      <c r="D73" s="11" t="s">
        <v>40</v>
      </c>
      <c r="E73" s="11" t="s">
        <v>62</v>
      </c>
      <c r="F73" s="115">
        <f>41821*0.4536</f>
        <v>18970.0056</v>
      </c>
      <c r="G73" s="60">
        <v>18956.18</v>
      </c>
      <c r="H73" s="60">
        <f t="shared" ref="H73:H79" si="33">G73-F73</f>
        <v>-13.825600000000122</v>
      </c>
      <c r="I73" s="114" t="s">
        <v>326</v>
      </c>
      <c r="J73" s="147" t="s">
        <v>42</v>
      </c>
      <c r="K73" s="61">
        <v>41575</v>
      </c>
      <c r="L73" s="61">
        <v>41576</v>
      </c>
      <c r="M73" s="114" t="s">
        <v>43</v>
      </c>
      <c r="N73" s="114" t="s">
        <v>312</v>
      </c>
      <c r="O73" s="62"/>
      <c r="P73" s="95">
        <v>0.99360000000000004</v>
      </c>
      <c r="Q73" s="62">
        <v>17000</v>
      </c>
      <c r="R73" s="62">
        <v>7684</v>
      </c>
      <c r="S73" s="116">
        <v>12.9</v>
      </c>
      <c r="T73" s="118">
        <f>W73*F73*0.005</f>
        <v>2813.2033918433799</v>
      </c>
      <c r="V73" s="62">
        <v>0.1</v>
      </c>
      <c r="W73" s="62">
        <f>IF(O73&gt;0,O73,((P73*2.2046*S73)+(Q73+R73)/G73)+V73)</f>
        <v>29.659489313417808</v>
      </c>
      <c r="X73" s="62">
        <f>IF(O73&gt;0,O73,((P73*2.2046*S73)+(Q73+R73+T73)/G73)+V73)</f>
        <v>29.807894920024381</v>
      </c>
      <c r="Y73" s="99">
        <f t="shared" ref="Y73:Y79" si="34">X73*F73</f>
        <v>565455.93355707405</v>
      </c>
      <c r="Z73" s="64">
        <v>41577</v>
      </c>
    </row>
    <row r="74" spans="1:26" s="51" customFormat="1" x14ac:dyDescent="0.25">
      <c r="A74" s="146"/>
      <c r="B74" s="59" t="s">
        <v>34</v>
      </c>
      <c r="C74" s="11" t="s">
        <v>40</v>
      </c>
      <c r="D74" s="11" t="s">
        <v>40</v>
      </c>
      <c r="E74" s="11" t="s">
        <v>62</v>
      </c>
      <c r="F74" s="115">
        <f>41786*0.4536</f>
        <v>18954.1296</v>
      </c>
      <c r="G74" s="60">
        <v>18932.46</v>
      </c>
      <c r="H74" s="60">
        <f t="shared" si="33"/>
        <v>-21.669600000001083</v>
      </c>
      <c r="I74" s="114" t="s">
        <v>327</v>
      </c>
      <c r="J74" s="147" t="s">
        <v>42</v>
      </c>
      <c r="K74" s="61">
        <v>41575</v>
      </c>
      <c r="L74" s="61">
        <v>41576</v>
      </c>
      <c r="M74" s="114" t="s">
        <v>43</v>
      </c>
      <c r="N74" s="114" t="s">
        <v>312</v>
      </c>
      <c r="O74" s="62"/>
      <c r="P74" s="95">
        <v>0.99360000000000004</v>
      </c>
      <c r="Q74" s="62">
        <v>17000</v>
      </c>
      <c r="R74" s="62">
        <v>7684</v>
      </c>
      <c r="S74" s="116">
        <v>12.914999999999999</v>
      </c>
      <c r="T74" s="118">
        <f>W74*F74*0.005</f>
        <v>2814.1175477977895</v>
      </c>
      <c r="V74" s="62">
        <v>0.1</v>
      </c>
      <c r="W74" s="62">
        <f>IF(O74&gt;0,O74,((P74*2.2046*S74)+(Q74+R74)/G74)+V74)</f>
        <v>29.693978116492243</v>
      </c>
      <c r="X74" s="62">
        <f>IF(O74&gt;0,O74,((P74*2.2046*S74)+(Q74+R74+T74)/G74)+V74)</f>
        <v>29.842617941839702</v>
      </c>
      <c r="Y74" s="99">
        <f t="shared" si="34"/>
        <v>565640.84807291499</v>
      </c>
      <c r="Z74" s="64">
        <v>41577</v>
      </c>
    </row>
    <row r="75" spans="1:26" s="51" customFormat="1" x14ac:dyDescent="0.25">
      <c r="A75" s="146"/>
      <c r="B75" s="114" t="s">
        <v>31</v>
      </c>
      <c r="C75" s="114" t="s">
        <v>44</v>
      </c>
      <c r="D75" s="114" t="s">
        <v>45</v>
      </c>
      <c r="E75" s="11">
        <f>60+194</f>
        <v>254</v>
      </c>
      <c r="F75" s="115">
        <f>5220+16850</f>
        <v>22070</v>
      </c>
      <c r="G75" s="60">
        <v>22070</v>
      </c>
      <c r="H75" s="60">
        <f t="shared" si="33"/>
        <v>0</v>
      </c>
      <c r="I75" s="114" t="s">
        <v>219</v>
      </c>
      <c r="J75" s="11"/>
      <c r="K75" s="61"/>
      <c r="L75" s="61">
        <v>41576</v>
      </c>
      <c r="M75" s="114" t="s">
        <v>43</v>
      </c>
      <c r="N75" s="11"/>
      <c r="O75" s="62">
        <v>30.5</v>
      </c>
      <c r="P75" s="63"/>
      <c r="Q75" s="62"/>
      <c r="R75" s="62"/>
      <c r="S75" s="116"/>
      <c r="T75" s="116"/>
      <c r="U75" s="62">
        <f>E75*5</f>
        <v>1270</v>
      </c>
      <c r="W75" s="62">
        <f>((O75*F75)+Q75+R75+S75+U75)/G75</f>
        <v>30.557544177616673</v>
      </c>
      <c r="X75" s="62">
        <f>((O75*F75)+R75+S75+T75+U75)/G75</f>
        <v>30.557544177616673</v>
      </c>
      <c r="Y75" s="99">
        <f t="shared" si="34"/>
        <v>674405</v>
      </c>
      <c r="Z75" s="64">
        <v>41583</v>
      </c>
    </row>
    <row r="76" spans="1:26" s="50" customFormat="1" x14ac:dyDescent="0.25">
      <c r="A76" s="146"/>
      <c r="B76" s="114" t="s">
        <v>328</v>
      </c>
      <c r="C76" s="114" t="s">
        <v>52</v>
      </c>
      <c r="D76" s="114" t="s">
        <v>267</v>
      </c>
      <c r="E76" s="114" t="s">
        <v>329</v>
      </c>
      <c r="F76" s="115">
        <v>14233.71</v>
      </c>
      <c r="G76" s="60">
        <v>14233.71</v>
      </c>
      <c r="H76" s="60">
        <f t="shared" si="33"/>
        <v>0</v>
      </c>
      <c r="I76" s="114" t="s">
        <v>228</v>
      </c>
      <c r="J76" s="11"/>
      <c r="K76" s="61"/>
      <c r="L76" s="61">
        <v>41577</v>
      </c>
      <c r="M76" s="114" t="s">
        <v>48</v>
      </c>
      <c r="N76" s="11"/>
      <c r="O76" s="62">
        <v>30.8</v>
      </c>
      <c r="P76" s="63"/>
      <c r="Q76" s="62"/>
      <c r="R76" s="62"/>
      <c r="S76" s="116"/>
      <c r="T76" s="116"/>
      <c r="U76" s="62"/>
      <c r="V76" s="62"/>
      <c r="W76" s="62">
        <f t="shared" ref="W76:W77" si="35">IF(O76&gt;0,O76,((P76*2.2046*S76)+(Q76+R76)/G76)+V76)</f>
        <v>30.8</v>
      </c>
      <c r="X76" s="62">
        <f t="shared" ref="X76:X77" si="36">IF(O76&gt;0,O76,((P76*2.2046*S76)+(Q76+R76+T76)/G76)+V76)</f>
        <v>30.8</v>
      </c>
      <c r="Y76" s="99">
        <f t="shared" si="34"/>
        <v>438398.26799999998</v>
      </c>
      <c r="Z76" s="64">
        <v>41591</v>
      </c>
    </row>
    <row r="77" spans="1:26" s="50" customFormat="1" x14ac:dyDescent="0.25">
      <c r="A77" s="146"/>
      <c r="B77" s="114" t="s">
        <v>330</v>
      </c>
      <c r="C77" s="114" t="s">
        <v>55</v>
      </c>
      <c r="D77" s="114" t="s">
        <v>38</v>
      </c>
      <c r="E77" s="114" t="s">
        <v>331</v>
      </c>
      <c r="F77" s="115">
        <v>8018.98</v>
      </c>
      <c r="G77" s="60">
        <v>8019.1</v>
      </c>
      <c r="H77" s="60">
        <f t="shared" si="33"/>
        <v>0.12000000000080036</v>
      </c>
      <c r="I77" s="114" t="s">
        <v>238</v>
      </c>
      <c r="J77" s="11"/>
      <c r="K77" s="61"/>
      <c r="L77" s="61">
        <v>41577</v>
      </c>
      <c r="M77" s="114" t="s">
        <v>48</v>
      </c>
      <c r="N77" s="11"/>
      <c r="O77" s="62">
        <v>61</v>
      </c>
      <c r="P77" s="63"/>
      <c r="Q77" s="62"/>
      <c r="R77" s="62"/>
      <c r="S77" s="116"/>
      <c r="T77" s="116"/>
      <c r="U77" s="62"/>
      <c r="V77" s="62"/>
      <c r="W77" s="62">
        <f t="shared" si="35"/>
        <v>61</v>
      </c>
      <c r="X77" s="62">
        <f t="shared" si="36"/>
        <v>61</v>
      </c>
      <c r="Y77" s="99">
        <f t="shared" si="34"/>
        <v>489157.77999999997</v>
      </c>
      <c r="Z77" s="64">
        <v>41598</v>
      </c>
    </row>
    <row r="78" spans="1:26" s="51" customFormat="1" x14ac:dyDescent="0.25">
      <c r="A78" s="146"/>
      <c r="B78" s="59" t="s">
        <v>31</v>
      </c>
      <c r="C78" s="11" t="s">
        <v>46</v>
      </c>
      <c r="D78" s="11" t="s">
        <v>47</v>
      </c>
      <c r="E78" s="11">
        <f>190+60</f>
        <v>250</v>
      </c>
      <c r="F78" s="115">
        <f>20230+6715</f>
        <v>26945</v>
      </c>
      <c r="G78" s="60">
        <f>4900+16060</f>
        <v>20960</v>
      </c>
      <c r="H78" s="60">
        <f t="shared" si="33"/>
        <v>-5985</v>
      </c>
      <c r="I78" s="114" t="s">
        <v>221</v>
      </c>
      <c r="J78" s="11"/>
      <c r="K78" s="61"/>
      <c r="L78" s="61">
        <v>41577</v>
      </c>
      <c r="M78" s="114" t="s">
        <v>48</v>
      </c>
      <c r="N78" s="11"/>
      <c r="O78" s="62">
        <v>22.5</v>
      </c>
      <c r="P78" s="63"/>
      <c r="Q78" s="62">
        <v>15000</v>
      </c>
      <c r="R78" s="62">
        <f>58.25*E78</f>
        <v>14562.5</v>
      </c>
      <c r="S78" s="116">
        <f>-35*E78</f>
        <v>-8750</v>
      </c>
      <c r="T78" s="116">
        <v>2250</v>
      </c>
      <c r="U78" s="62">
        <f>E78*5</f>
        <v>1250</v>
      </c>
      <c r="V78" s="11"/>
      <c r="W78" s="62">
        <f>((O78*F78)+Q78+R78+S78+U78)/G78</f>
        <v>29.977337786259543</v>
      </c>
      <c r="X78" s="62">
        <f>((O78*F78)+Q78+R78+S78+T78+U78)/G78</f>
        <v>30.084685114503817</v>
      </c>
      <c r="Y78" s="99">
        <f t="shared" si="34"/>
        <v>810631.8404103053</v>
      </c>
      <c r="Z78" s="64">
        <v>41583</v>
      </c>
    </row>
    <row r="79" spans="1:26" s="51" customFormat="1" x14ac:dyDescent="0.25">
      <c r="A79" s="146"/>
      <c r="B79" s="59" t="s">
        <v>34</v>
      </c>
      <c r="C79" s="114" t="s">
        <v>35</v>
      </c>
      <c r="D79" s="114" t="s">
        <v>35</v>
      </c>
      <c r="E79" s="11" t="s">
        <v>36</v>
      </c>
      <c r="F79" s="115">
        <f>43482*0.4536</f>
        <v>19723.4352</v>
      </c>
      <c r="G79" s="60">
        <v>19646.400000000001</v>
      </c>
      <c r="H79" s="60">
        <f t="shared" si="33"/>
        <v>-77.03519999999844</v>
      </c>
      <c r="I79" s="114" t="s">
        <v>332</v>
      </c>
      <c r="J79" s="147" t="s">
        <v>42</v>
      </c>
      <c r="K79" s="61">
        <v>41577</v>
      </c>
      <c r="L79" s="61">
        <v>41578</v>
      </c>
      <c r="M79" s="114" t="s">
        <v>50</v>
      </c>
      <c r="N79" s="11" t="s">
        <v>315</v>
      </c>
      <c r="O79" s="62"/>
      <c r="P79" s="95">
        <f>0.8924+0.1</f>
        <v>0.99239999999999995</v>
      </c>
      <c r="Q79" s="62">
        <v>17000</v>
      </c>
      <c r="R79" s="62">
        <v>7697</v>
      </c>
      <c r="S79" s="116">
        <v>13.05</v>
      </c>
      <c r="T79" s="118">
        <f>W79*F79*0.005</f>
        <v>2949.4871595377335</v>
      </c>
      <c r="V79" s="62">
        <v>0.1</v>
      </c>
      <c r="W79" s="62">
        <f>IF(O79&gt;0,O79,((P79*2.2046*S79)+(Q79+R79)/G79)+V79)</f>
        <v>29.90845285954785</v>
      </c>
      <c r="X79" s="62">
        <f>IF(O79&gt;0,O79,((P79*2.2046*S79)+(Q79+R79+T79)/G79)+V79)</f>
        <v>30.058581491741926</v>
      </c>
      <c r="Y79" s="99">
        <f t="shared" si="34"/>
        <v>592858.48425629118</v>
      </c>
      <c r="Z79" s="64">
        <v>41577</v>
      </c>
    </row>
    <row r="80" spans="1:26" s="51" customFormat="1" x14ac:dyDescent="0.25">
      <c r="A80" s="146"/>
      <c r="B80" s="59" t="s">
        <v>51</v>
      </c>
      <c r="C80" s="11" t="s">
        <v>52</v>
      </c>
      <c r="D80" s="11" t="s">
        <v>53</v>
      </c>
      <c r="E80" s="11" t="s">
        <v>39</v>
      </c>
      <c r="F80" s="115">
        <v>18585.95</v>
      </c>
      <c r="G80" s="60">
        <v>18595.599999999999</v>
      </c>
      <c r="H80" s="60">
        <f>G80-F80</f>
        <v>9.6499999999978172</v>
      </c>
      <c r="I80" s="114" t="s">
        <v>204</v>
      </c>
      <c r="J80" s="11"/>
      <c r="K80" s="61">
        <v>41576</v>
      </c>
      <c r="L80" s="61">
        <v>41578</v>
      </c>
      <c r="M80" s="114" t="s">
        <v>50</v>
      </c>
      <c r="N80" s="114" t="s">
        <v>316</v>
      </c>
      <c r="O80" s="62"/>
      <c r="P80" s="95">
        <v>2.3199999999999998</v>
      </c>
      <c r="Q80" s="62"/>
      <c r="R80" s="62"/>
      <c r="S80" s="116">
        <v>13.09</v>
      </c>
      <c r="T80" s="116"/>
      <c r="U80" s="62"/>
      <c r="V80" s="62"/>
      <c r="W80" s="62">
        <f>IF(O80&gt;0,O80,((P80*S80)+(Q80+R80)/G80)+V80)</f>
        <v>30.368799999999997</v>
      </c>
      <c r="X80" s="62">
        <f>IF(O80&gt;0,O80,((P80*S80)+(Q80+R80+T80)/G80)+V80)</f>
        <v>30.368799999999997</v>
      </c>
      <c r="Y80" s="99">
        <f>X80*F80</f>
        <v>564432.99835999997</v>
      </c>
      <c r="Z80" s="64">
        <v>41578</v>
      </c>
    </row>
    <row r="81" spans="1:26" s="51" customFormat="1" x14ac:dyDescent="0.25">
      <c r="A81" s="146"/>
      <c r="B81" s="114" t="s">
        <v>31</v>
      </c>
      <c r="C81" s="114" t="s">
        <v>44</v>
      </c>
      <c r="D81" s="114" t="s">
        <v>45</v>
      </c>
      <c r="E81" s="11">
        <f>80+178</f>
        <v>258</v>
      </c>
      <c r="F81" s="115">
        <f>6390+14320</f>
        <v>20710</v>
      </c>
      <c r="G81" s="60">
        <v>20710</v>
      </c>
      <c r="H81" s="60">
        <f t="shared" ref="H81:H83" si="37">G81-F81</f>
        <v>0</v>
      </c>
      <c r="I81" s="114" t="s">
        <v>231</v>
      </c>
      <c r="J81" s="11"/>
      <c r="K81" s="61"/>
      <c r="L81" s="61">
        <v>41578</v>
      </c>
      <c r="M81" s="114" t="s">
        <v>50</v>
      </c>
      <c r="N81" s="11"/>
      <c r="O81" s="62">
        <v>30.5</v>
      </c>
      <c r="P81" s="63"/>
      <c r="Q81" s="62"/>
      <c r="R81" s="62"/>
      <c r="S81" s="116"/>
      <c r="T81" s="116"/>
      <c r="U81" s="62">
        <f>E81*5</f>
        <v>1290</v>
      </c>
      <c r="W81" s="62">
        <f>((O81*F81)+Q81+R81+S81+U81)/G81</f>
        <v>30.562288749396426</v>
      </c>
      <c r="X81" s="62">
        <f>((O81*F81)+R81+S81+T81+U81)/G81</f>
        <v>30.562288749396426</v>
      </c>
      <c r="Y81" s="99">
        <f t="shared" ref="Y81:Y83" si="38">X81*F81</f>
        <v>632945</v>
      </c>
      <c r="Z81" s="64">
        <v>41554</v>
      </c>
    </row>
    <row r="82" spans="1:26" s="51" customFormat="1" x14ac:dyDescent="0.25">
      <c r="A82" s="146"/>
      <c r="B82" s="59" t="s">
        <v>72</v>
      </c>
      <c r="C82" s="114" t="s">
        <v>73</v>
      </c>
      <c r="D82" s="114" t="s">
        <v>53</v>
      </c>
      <c r="E82" s="11" t="s">
        <v>333</v>
      </c>
      <c r="F82" s="115">
        <v>207.4</v>
      </c>
      <c r="G82" s="60">
        <v>207.4</v>
      </c>
      <c r="H82" s="60">
        <f t="shared" si="37"/>
        <v>0</v>
      </c>
      <c r="I82" s="114" t="s">
        <v>233</v>
      </c>
      <c r="J82" s="11"/>
      <c r="K82" s="61"/>
      <c r="L82" s="61">
        <v>41578</v>
      </c>
      <c r="M82" s="114" t="s">
        <v>50</v>
      </c>
      <c r="N82" s="11"/>
      <c r="O82" s="62">
        <v>112</v>
      </c>
      <c r="P82" s="95"/>
      <c r="Q82" s="62"/>
      <c r="R82" s="62"/>
      <c r="S82" s="116"/>
      <c r="T82" s="118"/>
      <c r="V82" s="62"/>
      <c r="W82" s="62">
        <f t="shared" ref="W82:W83" si="39">IF(O82&gt;0,O82,((P82*2.2046*S82)+(Q82+R82)/G82)+V82)</f>
        <v>112</v>
      </c>
      <c r="X82" s="62">
        <f t="shared" ref="X82:X83" si="40">IF(O82&gt;0,O82,((P82*2.2046*S82)+(Q82+R82+T82)/G82)+V82)</f>
        <v>112</v>
      </c>
      <c r="Y82" s="99">
        <f t="shared" si="38"/>
        <v>23228.799999999999</v>
      </c>
      <c r="Z82" s="64">
        <v>41592</v>
      </c>
    </row>
    <row r="83" spans="1:26" s="51" customFormat="1" x14ac:dyDescent="0.25">
      <c r="A83" s="146"/>
      <c r="B83" s="59" t="s">
        <v>334</v>
      </c>
      <c r="C83" s="114" t="s">
        <v>73</v>
      </c>
      <c r="D83" s="114" t="s">
        <v>53</v>
      </c>
      <c r="E83" s="11" t="s">
        <v>335</v>
      </c>
      <c r="F83" s="115">
        <v>26.5</v>
      </c>
      <c r="G83" s="60">
        <v>26.5</v>
      </c>
      <c r="H83" s="60">
        <f t="shared" si="37"/>
        <v>0</v>
      </c>
      <c r="I83" s="114" t="s">
        <v>336</v>
      </c>
      <c r="J83" s="11"/>
      <c r="K83" s="61"/>
      <c r="L83" s="61">
        <v>41578</v>
      </c>
      <c r="M83" s="114" t="s">
        <v>50</v>
      </c>
      <c r="N83" s="11"/>
      <c r="O83" s="62">
        <v>70</v>
      </c>
      <c r="P83" s="95"/>
      <c r="Q83" s="62"/>
      <c r="R83" s="62"/>
      <c r="S83" s="116"/>
      <c r="T83" s="118"/>
      <c r="V83" s="62"/>
      <c r="W83" s="62">
        <f t="shared" si="39"/>
        <v>70</v>
      </c>
      <c r="X83" s="62">
        <f t="shared" si="40"/>
        <v>70</v>
      </c>
      <c r="Y83" s="99">
        <f t="shared" si="38"/>
        <v>1855</v>
      </c>
      <c r="Z83" s="64">
        <v>41592</v>
      </c>
    </row>
    <row r="84" spans="1:26" s="51" customFormat="1" ht="15.75" thickBot="1" x14ac:dyDescent="0.3">
      <c r="A84" s="146"/>
      <c r="B84" s="68"/>
      <c r="C84" s="53"/>
      <c r="D84" s="53"/>
      <c r="E84" s="53"/>
      <c r="F84" s="54"/>
      <c r="G84" s="54"/>
      <c r="H84" s="54"/>
      <c r="I84" s="55"/>
      <c r="J84" s="53"/>
      <c r="K84" s="56"/>
      <c r="L84" s="56"/>
      <c r="M84" s="53"/>
      <c r="N84" s="53"/>
      <c r="O84" s="57"/>
      <c r="P84" s="58"/>
      <c r="Q84" s="57"/>
      <c r="R84" s="57"/>
      <c r="S84" s="57"/>
      <c r="T84" s="57"/>
      <c r="U84" s="57"/>
      <c r="V84" s="57"/>
      <c r="W84" s="57"/>
      <c r="X84" s="57"/>
      <c r="Y84" s="57"/>
      <c r="Z84" s="6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K10" sqref="K10"/>
    </sheetView>
  </sheetViews>
  <sheetFormatPr baseColWidth="10" defaultRowHeight="15" x14ac:dyDescent="0.25"/>
  <cols>
    <col min="1" max="1" width="41.5703125" customWidth="1"/>
    <col min="2" max="2" width="11.42578125" customWidth="1"/>
    <col min="3" max="3" width="12" customWidth="1"/>
    <col min="4" max="4" width="12.140625" customWidth="1"/>
    <col min="5" max="5" width="12" customWidth="1"/>
    <col min="6" max="6" width="10.7109375" style="8" customWidth="1"/>
    <col min="7" max="7" width="12.140625" style="8" customWidth="1"/>
    <col min="8" max="8" width="14.7109375" style="13" customWidth="1"/>
    <col min="9" max="9" width="17.140625" style="13" customWidth="1"/>
  </cols>
  <sheetData>
    <row r="1" spans="1:9" x14ac:dyDescent="0.25">
      <c r="D1" s="12"/>
    </row>
    <row r="2" spans="1:9" ht="26.25" customHeight="1" x14ac:dyDescent="0.25">
      <c r="B2" s="186" t="s">
        <v>337</v>
      </c>
      <c r="C2" s="186"/>
      <c r="D2" s="186"/>
      <c r="E2" s="186"/>
      <c r="F2" s="186"/>
      <c r="G2" s="148" t="s">
        <v>338</v>
      </c>
    </row>
    <row r="3" spans="1:9" x14ac:dyDescent="0.25">
      <c r="B3" s="187" t="s">
        <v>339</v>
      </c>
      <c r="C3" s="187"/>
      <c r="D3" s="187"/>
      <c r="E3" s="187"/>
      <c r="F3" s="187"/>
      <c r="G3" s="187"/>
    </row>
    <row r="4" spans="1:9" x14ac:dyDescent="0.25">
      <c r="B4" s="187"/>
      <c r="C4" s="187"/>
      <c r="D4" s="187"/>
      <c r="E4" s="187"/>
      <c r="F4" s="187"/>
      <c r="G4" s="187"/>
    </row>
    <row r="5" spans="1:9" ht="18" x14ac:dyDescent="0.25">
      <c r="C5" s="49"/>
    </row>
    <row r="6" spans="1:9" ht="12.75" customHeight="1" thickBot="1" x14ac:dyDescent="0.3">
      <c r="C6" s="5"/>
      <c r="D6" s="149"/>
      <c r="E6" s="150"/>
      <c r="F6" s="127"/>
    </row>
    <row r="7" spans="1:9" ht="50.1" customHeight="1" thickBot="1" x14ac:dyDescent="0.3">
      <c r="A7" s="151" t="s">
        <v>0</v>
      </c>
      <c r="B7" s="188" t="s">
        <v>340</v>
      </c>
      <c r="C7" s="189"/>
      <c r="D7" s="190" t="s">
        <v>341</v>
      </c>
      <c r="E7" s="191"/>
      <c r="F7" s="192" t="s">
        <v>342</v>
      </c>
      <c r="G7" s="193"/>
      <c r="H7" s="152" t="s">
        <v>343</v>
      </c>
      <c r="I7" s="153" t="s">
        <v>344</v>
      </c>
    </row>
    <row r="8" spans="1:9" ht="39.75" customHeight="1" thickBot="1" x14ac:dyDescent="0.3">
      <c r="A8" s="154"/>
      <c r="B8" s="155" t="s">
        <v>345</v>
      </c>
      <c r="C8" s="155" t="s">
        <v>346</v>
      </c>
      <c r="D8" s="155" t="s">
        <v>345</v>
      </c>
      <c r="E8" s="155" t="s">
        <v>346</v>
      </c>
      <c r="F8" s="156" t="s">
        <v>347</v>
      </c>
      <c r="G8" s="157" t="s">
        <v>348</v>
      </c>
      <c r="H8" s="158" t="s">
        <v>349</v>
      </c>
      <c r="I8" s="159" t="s">
        <v>349</v>
      </c>
    </row>
    <row r="9" spans="1:9" ht="24.95" customHeight="1" x14ac:dyDescent="0.25">
      <c r="A9" s="160" t="s">
        <v>350</v>
      </c>
      <c r="B9" s="161">
        <v>14</v>
      </c>
      <c r="C9" s="162">
        <v>207.4</v>
      </c>
      <c r="D9" s="163" t="s">
        <v>351</v>
      </c>
      <c r="E9" s="162">
        <v>207.4</v>
      </c>
      <c r="F9" s="164">
        <f t="shared" ref="F9:G25" si="0">D9-B9</f>
        <v>0</v>
      </c>
      <c r="G9" s="165">
        <f>E9-C9</f>
        <v>0</v>
      </c>
      <c r="H9" s="113">
        <v>112</v>
      </c>
      <c r="I9" s="166">
        <f>H9*E9</f>
        <v>23228.799999999999</v>
      </c>
    </row>
    <row r="10" spans="1:9" ht="24.95" customHeight="1" x14ac:dyDescent="0.25">
      <c r="A10" s="167" t="s">
        <v>352</v>
      </c>
      <c r="B10" s="168">
        <v>102</v>
      </c>
      <c r="C10" s="169">
        <v>1388.2199999999996</v>
      </c>
      <c r="D10" s="170">
        <v>102</v>
      </c>
      <c r="E10" s="170">
        <f>102*13.61</f>
        <v>1388.22</v>
      </c>
      <c r="F10" s="164">
        <f t="shared" si="0"/>
        <v>0</v>
      </c>
      <c r="G10" s="165">
        <f t="shared" si="0"/>
        <v>0</v>
      </c>
      <c r="H10" s="113">
        <v>38.049999999999997</v>
      </c>
      <c r="I10" s="166">
        <f t="shared" ref="I10:I25" si="1">H10*E10</f>
        <v>52821.771000000001</v>
      </c>
    </row>
    <row r="11" spans="1:9" ht="24.95" customHeight="1" x14ac:dyDescent="0.25">
      <c r="A11" s="171" t="s">
        <v>353</v>
      </c>
      <c r="B11" s="168">
        <v>42</v>
      </c>
      <c r="C11" s="169">
        <v>1203.54</v>
      </c>
      <c r="D11" s="170">
        <v>42</v>
      </c>
      <c r="E11" s="170">
        <v>1208.47</v>
      </c>
      <c r="F11" s="164">
        <f t="shared" si="0"/>
        <v>0</v>
      </c>
      <c r="G11" s="165">
        <f t="shared" si="0"/>
        <v>4.9300000000000637</v>
      </c>
      <c r="H11" s="113">
        <v>59</v>
      </c>
      <c r="I11" s="166">
        <f t="shared" si="1"/>
        <v>71299.73</v>
      </c>
    </row>
    <row r="12" spans="1:9" s="70" customFormat="1" ht="24.95" customHeight="1" x14ac:dyDescent="0.25">
      <c r="A12" s="171" t="s">
        <v>1</v>
      </c>
      <c r="B12" s="168">
        <v>532</v>
      </c>
      <c r="C12" s="169">
        <v>17046.800000000003</v>
      </c>
      <c r="D12" s="170">
        <v>532</v>
      </c>
      <c r="E12" s="170">
        <v>17046.8</v>
      </c>
      <c r="F12" s="164">
        <f t="shared" si="0"/>
        <v>0</v>
      </c>
      <c r="G12" s="165">
        <f t="shared" si="0"/>
        <v>0</v>
      </c>
      <c r="H12" s="112">
        <v>61</v>
      </c>
      <c r="I12" s="166">
        <f t="shared" si="1"/>
        <v>1039854.7999999999</v>
      </c>
    </row>
    <row r="13" spans="1:9" ht="24.95" customHeight="1" x14ac:dyDescent="0.25">
      <c r="A13" s="171" t="s">
        <v>2</v>
      </c>
      <c r="B13" s="168">
        <v>9</v>
      </c>
      <c r="C13" s="169">
        <v>128.349999999999</v>
      </c>
      <c r="D13" s="170">
        <v>9</v>
      </c>
      <c r="E13" s="170">
        <v>168.12</v>
      </c>
      <c r="F13" s="164">
        <f t="shared" si="0"/>
        <v>0</v>
      </c>
      <c r="G13" s="165">
        <f t="shared" si="0"/>
        <v>39.770000000001005</v>
      </c>
      <c r="H13" s="113">
        <v>32.5</v>
      </c>
      <c r="I13" s="166">
        <f t="shared" si="1"/>
        <v>5463.9000000000005</v>
      </c>
    </row>
    <row r="14" spans="1:9" ht="24.95" customHeight="1" x14ac:dyDescent="0.25">
      <c r="A14" s="171" t="s">
        <v>354</v>
      </c>
      <c r="B14" s="168">
        <v>318</v>
      </c>
      <c r="C14" s="169">
        <v>4999.2000000000007</v>
      </c>
      <c r="D14" s="170">
        <v>318</v>
      </c>
      <c r="E14" s="170">
        <v>4999.2</v>
      </c>
      <c r="F14" s="164">
        <f t="shared" si="0"/>
        <v>0</v>
      </c>
      <c r="G14" s="165">
        <f t="shared" si="0"/>
        <v>0</v>
      </c>
      <c r="H14" s="113">
        <v>34.86</v>
      </c>
      <c r="I14" s="166">
        <f t="shared" si="1"/>
        <v>174272.11199999999</v>
      </c>
    </row>
    <row r="15" spans="1:9" ht="24.95" customHeight="1" x14ac:dyDescent="0.25">
      <c r="A15" s="171" t="s">
        <v>3</v>
      </c>
      <c r="B15" s="168">
        <v>1213</v>
      </c>
      <c r="C15" s="169">
        <v>33011.889999999927</v>
      </c>
      <c r="D15" s="170">
        <v>1213</v>
      </c>
      <c r="E15" s="170">
        <f>1213*27.22</f>
        <v>33017.86</v>
      </c>
      <c r="F15" s="164">
        <f t="shared" si="0"/>
        <v>0</v>
      </c>
      <c r="G15" s="165">
        <f t="shared" si="0"/>
        <v>5.9700000000739237</v>
      </c>
      <c r="H15" s="113">
        <v>21.36</v>
      </c>
      <c r="I15" s="166">
        <f t="shared" si="1"/>
        <v>705261.48959999997</v>
      </c>
    </row>
    <row r="16" spans="1:9" ht="24.95" customHeight="1" x14ac:dyDescent="0.25">
      <c r="A16" s="172" t="s">
        <v>355</v>
      </c>
      <c r="B16" s="168">
        <v>142</v>
      </c>
      <c r="C16" s="169">
        <v>2710.05</v>
      </c>
      <c r="D16" s="170">
        <v>142</v>
      </c>
      <c r="E16" s="170">
        <v>2717.11</v>
      </c>
      <c r="F16" s="164">
        <f t="shared" si="0"/>
        <v>0</v>
      </c>
      <c r="G16" s="165">
        <f t="shared" si="0"/>
        <v>7.0599999999999454</v>
      </c>
      <c r="H16" s="113">
        <v>60</v>
      </c>
      <c r="I16" s="166">
        <f t="shared" si="1"/>
        <v>163026.6</v>
      </c>
    </row>
    <row r="17" spans="1:9" ht="24.95" customHeight="1" x14ac:dyDescent="0.25">
      <c r="A17" s="172" t="s">
        <v>4</v>
      </c>
      <c r="B17" s="168">
        <v>65</v>
      </c>
      <c r="C17" s="169">
        <v>325</v>
      </c>
      <c r="D17" s="170">
        <v>65</v>
      </c>
      <c r="E17" s="170">
        <f>65*5</f>
        <v>325</v>
      </c>
      <c r="F17" s="164">
        <f t="shared" si="0"/>
        <v>0</v>
      </c>
      <c r="G17" s="165">
        <f t="shared" si="0"/>
        <v>0</v>
      </c>
      <c r="H17" s="113">
        <v>31</v>
      </c>
      <c r="I17" s="166">
        <f t="shared" si="1"/>
        <v>10075</v>
      </c>
    </row>
    <row r="18" spans="1:9" ht="24.95" customHeight="1" x14ac:dyDescent="0.25">
      <c r="A18" s="173" t="s">
        <v>356</v>
      </c>
      <c r="B18" s="168">
        <v>16</v>
      </c>
      <c r="C18" s="169">
        <v>435.51999999999987</v>
      </c>
      <c r="D18" s="170">
        <v>16</v>
      </c>
      <c r="E18" s="170">
        <f>16*27.22</f>
        <v>435.52</v>
      </c>
      <c r="F18" s="164">
        <f t="shared" si="0"/>
        <v>0</v>
      </c>
      <c r="G18" s="165">
        <f t="shared" si="0"/>
        <v>0</v>
      </c>
      <c r="H18" s="113">
        <v>41</v>
      </c>
      <c r="I18" s="166">
        <f t="shared" si="1"/>
        <v>17856.32</v>
      </c>
    </row>
    <row r="19" spans="1:9" ht="24.95" customHeight="1" x14ac:dyDescent="0.25">
      <c r="A19" s="173" t="s">
        <v>357</v>
      </c>
      <c r="B19" s="168">
        <v>6</v>
      </c>
      <c r="C19" s="169">
        <v>79.299999999999969</v>
      </c>
      <c r="D19" s="170">
        <v>6</v>
      </c>
      <c r="E19" s="170">
        <v>79.3</v>
      </c>
      <c r="F19" s="164">
        <f t="shared" si="0"/>
        <v>0</v>
      </c>
      <c r="G19" s="165">
        <f t="shared" si="0"/>
        <v>0</v>
      </c>
      <c r="H19" s="113">
        <v>130</v>
      </c>
      <c r="I19" s="166">
        <f t="shared" si="1"/>
        <v>10309</v>
      </c>
    </row>
    <row r="20" spans="1:9" ht="24.95" customHeight="1" x14ac:dyDescent="0.25">
      <c r="A20" s="173" t="s">
        <v>358</v>
      </c>
      <c r="B20" s="168">
        <v>28</v>
      </c>
      <c r="C20" s="169">
        <v>635.04000000000019</v>
      </c>
      <c r="D20" s="170">
        <v>28</v>
      </c>
      <c r="E20" s="170">
        <f>28*22.68</f>
        <v>635.04</v>
      </c>
      <c r="F20" s="164">
        <f t="shared" si="0"/>
        <v>0</v>
      </c>
      <c r="G20" s="165">
        <f t="shared" si="0"/>
        <v>0</v>
      </c>
      <c r="H20" s="113">
        <v>19.5</v>
      </c>
      <c r="I20" s="166">
        <f t="shared" si="1"/>
        <v>12383.279999999999</v>
      </c>
    </row>
    <row r="21" spans="1:9" ht="24.95" customHeight="1" x14ac:dyDescent="0.25">
      <c r="A21" s="167" t="s">
        <v>359</v>
      </c>
      <c r="B21" s="168">
        <f>1224-523</f>
        <v>701</v>
      </c>
      <c r="C21" s="169">
        <f>B21*27.22</f>
        <v>19081.219999999998</v>
      </c>
      <c r="D21" s="170">
        <v>701</v>
      </c>
      <c r="E21" s="169">
        <f>D21*27.22</f>
        <v>19081.219999999998</v>
      </c>
      <c r="F21" s="164">
        <f t="shared" si="0"/>
        <v>0</v>
      </c>
      <c r="G21" s="165">
        <f t="shared" si="0"/>
        <v>0</v>
      </c>
      <c r="H21" s="113">
        <v>28.6</v>
      </c>
      <c r="I21" s="166">
        <f t="shared" si="1"/>
        <v>545722.89199999999</v>
      </c>
    </row>
    <row r="22" spans="1:9" ht="24.95" customHeight="1" x14ac:dyDescent="0.25">
      <c r="A22" s="167" t="s">
        <v>360</v>
      </c>
      <c r="B22" s="168">
        <v>523</v>
      </c>
      <c r="C22" s="169">
        <f>B22*27.22</f>
        <v>14236.06</v>
      </c>
      <c r="D22" s="170">
        <v>523</v>
      </c>
      <c r="E22" s="169">
        <f>D22*27.22</f>
        <v>14236.06</v>
      </c>
      <c r="F22" s="164">
        <f t="shared" si="0"/>
        <v>0</v>
      </c>
      <c r="G22" s="165">
        <f t="shared" si="0"/>
        <v>0</v>
      </c>
      <c r="H22" s="113">
        <v>30.8</v>
      </c>
      <c r="I22" s="166">
        <f t="shared" si="1"/>
        <v>438470.64799999999</v>
      </c>
    </row>
    <row r="23" spans="1:9" ht="24.95" customHeight="1" x14ac:dyDescent="0.25">
      <c r="A23" s="173" t="s">
        <v>361</v>
      </c>
      <c r="B23" s="168">
        <v>5</v>
      </c>
      <c r="C23" s="169">
        <v>4643.0999999998603</v>
      </c>
      <c r="D23" s="170">
        <v>5</v>
      </c>
      <c r="E23" s="170">
        <v>4643.1000000000004</v>
      </c>
      <c r="F23" s="164">
        <f t="shared" si="0"/>
        <v>0</v>
      </c>
      <c r="G23" s="165">
        <f t="shared" si="0"/>
        <v>1.4006218407303095E-10</v>
      </c>
      <c r="H23" s="113">
        <v>30.4</v>
      </c>
      <c r="I23" s="166">
        <f t="shared" si="1"/>
        <v>141150.24</v>
      </c>
    </row>
    <row r="24" spans="1:9" ht="24.95" customHeight="1" x14ac:dyDescent="0.25">
      <c r="A24" s="167" t="s">
        <v>362</v>
      </c>
      <c r="B24" s="168">
        <v>1</v>
      </c>
      <c r="C24" s="169">
        <v>26.5</v>
      </c>
      <c r="D24" s="170">
        <v>1</v>
      </c>
      <c r="E24" s="170">
        <v>26.5</v>
      </c>
      <c r="F24" s="164">
        <f t="shared" si="0"/>
        <v>0</v>
      </c>
      <c r="G24" s="165">
        <f t="shared" si="0"/>
        <v>0</v>
      </c>
      <c r="H24" s="113">
        <v>70</v>
      </c>
      <c r="I24" s="166">
        <f t="shared" si="1"/>
        <v>1855</v>
      </c>
    </row>
    <row r="25" spans="1:9" ht="24.95" customHeight="1" x14ac:dyDescent="0.25">
      <c r="A25" s="173" t="s">
        <v>363</v>
      </c>
      <c r="B25" s="168">
        <v>1281</v>
      </c>
      <c r="C25" s="169">
        <f>1281*5.45</f>
        <v>6981.45</v>
      </c>
      <c r="D25" s="174" t="s">
        <v>364</v>
      </c>
      <c r="E25" s="175">
        <f>1281*5.45</f>
        <v>6981.45</v>
      </c>
      <c r="F25" s="164">
        <f t="shared" si="0"/>
        <v>0</v>
      </c>
      <c r="G25" s="165">
        <f t="shared" si="0"/>
        <v>0</v>
      </c>
      <c r="H25" s="113">
        <v>28.18</v>
      </c>
      <c r="I25" s="166">
        <f t="shared" si="1"/>
        <v>196737.261</v>
      </c>
    </row>
    <row r="26" spans="1:9" ht="24.95" customHeight="1" x14ac:dyDescent="0.25">
      <c r="A26" s="173"/>
      <c r="B26" s="168"/>
      <c r="C26" s="176"/>
      <c r="D26" s="170"/>
      <c r="E26" s="170"/>
      <c r="F26" s="164"/>
      <c r="G26" s="165"/>
      <c r="H26" s="113"/>
      <c r="I26" s="166"/>
    </row>
    <row r="27" spans="1:9" ht="24.95" customHeight="1" thickBot="1" x14ac:dyDescent="0.3">
      <c r="A27" s="177"/>
      <c r="B27" s="178"/>
      <c r="C27" s="179"/>
      <c r="D27" s="179"/>
      <c r="E27" s="180">
        <f>SUM(E9:E26)</f>
        <v>107196.37</v>
      </c>
      <c r="F27" s="181"/>
      <c r="G27" s="182"/>
      <c r="H27" s="183"/>
      <c r="I27" s="184">
        <f>SUM(I9:I26)</f>
        <v>3609788.8435999993</v>
      </c>
    </row>
    <row r="28" spans="1:9" ht="24.95" customHeight="1" x14ac:dyDescent="0.3">
      <c r="B28" s="5"/>
      <c r="C28" s="5"/>
      <c r="D28" s="185"/>
      <c r="E28" s="185"/>
      <c r="F28" s="127"/>
      <c r="G28" s="127"/>
    </row>
    <row r="29" spans="1:9" ht="24.95" customHeight="1" x14ac:dyDescent="0.25">
      <c r="F29" s="127"/>
      <c r="G29" s="127"/>
    </row>
    <row r="30" spans="1:9" ht="24.95" customHeight="1" x14ac:dyDescent="0.25">
      <c r="F30" s="127"/>
      <c r="G30" s="127"/>
    </row>
    <row r="31" spans="1:9" ht="24.95" customHeight="1" x14ac:dyDescent="0.25">
      <c r="F31" s="127"/>
      <c r="G31" s="127"/>
    </row>
    <row r="32" spans="1:9" ht="24.95" customHeight="1" x14ac:dyDescent="0.25"/>
    <row r="33" customFormat="1" x14ac:dyDescent="0.25"/>
    <row r="95" customFormat="1" ht="14.25" customHeight="1" x14ac:dyDescent="0.25"/>
    <row r="121" customFormat="1" ht="15" hidden="1" customHeight="1" x14ac:dyDescent="0.25"/>
    <row r="123" customFormat="1" ht="15" hidden="1" customHeight="1" x14ac:dyDescent="0.25"/>
  </sheetData>
  <mergeCells count="5">
    <mergeCell ref="B2:F2"/>
    <mergeCell ref="B3:G4"/>
    <mergeCell ref="B7:C7"/>
    <mergeCell ref="D7:E7"/>
    <mergeCell ref="F7:G7"/>
  </mergeCells>
  <pageMargins left="0.3" right="0.28000000000000003" top="0.3" bottom="0.34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69"/>
  <sheetViews>
    <sheetView workbookViewId="0">
      <selection activeCell="C5" sqref="C5"/>
    </sheetView>
  </sheetViews>
  <sheetFormatPr baseColWidth="10" defaultRowHeight="15" x14ac:dyDescent="0.25"/>
  <cols>
    <col min="1" max="1" width="28.140625" customWidth="1"/>
    <col min="2" max="2" width="11.85546875" customWidth="1"/>
    <col min="4" max="4" width="12.42578125" style="13" customWidth="1"/>
    <col min="5" max="5" width="17.42578125" style="13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/>
    </row>
    <row r="4" spans="1:5" x14ac:dyDescent="0.25">
      <c r="E4" s="14"/>
    </row>
    <row r="5" spans="1:5" x14ac:dyDescent="0.25">
      <c r="B5" s="12"/>
    </row>
    <row r="6" spans="1:5" x14ac:dyDescent="0.25">
      <c r="A6" s="1"/>
      <c r="B6" s="12"/>
      <c r="E6" s="15"/>
    </row>
    <row r="7" spans="1:5" ht="15.75" thickBot="1" x14ac:dyDescent="0.3">
      <c r="A7" s="1"/>
      <c r="B7" s="12"/>
      <c r="E7" s="16"/>
    </row>
    <row r="8" spans="1:5" ht="15.75" thickTop="1" x14ac:dyDescent="0.25">
      <c r="A8" s="17"/>
      <c r="B8" s="18"/>
      <c r="C8" s="19"/>
      <c r="D8" s="20"/>
      <c r="E8" s="21"/>
    </row>
    <row r="9" spans="1:5" x14ac:dyDescent="0.25">
      <c r="A9" s="22"/>
      <c r="B9" s="23"/>
      <c r="C9" s="24"/>
      <c r="D9" s="25"/>
      <c r="E9" s="26"/>
    </row>
    <row r="10" spans="1:5" x14ac:dyDescent="0.25">
      <c r="A10" s="27"/>
      <c r="B10" s="28"/>
      <c r="C10" s="29"/>
      <c r="D10" s="30"/>
      <c r="E10" s="31"/>
    </row>
    <row r="11" spans="1:5" x14ac:dyDescent="0.25">
      <c r="A11" s="27"/>
      <c r="B11" s="28"/>
      <c r="C11" s="29"/>
      <c r="D11" s="30"/>
      <c r="E11" s="31"/>
    </row>
    <row r="12" spans="1:5" hidden="1" x14ac:dyDescent="0.25">
      <c r="A12" s="27"/>
      <c r="B12" s="28"/>
      <c r="C12" s="29"/>
      <c r="D12" s="30"/>
      <c r="E12" s="31"/>
    </row>
    <row r="13" spans="1:5" x14ac:dyDescent="0.25">
      <c r="A13" s="27"/>
      <c r="B13" s="28"/>
      <c r="C13" s="29"/>
      <c r="D13" s="30"/>
      <c r="E13" s="31"/>
    </row>
    <row r="14" spans="1:5" x14ac:dyDescent="0.25">
      <c r="A14" s="27"/>
      <c r="B14" s="28"/>
      <c r="C14" s="29"/>
      <c r="D14" s="25"/>
      <c r="E14" s="32"/>
    </row>
    <row r="15" spans="1:5" x14ac:dyDescent="0.25">
      <c r="A15" s="22"/>
      <c r="B15" s="33"/>
      <c r="C15" s="34"/>
      <c r="D15" s="30"/>
      <c r="E15" s="35"/>
    </row>
    <row r="16" spans="1:5" x14ac:dyDescent="0.25">
      <c r="A16" s="22"/>
      <c r="B16" s="23"/>
      <c r="C16" s="36"/>
      <c r="D16" s="30"/>
      <c r="E16" s="35"/>
    </row>
    <row r="17" spans="1:5" x14ac:dyDescent="0.25">
      <c r="A17" s="27"/>
      <c r="B17" s="9"/>
      <c r="C17" s="5"/>
      <c r="D17" s="6"/>
      <c r="E17" s="39"/>
    </row>
    <row r="18" spans="1:5" x14ac:dyDescent="0.25">
      <c r="A18" s="27"/>
      <c r="B18" s="9"/>
      <c r="C18" s="9"/>
      <c r="D18" s="6"/>
      <c r="E18" s="31"/>
    </row>
    <row r="19" spans="1:5" x14ac:dyDescent="0.25">
      <c r="A19" s="40"/>
      <c r="B19" s="5"/>
      <c r="C19" s="5"/>
      <c r="D19" s="6"/>
      <c r="E19" s="31"/>
    </row>
    <row r="20" spans="1:5" x14ac:dyDescent="0.25">
      <c r="A20" s="27"/>
      <c r="B20" s="9"/>
      <c r="C20" s="5"/>
      <c r="D20" s="6"/>
      <c r="E20" s="31"/>
    </row>
    <row r="21" spans="1:5" x14ac:dyDescent="0.25">
      <c r="A21" s="27"/>
      <c r="B21" s="9"/>
      <c r="C21" s="5"/>
      <c r="D21" s="6"/>
      <c r="E21" s="31"/>
    </row>
    <row r="22" spans="1:5" x14ac:dyDescent="0.25">
      <c r="A22" s="27"/>
      <c r="B22" s="9"/>
      <c r="C22" s="5"/>
      <c r="D22" s="6"/>
      <c r="E22" s="31"/>
    </row>
    <row r="23" spans="1:5" x14ac:dyDescent="0.25">
      <c r="A23" s="27"/>
      <c r="B23" s="9"/>
      <c r="C23" s="5"/>
      <c r="D23" s="6"/>
      <c r="E23" s="31"/>
    </row>
    <row r="24" spans="1:5" hidden="1" x14ac:dyDescent="0.25">
      <c r="A24" s="27"/>
      <c r="B24" s="9"/>
      <c r="C24" s="9"/>
      <c r="D24" s="6"/>
      <c r="E24" s="31"/>
    </row>
    <row r="25" spans="1:5" hidden="1" x14ac:dyDescent="0.25">
      <c r="A25" s="27"/>
      <c r="B25" s="9"/>
      <c r="C25" s="5"/>
      <c r="D25" s="6"/>
      <c r="E25" s="31"/>
    </row>
    <row r="26" spans="1:5" hidden="1" x14ac:dyDescent="0.25">
      <c r="A26" s="27"/>
      <c r="B26" s="9"/>
      <c r="C26" s="5"/>
      <c r="D26" s="6"/>
      <c r="E26" s="31"/>
    </row>
    <row r="27" spans="1:5" x14ac:dyDescent="0.25">
      <c r="A27" s="27"/>
      <c r="B27" s="5"/>
      <c r="C27" s="5"/>
      <c r="D27" s="6"/>
      <c r="E27" s="31"/>
    </row>
    <row r="28" spans="1:5" x14ac:dyDescent="0.25">
      <c r="A28" s="27"/>
      <c r="B28" s="5"/>
      <c r="C28" s="5"/>
      <c r="D28" s="6"/>
      <c r="E28" s="31"/>
    </row>
    <row r="29" spans="1:5" x14ac:dyDescent="0.25">
      <c r="A29" s="27"/>
      <c r="B29" s="5"/>
      <c r="C29" s="5"/>
      <c r="D29" s="6"/>
      <c r="E29" s="31"/>
    </row>
    <row r="30" spans="1:5" x14ac:dyDescent="0.25">
      <c r="A30" s="27"/>
      <c r="B30" s="9"/>
      <c r="C30" s="9"/>
      <c r="D30" s="6"/>
      <c r="E30" s="31"/>
    </row>
    <row r="31" spans="1:5" x14ac:dyDescent="0.25">
      <c r="A31" s="27"/>
      <c r="B31" s="9"/>
      <c r="C31" s="9"/>
      <c r="D31" s="6"/>
      <c r="E31" s="31"/>
    </row>
    <row r="32" spans="1:5" x14ac:dyDescent="0.25">
      <c r="A32" s="27"/>
      <c r="B32" s="9"/>
      <c r="C32" s="9"/>
      <c r="D32" s="6"/>
      <c r="E32" s="31"/>
    </row>
    <row r="33" spans="1:5" x14ac:dyDescent="0.25">
      <c r="A33" s="27"/>
      <c r="B33" s="9"/>
      <c r="C33" s="9"/>
      <c r="D33" s="6"/>
      <c r="E33" s="31"/>
    </row>
    <row r="34" spans="1:5" hidden="1" x14ac:dyDescent="0.25">
      <c r="A34" s="27"/>
      <c r="B34" s="9"/>
      <c r="C34" s="5"/>
      <c r="D34" s="6"/>
      <c r="E34" s="31"/>
    </row>
    <row r="35" spans="1:5" x14ac:dyDescent="0.25">
      <c r="A35" s="27"/>
      <c r="B35" s="9"/>
      <c r="C35" s="5"/>
      <c r="D35" s="6"/>
      <c r="E35" s="31"/>
    </row>
    <row r="36" spans="1:5" x14ac:dyDescent="0.25">
      <c r="A36" s="27"/>
      <c r="B36" s="9"/>
      <c r="C36" s="5"/>
      <c r="D36" s="6"/>
      <c r="E36" s="31"/>
    </row>
    <row r="37" spans="1:5" x14ac:dyDescent="0.25">
      <c r="A37" s="27"/>
      <c r="B37" s="9"/>
      <c r="C37" s="9"/>
      <c r="D37" s="6"/>
      <c r="E37" s="31"/>
    </row>
    <row r="38" spans="1:5" x14ac:dyDescent="0.25">
      <c r="A38" s="27"/>
      <c r="B38" s="9"/>
      <c r="C38" s="5"/>
      <c r="D38" s="6"/>
      <c r="E38" s="31"/>
    </row>
    <row r="39" spans="1:5" x14ac:dyDescent="0.25">
      <c r="A39" s="27"/>
      <c r="B39" s="9"/>
      <c r="C39" s="5"/>
      <c r="D39" s="6"/>
      <c r="E39" s="31"/>
    </row>
    <row r="40" spans="1:5" hidden="1" x14ac:dyDescent="0.25">
      <c r="A40" s="27"/>
      <c r="B40" s="9"/>
      <c r="C40" s="5"/>
      <c r="D40" s="6"/>
      <c r="E40" s="31"/>
    </row>
    <row r="41" spans="1:5" hidden="1" x14ac:dyDescent="0.25">
      <c r="A41" s="27"/>
      <c r="B41" s="28"/>
      <c r="C41" s="37"/>
      <c r="D41" s="38"/>
      <c r="E41" s="31"/>
    </row>
    <row r="42" spans="1:5" x14ac:dyDescent="0.25">
      <c r="A42" s="27"/>
      <c r="B42" s="9"/>
      <c r="C42" s="5"/>
      <c r="D42" s="6"/>
      <c r="E42" s="31"/>
    </row>
    <row r="43" spans="1:5" x14ac:dyDescent="0.25">
      <c r="A43" s="27"/>
      <c r="B43" s="9"/>
      <c r="C43" s="9"/>
      <c r="D43" s="6"/>
      <c r="E43" s="31"/>
    </row>
    <row r="44" spans="1:5" x14ac:dyDescent="0.25">
      <c r="A44" s="27"/>
      <c r="B44" s="28"/>
      <c r="C44" s="37"/>
      <c r="D44" s="38"/>
      <c r="E44" s="31"/>
    </row>
    <row r="45" spans="1:5" x14ac:dyDescent="0.25">
      <c r="A45" s="27"/>
      <c r="B45" s="28"/>
      <c r="C45" s="37"/>
      <c r="D45" s="38"/>
      <c r="E45" s="31"/>
    </row>
    <row r="46" spans="1:5" x14ac:dyDescent="0.25">
      <c r="A46" s="27"/>
      <c r="B46" s="28"/>
      <c r="C46" s="37"/>
      <c r="D46" s="38"/>
      <c r="E46" s="31"/>
    </row>
    <row r="47" spans="1:5" x14ac:dyDescent="0.25">
      <c r="A47" s="27"/>
      <c r="B47" s="104"/>
      <c r="C47" s="5"/>
      <c r="D47" s="6"/>
      <c r="E47" s="31"/>
    </row>
    <row r="48" spans="1:5" x14ac:dyDescent="0.25">
      <c r="A48" s="27"/>
      <c r="B48" s="104"/>
      <c r="C48" s="5"/>
      <c r="D48" s="6"/>
      <c r="E48" s="31"/>
    </row>
    <row r="49" spans="1:5" x14ac:dyDescent="0.25">
      <c r="A49" s="27"/>
      <c r="B49" s="104"/>
      <c r="C49" s="9"/>
      <c r="D49" s="6"/>
      <c r="E49" s="31"/>
    </row>
    <row r="50" spans="1:5" x14ac:dyDescent="0.25">
      <c r="A50" s="27"/>
      <c r="B50" s="104"/>
      <c r="C50" s="9"/>
      <c r="D50" s="6"/>
      <c r="E50" s="31"/>
    </row>
    <row r="51" spans="1:5" x14ac:dyDescent="0.25">
      <c r="A51" s="27"/>
      <c r="B51" s="104"/>
      <c r="C51" s="9"/>
      <c r="D51" s="6"/>
      <c r="E51" s="31"/>
    </row>
    <row r="52" spans="1:5" hidden="1" x14ac:dyDescent="0.25">
      <c r="A52" s="27"/>
      <c r="B52" s="9"/>
      <c r="C52" s="5"/>
      <c r="D52" s="6"/>
      <c r="E52" s="31"/>
    </row>
    <row r="53" spans="1:5" hidden="1" x14ac:dyDescent="0.25">
      <c r="A53" s="27"/>
      <c r="B53" s="9"/>
      <c r="C53" s="9"/>
      <c r="D53" s="6"/>
      <c r="E53" s="31"/>
    </row>
    <row r="54" spans="1:5" x14ac:dyDescent="0.25">
      <c r="A54" s="27"/>
      <c r="B54" s="104"/>
      <c r="C54" s="9"/>
      <c r="D54" s="6"/>
      <c r="E54" s="31"/>
    </row>
    <row r="55" spans="1:5" hidden="1" x14ac:dyDescent="0.25">
      <c r="A55" s="27"/>
      <c r="B55" s="9"/>
      <c r="C55" s="5"/>
      <c r="D55" s="6"/>
      <c r="E55" s="31"/>
    </row>
    <row r="56" spans="1:5" hidden="1" x14ac:dyDescent="0.25">
      <c r="A56" s="27"/>
      <c r="B56" s="9"/>
      <c r="C56" s="9"/>
      <c r="D56" s="6"/>
      <c r="E56" s="31"/>
    </row>
    <row r="57" spans="1:5" hidden="1" x14ac:dyDescent="0.25">
      <c r="A57" s="27"/>
      <c r="B57" s="9"/>
      <c r="C57" s="5"/>
      <c r="D57" s="6"/>
      <c r="E57" s="31"/>
    </row>
    <row r="58" spans="1:5" hidden="1" x14ac:dyDescent="0.25">
      <c r="A58" s="27"/>
      <c r="B58" s="9"/>
      <c r="C58" s="9"/>
      <c r="D58" s="6"/>
      <c r="E58" s="31"/>
    </row>
    <row r="59" spans="1:5" x14ac:dyDescent="0.25">
      <c r="A59" s="27"/>
      <c r="B59" s="9"/>
      <c r="C59" s="9"/>
      <c r="D59" s="6"/>
      <c r="E59" s="31"/>
    </row>
    <row r="60" spans="1:5" hidden="1" x14ac:dyDescent="0.25">
      <c r="A60" s="27"/>
      <c r="B60" s="9"/>
      <c r="C60" s="5"/>
      <c r="D60" s="6"/>
      <c r="E60" s="31"/>
    </row>
    <row r="61" spans="1:5" x14ac:dyDescent="0.25">
      <c r="A61" s="27"/>
      <c r="B61" s="9"/>
      <c r="C61" s="5"/>
      <c r="D61" s="6"/>
      <c r="E61" s="31"/>
    </row>
    <row r="62" spans="1:5" x14ac:dyDescent="0.25">
      <c r="A62" s="27"/>
      <c r="B62" s="9"/>
      <c r="C62" s="5"/>
      <c r="D62" s="6"/>
      <c r="E62" s="31"/>
    </row>
    <row r="63" spans="1:5" x14ac:dyDescent="0.25">
      <c r="A63" s="40"/>
      <c r="B63" s="5"/>
      <c r="C63" s="5"/>
      <c r="D63" s="41"/>
      <c r="E63" s="32"/>
    </row>
    <row r="64" spans="1:5" x14ac:dyDescent="0.25">
      <c r="A64" s="40"/>
      <c r="B64" s="5"/>
      <c r="C64" s="5"/>
      <c r="D64" s="6"/>
      <c r="E64" s="31"/>
    </row>
    <row r="65" spans="1:5" x14ac:dyDescent="0.25">
      <c r="A65" s="40"/>
      <c r="B65" s="5"/>
      <c r="C65" s="5"/>
      <c r="D65" s="42"/>
      <c r="E65" s="32"/>
    </row>
    <row r="66" spans="1:5" ht="15.75" thickBot="1" x14ac:dyDescent="0.3">
      <c r="A66" s="43"/>
      <c r="B66" s="44"/>
      <c r="C66" s="44"/>
      <c r="D66" s="45"/>
      <c r="E66" s="46"/>
    </row>
    <row r="67" spans="1:5" ht="15.75" thickTop="1" x14ac:dyDescent="0.25">
      <c r="A67" s="47"/>
      <c r="B67" s="19"/>
      <c r="C67" s="19"/>
      <c r="D67" s="20"/>
      <c r="E67" s="21"/>
    </row>
    <row r="68" spans="1:5" x14ac:dyDescent="0.25">
      <c r="A68" s="22"/>
      <c r="B68" s="4"/>
      <c r="C68" s="5"/>
      <c r="D68" s="6"/>
      <c r="E68" s="31"/>
    </row>
    <row r="69" spans="1:5" x14ac:dyDescent="0.25">
      <c r="A69" s="22"/>
      <c r="B69" s="23"/>
      <c r="C69" s="36"/>
      <c r="D69" s="25"/>
      <c r="E69" s="26"/>
    </row>
    <row r="70" spans="1:5" x14ac:dyDescent="0.25">
      <c r="A70" s="40"/>
      <c r="B70" s="5"/>
      <c r="C70" s="5"/>
      <c r="D70" s="6"/>
      <c r="E70" s="31"/>
    </row>
    <row r="71" spans="1:5" x14ac:dyDescent="0.25">
      <c r="A71" s="40"/>
      <c r="B71" s="5"/>
      <c r="C71" s="5"/>
      <c r="D71" s="6"/>
      <c r="E71" s="31"/>
    </row>
    <row r="72" spans="1:5" x14ac:dyDescent="0.25">
      <c r="A72" s="40"/>
      <c r="B72" s="5"/>
      <c r="C72" s="5"/>
      <c r="D72" s="6"/>
      <c r="E72" s="31"/>
    </row>
    <row r="73" spans="1:5" x14ac:dyDescent="0.25">
      <c r="A73" s="40"/>
      <c r="B73" s="5"/>
      <c r="C73" s="9"/>
      <c r="D73" s="6"/>
      <c r="E73" s="31"/>
    </row>
    <row r="74" spans="1:5" x14ac:dyDescent="0.25">
      <c r="A74" s="40"/>
      <c r="B74" s="5"/>
      <c r="C74" s="9"/>
      <c r="D74" s="6"/>
      <c r="E74" s="31"/>
    </row>
    <row r="75" spans="1:5" x14ac:dyDescent="0.25">
      <c r="A75" s="40"/>
      <c r="B75" s="5"/>
      <c r="C75" s="5"/>
      <c r="D75" s="41"/>
      <c r="E75" s="32"/>
    </row>
    <row r="76" spans="1:5" x14ac:dyDescent="0.25">
      <c r="A76" s="40"/>
      <c r="B76" s="5"/>
      <c r="C76" s="5"/>
      <c r="D76" s="6"/>
      <c r="E76" s="31"/>
    </row>
    <row r="77" spans="1:5" x14ac:dyDescent="0.25">
      <c r="A77" s="22"/>
      <c r="B77" s="5"/>
      <c r="C77" s="5"/>
      <c r="D77" s="6"/>
      <c r="E77" s="31"/>
    </row>
    <row r="78" spans="1:5" x14ac:dyDescent="0.25">
      <c r="A78" s="40"/>
      <c r="B78" s="9"/>
      <c r="C78" s="5"/>
      <c r="D78" s="6"/>
      <c r="E78" s="31"/>
    </row>
    <row r="79" spans="1:5" ht="15.75" hidden="1" customHeight="1" x14ac:dyDescent="0.25">
      <c r="A79" s="40"/>
      <c r="B79" s="9"/>
      <c r="C79" s="5"/>
      <c r="D79" s="6"/>
      <c r="E79" s="31"/>
    </row>
    <row r="80" spans="1:5" hidden="1" x14ac:dyDescent="0.25">
      <c r="A80" s="40"/>
      <c r="B80" s="9"/>
      <c r="C80" s="5"/>
      <c r="D80" s="6"/>
      <c r="E80" s="31"/>
    </row>
    <row r="81" spans="1:5" hidden="1" x14ac:dyDescent="0.25">
      <c r="A81" s="40"/>
      <c r="B81" s="9"/>
      <c r="C81" s="5"/>
      <c r="D81" s="6"/>
      <c r="E81" s="31"/>
    </row>
    <row r="82" spans="1:5" x14ac:dyDescent="0.25">
      <c r="A82" s="40"/>
      <c r="B82" s="9"/>
      <c r="C82" s="5"/>
      <c r="D82" s="6"/>
      <c r="E82" s="31"/>
    </row>
    <row r="83" spans="1:5" hidden="1" x14ac:dyDescent="0.25">
      <c r="A83" s="40"/>
      <c r="B83" s="9"/>
      <c r="C83" s="5"/>
      <c r="D83" s="6"/>
      <c r="E83" s="31"/>
    </row>
    <row r="84" spans="1:5" hidden="1" x14ac:dyDescent="0.25">
      <c r="A84" s="40"/>
      <c r="B84" s="9"/>
      <c r="C84" s="5"/>
      <c r="D84" s="6"/>
      <c r="E84" s="31"/>
    </row>
    <row r="85" spans="1:5" x14ac:dyDescent="0.25">
      <c r="A85" s="40"/>
      <c r="B85" s="9"/>
      <c r="C85" s="5"/>
      <c r="D85" s="6"/>
      <c r="E85" s="31"/>
    </row>
    <row r="86" spans="1:5" hidden="1" x14ac:dyDescent="0.25">
      <c r="A86" s="40"/>
      <c r="B86" s="9"/>
      <c r="C86" s="5"/>
      <c r="D86" s="6"/>
      <c r="E86" s="31"/>
    </row>
    <row r="87" spans="1:5" x14ac:dyDescent="0.25">
      <c r="A87" s="40"/>
      <c r="B87" s="9"/>
      <c r="C87" s="5"/>
      <c r="D87" s="6"/>
      <c r="E87" s="31"/>
    </row>
    <row r="88" spans="1:5" x14ac:dyDescent="0.25">
      <c r="A88" s="40"/>
      <c r="B88" s="9"/>
      <c r="C88" s="5"/>
      <c r="D88" s="6"/>
      <c r="E88" s="31"/>
    </row>
    <row r="89" spans="1:5" x14ac:dyDescent="0.25">
      <c r="A89" s="40"/>
      <c r="B89" s="9"/>
      <c r="C89" s="5"/>
      <c r="D89" s="6"/>
      <c r="E89" s="31"/>
    </row>
    <row r="90" spans="1:5" x14ac:dyDescent="0.25">
      <c r="A90" s="40"/>
      <c r="B90" s="9"/>
      <c r="C90" s="5"/>
      <c r="D90" s="6"/>
      <c r="E90" s="31"/>
    </row>
    <row r="91" spans="1:5" hidden="1" x14ac:dyDescent="0.25">
      <c r="A91" s="40"/>
      <c r="B91" s="5"/>
      <c r="C91" s="5"/>
      <c r="D91" s="6"/>
      <c r="E91" s="31"/>
    </row>
    <row r="92" spans="1:5" x14ac:dyDescent="0.25">
      <c r="A92" s="40"/>
      <c r="B92" s="9"/>
      <c r="C92" s="5"/>
      <c r="D92" s="6"/>
      <c r="E92" s="31"/>
    </row>
    <row r="93" spans="1:5" x14ac:dyDescent="0.25">
      <c r="A93" s="40"/>
      <c r="B93" s="9"/>
      <c r="C93" s="5"/>
      <c r="D93" s="6"/>
      <c r="E93" s="31"/>
    </row>
    <row r="94" spans="1:5" hidden="1" x14ac:dyDescent="0.25">
      <c r="A94" s="40"/>
      <c r="B94" s="9"/>
      <c r="C94" s="5"/>
      <c r="D94" s="6"/>
      <c r="E94" s="31"/>
    </row>
    <row r="95" spans="1:5" x14ac:dyDescent="0.25">
      <c r="A95" s="40"/>
      <c r="B95" s="5"/>
      <c r="C95" s="5"/>
      <c r="D95" s="6"/>
      <c r="E95" s="31"/>
    </row>
    <row r="96" spans="1:5" hidden="1" x14ac:dyDescent="0.25">
      <c r="A96" s="40"/>
      <c r="B96" s="9"/>
      <c r="C96" s="5"/>
      <c r="D96" s="6"/>
      <c r="E96" s="31"/>
    </row>
    <row r="97" spans="1:5" x14ac:dyDescent="0.25">
      <c r="A97" s="40"/>
      <c r="B97" s="5"/>
      <c r="C97" s="5"/>
      <c r="D97" s="6"/>
      <c r="E97" s="31"/>
    </row>
    <row r="98" spans="1:5" x14ac:dyDescent="0.25">
      <c r="A98" s="40"/>
      <c r="B98" s="9"/>
      <c r="C98" s="5"/>
      <c r="D98" s="6"/>
      <c r="E98" s="31"/>
    </row>
    <row r="99" spans="1:5" hidden="1" x14ac:dyDescent="0.25">
      <c r="A99" s="40"/>
      <c r="B99" s="9"/>
      <c r="C99" s="5"/>
      <c r="D99" s="6"/>
      <c r="E99" s="31"/>
    </row>
    <row r="100" spans="1:5" x14ac:dyDescent="0.25">
      <c r="A100" s="40"/>
      <c r="B100" s="5"/>
      <c r="C100" s="5"/>
      <c r="D100" s="6"/>
      <c r="E100" s="31"/>
    </row>
    <row r="101" spans="1:5" hidden="1" x14ac:dyDescent="0.25">
      <c r="A101" s="40"/>
      <c r="B101" s="9"/>
      <c r="C101" s="5"/>
      <c r="D101" s="6"/>
      <c r="E101" s="31"/>
    </row>
    <row r="102" spans="1:5" x14ac:dyDescent="0.25">
      <c r="A102" s="40"/>
      <c r="B102" s="5"/>
      <c r="C102" s="5"/>
      <c r="D102" s="6"/>
      <c r="E102" s="31"/>
    </row>
    <row r="103" spans="1:5" x14ac:dyDescent="0.25">
      <c r="A103" s="40"/>
      <c r="B103" s="5"/>
      <c r="C103" s="5"/>
      <c r="D103" s="41"/>
      <c r="E103" s="32"/>
    </row>
    <row r="104" spans="1:5" x14ac:dyDescent="0.25">
      <c r="A104" s="40"/>
      <c r="B104" s="5"/>
      <c r="C104" s="5"/>
      <c r="D104" s="6"/>
      <c r="E104" s="31"/>
    </row>
    <row r="105" spans="1:5" x14ac:dyDescent="0.25">
      <c r="A105" s="40"/>
      <c r="B105" s="5"/>
      <c r="C105" s="5"/>
      <c r="D105" s="42"/>
      <c r="E105" s="32"/>
    </row>
    <row r="106" spans="1:5" ht="15.75" thickBot="1" x14ac:dyDescent="0.3">
      <c r="A106" s="43"/>
      <c r="B106" s="44"/>
      <c r="C106" s="44"/>
      <c r="D106" s="45"/>
      <c r="E106" s="46"/>
    </row>
    <row r="107" spans="1:5" ht="15.75" thickTop="1" x14ac:dyDescent="0.25">
      <c r="A107" s="47"/>
      <c r="B107" s="19"/>
      <c r="C107" s="19"/>
      <c r="D107" s="20"/>
      <c r="E107" s="21"/>
    </row>
    <row r="108" spans="1:5" x14ac:dyDescent="0.25">
      <c r="A108" s="22"/>
      <c r="B108" s="4"/>
      <c r="C108" s="5"/>
      <c r="D108" s="6"/>
      <c r="E108" s="31"/>
    </row>
    <row r="109" spans="1:5" x14ac:dyDescent="0.25">
      <c r="A109" s="22"/>
      <c r="B109" s="23"/>
      <c r="C109" s="36"/>
      <c r="D109" s="25"/>
      <c r="E109" s="26"/>
    </row>
    <row r="110" spans="1:5" hidden="1" x14ac:dyDescent="0.25">
      <c r="A110" s="40"/>
      <c r="B110" s="9"/>
      <c r="C110" s="9"/>
      <c r="D110" s="6"/>
      <c r="E110" s="31"/>
    </row>
    <row r="111" spans="1:5" hidden="1" x14ac:dyDescent="0.25">
      <c r="A111" s="40"/>
      <c r="B111" s="5"/>
      <c r="C111" s="9"/>
      <c r="D111" s="6"/>
      <c r="E111" s="31"/>
    </row>
    <row r="112" spans="1:5" x14ac:dyDescent="0.25">
      <c r="A112" s="40"/>
      <c r="B112" s="5"/>
      <c r="C112" s="9"/>
      <c r="D112" s="6"/>
      <c r="E112" s="31"/>
    </row>
    <row r="113" spans="1:5" x14ac:dyDescent="0.25">
      <c r="A113" s="40"/>
      <c r="B113" s="5"/>
      <c r="C113" s="9"/>
      <c r="D113" s="6"/>
      <c r="E113" s="31"/>
    </row>
    <row r="114" spans="1:5" x14ac:dyDescent="0.25">
      <c r="A114" s="40"/>
      <c r="B114" s="5"/>
      <c r="C114" s="9"/>
      <c r="D114" s="6"/>
      <c r="E114" s="31"/>
    </row>
    <row r="115" spans="1:5" x14ac:dyDescent="0.25">
      <c r="A115" s="40"/>
      <c r="B115" s="5"/>
      <c r="C115" s="9"/>
      <c r="D115" s="6"/>
      <c r="E115" s="31"/>
    </row>
    <row r="116" spans="1:5" x14ac:dyDescent="0.25">
      <c r="A116" s="40"/>
      <c r="B116" s="5"/>
      <c r="C116" s="9"/>
      <c r="D116" s="6"/>
      <c r="E116" s="31"/>
    </row>
    <row r="117" spans="1:5" hidden="1" x14ac:dyDescent="0.25">
      <c r="A117" s="40"/>
      <c r="B117" s="7"/>
      <c r="C117" s="5"/>
      <c r="D117" s="6"/>
      <c r="E117" s="31"/>
    </row>
    <row r="118" spans="1:5" x14ac:dyDescent="0.25">
      <c r="A118" s="40"/>
      <c r="B118" s="5"/>
      <c r="C118" s="9"/>
      <c r="D118" s="6"/>
      <c r="E118" s="31"/>
    </row>
    <row r="119" spans="1:5" x14ac:dyDescent="0.25">
      <c r="A119" s="40"/>
      <c r="B119" s="5"/>
      <c r="C119" s="9"/>
      <c r="D119" s="6"/>
      <c r="E119" s="31"/>
    </row>
    <row r="120" spans="1:5" x14ac:dyDescent="0.25">
      <c r="A120" s="40"/>
      <c r="B120" s="5"/>
      <c r="C120" s="5"/>
      <c r="D120" s="6"/>
      <c r="E120" s="31"/>
    </row>
    <row r="121" spans="1:5" x14ac:dyDescent="0.25">
      <c r="A121" s="40"/>
      <c r="B121" s="5"/>
      <c r="C121" s="5"/>
      <c r="D121" s="6"/>
      <c r="E121" s="31"/>
    </row>
    <row r="122" spans="1:5" x14ac:dyDescent="0.25">
      <c r="A122" s="40"/>
      <c r="B122" s="5"/>
      <c r="C122" s="5"/>
      <c r="D122" s="6"/>
      <c r="E122" s="31"/>
    </row>
    <row r="123" spans="1:5" x14ac:dyDescent="0.25">
      <c r="A123" s="40"/>
      <c r="B123" s="5"/>
      <c r="C123" s="9"/>
      <c r="D123" s="6"/>
      <c r="E123" s="31"/>
    </row>
    <row r="124" spans="1:5" x14ac:dyDescent="0.25">
      <c r="A124" s="40"/>
      <c r="B124" s="9"/>
      <c r="C124" s="9"/>
      <c r="D124" s="6"/>
      <c r="E124" s="31"/>
    </row>
    <row r="125" spans="1:5" x14ac:dyDescent="0.25">
      <c r="A125" s="40"/>
      <c r="B125" s="5"/>
      <c r="C125" s="9"/>
      <c r="D125" s="6"/>
      <c r="E125" s="31"/>
    </row>
    <row r="126" spans="1:5" hidden="1" x14ac:dyDescent="0.25">
      <c r="A126" s="27"/>
      <c r="B126" s="5"/>
      <c r="C126" s="5"/>
      <c r="D126" s="6"/>
      <c r="E126" s="31"/>
    </row>
    <row r="127" spans="1:5" x14ac:dyDescent="0.25">
      <c r="A127" s="27"/>
      <c r="B127" s="5"/>
      <c r="C127" s="9"/>
      <c r="D127" s="6"/>
      <c r="E127" s="31"/>
    </row>
    <row r="128" spans="1:5" hidden="1" x14ac:dyDescent="0.25">
      <c r="A128" s="40"/>
      <c r="B128" s="5"/>
      <c r="C128" s="9"/>
      <c r="D128" s="6"/>
      <c r="E128" s="31"/>
    </row>
    <row r="129" spans="1:5" x14ac:dyDescent="0.25">
      <c r="A129" s="40"/>
      <c r="B129" s="9"/>
      <c r="C129" s="9"/>
      <c r="D129" s="6"/>
      <c r="E129" s="31"/>
    </row>
    <row r="130" spans="1:5" x14ac:dyDescent="0.25">
      <c r="A130" s="40"/>
      <c r="B130" s="5"/>
      <c r="C130" s="9"/>
      <c r="D130" s="6"/>
      <c r="E130" s="31"/>
    </row>
    <row r="131" spans="1:5" x14ac:dyDescent="0.25">
      <c r="A131" s="40"/>
      <c r="B131" s="5"/>
      <c r="C131" s="9"/>
      <c r="D131" s="42"/>
      <c r="E131" s="32"/>
    </row>
    <row r="132" spans="1:5" x14ac:dyDescent="0.25">
      <c r="A132" s="40"/>
      <c r="B132" s="5"/>
      <c r="C132" s="9"/>
      <c r="D132" s="41"/>
      <c r="E132" s="32"/>
    </row>
    <row r="133" spans="1:5" ht="15.75" thickBot="1" x14ac:dyDescent="0.3">
      <c r="A133" s="43"/>
      <c r="B133" s="44"/>
      <c r="C133" s="44"/>
      <c r="D133" s="45"/>
      <c r="E133" s="46"/>
    </row>
    <row r="134" spans="1:5" ht="15.75" thickTop="1" x14ac:dyDescent="0.25">
      <c r="A134" s="40"/>
      <c r="B134" s="5"/>
      <c r="C134" s="5"/>
      <c r="D134" s="6"/>
      <c r="E134" s="31"/>
    </row>
    <row r="135" spans="1:5" x14ac:dyDescent="0.25">
      <c r="A135" s="22"/>
      <c r="B135" s="5"/>
      <c r="C135" s="5"/>
      <c r="D135" s="6"/>
      <c r="E135" s="31"/>
    </row>
    <row r="136" spans="1:5" x14ac:dyDescent="0.25">
      <c r="A136" s="22"/>
      <c r="B136" s="23"/>
      <c r="C136" s="36"/>
      <c r="D136" s="25"/>
      <c r="E136" s="26"/>
    </row>
    <row r="137" spans="1:5" x14ac:dyDescent="0.25">
      <c r="A137" s="40"/>
      <c r="B137" s="5"/>
      <c r="C137" s="5"/>
      <c r="D137" s="6"/>
      <c r="E137" s="31"/>
    </row>
    <row r="138" spans="1:5" x14ac:dyDescent="0.25">
      <c r="A138" s="40"/>
      <c r="B138" s="5"/>
      <c r="C138" s="5"/>
      <c r="D138" s="6"/>
      <c r="E138" s="31"/>
    </row>
    <row r="139" spans="1:5" x14ac:dyDescent="0.25">
      <c r="A139" s="40"/>
      <c r="B139" s="5"/>
      <c r="C139" s="5"/>
      <c r="D139" s="6"/>
      <c r="E139" s="31"/>
    </row>
    <row r="140" spans="1:5" x14ac:dyDescent="0.25">
      <c r="A140" s="40"/>
      <c r="B140" s="9"/>
      <c r="C140" s="5"/>
      <c r="D140" s="6"/>
      <c r="E140" s="31"/>
    </row>
    <row r="141" spans="1:5" x14ac:dyDescent="0.25">
      <c r="A141" s="40"/>
      <c r="B141" s="5"/>
      <c r="C141" s="5"/>
      <c r="D141" s="6"/>
      <c r="E141" s="31"/>
    </row>
    <row r="142" spans="1:5" x14ac:dyDescent="0.25">
      <c r="A142" s="40"/>
      <c r="B142" s="5"/>
      <c r="C142" s="5"/>
      <c r="D142" s="6"/>
      <c r="E142" s="31"/>
    </row>
    <row r="143" spans="1:5" x14ac:dyDescent="0.25">
      <c r="A143" s="40"/>
      <c r="B143" s="5"/>
      <c r="C143" s="5"/>
      <c r="D143" s="42"/>
      <c r="E143" s="32"/>
    </row>
    <row r="144" spans="1:5" ht="15.75" thickBot="1" x14ac:dyDescent="0.3">
      <c r="A144" s="43"/>
      <c r="B144" s="44"/>
      <c r="C144" s="44"/>
      <c r="D144" s="45"/>
      <c r="E144" s="46"/>
    </row>
    <row r="145" spans="1:5" ht="15.75" thickTop="1" x14ac:dyDescent="0.25">
      <c r="A145" s="40"/>
      <c r="B145" s="5"/>
      <c r="C145" s="5"/>
      <c r="D145" s="6"/>
      <c r="E145" s="31"/>
    </row>
    <row r="146" spans="1:5" x14ac:dyDescent="0.25">
      <c r="A146" s="22"/>
      <c r="B146" s="5"/>
      <c r="C146" s="5"/>
      <c r="D146" s="6"/>
      <c r="E146" s="31"/>
    </row>
    <row r="147" spans="1:5" x14ac:dyDescent="0.25">
      <c r="A147" s="22"/>
      <c r="B147" s="23"/>
      <c r="C147" s="36"/>
      <c r="D147" s="25"/>
      <c r="E147" s="26"/>
    </row>
    <row r="148" spans="1:5" hidden="1" x14ac:dyDescent="0.25">
      <c r="A148" s="40"/>
      <c r="B148" s="5"/>
      <c r="C148" s="5"/>
      <c r="D148" s="6"/>
      <c r="E148" s="31"/>
    </row>
    <row r="149" spans="1:5" x14ac:dyDescent="0.25">
      <c r="A149" s="40"/>
      <c r="B149" s="9"/>
      <c r="C149" s="5"/>
      <c r="D149" s="6"/>
      <c r="E149" s="31"/>
    </row>
    <row r="150" spans="1:5" x14ac:dyDescent="0.25">
      <c r="A150" s="40"/>
      <c r="B150" s="5"/>
      <c r="C150" s="5"/>
      <c r="D150" s="6"/>
      <c r="E150" s="31"/>
    </row>
    <row r="151" spans="1:5" x14ac:dyDescent="0.25">
      <c r="A151" s="40"/>
      <c r="B151" s="9"/>
      <c r="C151" s="5"/>
      <c r="D151" s="6"/>
      <c r="E151" s="31"/>
    </row>
    <row r="152" spans="1:5" x14ac:dyDescent="0.25">
      <c r="A152" s="27"/>
      <c r="B152" s="9"/>
      <c r="C152" s="5"/>
      <c r="D152" s="6"/>
      <c r="E152" s="31"/>
    </row>
    <row r="153" spans="1:5" x14ac:dyDescent="0.25">
      <c r="A153" s="40"/>
      <c r="B153" s="9"/>
      <c r="C153" s="5"/>
      <c r="D153" s="6"/>
      <c r="E153" s="31"/>
    </row>
    <row r="154" spans="1:5" x14ac:dyDescent="0.25">
      <c r="A154" s="40"/>
      <c r="B154" s="9"/>
      <c r="C154" s="5"/>
      <c r="D154" s="42"/>
      <c r="E154" s="32"/>
    </row>
    <row r="155" spans="1:5" x14ac:dyDescent="0.25">
      <c r="A155" s="40"/>
      <c r="B155" s="9"/>
      <c r="C155" s="5"/>
      <c r="D155" s="6"/>
      <c r="E155" s="31"/>
    </row>
    <row r="156" spans="1:5" x14ac:dyDescent="0.25">
      <c r="A156" s="22"/>
      <c r="B156" s="9"/>
      <c r="C156" s="5"/>
      <c r="D156" s="6"/>
      <c r="E156" s="31"/>
    </row>
    <row r="157" spans="1:5" hidden="1" x14ac:dyDescent="0.25">
      <c r="A157" s="40"/>
      <c r="B157" s="9"/>
      <c r="C157" s="5"/>
      <c r="D157" s="6"/>
      <c r="E157" s="31"/>
    </row>
    <row r="158" spans="1:5" x14ac:dyDescent="0.25">
      <c r="A158" s="40"/>
      <c r="B158" s="9"/>
      <c r="C158" s="5"/>
      <c r="D158" s="6"/>
      <c r="E158" s="31"/>
    </row>
    <row r="159" spans="1:5" hidden="1" x14ac:dyDescent="0.25">
      <c r="A159" s="40"/>
      <c r="B159" s="9"/>
      <c r="C159" s="5"/>
      <c r="D159" s="6"/>
      <c r="E159" s="31"/>
    </row>
    <row r="160" spans="1:5" x14ac:dyDescent="0.25">
      <c r="A160" s="40"/>
      <c r="B160" s="9"/>
      <c r="C160" s="5"/>
      <c r="D160" s="6"/>
      <c r="E160" s="31"/>
    </row>
    <row r="161" spans="1:5" hidden="1" x14ac:dyDescent="0.25">
      <c r="A161" s="40"/>
      <c r="B161" s="9"/>
      <c r="C161" s="5"/>
      <c r="D161" s="6"/>
      <c r="E161" s="31"/>
    </row>
    <row r="162" spans="1:5" x14ac:dyDescent="0.25">
      <c r="A162" s="40"/>
      <c r="B162" s="9"/>
      <c r="C162" s="5"/>
      <c r="D162" s="6"/>
      <c r="E162" s="31"/>
    </row>
    <row r="163" spans="1:5" x14ac:dyDescent="0.25">
      <c r="A163" s="40"/>
      <c r="B163" s="9"/>
      <c r="C163" s="5"/>
      <c r="D163" s="6"/>
      <c r="E163" s="31"/>
    </row>
    <row r="164" spans="1:5" x14ac:dyDescent="0.25">
      <c r="A164" s="40"/>
      <c r="B164" s="9"/>
      <c r="C164" s="5"/>
      <c r="D164" s="6"/>
      <c r="E164" s="31"/>
    </row>
    <row r="165" spans="1:5" hidden="1" x14ac:dyDescent="0.25">
      <c r="A165" s="27"/>
      <c r="B165" s="28"/>
      <c r="C165" s="5"/>
      <c r="D165" s="30"/>
      <c r="E165" s="31"/>
    </row>
    <row r="166" spans="1:5" x14ac:dyDescent="0.25">
      <c r="A166" s="40"/>
      <c r="B166" s="9"/>
      <c r="C166" s="5"/>
      <c r="D166" s="6"/>
      <c r="E166" s="31"/>
    </row>
    <row r="167" spans="1:5" x14ac:dyDescent="0.25">
      <c r="A167" s="40"/>
      <c r="B167" s="5"/>
      <c r="C167" s="5"/>
      <c r="D167" s="6"/>
      <c r="E167" s="31"/>
    </row>
    <row r="168" spans="1:5" x14ac:dyDescent="0.25">
      <c r="A168" s="40"/>
      <c r="B168" s="5"/>
      <c r="C168" s="5"/>
      <c r="D168" s="6"/>
      <c r="E168" s="31"/>
    </row>
    <row r="169" spans="1:5" x14ac:dyDescent="0.25">
      <c r="A169" s="40"/>
      <c r="B169" s="9"/>
      <c r="C169" s="5"/>
      <c r="D169" s="6"/>
      <c r="E169" s="31"/>
    </row>
    <row r="170" spans="1:5" x14ac:dyDescent="0.25">
      <c r="A170" s="40"/>
      <c r="B170" s="9"/>
      <c r="C170" s="5"/>
      <c r="D170" s="6"/>
      <c r="E170" s="31"/>
    </row>
    <row r="171" spans="1:5" hidden="1" x14ac:dyDescent="0.25">
      <c r="A171" s="40"/>
      <c r="B171" s="9"/>
      <c r="C171" s="5"/>
      <c r="D171" s="6"/>
      <c r="E171" s="31"/>
    </row>
    <row r="172" spans="1:5" x14ac:dyDescent="0.25">
      <c r="A172" s="40"/>
      <c r="B172" s="9"/>
      <c r="C172" s="5"/>
      <c r="D172" s="6"/>
      <c r="E172" s="31"/>
    </row>
    <row r="173" spans="1:5" x14ac:dyDescent="0.25">
      <c r="A173" s="40"/>
      <c r="B173" s="9"/>
      <c r="C173" s="5"/>
      <c r="D173" s="6"/>
      <c r="E173" s="31"/>
    </row>
    <row r="174" spans="1:5" x14ac:dyDescent="0.25">
      <c r="A174" s="40"/>
      <c r="B174" s="9"/>
      <c r="C174" s="5"/>
      <c r="D174" s="6"/>
      <c r="E174" s="31"/>
    </row>
    <row r="175" spans="1:5" x14ac:dyDescent="0.25">
      <c r="A175" s="40"/>
      <c r="B175" s="9"/>
      <c r="C175" s="5"/>
      <c r="D175" s="6"/>
      <c r="E175" s="31"/>
    </row>
    <row r="176" spans="1:5" x14ac:dyDescent="0.25">
      <c r="A176" s="40"/>
      <c r="B176" s="9"/>
      <c r="C176" s="5"/>
      <c r="D176" s="6"/>
      <c r="E176" s="31"/>
    </row>
    <row r="177" spans="1:5" x14ac:dyDescent="0.25">
      <c r="A177" s="40"/>
      <c r="B177" s="9"/>
      <c r="C177" s="5"/>
      <c r="D177" s="6"/>
      <c r="E177" s="31"/>
    </row>
    <row r="178" spans="1:5" hidden="1" x14ac:dyDescent="0.25">
      <c r="A178" s="40"/>
      <c r="B178" s="9"/>
      <c r="C178" s="5"/>
      <c r="D178" s="6"/>
      <c r="E178" s="31"/>
    </row>
    <row r="179" spans="1:5" x14ac:dyDescent="0.25">
      <c r="A179" s="40"/>
      <c r="B179" s="9"/>
      <c r="C179" s="5"/>
      <c r="D179" s="6"/>
      <c r="E179" s="31"/>
    </row>
    <row r="180" spans="1:5" x14ac:dyDescent="0.25">
      <c r="A180" s="40"/>
      <c r="B180" s="9"/>
      <c r="C180" s="5"/>
      <c r="D180" s="42"/>
      <c r="E180" s="32"/>
    </row>
    <row r="181" spans="1:5" x14ac:dyDescent="0.25">
      <c r="A181" s="40"/>
      <c r="B181" s="9"/>
      <c r="C181" s="5"/>
      <c r="D181" s="6"/>
      <c r="E181" s="31"/>
    </row>
    <row r="182" spans="1:5" x14ac:dyDescent="0.25">
      <c r="A182" s="22"/>
      <c r="B182" s="9"/>
      <c r="C182" s="5"/>
      <c r="D182" s="6"/>
      <c r="E182" s="31"/>
    </row>
    <row r="183" spans="1:5" x14ac:dyDescent="0.25">
      <c r="A183" s="40"/>
      <c r="B183" s="11"/>
      <c r="C183" s="105"/>
      <c r="D183" s="106"/>
      <c r="E183" s="31"/>
    </row>
    <row r="184" spans="1:5" x14ac:dyDescent="0.25">
      <c r="A184" s="40"/>
      <c r="B184" s="9"/>
      <c r="C184" s="5"/>
      <c r="D184" s="6"/>
      <c r="E184" s="31"/>
    </row>
    <row r="185" spans="1:5" x14ac:dyDescent="0.25">
      <c r="A185" s="40"/>
      <c r="B185" s="9"/>
      <c r="C185" s="5"/>
      <c r="D185" s="6"/>
      <c r="E185" s="31"/>
    </row>
    <row r="186" spans="1:5" x14ac:dyDescent="0.25">
      <c r="A186" s="40"/>
      <c r="B186" s="9"/>
      <c r="C186" s="5"/>
      <c r="D186" s="6"/>
      <c r="E186" s="31"/>
    </row>
    <row r="187" spans="1:5" x14ac:dyDescent="0.25">
      <c r="A187" s="40"/>
      <c r="B187" s="9"/>
      <c r="C187" s="5"/>
      <c r="D187" s="6"/>
      <c r="E187" s="31"/>
    </row>
    <row r="188" spans="1:5" x14ac:dyDescent="0.25">
      <c r="A188" s="40"/>
      <c r="B188" s="9"/>
      <c r="C188" s="9"/>
      <c r="D188" s="6"/>
      <c r="E188" s="31"/>
    </row>
    <row r="189" spans="1:5" x14ac:dyDescent="0.25">
      <c r="A189" s="40"/>
      <c r="B189" s="9"/>
      <c r="C189" s="5"/>
      <c r="D189" s="6"/>
      <c r="E189" s="31"/>
    </row>
    <row r="190" spans="1:5" x14ac:dyDescent="0.25">
      <c r="A190" s="40"/>
      <c r="B190" s="9"/>
      <c r="C190" s="9"/>
      <c r="D190" s="6"/>
      <c r="E190" s="31"/>
    </row>
    <row r="191" spans="1:5" x14ac:dyDescent="0.25">
      <c r="A191" s="40"/>
      <c r="B191" s="9"/>
      <c r="C191" s="5"/>
      <c r="D191" s="6"/>
      <c r="E191" s="31"/>
    </row>
    <row r="192" spans="1:5" x14ac:dyDescent="0.25">
      <c r="A192" s="40"/>
      <c r="B192" s="9"/>
      <c r="C192" s="9"/>
      <c r="D192" s="6"/>
      <c r="E192" s="31"/>
    </row>
    <row r="193" spans="1:5" x14ac:dyDescent="0.25">
      <c r="A193" s="40"/>
      <c r="B193" s="9"/>
      <c r="C193" s="5"/>
      <c r="D193" s="6"/>
      <c r="E193" s="31"/>
    </row>
    <row r="194" spans="1:5" x14ac:dyDescent="0.25">
      <c r="A194" s="40"/>
      <c r="B194" s="9"/>
      <c r="C194" s="9"/>
      <c r="D194" s="6"/>
      <c r="E194" s="31"/>
    </row>
    <row r="195" spans="1:5" x14ac:dyDescent="0.25">
      <c r="A195" s="40"/>
      <c r="B195" s="9"/>
      <c r="C195" s="9"/>
      <c r="D195" s="6"/>
      <c r="E195" s="31"/>
    </row>
    <row r="196" spans="1:5" x14ac:dyDescent="0.25">
      <c r="A196" s="40"/>
      <c r="B196" s="9"/>
      <c r="C196" s="5"/>
      <c r="D196" s="6"/>
      <c r="E196" s="31"/>
    </row>
    <row r="197" spans="1:5" x14ac:dyDescent="0.25">
      <c r="A197" s="40"/>
      <c r="B197" s="9"/>
      <c r="C197" s="9"/>
      <c r="D197" s="6"/>
      <c r="E197" s="31"/>
    </row>
    <row r="198" spans="1:5" x14ac:dyDescent="0.25">
      <c r="A198" s="40"/>
      <c r="B198" s="9"/>
      <c r="C198" s="5"/>
      <c r="D198" s="6"/>
      <c r="E198" s="31"/>
    </row>
    <row r="199" spans="1:5" x14ac:dyDescent="0.25">
      <c r="A199" s="40"/>
      <c r="B199" s="9"/>
      <c r="C199" s="9"/>
      <c r="D199" s="6"/>
      <c r="E199" s="31"/>
    </row>
    <row r="200" spans="1:5" x14ac:dyDescent="0.25">
      <c r="A200" s="40"/>
      <c r="B200" s="9"/>
      <c r="C200" s="9"/>
      <c r="D200" s="6"/>
      <c r="E200" s="31"/>
    </row>
    <row r="201" spans="1:5" x14ac:dyDescent="0.25">
      <c r="A201" s="40"/>
      <c r="B201" s="9"/>
      <c r="C201" s="5"/>
      <c r="D201" s="6"/>
      <c r="E201" s="31"/>
    </row>
    <row r="202" spans="1:5" x14ac:dyDescent="0.25">
      <c r="A202" s="40"/>
      <c r="B202" s="9"/>
      <c r="C202" s="5"/>
      <c r="D202" s="6"/>
      <c r="E202" s="31"/>
    </row>
    <row r="203" spans="1:5" hidden="1" x14ac:dyDescent="0.25">
      <c r="A203" s="40"/>
      <c r="B203" s="9"/>
      <c r="C203" s="9"/>
      <c r="D203" s="6"/>
      <c r="E203" s="31"/>
    </row>
    <row r="204" spans="1:5" x14ac:dyDescent="0.25">
      <c r="A204" s="40"/>
      <c r="B204" s="9"/>
      <c r="C204" s="5"/>
      <c r="D204" s="6"/>
      <c r="E204" s="31"/>
    </row>
    <row r="205" spans="1:5" hidden="1" x14ac:dyDescent="0.25">
      <c r="A205" s="40"/>
      <c r="B205" s="9"/>
      <c r="C205" s="5"/>
      <c r="D205" s="6"/>
      <c r="E205" s="31"/>
    </row>
    <row r="206" spans="1:5" x14ac:dyDescent="0.25">
      <c r="A206" s="40"/>
      <c r="B206" s="9"/>
      <c r="C206" s="9"/>
      <c r="D206" s="6"/>
      <c r="E206" s="31"/>
    </row>
    <row r="207" spans="1:5" x14ac:dyDescent="0.25">
      <c r="A207" s="40"/>
      <c r="B207" s="9"/>
      <c r="C207" s="9"/>
      <c r="D207" s="6"/>
      <c r="E207" s="31"/>
    </row>
    <row r="208" spans="1:5" x14ac:dyDescent="0.25">
      <c r="A208" s="40"/>
      <c r="B208" s="9"/>
      <c r="C208" s="9"/>
      <c r="D208" s="6"/>
      <c r="E208" s="31"/>
    </row>
    <row r="209" spans="1:5" x14ac:dyDescent="0.25">
      <c r="A209" s="40"/>
      <c r="B209" s="9"/>
      <c r="C209" s="9"/>
      <c r="D209" s="6"/>
      <c r="E209" s="31"/>
    </row>
    <row r="210" spans="1:5" x14ac:dyDescent="0.25">
      <c r="A210" s="40"/>
      <c r="B210" s="9"/>
      <c r="C210" s="5"/>
      <c r="D210" s="6"/>
      <c r="E210" s="31"/>
    </row>
    <row r="211" spans="1:5" hidden="1" x14ac:dyDescent="0.25">
      <c r="A211" s="40"/>
      <c r="B211" s="9"/>
      <c r="C211" s="5"/>
      <c r="D211" s="6"/>
      <c r="E211" s="31"/>
    </row>
    <row r="212" spans="1:5" x14ac:dyDescent="0.25">
      <c r="A212" s="40"/>
      <c r="B212" s="9"/>
      <c r="C212" s="5"/>
      <c r="D212" s="6"/>
      <c r="E212" s="31"/>
    </row>
    <row r="213" spans="1:5" x14ac:dyDescent="0.25">
      <c r="A213" s="40"/>
      <c r="B213" s="9"/>
      <c r="C213" s="5"/>
      <c r="D213" s="6"/>
      <c r="E213" s="31"/>
    </row>
    <row r="214" spans="1:5" x14ac:dyDescent="0.25">
      <c r="A214" s="40"/>
      <c r="B214" s="9"/>
      <c r="C214" s="9"/>
      <c r="D214" s="6"/>
      <c r="E214" s="31"/>
    </row>
    <row r="215" spans="1:5" x14ac:dyDescent="0.25">
      <c r="A215" s="40"/>
      <c r="B215" s="9"/>
      <c r="C215" s="5"/>
      <c r="D215" s="6"/>
      <c r="E215" s="31"/>
    </row>
    <row r="216" spans="1:5" x14ac:dyDescent="0.25">
      <c r="A216" s="40"/>
      <c r="B216" s="9"/>
      <c r="C216" s="9"/>
      <c r="D216" s="6"/>
      <c r="E216" s="31"/>
    </row>
    <row r="217" spans="1:5" x14ac:dyDescent="0.25">
      <c r="A217" s="40"/>
      <c r="B217" s="9"/>
      <c r="C217" s="5"/>
      <c r="D217" s="6"/>
      <c r="E217" s="31"/>
    </row>
    <row r="218" spans="1:5" x14ac:dyDescent="0.25">
      <c r="A218" s="40"/>
      <c r="B218" s="9"/>
      <c r="C218" s="9"/>
      <c r="D218" s="6"/>
      <c r="E218" s="31"/>
    </row>
    <row r="219" spans="1:5" x14ac:dyDescent="0.25">
      <c r="A219" s="40"/>
      <c r="B219" s="9"/>
      <c r="C219" s="5"/>
      <c r="D219" s="6"/>
      <c r="E219" s="31"/>
    </row>
    <row r="220" spans="1:5" x14ac:dyDescent="0.25">
      <c r="A220" s="40"/>
      <c r="B220" s="9"/>
      <c r="C220" s="5"/>
      <c r="D220" s="6"/>
      <c r="E220" s="31"/>
    </row>
    <row r="221" spans="1:5" hidden="1" x14ac:dyDescent="0.25">
      <c r="A221" s="40"/>
      <c r="B221" s="9"/>
      <c r="C221" s="5"/>
      <c r="D221" s="6"/>
      <c r="E221" s="31"/>
    </row>
    <row r="222" spans="1:5" x14ac:dyDescent="0.25">
      <c r="A222" s="40"/>
      <c r="B222" s="9"/>
      <c r="C222" s="9"/>
      <c r="D222" s="6"/>
      <c r="E222" s="31"/>
    </row>
    <row r="223" spans="1:5" x14ac:dyDescent="0.25">
      <c r="A223" s="40"/>
      <c r="B223" s="9"/>
      <c r="C223" s="9"/>
      <c r="D223" s="6"/>
      <c r="E223" s="31"/>
    </row>
    <row r="224" spans="1:5" x14ac:dyDescent="0.25">
      <c r="A224" s="40"/>
      <c r="B224" s="9"/>
      <c r="C224" s="9"/>
      <c r="D224" s="6"/>
      <c r="E224" s="31"/>
    </row>
    <row r="225" spans="1:5" x14ac:dyDescent="0.25">
      <c r="A225" s="40"/>
      <c r="B225" s="9"/>
      <c r="C225" s="5"/>
      <c r="D225" s="6"/>
      <c r="E225" s="31"/>
    </row>
    <row r="226" spans="1:5" hidden="1" x14ac:dyDescent="0.25">
      <c r="A226" s="40"/>
      <c r="B226" s="9"/>
      <c r="C226" s="5"/>
      <c r="D226" s="6"/>
      <c r="E226" s="31"/>
    </row>
    <row r="227" spans="1:5" x14ac:dyDescent="0.25">
      <c r="A227" s="40"/>
      <c r="B227" s="9"/>
      <c r="C227" s="9"/>
      <c r="D227" s="6"/>
      <c r="E227" s="31"/>
    </row>
    <row r="228" spans="1:5" x14ac:dyDescent="0.25">
      <c r="A228" s="40"/>
      <c r="B228" s="9"/>
      <c r="C228" s="5"/>
      <c r="D228" s="6"/>
      <c r="E228" s="31"/>
    </row>
    <row r="229" spans="1:5" x14ac:dyDescent="0.25">
      <c r="A229" s="40"/>
      <c r="B229" s="9"/>
      <c r="C229" s="9"/>
      <c r="D229" s="6"/>
      <c r="E229" s="31"/>
    </row>
    <row r="230" spans="1:5" x14ac:dyDescent="0.25">
      <c r="A230" s="40"/>
      <c r="B230" s="9"/>
      <c r="C230" s="5"/>
      <c r="D230" s="6"/>
      <c r="E230" s="31"/>
    </row>
    <row r="231" spans="1:5" x14ac:dyDescent="0.25">
      <c r="A231" s="40"/>
      <c r="B231" s="9"/>
      <c r="C231" s="5"/>
      <c r="D231" s="42"/>
      <c r="E231" s="32"/>
    </row>
    <row r="232" spans="1:5" x14ac:dyDescent="0.25">
      <c r="A232" s="40"/>
      <c r="B232" s="9"/>
      <c r="C232" s="5"/>
      <c r="D232" s="6"/>
      <c r="E232" s="31"/>
    </row>
    <row r="233" spans="1:5" x14ac:dyDescent="0.25">
      <c r="A233" s="40"/>
      <c r="B233" s="9"/>
      <c r="C233" s="5"/>
      <c r="D233" s="6"/>
      <c r="E233" s="31"/>
    </row>
    <row r="234" spans="1:5" x14ac:dyDescent="0.25">
      <c r="A234" s="40"/>
      <c r="B234" s="9"/>
      <c r="C234" s="5"/>
      <c r="D234" s="6"/>
      <c r="E234" s="31"/>
    </row>
    <row r="235" spans="1:5" x14ac:dyDescent="0.25">
      <c r="A235" s="40"/>
      <c r="B235" s="9"/>
      <c r="C235" s="9"/>
      <c r="D235" s="6"/>
      <c r="E235" s="31"/>
    </row>
    <row r="236" spans="1:5" x14ac:dyDescent="0.25">
      <c r="A236" s="40"/>
      <c r="B236" s="9"/>
      <c r="C236" s="9"/>
      <c r="D236" s="6"/>
      <c r="E236" s="31"/>
    </row>
    <row r="237" spans="1:5" x14ac:dyDescent="0.25">
      <c r="A237" s="40"/>
      <c r="B237" s="9"/>
      <c r="C237" s="9"/>
      <c r="D237" s="6"/>
      <c r="E237" s="31"/>
    </row>
    <row r="238" spans="1:5" x14ac:dyDescent="0.25">
      <c r="A238" s="40"/>
      <c r="B238" s="9"/>
      <c r="C238" s="9"/>
      <c r="D238" s="6"/>
      <c r="E238" s="31"/>
    </row>
    <row r="239" spans="1:5" x14ac:dyDescent="0.25">
      <c r="A239" s="40"/>
      <c r="B239" s="9"/>
      <c r="C239" s="5"/>
      <c r="D239" s="6"/>
      <c r="E239" s="31"/>
    </row>
    <row r="240" spans="1:5" hidden="1" x14ac:dyDescent="0.25">
      <c r="A240" s="40"/>
      <c r="B240" s="9"/>
      <c r="C240" s="5"/>
      <c r="D240" s="6"/>
      <c r="E240" s="31"/>
    </row>
    <row r="241" spans="1:5" x14ac:dyDescent="0.25">
      <c r="A241" s="40"/>
      <c r="B241" s="9"/>
      <c r="C241" s="5"/>
      <c r="D241" s="6"/>
      <c r="E241" s="31"/>
    </row>
    <row r="242" spans="1:5" x14ac:dyDescent="0.25">
      <c r="A242" s="40"/>
      <c r="B242" s="9"/>
      <c r="C242" s="9"/>
      <c r="D242" s="6"/>
      <c r="E242" s="31"/>
    </row>
    <row r="243" spans="1:5" x14ac:dyDescent="0.25">
      <c r="A243" s="40"/>
      <c r="B243" s="9"/>
      <c r="C243" s="5"/>
      <c r="D243" s="6"/>
      <c r="E243" s="31"/>
    </row>
    <row r="244" spans="1:5" x14ac:dyDescent="0.25">
      <c r="A244" s="40"/>
      <c r="B244" s="9"/>
      <c r="C244" s="5"/>
      <c r="D244" s="6"/>
      <c r="E244" s="31"/>
    </row>
    <row r="245" spans="1:5" x14ac:dyDescent="0.25">
      <c r="A245" s="40"/>
      <c r="B245" s="9"/>
      <c r="C245" s="5"/>
      <c r="D245" s="6"/>
      <c r="E245" s="31"/>
    </row>
    <row r="246" spans="1:5" hidden="1" x14ac:dyDescent="0.25">
      <c r="A246" s="40"/>
      <c r="B246" s="9"/>
      <c r="C246" s="5"/>
      <c r="D246" s="6"/>
      <c r="E246" s="31"/>
    </row>
    <row r="247" spans="1:5" hidden="1" x14ac:dyDescent="0.25">
      <c r="A247" s="40"/>
      <c r="B247" s="9"/>
      <c r="C247" s="5"/>
      <c r="D247" s="6"/>
      <c r="E247" s="31"/>
    </row>
    <row r="248" spans="1:5" x14ac:dyDescent="0.25">
      <c r="A248" s="40"/>
      <c r="B248" s="9"/>
      <c r="C248" s="5"/>
      <c r="D248" s="6"/>
      <c r="E248" s="31"/>
    </row>
    <row r="249" spans="1:5" x14ac:dyDescent="0.25">
      <c r="A249" s="40"/>
      <c r="B249" s="9"/>
      <c r="C249" s="5"/>
      <c r="D249" s="42"/>
      <c r="E249" s="32"/>
    </row>
    <row r="250" spans="1:5" x14ac:dyDescent="0.25">
      <c r="A250" s="40"/>
      <c r="B250" s="9"/>
      <c r="C250" s="5"/>
      <c r="D250" s="6"/>
      <c r="E250" s="31"/>
    </row>
    <row r="251" spans="1:5" x14ac:dyDescent="0.25">
      <c r="A251" s="40"/>
      <c r="B251" s="9"/>
      <c r="C251" s="5"/>
      <c r="D251" s="6"/>
      <c r="E251" s="31"/>
    </row>
    <row r="252" spans="1:5" x14ac:dyDescent="0.25">
      <c r="A252" s="40"/>
      <c r="B252" s="9"/>
      <c r="C252" s="5"/>
      <c r="D252" s="6"/>
      <c r="E252" s="31"/>
    </row>
    <row r="253" spans="1:5" x14ac:dyDescent="0.25">
      <c r="A253" s="40"/>
      <c r="B253" s="9"/>
      <c r="C253" s="5"/>
      <c r="D253" s="6"/>
      <c r="E253" s="31"/>
    </row>
    <row r="254" spans="1:5" x14ac:dyDescent="0.25">
      <c r="A254" s="40"/>
      <c r="B254" s="9"/>
      <c r="C254" s="5"/>
      <c r="D254" s="6"/>
      <c r="E254" s="31"/>
    </row>
    <row r="255" spans="1:5" x14ac:dyDescent="0.25">
      <c r="A255" s="40"/>
      <c r="B255" s="9"/>
      <c r="C255" s="9"/>
      <c r="D255" s="6"/>
      <c r="E255" s="31"/>
    </row>
    <row r="256" spans="1:5" x14ac:dyDescent="0.25">
      <c r="A256" s="40"/>
      <c r="B256" s="9"/>
      <c r="C256" s="9"/>
      <c r="D256" s="6"/>
      <c r="E256" s="31"/>
    </row>
    <row r="257" spans="1:5" x14ac:dyDescent="0.25">
      <c r="A257" s="40"/>
      <c r="B257" s="9"/>
      <c r="C257" s="9"/>
      <c r="D257" s="6"/>
      <c r="E257" s="31"/>
    </row>
    <row r="258" spans="1:5" x14ac:dyDescent="0.25">
      <c r="A258" s="40"/>
      <c r="B258" s="9"/>
      <c r="C258" s="9"/>
      <c r="D258" s="6"/>
      <c r="E258" s="31"/>
    </row>
    <row r="259" spans="1:5" x14ac:dyDescent="0.25">
      <c r="A259" s="40"/>
      <c r="B259" s="9"/>
      <c r="C259" s="9"/>
      <c r="D259" s="6"/>
      <c r="E259" s="31"/>
    </row>
    <row r="260" spans="1:5" x14ac:dyDescent="0.25">
      <c r="A260" s="40"/>
      <c r="B260" s="9"/>
      <c r="C260" s="9"/>
      <c r="D260" s="6"/>
      <c r="E260" s="31"/>
    </row>
    <row r="261" spans="1:5" x14ac:dyDescent="0.25">
      <c r="A261" s="40"/>
      <c r="B261" s="9"/>
      <c r="C261" s="5"/>
      <c r="D261" s="6"/>
      <c r="E261" s="31"/>
    </row>
    <row r="262" spans="1:5" x14ac:dyDescent="0.25">
      <c r="A262" s="40"/>
      <c r="B262" s="9"/>
      <c r="C262" s="5"/>
      <c r="D262" s="42"/>
      <c r="E262" s="32"/>
    </row>
    <row r="263" spans="1:5" x14ac:dyDescent="0.25">
      <c r="A263" s="40"/>
      <c r="B263" s="5"/>
      <c r="C263" s="5"/>
      <c r="D263" s="6"/>
      <c r="E263" s="31"/>
    </row>
    <row r="264" spans="1:5" x14ac:dyDescent="0.25">
      <c r="A264" s="40"/>
      <c r="B264" s="5"/>
      <c r="C264" s="5"/>
      <c r="D264" s="42"/>
      <c r="E264" s="32"/>
    </row>
    <row r="265" spans="1:5" ht="15.75" thickBot="1" x14ac:dyDescent="0.3">
      <c r="A265" s="40"/>
      <c r="B265" s="5"/>
      <c r="C265" s="5"/>
      <c r="D265" s="6"/>
      <c r="E265" s="31"/>
    </row>
    <row r="266" spans="1:5" ht="15.75" thickTop="1" x14ac:dyDescent="0.25">
      <c r="A266" s="47"/>
      <c r="B266" s="19"/>
      <c r="C266" s="19"/>
      <c r="D266" s="20"/>
      <c r="E266" s="21"/>
    </row>
    <row r="267" spans="1:5" ht="15.75" x14ac:dyDescent="0.25">
      <c r="A267" s="40"/>
      <c r="B267" s="5"/>
      <c r="C267" s="3"/>
      <c r="D267" s="93"/>
      <c r="E267" s="94"/>
    </row>
    <row r="268" spans="1:5" ht="15.75" thickBot="1" x14ac:dyDescent="0.3">
      <c r="A268" s="43"/>
      <c r="B268" s="44"/>
      <c r="C268" s="44"/>
      <c r="D268" s="45"/>
      <c r="E268" s="46"/>
    </row>
    <row r="269" spans="1:5" ht="15.75" thickTop="1" x14ac:dyDescent="0.25">
      <c r="D269"/>
      <c r="E269"/>
    </row>
  </sheetData>
  <pageMargins left="0.44" right="0.38" top="0.74803149606299213" bottom="0.74803149606299213" header="0.31496062992125984" footer="0.31496062992125984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61" workbookViewId="0">
      <selection activeCell="C90" sqref="C90"/>
    </sheetView>
  </sheetViews>
  <sheetFormatPr baseColWidth="10" defaultRowHeight="15" x14ac:dyDescent="0.25"/>
  <cols>
    <col min="1" max="1" width="25.7109375" style="5" customWidth="1"/>
    <col min="2" max="2" width="12.85546875" style="4" customWidth="1"/>
    <col min="3" max="3" width="8.42578125" style="5" customWidth="1"/>
    <col min="4" max="4" width="11.42578125" style="5"/>
    <col min="5" max="5" width="12.5703125" style="5" customWidth="1"/>
    <col min="6" max="256" width="11.42578125" style="5"/>
    <col min="257" max="257" width="25.7109375" style="5" customWidth="1"/>
    <col min="258" max="258" width="12.85546875" style="5" customWidth="1"/>
    <col min="259" max="259" width="8.42578125" style="5" customWidth="1"/>
    <col min="260" max="260" width="11.42578125" style="5"/>
    <col min="261" max="261" width="12.5703125" style="5" customWidth="1"/>
    <col min="262" max="512" width="11.42578125" style="5"/>
    <col min="513" max="513" width="25.7109375" style="5" customWidth="1"/>
    <col min="514" max="514" width="12.85546875" style="5" customWidth="1"/>
    <col min="515" max="515" width="8.42578125" style="5" customWidth="1"/>
    <col min="516" max="516" width="11.42578125" style="5"/>
    <col min="517" max="517" width="12.5703125" style="5" customWidth="1"/>
    <col min="518" max="768" width="11.42578125" style="5"/>
    <col min="769" max="769" width="25.7109375" style="5" customWidth="1"/>
    <col min="770" max="770" width="12.85546875" style="5" customWidth="1"/>
    <col min="771" max="771" width="8.42578125" style="5" customWidth="1"/>
    <col min="772" max="772" width="11.42578125" style="5"/>
    <col min="773" max="773" width="12.5703125" style="5" customWidth="1"/>
    <col min="774" max="1024" width="11.42578125" style="5"/>
    <col min="1025" max="1025" width="25.7109375" style="5" customWidth="1"/>
    <col min="1026" max="1026" width="12.85546875" style="5" customWidth="1"/>
    <col min="1027" max="1027" width="8.42578125" style="5" customWidth="1"/>
    <col min="1028" max="1028" width="11.42578125" style="5"/>
    <col min="1029" max="1029" width="12.5703125" style="5" customWidth="1"/>
    <col min="1030" max="1280" width="11.42578125" style="5"/>
    <col min="1281" max="1281" width="25.7109375" style="5" customWidth="1"/>
    <col min="1282" max="1282" width="12.85546875" style="5" customWidth="1"/>
    <col min="1283" max="1283" width="8.42578125" style="5" customWidth="1"/>
    <col min="1284" max="1284" width="11.42578125" style="5"/>
    <col min="1285" max="1285" width="12.5703125" style="5" customWidth="1"/>
    <col min="1286" max="1536" width="11.42578125" style="5"/>
    <col min="1537" max="1537" width="25.7109375" style="5" customWidth="1"/>
    <col min="1538" max="1538" width="12.85546875" style="5" customWidth="1"/>
    <col min="1539" max="1539" width="8.42578125" style="5" customWidth="1"/>
    <col min="1540" max="1540" width="11.42578125" style="5"/>
    <col min="1541" max="1541" width="12.5703125" style="5" customWidth="1"/>
    <col min="1542" max="1792" width="11.42578125" style="5"/>
    <col min="1793" max="1793" width="25.7109375" style="5" customWidth="1"/>
    <col min="1794" max="1794" width="12.85546875" style="5" customWidth="1"/>
    <col min="1795" max="1795" width="8.42578125" style="5" customWidth="1"/>
    <col min="1796" max="1796" width="11.42578125" style="5"/>
    <col min="1797" max="1797" width="12.5703125" style="5" customWidth="1"/>
    <col min="1798" max="2048" width="11.42578125" style="5"/>
    <col min="2049" max="2049" width="25.7109375" style="5" customWidth="1"/>
    <col min="2050" max="2050" width="12.85546875" style="5" customWidth="1"/>
    <col min="2051" max="2051" width="8.42578125" style="5" customWidth="1"/>
    <col min="2052" max="2052" width="11.42578125" style="5"/>
    <col min="2053" max="2053" width="12.5703125" style="5" customWidth="1"/>
    <col min="2054" max="2304" width="11.42578125" style="5"/>
    <col min="2305" max="2305" width="25.7109375" style="5" customWidth="1"/>
    <col min="2306" max="2306" width="12.85546875" style="5" customWidth="1"/>
    <col min="2307" max="2307" width="8.42578125" style="5" customWidth="1"/>
    <col min="2308" max="2308" width="11.42578125" style="5"/>
    <col min="2309" max="2309" width="12.5703125" style="5" customWidth="1"/>
    <col min="2310" max="2560" width="11.42578125" style="5"/>
    <col min="2561" max="2561" width="25.7109375" style="5" customWidth="1"/>
    <col min="2562" max="2562" width="12.85546875" style="5" customWidth="1"/>
    <col min="2563" max="2563" width="8.42578125" style="5" customWidth="1"/>
    <col min="2564" max="2564" width="11.42578125" style="5"/>
    <col min="2565" max="2565" width="12.5703125" style="5" customWidth="1"/>
    <col min="2566" max="2816" width="11.42578125" style="5"/>
    <col min="2817" max="2817" width="25.7109375" style="5" customWidth="1"/>
    <col min="2818" max="2818" width="12.85546875" style="5" customWidth="1"/>
    <col min="2819" max="2819" width="8.42578125" style="5" customWidth="1"/>
    <col min="2820" max="2820" width="11.42578125" style="5"/>
    <col min="2821" max="2821" width="12.5703125" style="5" customWidth="1"/>
    <col min="2822" max="3072" width="11.42578125" style="5"/>
    <col min="3073" max="3073" width="25.7109375" style="5" customWidth="1"/>
    <col min="3074" max="3074" width="12.85546875" style="5" customWidth="1"/>
    <col min="3075" max="3075" width="8.42578125" style="5" customWidth="1"/>
    <col min="3076" max="3076" width="11.42578125" style="5"/>
    <col min="3077" max="3077" width="12.5703125" style="5" customWidth="1"/>
    <col min="3078" max="3328" width="11.42578125" style="5"/>
    <col min="3329" max="3329" width="25.7109375" style="5" customWidth="1"/>
    <col min="3330" max="3330" width="12.85546875" style="5" customWidth="1"/>
    <col min="3331" max="3331" width="8.42578125" style="5" customWidth="1"/>
    <col min="3332" max="3332" width="11.42578125" style="5"/>
    <col min="3333" max="3333" width="12.5703125" style="5" customWidth="1"/>
    <col min="3334" max="3584" width="11.42578125" style="5"/>
    <col min="3585" max="3585" width="25.7109375" style="5" customWidth="1"/>
    <col min="3586" max="3586" width="12.85546875" style="5" customWidth="1"/>
    <col min="3587" max="3587" width="8.42578125" style="5" customWidth="1"/>
    <col min="3588" max="3588" width="11.42578125" style="5"/>
    <col min="3589" max="3589" width="12.5703125" style="5" customWidth="1"/>
    <col min="3590" max="3840" width="11.42578125" style="5"/>
    <col min="3841" max="3841" width="25.7109375" style="5" customWidth="1"/>
    <col min="3842" max="3842" width="12.85546875" style="5" customWidth="1"/>
    <col min="3843" max="3843" width="8.42578125" style="5" customWidth="1"/>
    <col min="3844" max="3844" width="11.42578125" style="5"/>
    <col min="3845" max="3845" width="12.5703125" style="5" customWidth="1"/>
    <col min="3846" max="4096" width="11.42578125" style="5"/>
    <col min="4097" max="4097" width="25.7109375" style="5" customWidth="1"/>
    <col min="4098" max="4098" width="12.85546875" style="5" customWidth="1"/>
    <col min="4099" max="4099" width="8.42578125" style="5" customWidth="1"/>
    <col min="4100" max="4100" width="11.42578125" style="5"/>
    <col min="4101" max="4101" width="12.5703125" style="5" customWidth="1"/>
    <col min="4102" max="4352" width="11.42578125" style="5"/>
    <col min="4353" max="4353" width="25.7109375" style="5" customWidth="1"/>
    <col min="4354" max="4354" width="12.85546875" style="5" customWidth="1"/>
    <col min="4355" max="4355" width="8.42578125" style="5" customWidth="1"/>
    <col min="4356" max="4356" width="11.42578125" style="5"/>
    <col min="4357" max="4357" width="12.5703125" style="5" customWidth="1"/>
    <col min="4358" max="4608" width="11.42578125" style="5"/>
    <col min="4609" max="4609" width="25.7109375" style="5" customWidth="1"/>
    <col min="4610" max="4610" width="12.85546875" style="5" customWidth="1"/>
    <col min="4611" max="4611" width="8.42578125" style="5" customWidth="1"/>
    <col min="4612" max="4612" width="11.42578125" style="5"/>
    <col min="4613" max="4613" width="12.5703125" style="5" customWidth="1"/>
    <col min="4614" max="4864" width="11.42578125" style="5"/>
    <col min="4865" max="4865" width="25.7109375" style="5" customWidth="1"/>
    <col min="4866" max="4866" width="12.85546875" style="5" customWidth="1"/>
    <col min="4867" max="4867" width="8.42578125" style="5" customWidth="1"/>
    <col min="4868" max="4868" width="11.42578125" style="5"/>
    <col min="4869" max="4869" width="12.5703125" style="5" customWidth="1"/>
    <col min="4870" max="5120" width="11.42578125" style="5"/>
    <col min="5121" max="5121" width="25.7109375" style="5" customWidth="1"/>
    <col min="5122" max="5122" width="12.85546875" style="5" customWidth="1"/>
    <col min="5123" max="5123" width="8.42578125" style="5" customWidth="1"/>
    <col min="5124" max="5124" width="11.42578125" style="5"/>
    <col min="5125" max="5125" width="12.5703125" style="5" customWidth="1"/>
    <col min="5126" max="5376" width="11.42578125" style="5"/>
    <col min="5377" max="5377" width="25.7109375" style="5" customWidth="1"/>
    <col min="5378" max="5378" width="12.85546875" style="5" customWidth="1"/>
    <col min="5379" max="5379" width="8.42578125" style="5" customWidth="1"/>
    <col min="5380" max="5380" width="11.42578125" style="5"/>
    <col min="5381" max="5381" width="12.5703125" style="5" customWidth="1"/>
    <col min="5382" max="5632" width="11.42578125" style="5"/>
    <col min="5633" max="5633" width="25.7109375" style="5" customWidth="1"/>
    <col min="5634" max="5634" width="12.85546875" style="5" customWidth="1"/>
    <col min="5635" max="5635" width="8.42578125" style="5" customWidth="1"/>
    <col min="5636" max="5636" width="11.42578125" style="5"/>
    <col min="5637" max="5637" width="12.5703125" style="5" customWidth="1"/>
    <col min="5638" max="5888" width="11.42578125" style="5"/>
    <col min="5889" max="5889" width="25.7109375" style="5" customWidth="1"/>
    <col min="5890" max="5890" width="12.85546875" style="5" customWidth="1"/>
    <col min="5891" max="5891" width="8.42578125" style="5" customWidth="1"/>
    <col min="5892" max="5892" width="11.42578125" style="5"/>
    <col min="5893" max="5893" width="12.5703125" style="5" customWidth="1"/>
    <col min="5894" max="6144" width="11.42578125" style="5"/>
    <col min="6145" max="6145" width="25.7109375" style="5" customWidth="1"/>
    <col min="6146" max="6146" width="12.85546875" style="5" customWidth="1"/>
    <col min="6147" max="6147" width="8.42578125" style="5" customWidth="1"/>
    <col min="6148" max="6148" width="11.42578125" style="5"/>
    <col min="6149" max="6149" width="12.5703125" style="5" customWidth="1"/>
    <col min="6150" max="6400" width="11.42578125" style="5"/>
    <col min="6401" max="6401" width="25.7109375" style="5" customWidth="1"/>
    <col min="6402" max="6402" width="12.85546875" style="5" customWidth="1"/>
    <col min="6403" max="6403" width="8.42578125" style="5" customWidth="1"/>
    <col min="6404" max="6404" width="11.42578125" style="5"/>
    <col min="6405" max="6405" width="12.5703125" style="5" customWidth="1"/>
    <col min="6406" max="6656" width="11.42578125" style="5"/>
    <col min="6657" max="6657" width="25.7109375" style="5" customWidth="1"/>
    <col min="6658" max="6658" width="12.85546875" style="5" customWidth="1"/>
    <col min="6659" max="6659" width="8.42578125" style="5" customWidth="1"/>
    <col min="6660" max="6660" width="11.42578125" style="5"/>
    <col min="6661" max="6661" width="12.5703125" style="5" customWidth="1"/>
    <col min="6662" max="6912" width="11.42578125" style="5"/>
    <col min="6913" max="6913" width="25.7109375" style="5" customWidth="1"/>
    <col min="6914" max="6914" width="12.85546875" style="5" customWidth="1"/>
    <col min="6915" max="6915" width="8.42578125" style="5" customWidth="1"/>
    <col min="6916" max="6916" width="11.42578125" style="5"/>
    <col min="6917" max="6917" width="12.5703125" style="5" customWidth="1"/>
    <col min="6918" max="7168" width="11.42578125" style="5"/>
    <col min="7169" max="7169" width="25.7109375" style="5" customWidth="1"/>
    <col min="7170" max="7170" width="12.85546875" style="5" customWidth="1"/>
    <col min="7171" max="7171" width="8.42578125" style="5" customWidth="1"/>
    <col min="7172" max="7172" width="11.42578125" style="5"/>
    <col min="7173" max="7173" width="12.5703125" style="5" customWidth="1"/>
    <col min="7174" max="7424" width="11.42578125" style="5"/>
    <col min="7425" max="7425" width="25.7109375" style="5" customWidth="1"/>
    <col min="7426" max="7426" width="12.85546875" style="5" customWidth="1"/>
    <col min="7427" max="7427" width="8.42578125" style="5" customWidth="1"/>
    <col min="7428" max="7428" width="11.42578125" style="5"/>
    <col min="7429" max="7429" width="12.5703125" style="5" customWidth="1"/>
    <col min="7430" max="7680" width="11.42578125" style="5"/>
    <col min="7681" max="7681" width="25.7109375" style="5" customWidth="1"/>
    <col min="7682" max="7682" width="12.85546875" style="5" customWidth="1"/>
    <col min="7683" max="7683" width="8.42578125" style="5" customWidth="1"/>
    <col min="7684" max="7684" width="11.42578125" style="5"/>
    <col min="7685" max="7685" width="12.5703125" style="5" customWidth="1"/>
    <col min="7686" max="7936" width="11.42578125" style="5"/>
    <col min="7937" max="7937" width="25.7109375" style="5" customWidth="1"/>
    <col min="7938" max="7938" width="12.85546875" style="5" customWidth="1"/>
    <col min="7939" max="7939" width="8.42578125" style="5" customWidth="1"/>
    <col min="7940" max="7940" width="11.42578125" style="5"/>
    <col min="7941" max="7941" width="12.5703125" style="5" customWidth="1"/>
    <col min="7942" max="8192" width="11.42578125" style="5"/>
    <col min="8193" max="8193" width="25.7109375" style="5" customWidth="1"/>
    <col min="8194" max="8194" width="12.85546875" style="5" customWidth="1"/>
    <col min="8195" max="8195" width="8.42578125" style="5" customWidth="1"/>
    <col min="8196" max="8196" width="11.42578125" style="5"/>
    <col min="8197" max="8197" width="12.5703125" style="5" customWidth="1"/>
    <col min="8198" max="8448" width="11.42578125" style="5"/>
    <col min="8449" max="8449" width="25.7109375" style="5" customWidth="1"/>
    <col min="8450" max="8450" width="12.85546875" style="5" customWidth="1"/>
    <col min="8451" max="8451" width="8.42578125" style="5" customWidth="1"/>
    <col min="8452" max="8452" width="11.42578125" style="5"/>
    <col min="8453" max="8453" width="12.5703125" style="5" customWidth="1"/>
    <col min="8454" max="8704" width="11.42578125" style="5"/>
    <col min="8705" max="8705" width="25.7109375" style="5" customWidth="1"/>
    <col min="8706" max="8706" width="12.85546875" style="5" customWidth="1"/>
    <col min="8707" max="8707" width="8.42578125" style="5" customWidth="1"/>
    <col min="8708" max="8708" width="11.42578125" style="5"/>
    <col min="8709" max="8709" width="12.5703125" style="5" customWidth="1"/>
    <col min="8710" max="8960" width="11.42578125" style="5"/>
    <col min="8961" max="8961" width="25.7109375" style="5" customWidth="1"/>
    <col min="8962" max="8962" width="12.85546875" style="5" customWidth="1"/>
    <col min="8963" max="8963" width="8.42578125" style="5" customWidth="1"/>
    <col min="8964" max="8964" width="11.42578125" style="5"/>
    <col min="8965" max="8965" width="12.5703125" style="5" customWidth="1"/>
    <col min="8966" max="9216" width="11.42578125" style="5"/>
    <col min="9217" max="9217" width="25.7109375" style="5" customWidth="1"/>
    <col min="9218" max="9218" width="12.85546875" style="5" customWidth="1"/>
    <col min="9219" max="9219" width="8.42578125" style="5" customWidth="1"/>
    <col min="9220" max="9220" width="11.42578125" style="5"/>
    <col min="9221" max="9221" width="12.5703125" style="5" customWidth="1"/>
    <col min="9222" max="9472" width="11.42578125" style="5"/>
    <col min="9473" max="9473" width="25.7109375" style="5" customWidth="1"/>
    <col min="9474" max="9474" width="12.85546875" style="5" customWidth="1"/>
    <col min="9475" max="9475" width="8.42578125" style="5" customWidth="1"/>
    <col min="9476" max="9476" width="11.42578125" style="5"/>
    <col min="9477" max="9477" width="12.5703125" style="5" customWidth="1"/>
    <col min="9478" max="9728" width="11.42578125" style="5"/>
    <col min="9729" max="9729" width="25.7109375" style="5" customWidth="1"/>
    <col min="9730" max="9730" width="12.85546875" style="5" customWidth="1"/>
    <col min="9731" max="9731" width="8.42578125" style="5" customWidth="1"/>
    <col min="9732" max="9732" width="11.42578125" style="5"/>
    <col min="9733" max="9733" width="12.5703125" style="5" customWidth="1"/>
    <col min="9734" max="9984" width="11.42578125" style="5"/>
    <col min="9985" max="9985" width="25.7109375" style="5" customWidth="1"/>
    <col min="9986" max="9986" width="12.85546875" style="5" customWidth="1"/>
    <col min="9987" max="9987" width="8.42578125" style="5" customWidth="1"/>
    <col min="9988" max="9988" width="11.42578125" style="5"/>
    <col min="9989" max="9989" width="12.5703125" style="5" customWidth="1"/>
    <col min="9990" max="10240" width="11.42578125" style="5"/>
    <col min="10241" max="10241" width="25.7109375" style="5" customWidth="1"/>
    <col min="10242" max="10242" width="12.85546875" style="5" customWidth="1"/>
    <col min="10243" max="10243" width="8.42578125" style="5" customWidth="1"/>
    <col min="10244" max="10244" width="11.42578125" style="5"/>
    <col min="10245" max="10245" width="12.5703125" style="5" customWidth="1"/>
    <col min="10246" max="10496" width="11.42578125" style="5"/>
    <col min="10497" max="10497" width="25.7109375" style="5" customWidth="1"/>
    <col min="10498" max="10498" width="12.85546875" style="5" customWidth="1"/>
    <col min="10499" max="10499" width="8.42578125" style="5" customWidth="1"/>
    <col min="10500" max="10500" width="11.42578125" style="5"/>
    <col min="10501" max="10501" width="12.5703125" style="5" customWidth="1"/>
    <col min="10502" max="10752" width="11.42578125" style="5"/>
    <col min="10753" max="10753" width="25.7109375" style="5" customWidth="1"/>
    <col min="10754" max="10754" width="12.85546875" style="5" customWidth="1"/>
    <col min="10755" max="10755" width="8.42578125" style="5" customWidth="1"/>
    <col min="10756" max="10756" width="11.42578125" style="5"/>
    <col min="10757" max="10757" width="12.5703125" style="5" customWidth="1"/>
    <col min="10758" max="11008" width="11.42578125" style="5"/>
    <col min="11009" max="11009" width="25.7109375" style="5" customWidth="1"/>
    <col min="11010" max="11010" width="12.85546875" style="5" customWidth="1"/>
    <col min="11011" max="11011" width="8.42578125" style="5" customWidth="1"/>
    <col min="11012" max="11012" width="11.42578125" style="5"/>
    <col min="11013" max="11013" width="12.5703125" style="5" customWidth="1"/>
    <col min="11014" max="11264" width="11.42578125" style="5"/>
    <col min="11265" max="11265" width="25.7109375" style="5" customWidth="1"/>
    <col min="11266" max="11266" width="12.85546875" style="5" customWidth="1"/>
    <col min="11267" max="11267" width="8.42578125" style="5" customWidth="1"/>
    <col min="11268" max="11268" width="11.42578125" style="5"/>
    <col min="11269" max="11269" width="12.5703125" style="5" customWidth="1"/>
    <col min="11270" max="11520" width="11.42578125" style="5"/>
    <col min="11521" max="11521" width="25.7109375" style="5" customWidth="1"/>
    <col min="11522" max="11522" width="12.85546875" style="5" customWidth="1"/>
    <col min="11523" max="11523" width="8.42578125" style="5" customWidth="1"/>
    <col min="11524" max="11524" width="11.42578125" style="5"/>
    <col min="11525" max="11525" width="12.5703125" style="5" customWidth="1"/>
    <col min="11526" max="11776" width="11.42578125" style="5"/>
    <col min="11777" max="11777" width="25.7109375" style="5" customWidth="1"/>
    <col min="11778" max="11778" width="12.85546875" style="5" customWidth="1"/>
    <col min="11779" max="11779" width="8.42578125" style="5" customWidth="1"/>
    <col min="11780" max="11780" width="11.42578125" style="5"/>
    <col min="11781" max="11781" width="12.5703125" style="5" customWidth="1"/>
    <col min="11782" max="12032" width="11.42578125" style="5"/>
    <col min="12033" max="12033" width="25.7109375" style="5" customWidth="1"/>
    <col min="12034" max="12034" width="12.85546875" style="5" customWidth="1"/>
    <col min="12035" max="12035" width="8.42578125" style="5" customWidth="1"/>
    <col min="12036" max="12036" width="11.42578125" style="5"/>
    <col min="12037" max="12037" width="12.5703125" style="5" customWidth="1"/>
    <col min="12038" max="12288" width="11.42578125" style="5"/>
    <col min="12289" max="12289" width="25.7109375" style="5" customWidth="1"/>
    <col min="12290" max="12290" width="12.85546875" style="5" customWidth="1"/>
    <col min="12291" max="12291" width="8.42578125" style="5" customWidth="1"/>
    <col min="12292" max="12292" width="11.42578125" style="5"/>
    <col min="12293" max="12293" width="12.5703125" style="5" customWidth="1"/>
    <col min="12294" max="12544" width="11.42578125" style="5"/>
    <col min="12545" max="12545" width="25.7109375" style="5" customWidth="1"/>
    <col min="12546" max="12546" width="12.85546875" style="5" customWidth="1"/>
    <col min="12547" max="12547" width="8.42578125" style="5" customWidth="1"/>
    <col min="12548" max="12548" width="11.42578125" style="5"/>
    <col min="12549" max="12549" width="12.5703125" style="5" customWidth="1"/>
    <col min="12550" max="12800" width="11.42578125" style="5"/>
    <col min="12801" max="12801" width="25.7109375" style="5" customWidth="1"/>
    <col min="12802" max="12802" width="12.85546875" style="5" customWidth="1"/>
    <col min="12803" max="12803" width="8.42578125" style="5" customWidth="1"/>
    <col min="12804" max="12804" width="11.42578125" style="5"/>
    <col min="12805" max="12805" width="12.5703125" style="5" customWidth="1"/>
    <col min="12806" max="13056" width="11.42578125" style="5"/>
    <col min="13057" max="13057" width="25.7109375" style="5" customWidth="1"/>
    <col min="13058" max="13058" width="12.85546875" style="5" customWidth="1"/>
    <col min="13059" max="13059" width="8.42578125" style="5" customWidth="1"/>
    <col min="13060" max="13060" width="11.42578125" style="5"/>
    <col min="13061" max="13061" width="12.5703125" style="5" customWidth="1"/>
    <col min="13062" max="13312" width="11.42578125" style="5"/>
    <col min="13313" max="13313" width="25.7109375" style="5" customWidth="1"/>
    <col min="13314" max="13314" width="12.85546875" style="5" customWidth="1"/>
    <col min="13315" max="13315" width="8.42578125" style="5" customWidth="1"/>
    <col min="13316" max="13316" width="11.42578125" style="5"/>
    <col min="13317" max="13317" width="12.5703125" style="5" customWidth="1"/>
    <col min="13318" max="13568" width="11.42578125" style="5"/>
    <col min="13569" max="13569" width="25.7109375" style="5" customWidth="1"/>
    <col min="13570" max="13570" width="12.85546875" style="5" customWidth="1"/>
    <col min="13571" max="13571" width="8.42578125" style="5" customWidth="1"/>
    <col min="13572" max="13572" width="11.42578125" style="5"/>
    <col min="13573" max="13573" width="12.5703125" style="5" customWidth="1"/>
    <col min="13574" max="13824" width="11.42578125" style="5"/>
    <col min="13825" max="13825" width="25.7109375" style="5" customWidth="1"/>
    <col min="13826" max="13826" width="12.85546875" style="5" customWidth="1"/>
    <col min="13827" max="13827" width="8.42578125" style="5" customWidth="1"/>
    <col min="13828" max="13828" width="11.42578125" style="5"/>
    <col min="13829" max="13829" width="12.5703125" style="5" customWidth="1"/>
    <col min="13830" max="14080" width="11.42578125" style="5"/>
    <col min="14081" max="14081" width="25.7109375" style="5" customWidth="1"/>
    <col min="14082" max="14082" width="12.85546875" style="5" customWidth="1"/>
    <col min="14083" max="14083" width="8.42578125" style="5" customWidth="1"/>
    <col min="14084" max="14084" width="11.42578125" style="5"/>
    <col min="14085" max="14085" width="12.5703125" style="5" customWidth="1"/>
    <col min="14086" max="14336" width="11.42578125" style="5"/>
    <col min="14337" max="14337" width="25.7109375" style="5" customWidth="1"/>
    <col min="14338" max="14338" width="12.85546875" style="5" customWidth="1"/>
    <col min="14339" max="14339" width="8.42578125" style="5" customWidth="1"/>
    <col min="14340" max="14340" width="11.42578125" style="5"/>
    <col min="14341" max="14341" width="12.5703125" style="5" customWidth="1"/>
    <col min="14342" max="14592" width="11.42578125" style="5"/>
    <col min="14593" max="14593" width="25.7109375" style="5" customWidth="1"/>
    <col min="14594" max="14594" width="12.85546875" style="5" customWidth="1"/>
    <col min="14595" max="14595" width="8.42578125" style="5" customWidth="1"/>
    <col min="14596" max="14596" width="11.42578125" style="5"/>
    <col min="14597" max="14597" width="12.5703125" style="5" customWidth="1"/>
    <col min="14598" max="14848" width="11.42578125" style="5"/>
    <col min="14849" max="14849" width="25.7109375" style="5" customWidth="1"/>
    <col min="14850" max="14850" width="12.85546875" style="5" customWidth="1"/>
    <col min="14851" max="14851" width="8.42578125" style="5" customWidth="1"/>
    <col min="14852" max="14852" width="11.42578125" style="5"/>
    <col min="14853" max="14853" width="12.5703125" style="5" customWidth="1"/>
    <col min="14854" max="15104" width="11.42578125" style="5"/>
    <col min="15105" max="15105" width="25.7109375" style="5" customWidth="1"/>
    <col min="15106" max="15106" width="12.85546875" style="5" customWidth="1"/>
    <col min="15107" max="15107" width="8.42578125" style="5" customWidth="1"/>
    <col min="15108" max="15108" width="11.42578125" style="5"/>
    <col min="15109" max="15109" width="12.5703125" style="5" customWidth="1"/>
    <col min="15110" max="15360" width="11.42578125" style="5"/>
    <col min="15361" max="15361" width="25.7109375" style="5" customWidth="1"/>
    <col min="15362" max="15362" width="12.85546875" style="5" customWidth="1"/>
    <col min="15363" max="15363" width="8.42578125" style="5" customWidth="1"/>
    <col min="15364" max="15364" width="11.42578125" style="5"/>
    <col min="15365" max="15365" width="12.5703125" style="5" customWidth="1"/>
    <col min="15366" max="15616" width="11.42578125" style="5"/>
    <col min="15617" max="15617" width="25.7109375" style="5" customWidth="1"/>
    <col min="15618" max="15618" width="12.85546875" style="5" customWidth="1"/>
    <col min="15619" max="15619" width="8.42578125" style="5" customWidth="1"/>
    <col min="15620" max="15620" width="11.42578125" style="5"/>
    <col min="15621" max="15621" width="12.5703125" style="5" customWidth="1"/>
    <col min="15622" max="15872" width="11.42578125" style="5"/>
    <col min="15873" max="15873" width="25.7109375" style="5" customWidth="1"/>
    <col min="15874" max="15874" width="12.85546875" style="5" customWidth="1"/>
    <col min="15875" max="15875" width="8.42578125" style="5" customWidth="1"/>
    <col min="15876" max="15876" width="11.42578125" style="5"/>
    <col min="15877" max="15877" width="12.5703125" style="5" customWidth="1"/>
    <col min="15878" max="16128" width="11.42578125" style="5"/>
    <col min="16129" max="16129" width="25.7109375" style="5" customWidth="1"/>
    <col min="16130" max="16130" width="12.85546875" style="5" customWidth="1"/>
    <col min="16131" max="16131" width="8.42578125" style="5" customWidth="1"/>
    <col min="16132" max="16132" width="11.42578125" style="5"/>
    <col min="16133" max="16133" width="12.5703125" style="5" customWidth="1"/>
    <col min="16134" max="16384" width="11.42578125" style="5"/>
  </cols>
  <sheetData>
    <row r="1" spans="1:5" x14ac:dyDescent="0.25">
      <c r="A1" s="3"/>
      <c r="E1" s="124"/>
    </row>
    <row r="2" spans="1:5" x14ac:dyDescent="0.25">
      <c r="A2" s="3"/>
      <c r="E2" s="125"/>
    </row>
    <row r="3" spans="1:5" x14ac:dyDescent="0.25">
      <c r="A3" s="3"/>
      <c r="D3" s="6"/>
      <c r="E3" s="126"/>
    </row>
    <row r="4" spans="1:5" x14ac:dyDescent="0.25">
      <c r="A4" s="3"/>
      <c r="D4" s="6"/>
      <c r="E4" s="127"/>
    </row>
    <row r="5" spans="1:5" x14ac:dyDescent="0.25">
      <c r="A5" s="3"/>
      <c r="B5" s="23"/>
      <c r="C5" s="24"/>
      <c r="D5" s="25"/>
      <c r="E5" s="128"/>
    </row>
    <row r="6" spans="1:5" x14ac:dyDescent="0.25">
      <c r="A6" s="129"/>
      <c r="D6" s="6"/>
      <c r="E6" s="127"/>
    </row>
    <row r="7" spans="1:5" x14ac:dyDescent="0.25">
      <c r="A7" s="7"/>
      <c r="D7" s="6"/>
      <c r="E7" s="127"/>
    </row>
    <row r="8" spans="1:5" x14ac:dyDescent="0.25">
      <c r="A8" s="7"/>
      <c r="D8" s="6"/>
      <c r="E8" s="127"/>
    </row>
    <row r="9" spans="1:5" x14ac:dyDescent="0.25">
      <c r="A9" s="7"/>
      <c r="D9" s="6"/>
      <c r="E9" s="127"/>
    </row>
    <row r="10" spans="1:5" x14ac:dyDescent="0.25">
      <c r="A10" s="7"/>
      <c r="D10" s="6"/>
      <c r="E10" s="127"/>
    </row>
    <row r="11" spans="1:5" x14ac:dyDescent="0.25">
      <c r="A11" s="7"/>
      <c r="D11" s="6"/>
      <c r="E11" s="127"/>
    </row>
    <row r="12" spans="1:5" x14ac:dyDescent="0.25">
      <c r="A12" s="7"/>
      <c r="D12" s="6"/>
      <c r="E12" s="127"/>
    </row>
    <row r="13" spans="1:5" x14ac:dyDescent="0.25">
      <c r="A13" s="7"/>
      <c r="D13" s="6"/>
      <c r="E13" s="127"/>
    </row>
    <row r="14" spans="1:5" x14ac:dyDescent="0.25">
      <c r="A14" s="7"/>
      <c r="D14" s="6"/>
      <c r="E14" s="127"/>
    </row>
    <row r="15" spans="1:5" x14ac:dyDescent="0.25">
      <c r="A15" s="7"/>
      <c r="D15" s="6"/>
      <c r="E15" s="127"/>
    </row>
    <row r="16" spans="1:5" x14ac:dyDescent="0.25">
      <c r="A16" s="7"/>
      <c r="D16" s="6"/>
      <c r="E16" s="127"/>
    </row>
    <row r="17" spans="1:5" x14ac:dyDescent="0.25">
      <c r="A17" s="7"/>
      <c r="D17" s="6"/>
      <c r="E17" s="127"/>
    </row>
    <row r="18" spans="1:5" x14ac:dyDescent="0.25">
      <c r="A18" s="7"/>
      <c r="D18" s="6"/>
      <c r="E18" s="127"/>
    </row>
    <row r="19" spans="1:5" x14ac:dyDescent="0.25">
      <c r="A19" s="7"/>
      <c r="D19" s="6"/>
      <c r="E19" s="127"/>
    </row>
    <row r="20" spans="1:5" x14ac:dyDescent="0.25">
      <c r="A20" s="7"/>
      <c r="D20" s="6"/>
      <c r="E20" s="127"/>
    </row>
    <row r="21" spans="1:5" x14ac:dyDescent="0.25">
      <c r="A21" s="7"/>
      <c r="D21" s="6"/>
      <c r="E21" s="127"/>
    </row>
    <row r="22" spans="1:5" x14ac:dyDescent="0.25">
      <c r="A22" s="7"/>
      <c r="D22" s="6"/>
      <c r="E22" s="127"/>
    </row>
    <row r="23" spans="1:5" x14ac:dyDescent="0.25">
      <c r="A23" s="7"/>
      <c r="D23" s="6"/>
      <c r="E23" s="127"/>
    </row>
    <row r="24" spans="1:5" x14ac:dyDescent="0.25">
      <c r="A24" s="7"/>
      <c r="D24" s="6"/>
      <c r="E24" s="127"/>
    </row>
    <row r="25" spans="1:5" x14ac:dyDescent="0.25">
      <c r="A25" s="7"/>
      <c r="D25" s="6"/>
      <c r="E25" s="127"/>
    </row>
    <row r="26" spans="1:5" x14ac:dyDescent="0.25">
      <c r="A26" s="7"/>
      <c r="D26" s="6"/>
      <c r="E26" s="127"/>
    </row>
    <row r="27" spans="1:5" x14ac:dyDescent="0.25">
      <c r="A27" s="7"/>
      <c r="D27" s="6"/>
      <c r="E27" s="127"/>
    </row>
    <row r="28" spans="1:5" x14ac:dyDescent="0.25">
      <c r="A28" s="7"/>
      <c r="D28" s="6"/>
      <c r="E28" s="127"/>
    </row>
    <row r="29" spans="1:5" x14ac:dyDescent="0.25">
      <c r="A29" s="7"/>
      <c r="D29" s="6"/>
      <c r="E29" s="127"/>
    </row>
    <row r="30" spans="1:5" x14ac:dyDescent="0.25">
      <c r="A30" s="7"/>
      <c r="D30" s="6"/>
      <c r="E30" s="127"/>
    </row>
    <row r="31" spans="1:5" x14ac:dyDescent="0.25">
      <c r="A31" s="7"/>
      <c r="D31" s="6"/>
      <c r="E31" s="127"/>
    </row>
    <row r="32" spans="1:5" x14ac:dyDescent="0.25">
      <c r="A32" s="7"/>
      <c r="D32" s="6"/>
      <c r="E32" s="127"/>
    </row>
    <row r="33" spans="1:5" x14ac:dyDescent="0.25">
      <c r="A33" s="7"/>
      <c r="D33" s="6"/>
      <c r="E33" s="127"/>
    </row>
    <row r="34" spans="1:5" x14ac:dyDescent="0.25">
      <c r="A34" s="7"/>
      <c r="D34" s="6"/>
      <c r="E34" s="127"/>
    </row>
    <row r="35" spans="1:5" x14ac:dyDescent="0.25">
      <c r="A35" s="7"/>
      <c r="D35" s="6"/>
      <c r="E35" s="127"/>
    </row>
    <row r="36" spans="1:5" x14ac:dyDescent="0.25">
      <c r="A36" s="7"/>
      <c r="D36" s="6"/>
      <c r="E36" s="127"/>
    </row>
    <row r="37" spans="1:5" x14ac:dyDescent="0.25">
      <c r="A37" s="7"/>
      <c r="D37" s="6"/>
      <c r="E37" s="127"/>
    </row>
    <row r="38" spans="1:5" x14ac:dyDescent="0.25">
      <c r="A38" s="7"/>
      <c r="D38" s="6"/>
      <c r="E38" s="127"/>
    </row>
    <row r="39" spans="1:5" x14ac:dyDescent="0.25">
      <c r="A39" s="7"/>
      <c r="D39" s="6"/>
      <c r="E39" s="127"/>
    </row>
    <row r="40" spans="1:5" x14ac:dyDescent="0.25">
      <c r="A40" s="7"/>
      <c r="D40" s="6"/>
      <c r="E40" s="127"/>
    </row>
    <row r="41" spans="1:5" x14ac:dyDescent="0.25">
      <c r="A41" s="7"/>
      <c r="D41" s="6"/>
      <c r="E41" s="127"/>
    </row>
    <row r="42" spans="1:5" x14ac:dyDescent="0.25">
      <c r="A42" s="7"/>
      <c r="D42" s="6"/>
      <c r="E42" s="127"/>
    </row>
    <row r="43" spans="1:5" x14ac:dyDescent="0.25">
      <c r="A43" s="7"/>
      <c r="D43" s="6"/>
      <c r="E43" s="127"/>
    </row>
    <row r="44" spans="1:5" x14ac:dyDescent="0.25">
      <c r="A44" s="7"/>
      <c r="D44" s="6"/>
      <c r="E44" s="127"/>
    </row>
    <row r="45" spans="1:5" x14ac:dyDescent="0.25">
      <c r="A45" s="7"/>
      <c r="D45" s="6"/>
      <c r="E45" s="127"/>
    </row>
    <row r="46" spans="1:5" x14ac:dyDescent="0.25">
      <c r="A46" s="7"/>
      <c r="D46" s="6"/>
      <c r="E46" s="127"/>
    </row>
    <row r="47" spans="1:5" x14ac:dyDescent="0.25">
      <c r="A47" s="7"/>
      <c r="D47" s="6"/>
      <c r="E47" s="127"/>
    </row>
    <row r="48" spans="1:5" x14ac:dyDescent="0.25">
      <c r="A48" s="7"/>
      <c r="D48" s="6"/>
      <c r="E48" s="127"/>
    </row>
    <row r="49" spans="1:5" x14ac:dyDescent="0.25">
      <c r="A49" s="7"/>
      <c r="D49" s="6"/>
      <c r="E49" s="127"/>
    </row>
    <row r="50" spans="1:5" x14ac:dyDescent="0.25">
      <c r="A50" s="7"/>
      <c r="D50" s="6"/>
      <c r="E50" s="127"/>
    </row>
    <row r="51" spans="1:5" x14ac:dyDescent="0.25">
      <c r="A51" s="7"/>
      <c r="D51" s="6"/>
      <c r="E51" s="127"/>
    </row>
    <row r="52" spans="1:5" x14ac:dyDescent="0.25">
      <c r="A52" s="7"/>
      <c r="D52" s="6"/>
      <c r="E52" s="127"/>
    </row>
    <row r="53" spans="1:5" x14ac:dyDescent="0.25">
      <c r="A53" s="7"/>
      <c r="D53" s="6"/>
      <c r="E53" s="127"/>
    </row>
    <row r="54" spans="1:5" x14ac:dyDescent="0.25">
      <c r="A54" s="7"/>
      <c r="D54" s="6"/>
      <c r="E54" s="127"/>
    </row>
    <row r="55" spans="1:5" x14ac:dyDescent="0.25">
      <c r="A55" s="7"/>
      <c r="D55" s="6"/>
      <c r="E55" s="127"/>
    </row>
    <row r="56" spans="1:5" x14ac:dyDescent="0.25">
      <c r="A56" s="7"/>
      <c r="D56" s="6"/>
      <c r="E56" s="127"/>
    </row>
    <row r="57" spans="1:5" x14ac:dyDescent="0.25">
      <c r="A57" s="7"/>
      <c r="D57" s="6"/>
      <c r="E57" s="127"/>
    </row>
    <row r="58" spans="1:5" x14ac:dyDescent="0.25">
      <c r="A58" s="7"/>
      <c r="D58" s="6"/>
      <c r="E58" s="127"/>
    </row>
    <row r="59" spans="1:5" x14ac:dyDescent="0.25">
      <c r="A59" s="7"/>
      <c r="D59" s="6"/>
      <c r="E59" s="127"/>
    </row>
    <row r="60" spans="1:5" x14ac:dyDescent="0.25">
      <c r="A60" s="7"/>
      <c r="D60" s="6"/>
      <c r="E60" s="127"/>
    </row>
    <row r="61" spans="1:5" x14ac:dyDescent="0.25">
      <c r="A61" s="7"/>
      <c r="D61" s="6"/>
      <c r="E61" s="127"/>
    </row>
    <row r="62" spans="1:5" x14ac:dyDescent="0.25">
      <c r="A62" s="7"/>
      <c r="D62" s="6"/>
      <c r="E62" s="127"/>
    </row>
    <row r="63" spans="1:5" x14ac:dyDescent="0.25">
      <c r="A63" s="7"/>
      <c r="D63" s="6"/>
      <c r="E63" s="127"/>
    </row>
    <row r="64" spans="1:5" x14ac:dyDescent="0.25">
      <c r="A64" s="7"/>
      <c r="D64" s="6"/>
      <c r="E64" s="127"/>
    </row>
    <row r="65" spans="1:5" x14ac:dyDescent="0.25">
      <c r="A65" s="7"/>
      <c r="D65" s="6"/>
      <c r="E65" s="127"/>
    </row>
    <row r="66" spans="1:5" x14ac:dyDescent="0.25">
      <c r="A66" s="7"/>
      <c r="D66" s="6"/>
      <c r="E66" s="127"/>
    </row>
    <row r="67" spans="1:5" x14ac:dyDescent="0.25">
      <c r="A67" s="7"/>
      <c r="D67" s="6"/>
      <c r="E67" s="127"/>
    </row>
    <row r="68" spans="1:5" x14ac:dyDescent="0.25">
      <c r="A68" s="7"/>
      <c r="D68" s="6"/>
      <c r="E68" s="127"/>
    </row>
    <row r="69" spans="1:5" x14ac:dyDescent="0.25">
      <c r="A69" s="7"/>
      <c r="D69" s="6"/>
      <c r="E69" s="127"/>
    </row>
    <row r="70" spans="1:5" x14ac:dyDescent="0.25">
      <c r="A70" s="7"/>
      <c r="D70" s="6"/>
      <c r="E70" s="127"/>
    </row>
    <row r="71" spans="1:5" x14ac:dyDescent="0.25">
      <c r="A71" s="7"/>
      <c r="D71" s="6"/>
      <c r="E71" s="127"/>
    </row>
    <row r="72" spans="1:5" x14ac:dyDescent="0.25">
      <c r="A72" s="7"/>
      <c r="D72" s="6"/>
      <c r="E72" s="127"/>
    </row>
    <row r="73" spans="1:5" x14ac:dyDescent="0.25">
      <c r="A73" s="7"/>
      <c r="D73" s="6"/>
      <c r="E73" s="127"/>
    </row>
    <row r="74" spans="1:5" x14ac:dyDescent="0.25">
      <c r="A74" s="7"/>
      <c r="D74" s="6"/>
      <c r="E74" s="127"/>
    </row>
    <row r="75" spans="1:5" x14ac:dyDescent="0.25">
      <c r="A75" s="7"/>
      <c r="D75" s="6"/>
      <c r="E75" s="127"/>
    </row>
    <row r="76" spans="1:5" x14ac:dyDescent="0.25">
      <c r="A76" s="7"/>
      <c r="D76" s="6"/>
      <c r="E76" s="127"/>
    </row>
    <row r="77" spans="1:5" x14ac:dyDescent="0.25">
      <c r="A77" s="7"/>
      <c r="D77" s="6"/>
      <c r="E77" s="127"/>
    </row>
    <row r="78" spans="1:5" x14ac:dyDescent="0.25">
      <c r="A78" s="7"/>
      <c r="D78" s="6"/>
      <c r="E78" s="127"/>
    </row>
    <row r="79" spans="1:5" x14ac:dyDescent="0.25">
      <c r="A79" s="7"/>
      <c r="D79" s="6"/>
      <c r="E79" s="127"/>
    </row>
    <row r="80" spans="1:5" x14ac:dyDescent="0.25">
      <c r="A80" s="7"/>
      <c r="D80" s="6"/>
      <c r="E80" s="127"/>
    </row>
    <row r="81" spans="1:5" x14ac:dyDescent="0.25">
      <c r="A81" s="7"/>
      <c r="D81" s="6"/>
      <c r="E81" s="127"/>
    </row>
    <row r="82" spans="1:5" x14ac:dyDescent="0.25">
      <c r="A82" s="3"/>
      <c r="D82" s="6"/>
      <c r="E82" s="127"/>
    </row>
    <row r="83" spans="1:5" x14ac:dyDescent="0.25">
      <c r="A83" s="7"/>
      <c r="C83" s="4"/>
      <c r="D83" s="6"/>
      <c r="E83" s="127"/>
    </row>
    <row r="84" spans="1:5" x14ac:dyDescent="0.25">
      <c r="A84" s="7"/>
      <c r="C84" s="4"/>
      <c r="D84" s="6"/>
      <c r="E84" s="127"/>
    </row>
    <row r="85" spans="1:5" x14ac:dyDescent="0.25">
      <c r="A85" s="7"/>
      <c r="C85" s="4"/>
      <c r="D85" s="6"/>
      <c r="E85" s="127"/>
    </row>
    <row r="86" spans="1:5" x14ac:dyDescent="0.25">
      <c r="A86" s="7"/>
      <c r="C86" s="4"/>
      <c r="D86" s="6"/>
      <c r="E86" s="127"/>
    </row>
    <row r="87" spans="1:5" x14ac:dyDescent="0.25">
      <c r="A87" s="7"/>
      <c r="D87" s="6"/>
      <c r="E87" s="127"/>
    </row>
    <row r="88" spans="1:5" x14ac:dyDescent="0.25">
      <c r="A88" s="3"/>
      <c r="D88" s="6"/>
      <c r="E88" s="127"/>
    </row>
    <row r="89" spans="1:5" x14ac:dyDescent="0.25">
      <c r="A89" s="7"/>
      <c r="D89" s="6"/>
      <c r="E89" s="127"/>
    </row>
    <row r="90" spans="1:5" x14ac:dyDescent="0.25">
      <c r="A90" s="7"/>
      <c r="D90" s="6"/>
      <c r="E90" s="127"/>
    </row>
    <row r="91" spans="1:5" x14ac:dyDescent="0.25">
      <c r="A91" s="7"/>
      <c r="D91" s="6"/>
      <c r="E91" s="127"/>
    </row>
    <row r="92" spans="1:5" x14ac:dyDescent="0.25">
      <c r="A92" s="7"/>
      <c r="D92" s="6"/>
      <c r="E92" s="127"/>
    </row>
    <row r="93" spans="1:5" x14ac:dyDescent="0.25">
      <c r="A93" s="7"/>
      <c r="D93" s="6"/>
      <c r="E93" s="127"/>
    </row>
    <row r="94" spans="1:5" x14ac:dyDescent="0.25">
      <c r="A94" s="7"/>
      <c r="D94" s="6"/>
      <c r="E94" s="127"/>
    </row>
    <row r="95" spans="1:5" x14ac:dyDescent="0.25">
      <c r="A95" s="7"/>
      <c r="D95" s="6"/>
      <c r="E95" s="127"/>
    </row>
    <row r="96" spans="1:5" x14ac:dyDescent="0.25">
      <c r="A96" s="7"/>
      <c r="D96" s="6"/>
      <c r="E96" s="127"/>
    </row>
    <row r="97" spans="1:5" x14ac:dyDescent="0.25">
      <c r="A97" s="7"/>
      <c r="D97" s="6"/>
      <c r="E97" s="127"/>
    </row>
    <row r="98" spans="1:5" x14ac:dyDescent="0.25">
      <c r="A98" s="7"/>
      <c r="D98" s="6"/>
      <c r="E98" s="127"/>
    </row>
    <row r="99" spans="1:5" x14ac:dyDescent="0.25">
      <c r="A99" s="7"/>
      <c r="D99" s="6"/>
      <c r="E99" s="127"/>
    </row>
    <row r="100" spans="1:5" x14ac:dyDescent="0.25">
      <c r="A100" s="7"/>
      <c r="D100" s="6"/>
      <c r="E100" s="127"/>
    </row>
    <row r="101" spans="1:5" x14ac:dyDescent="0.25">
      <c r="A101" s="7"/>
      <c r="D101" s="6"/>
      <c r="E101" s="127"/>
    </row>
    <row r="102" spans="1:5" x14ac:dyDescent="0.25">
      <c r="A102" s="7"/>
      <c r="D102" s="6"/>
      <c r="E102" s="127"/>
    </row>
    <row r="103" spans="1:5" x14ac:dyDescent="0.25">
      <c r="A103" s="7"/>
      <c r="D103" s="6"/>
      <c r="E103" s="127"/>
    </row>
    <row r="104" spans="1:5" x14ac:dyDescent="0.25">
      <c r="A104" s="7"/>
      <c r="D104" s="6"/>
      <c r="E104" s="127"/>
    </row>
    <row r="105" spans="1:5" x14ac:dyDescent="0.25">
      <c r="A105" s="7"/>
      <c r="D105" s="6"/>
      <c r="E105" s="127"/>
    </row>
    <row r="106" spans="1:5" x14ac:dyDescent="0.25">
      <c r="A106" s="7"/>
      <c r="D106" s="6"/>
      <c r="E106" s="127"/>
    </row>
    <row r="107" spans="1:5" x14ac:dyDescent="0.25">
      <c r="A107" s="7"/>
      <c r="D107" s="6"/>
      <c r="E107" s="127"/>
    </row>
    <row r="108" spans="1:5" x14ac:dyDescent="0.25">
      <c r="A108" s="7"/>
      <c r="D108" s="6"/>
      <c r="E108" s="127"/>
    </row>
    <row r="109" spans="1:5" x14ac:dyDescent="0.25">
      <c r="A109" s="7"/>
      <c r="D109" s="6"/>
      <c r="E109" s="127"/>
    </row>
    <row r="110" spans="1:5" x14ac:dyDescent="0.25">
      <c r="A110" s="7"/>
      <c r="D110" s="6"/>
      <c r="E110" s="127"/>
    </row>
    <row r="111" spans="1:5" x14ac:dyDescent="0.25">
      <c r="A111" s="7"/>
      <c r="D111" s="6"/>
      <c r="E111" s="127"/>
    </row>
    <row r="112" spans="1:5" x14ac:dyDescent="0.25">
      <c r="A112" s="7"/>
      <c r="D112" s="6"/>
      <c r="E112" s="127"/>
    </row>
    <row r="113" spans="1:5" x14ac:dyDescent="0.25">
      <c r="A113" s="7"/>
      <c r="D113" s="6"/>
      <c r="E113" s="127"/>
    </row>
    <row r="114" spans="1:5" x14ac:dyDescent="0.25">
      <c r="A114" s="7"/>
      <c r="D114" s="6"/>
      <c r="E114" s="127"/>
    </row>
    <row r="115" spans="1:5" x14ac:dyDescent="0.25">
      <c r="A115" s="7"/>
      <c r="D115" s="6"/>
      <c r="E115" s="127"/>
    </row>
    <row r="116" spans="1:5" x14ac:dyDescent="0.25">
      <c r="A116" s="7"/>
      <c r="D116" s="6"/>
      <c r="E116" s="127"/>
    </row>
    <row r="117" spans="1:5" x14ac:dyDescent="0.25">
      <c r="A117" s="7"/>
      <c r="D117" s="6"/>
      <c r="E117" s="127"/>
    </row>
    <row r="118" spans="1:5" x14ac:dyDescent="0.25">
      <c r="A118" s="7"/>
      <c r="D118" s="6"/>
      <c r="E118" s="127"/>
    </row>
    <row r="119" spans="1:5" x14ac:dyDescent="0.25">
      <c r="A119" s="7"/>
      <c r="D119" s="6"/>
      <c r="E119" s="127"/>
    </row>
    <row r="120" spans="1:5" x14ac:dyDescent="0.25">
      <c r="A120" s="7"/>
      <c r="D120" s="6"/>
      <c r="E120" s="127"/>
    </row>
    <row r="121" spans="1:5" x14ac:dyDescent="0.25">
      <c r="A121" s="7"/>
      <c r="D121" s="6"/>
      <c r="E121" s="127"/>
    </row>
    <row r="122" spans="1:5" x14ac:dyDescent="0.25">
      <c r="A122" s="7"/>
      <c r="D122" s="6"/>
      <c r="E122" s="127"/>
    </row>
    <row r="123" spans="1:5" x14ac:dyDescent="0.25">
      <c r="A123" s="7"/>
      <c r="D123" s="6"/>
      <c r="E123" s="127"/>
    </row>
    <row r="124" spans="1:5" x14ac:dyDescent="0.25">
      <c r="A124" s="7"/>
      <c r="D124" s="6"/>
      <c r="E124" s="127"/>
    </row>
    <row r="125" spans="1:5" x14ac:dyDescent="0.25">
      <c r="A125" s="7"/>
      <c r="D125" s="6"/>
      <c r="E125" s="127"/>
    </row>
    <row r="126" spans="1:5" x14ac:dyDescent="0.25">
      <c r="A126" s="7"/>
      <c r="D126" s="6"/>
      <c r="E126" s="127"/>
    </row>
    <row r="127" spans="1:5" x14ac:dyDescent="0.25">
      <c r="A127" s="7"/>
      <c r="D127" s="6"/>
      <c r="E127" s="127"/>
    </row>
    <row r="128" spans="1:5" x14ac:dyDescent="0.25">
      <c r="D128" s="6"/>
      <c r="E128" s="127"/>
    </row>
    <row r="129" spans="1:5" x14ac:dyDescent="0.25">
      <c r="A129" s="130"/>
      <c r="B129" s="131"/>
      <c r="C129" s="3"/>
      <c r="D129" s="41"/>
      <c r="E129" s="1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0"/>
  <sheetViews>
    <sheetView workbookViewId="0">
      <selection activeCell="B21" sqref="B21"/>
    </sheetView>
  </sheetViews>
  <sheetFormatPr baseColWidth="10" defaultRowHeight="15" x14ac:dyDescent="0.25"/>
  <cols>
    <col min="2" max="2" width="31.85546875" customWidth="1"/>
    <col min="3" max="3" width="12.28515625" bestFit="1" customWidth="1"/>
    <col min="4" max="4" width="11.42578125" style="8"/>
    <col min="5" max="5" width="17.140625" style="8" customWidth="1"/>
    <col min="6" max="6" width="15.7109375" customWidth="1"/>
    <col min="258" max="258" width="31.85546875" customWidth="1"/>
    <col min="259" max="259" width="12.28515625" bestFit="1" customWidth="1"/>
    <col min="261" max="261" width="17.140625" customWidth="1"/>
    <col min="262" max="262" width="15.7109375" customWidth="1"/>
    <col min="514" max="514" width="31.85546875" customWidth="1"/>
    <col min="515" max="515" width="12.28515625" bestFit="1" customWidth="1"/>
    <col min="517" max="517" width="17.140625" customWidth="1"/>
    <col min="518" max="518" width="15.7109375" customWidth="1"/>
    <col min="770" max="770" width="31.85546875" customWidth="1"/>
    <col min="771" max="771" width="12.28515625" bestFit="1" customWidth="1"/>
    <col min="773" max="773" width="17.140625" customWidth="1"/>
    <col min="774" max="774" width="15.7109375" customWidth="1"/>
    <col min="1026" max="1026" width="31.85546875" customWidth="1"/>
    <col min="1027" max="1027" width="12.28515625" bestFit="1" customWidth="1"/>
    <col min="1029" max="1029" width="17.140625" customWidth="1"/>
    <col min="1030" max="1030" width="15.7109375" customWidth="1"/>
    <col min="1282" max="1282" width="31.85546875" customWidth="1"/>
    <col min="1283" max="1283" width="12.28515625" bestFit="1" customWidth="1"/>
    <col min="1285" max="1285" width="17.140625" customWidth="1"/>
    <col min="1286" max="1286" width="15.7109375" customWidth="1"/>
    <col min="1538" max="1538" width="31.85546875" customWidth="1"/>
    <col min="1539" max="1539" width="12.28515625" bestFit="1" customWidth="1"/>
    <col min="1541" max="1541" width="17.140625" customWidth="1"/>
    <col min="1542" max="1542" width="15.7109375" customWidth="1"/>
    <col min="1794" max="1794" width="31.85546875" customWidth="1"/>
    <col min="1795" max="1795" width="12.28515625" bestFit="1" customWidth="1"/>
    <col min="1797" max="1797" width="17.140625" customWidth="1"/>
    <col min="1798" max="1798" width="15.7109375" customWidth="1"/>
    <col min="2050" max="2050" width="31.85546875" customWidth="1"/>
    <col min="2051" max="2051" width="12.28515625" bestFit="1" customWidth="1"/>
    <col min="2053" max="2053" width="17.140625" customWidth="1"/>
    <col min="2054" max="2054" width="15.7109375" customWidth="1"/>
    <col min="2306" max="2306" width="31.85546875" customWidth="1"/>
    <col min="2307" max="2307" width="12.28515625" bestFit="1" customWidth="1"/>
    <col min="2309" max="2309" width="17.140625" customWidth="1"/>
    <col min="2310" max="2310" width="15.7109375" customWidth="1"/>
    <col min="2562" max="2562" width="31.85546875" customWidth="1"/>
    <col min="2563" max="2563" width="12.28515625" bestFit="1" customWidth="1"/>
    <col min="2565" max="2565" width="17.140625" customWidth="1"/>
    <col min="2566" max="2566" width="15.7109375" customWidth="1"/>
    <col min="2818" max="2818" width="31.85546875" customWidth="1"/>
    <col min="2819" max="2819" width="12.28515625" bestFit="1" customWidth="1"/>
    <col min="2821" max="2821" width="17.140625" customWidth="1"/>
    <col min="2822" max="2822" width="15.7109375" customWidth="1"/>
    <col min="3074" max="3074" width="31.85546875" customWidth="1"/>
    <col min="3075" max="3075" width="12.28515625" bestFit="1" customWidth="1"/>
    <col min="3077" max="3077" width="17.140625" customWidth="1"/>
    <col min="3078" max="3078" width="15.7109375" customWidth="1"/>
    <col min="3330" max="3330" width="31.85546875" customWidth="1"/>
    <col min="3331" max="3331" width="12.28515625" bestFit="1" customWidth="1"/>
    <col min="3333" max="3333" width="17.140625" customWidth="1"/>
    <col min="3334" max="3334" width="15.7109375" customWidth="1"/>
    <col min="3586" max="3586" width="31.85546875" customWidth="1"/>
    <col min="3587" max="3587" width="12.28515625" bestFit="1" customWidth="1"/>
    <col min="3589" max="3589" width="17.140625" customWidth="1"/>
    <col min="3590" max="3590" width="15.7109375" customWidth="1"/>
    <col min="3842" max="3842" width="31.85546875" customWidth="1"/>
    <col min="3843" max="3843" width="12.28515625" bestFit="1" customWidth="1"/>
    <col min="3845" max="3845" width="17.140625" customWidth="1"/>
    <col min="3846" max="3846" width="15.7109375" customWidth="1"/>
    <col min="4098" max="4098" width="31.85546875" customWidth="1"/>
    <col min="4099" max="4099" width="12.28515625" bestFit="1" customWidth="1"/>
    <col min="4101" max="4101" width="17.140625" customWidth="1"/>
    <col min="4102" max="4102" width="15.7109375" customWidth="1"/>
    <col min="4354" max="4354" width="31.85546875" customWidth="1"/>
    <col min="4355" max="4355" width="12.28515625" bestFit="1" customWidth="1"/>
    <col min="4357" max="4357" width="17.140625" customWidth="1"/>
    <col min="4358" max="4358" width="15.7109375" customWidth="1"/>
    <col min="4610" max="4610" width="31.85546875" customWidth="1"/>
    <col min="4611" max="4611" width="12.28515625" bestFit="1" customWidth="1"/>
    <col min="4613" max="4613" width="17.140625" customWidth="1"/>
    <col min="4614" max="4614" width="15.7109375" customWidth="1"/>
    <col min="4866" max="4866" width="31.85546875" customWidth="1"/>
    <col min="4867" max="4867" width="12.28515625" bestFit="1" customWidth="1"/>
    <col min="4869" max="4869" width="17.140625" customWidth="1"/>
    <col min="4870" max="4870" width="15.7109375" customWidth="1"/>
    <col min="5122" max="5122" width="31.85546875" customWidth="1"/>
    <col min="5123" max="5123" width="12.28515625" bestFit="1" customWidth="1"/>
    <col min="5125" max="5125" width="17.140625" customWidth="1"/>
    <col min="5126" max="5126" width="15.7109375" customWidth="1"/>
    <col min="5378" max="5378" width="31.85546875" customWidth="1"/>
    <col min="5379" max="5379" width="12.28515625" bestFit="1" customWidth="1"/>
    <col min="5381" max="5381" width="17.140625" customWidth="1"/>
    <col min="5382" max="5382" width="15.7109375" customWidth="1"/>
    <col min="5634" max="5634" width="31.85546875" customWidth="1"/>
    <col min="5635" max="5635" width="12.28515625" bestFit="1" customWidth="1"/>
    <col min="5637" max="5637" width="17.140625" customWidth="1"/>
    <col min="5638" max="5638" width="15.7109375" customWidth="1"/>
    <col min="5890" max="5890" width="31.85546875" customWidth="1"/>
    <col min="5891" max="5891" width="12.28515625" bestFit="1" customWidth="1"/>
    <col min="5893" max="5893" width="17.140625" customWidth="1"/>
    <col min="5894" max="5894" width="15.7109375" customWidth="1"/>
    <col min="6146" max="6146" width="31.85546875" customWidth="1"/>
    <col min="6147" max="6147" width="12.28515625" bestFit="1" customWidth="1"/>
    <col min="6149" max="6149" width="17.140625" customWidth="1"/>
    <col min="6150" max="6150" width="15.7109375" customWidth="1"/>
    <col min="6402" max="6402" width="31.85546875" customWidth="1"/>
    <col min="6403" max="6403" width="12.28515625" bestFit="1" customWidth="1"/>
    <col min="6405" max="6405" width="17.140625" customWidth="1"/>
    <col min="6406" max="6406" width="15.7109375" customWidth="1"/>
    <col min="6658" max="6658" width="31.85546875" customWidth="1"/>
    <col min="6659" max="6659" width="12.28515625" bestFit="1" customWidth="1"/>
    <col min="6661" max="6661" width="17.140625" customWidth="1"/>
    <col min="6662" max="6662" width="15.7109375" customWidth="1"/>
    <col min="6914" max="6914" width="31.85546875" customWidth="1"/>
    <col min="6915" max="6915" width="12.28515625" bestFit="1" customWidth="1"/>
    <col min="6917" max="6917" width="17.140625" customWidth="1"/>
    <col min="6918" max="6918" width="15.7109375" customWidth="1"/>
    <col min="7170" max="7170" width="31.85546875" customWidth="1"/>
    <col min="7171" max="7171" width="12.28515625" bestFit="1" customWidth="1"/>
    <col min="7173" max="7173" width="17.140625" customWidth="1"/>
    <col min="7174" max="7174" width="15.7109375" customWidth="1"/>
    <col min="7426" max="7426" width="31.85546875" customWidth="1"/>
    <col min="7427" max="7427" width="12.28515625" bestFit="1" customWidth="1"/>
    <col min="7429" max="7429" width="17.140625" customWidth="1"/>
    <col min="7430" max="7430" width="15.7109375" customWidth="1"/>
    <col min="7682" max="7682" width="31.85546875" customWidth="1"/>
    <col min="7683" max="7683" width="12.28515625" bestFit="1" customWidth="1"/>
    <col min="7685" max="7685" width="17.140625" customWidth="1"/>
    <col min="7686" max="7686" width="15.7109375" customWidth="1"/>
    <col min="7938" max="7938" width="31.85546875" customWidth="1"/>
    <col min="7939" max="7939" width="12.28515625" bestFit="1" customWidth="1"/>
    <col min="7941" max="7941" width="17.140625" customWidth="1"/>
    <col min="7942" max="7942" width="15.7109375" customWidth="1"/>
    <col min="8194" max="8194" width="31.85546875" customWidth="1"/>
    <col min="8195" max="8195" width="12.28515625" bestFit="1" customWidth="1"/>
    <col min="8197" max="8197" width="17.140625" customWidth="1"/>
    <col min="8198" max="8198" width="15.7109375" customWidth="1"/>
    <col min="8450" max="8450" width="31.85546875" customWidth="1"/>
    <col min="8451" max="8451" width="12.28515625" bestFit="1" customWidth="1"/>
    <col min="8453" max="8453" width="17.140625" customWidth="1"/>
    <col min="8454" max="8454" width="15.7109375" customWidth="1"/>
    <col min="8706" max="8706" width="31.85546875" customWidth="1"/>
    <col min="8707" max="8707" width="12.28515625" bestFit="1" customWidth="1"/>
    <col min="8709" max="8709" width="17.140625" customWidth="1"/>
    <col min="8710" max="8710" width="15.7109375" customWidth="1"/>
    <col min="8962" max="8962" width="31.85546875" customWidth="1"/>
    <col min="8963" max="8963" width="12.28515625" bestFit="1" customWidth="1"/>
    <col min="8965" max="8965" width="17.140625" customWidth="1"/>
    <col min="8966" max="8966" width="15.7109375" customWidth="1"/>
    <col min="9218" max="9218" width="31.85546875" customWidth="1"/>
    <col min="9219" max="9219" width="12.28515625" bestFit="1" customWidth="1"/>
    <col min="9221" max="9221" width="17.140625" customWidth="1"/>
    <col min="9222" max="9222" width="15.7109375" customWidth="1"/>
    <col min="9474" max="9474" width="31.85546875" customWidth="1"/>
    <col min="9475" max="9475" width="12.28515625" bestFit="1" customWidth="1"/>
    <col min="9477" max="9477" width="17.140625" customWidth="1"/>
    <col min="9478" max="9478" width="15.7109375" customWidth="1"/>
    <col min="9730" max="9730" width="31.85546875" customWidth="1"/>
    <col min="9731" max="9731" width="12.28515625" bestFit="1" customWidth="1"/>
    <col min="9733" max="9733" width="17.140625" customWidth="1"/>
    <col min="9734" max="9734" width="15.7109375" customWidth="1"/>
    <col min="9986" max="9986" width="31.85546875" customWidth="1"/>
    <col min="9987" max="9987" width="12.28515625" bestFit="1" customWidth="1"/>
    <col min="9989" max="9989" width="17.140625" customWidth="1"/>
    <col min="9990" max="9990" width="15.7109375" customWidth="1"/>
    <col min="10242" max="10242" width="31.85546875" customWidth="1"/>
    <col min="10243" max="10243" width="12.28515625" bestFit="1" customWidth="1"/>
    <col min="10245" max="10245" width="17.140625" customWidth="1"/>
    <col min="10246" max="10246" width="15.7109375" customWidth="1"/>
    <col min="10498" max="10498" width="31.85546875" customWidth="1"/>
    <col min="10499" max="10499" width="12.28515625" bestFit="1" customWidth="1"/>
    <col min="10501" max="10501" width="17.140625" customWidth="1"/>
    <col min="10502" max="10502" width="15.7109375" customWidth="1"/>
    <col min="10754" max="10754" width="31.85546875" customWidth="1"/>
    <col min="10755" max="10755" width="12.28515625" bestFit="1" customWidth="1"/>
    <col min="10757" max="10757" width="17.140625" customWidth="1"/>
    <col min="10758" max="10758" width="15.7109375" customWidth="1"/>
    <col min="11010" max="11010" width="31.85546875" customWidth="1"/>
    <col min="11011" max="11011" width="12.28515625" bestFit="1" customWidth="1"/>
    <col min="11013" max="11013" width="17.140625" customWidth="1"/>
    <col min="11014" max="11014" width="15.7109375" customWidth="1"/>
    <col min="11266" max="11266" width="31.85546875" customWidth="1"/>
    <col min="11267" max="11267" width="12.28515625" bestFit="1" customWidth="1"/>
    <col min="11269" max="11269" width="17.140625" customWidth="1"/>
    <col min="11270" max="11270" width="15.7109375" customWidth="1"/>
    <col min="11522" max="11522" width="31.85546875" customWidth="1"/>
    <col min="11523" max="11523" width="12.28515625" bestFit="1" customWidth="1"/>
    <col min="11525" max="11525" width="17.140625" customWidth="1"/>
    <col min="11526" max="11526" width="15.7109375" customWidth="1"/>
    <col min="11778" max="11778" width="31.85546875" customWidth="1"/>
    <col min="11779" max="11779" width="12.28515625" bestFit="1" customWidth="1"/>
    <col min="11781" max="11781" width="17.140625" customWidth="1"/>
    <col min="11782" max="11782" width="15.7109375" customWidth="1"/>
    <col min="12034" max="12034" width="31.85546875" customWidth="1"/>
    <col min="12035" max="12035" width="12.28515625" bestFit="1" customWidth="1"/>
    <col min="12037" max="12037" width="17.140625" customWidth="1"/>
    <col min="12038" max="12038" width="15.7109375" customWidth="1"/>
    <col min="12290" max="12290" width="31.85546875" customWidth="1"/>
    <col min="12291" max="12291" width="12.28515625" bestFit="1" customWidth="1"/>
    <col min="12293" max="12293" width="17.140625" customWidth="1"/>
    <col min="12294" max="12294" width="15.7109375" customWidth="1"/>
    <col min="12546" max="12546" width="31.85546875" customWidth="1"/>
    <col min="12547" max="12547" width="12.28515625" bestFit="1" customWidth="1"/>
    <col min="12549" max="12549" width="17.140625" customWidth="1"/>
    <col min="12550" max="12550" width="15.7109375" customWidth="1"/>
    <col min="12802" max="12802" width="31.85546875" customWidth="1"/>
    <col min="12803" max="12803" width="12.28515625" bestFit="1" customWidth="1"/>
    <col min="12805" max="12805" width="17.140625" customWidth="1"/>
    <col min="12806" max="12806" width="15.7109375" customWidth="1"/>
    <col min="13058" max="13058" width="31.85546875" customWidth="1"/>
    <col min="13059" max="13059" width="12.28515625" bestFit="1" customWidth="1"/>
    <col min="13061" max="13061" width="17.140625" customWidth="1"/>
    <col min="13062" max="13062" width="15.7109375" customWidth="1"/>
    <col min="13314" max="13314" width="31.85546875" customWidth="1"/>
    <col min="13315" max="13315" width="12.28515625" bestFit="1" customWidth="1"/>
    <col min="13317" max="13317" width="17.140625" customWidth="1"/>
    <col min="13318" max="13318" width="15.7109375" customWidth="1"/>
    <col min="13570" max="13570" width="31.85546875" customWidth="1"/>
    <col min="13571" max="13571" width="12.28515625" bestFit="1" customWidth="1"/>
    <col min="13573" max="13573" width="17.140625" customWidth="1"/>
    <col min="13574" max="13574" width="15.7109375" customWidth="1"/>
    <col min="13826" max="13826" width="31.85546875" customWidth="1"/>
    <col min="13827" max="13827" width="12.28515625" bestFit="1" customWidth="1"/>
    <col min="13829" max="13829" width="17.140625" customWidth="1"/>
    <col min="13830" max="13830" width="15.7109375" customWidth="1"/>
    <col min="14082" max="14082" width="31.85546875" customWidth="1"/>
    <col min="14083" max="14083" width="12.28515625" bestFit="1" customWidth="1"/>
    <col min="14085" max="14085" width="17.140625" customWidth="1"/>
    <col min="14086" max="14086" width="15.7109375" customWidth="1"/>
    <col min="14338" max="14338" width="31.85546875" customWidth="1"/>
    <col min="14339" max="14339" width="12.28515625" bestFit="1" customWidth="1"/>
    <col min="14341" max="14341" width="17.140625" customWidth="1"/>
    <col min="14342" max="14342" width="15.7109375" customWidth="1"/>
    <col min="14594" max="14594" width="31.85546875" customWidth="1"/>
    <col min="14595" max="14595" width="12.28515625" bestFit="1" customWidth="1"/>
    <col min="14597" max="14597" width="17.140625" customWidth="1"/>
    <col min="14598" max="14598" width="15.7109375" customWidth="1"/>
    <col min="14850" max="14850" width="31.85546875" customWidth="1"/>
    <col min="14851" max="14851" width="12.28515625" bestFit="1" customWidth="1"/>
    <col min="14853" max="14853" width="17.140625" customWidth="1"/>
    <col min="14854" max="14854" width="15.7109375" customWidth="1"/>
    <col min="15106" max="15106" width="31.85546875" customWidth="1"/>
    <col min="15107" max="15107" width="12.28515625" bestFit="1" customWidth="1"/>
    <col min="15109" max="15109" width="17.140625" customWidth="1"/>
    <col min="15110" max="15110" width="15.7109375" customWidth="1"/>
    <col min="15362" max="15362" width="31.85546875" customWidth="1"/>
    <col min="15363" max="15363" width="12.28515625" bestFit="1" customWidth="1"/>
    <col min="15365" max="15365" width="17.140625" customWidth="1"/>
    <col min="15366" max="15366" width="15.7109375" customWidth="1"/>
    <col min="15618" max="15618" width="31.85546875" customWidth="1"/>
    <col min="15619" max="15619" width="12.28515625" bestFit="1" customWidth="1"/>
    <col min="15621" max="15621" width="17.140625" customWidth="1"/>
    <col min="15622" max="15622" width="15.7109375" customWidth="1"/>
    <col min="15874" max="15874" width="31.85546875" customWidth="1"/>
    <col min="15875" max="15875" width="12.28515625" bestFit="1" customWidth="1"/>
    <col min="15877" max="15877" width="17.140625" customWidth="1"/>
    <col min="15878" max="15878" width="15.7109375" customWidth="1"/>
    <col min="16130" max="16130" width="31.85546875" customWidth="1"/>
    <col min="16131" max="16131" width="12.28515625" bestFit="1" customWidth="1"/>
    <col min="16133" max="16133" width="17.140625" customWidth="1"/>
    <col min="16134" max="16134" width="15.7109375" customWidth="1"/>
  </cols>
  <sheetData>
    <row r="2" spans="1:6" s="49" customFormat="1" ht="18" x14ac:dyDescent="0.25">
      <c r="D2" s="100"/>
      <c r="F2" s="73"/>
    </row>
    <row r="3" spans="1:6" s="2" customFormat="1" ht="12.75" x14ac:dyDescent="0.2">
      <c r="B3" s="10"/>
      <c r="C3" s="10"/>
      <c r="D3" s="101"/>
      <c r="E3" s="101"/>
      <c r="F3" s="103"/>
    </row>
    <row r="4" spans="1:6" s="2" customFormat="1" ht="12.75" x14ac:dyDescent="0.2">
      <c r="B4" s="10"/>
      <c r="C4" s="10"/>
      <c r="D4" s="101"/>
      <c r="E4" s="101"/>
      <c r="F4" s="103"/>
    </row>
    <row r="5" spans="1:6" x14ac:dyDescent="0.25">
      <c r="A5" s="2"/>
      <c r="B5" s="10"/>
      <c r="C5" s="70"/>
      <c r="D5" s="71"/>
      <c r="E5" s="101"/>
      <c r="F5" s="2"/>
    </row>
    <row r="6" spans="1:6" x14ac:dyDescent="0.25">
      <c r="A6" s="2"/>
      <c r="B6" s="10"/>
      <c r="C6" s="70"/>
      <c r="D6" s="71"/>
      <c r="E6" s="101"/>
      <c r="F6" s="2"/>
    </row>
    <row r="7" spans="1:6" x14ac:dyDescent="0.25">
      <c r="A7" s="2"/>
      <c r="B7" s="10"/>
      <c r="C7" s="70"/>
      <c r="D7" s="71"/>
      <c r="E7" s="101"/>
      <c r="F7" s="2"/>
    </row>
    <row r="8" spans="1:6" x14ac:dyDescent="0.25">
      <c r="B8" s="10"/>
      <c r="C8" s="70"/>
      <c r="D8" s="71"/>
      <c r="E8" s="101"/>
      <c r="F8" s="2"/>
    </row>
    <row r="9" spans="1:6" x14ac:dyDescent="0.25">
      <c r="B9" s="10"/>
      <c r="C9" s="70"/>
      <c r="D9" s="71"/>
      <c r="E9" s="101"/>
      <c r="F9" s="2"/>
    </row>
    <row r="10" spans="1:6" x14ac:dyDescent="0.25">
      <c r="B10" s="10"/>
      <c r="C10" s="70"/>
      <c r="D10" s="71"/>
      <c r="E10" s="101"/>
      <c r="F10" s="2"/>
    </row>
    <row r="11" spans="1:6" x14ac:dyDescent="0.25">
      <c r="A11" s="2"/>
      <c r="B11" s="10"/>
      <c r="C11" s="70"/>
      <c r="D11" s="71"/>
      <c r="E11" s="101"/>
      <c r="F11" s="2"/>
    </row>
    <row r="12" spans="1:6" x14ac:dyDescent="0.25">
      <c r="A12" s="2"/>
      <c r="B12" s="2"/>
      <c r="C12" s="70"/>
      <c r="D12" s="71"/>
      <c r="E12" s="102"/>
      <c r="F12" s="2"/>
    </row>
    <row r="13" spans="1:6" x14ac:dyDescent="0.25">
      <c r="A13" s="2"/>
      <c r="B13" s="2"/>
      <c r="C13" s="70"/>
      <c r="D13" s="71"/>
      <c r="E13" s="102"/>
      <c r="F13" s="2"/>
    </row>
    <row r="14" spans="1:6" x14ac:dyDescent="0.25">
      <c r="B14" s="2"/>
      <c r="C14" s="70"/>
      <c r="D14" s="71"/>
      <c r="E14" s="102"/>
      <c r="F14" s="2"/>
    </row>
    <row r="15" spans="1:6" x14ac:dyDescent="0.25">
      <c r="B15" s="2"/>
      <c r="C15" s="70"/>
      <c r="D15" s="71"/>
      <c r="E15" s="102"/>
      <c r="F15" s="2"/>
    </row>
    <row r="16" spans="1:6" x14ac:dyDescent="0.25">
      <c r="B16" s="2"/>
      <c r="C16" s="70"/>
      <c r="D16" s="71"/>
      <c r="E16" s="102"/>
      <c r="F16" s="2"/>
    </row>
    <row r="17" spans="1:6" x14ac:dyDescent="0.25">
      <c r="A17" s="2"/>
      <c r="B17" s="2"/>
      <c r="C17" s="70"/>
      <c r="D17" s="71"/>
      <c r="E17" s="102"/>
      <c r="F17" s="2"/>
    </row>
    <row r="18" spans="1:6" x14ac:dyDescent="0.25">
      <c r="A18" s="2"/>
      <c r="B18" s="2"/>
      <c r="C18" s="70"/>
      <c r="D18" s="71"/>
      <c r="E18" s="102"/>
      <c r="F18" s="2"/>
    </row>
    <row r="19" spans="1:6" x14ac:dyDescent="0.25">
      <c r="A19" s="2"/>
      <c r="B19" s="2"/>
      <c r="C19" s="70"/>
      <c r="D19" s="71"/>
      <c r="E19" s="102"/>
      <c r="F19" s="2"/>
    </row>
    <row r="20" spans="1:6" x14ac:dyDescent="0.25">
      <c r="A20" s="2"/>
      <c r="B20" s="2"/>
      <c r="C20" s="70"/>
      <c r="D20" s="71"/>
      <c r="E20" s="102"/>
      <c r="F20" s="2"/>
    </row>
    <row r="21" spans="1:6" x14ac:dyDescent="0.25">
      <c r="A21" s="2"/>
      <c r="B21" s="2"/>
      <c r="C21" s="70"/>
      <c r="D21" s="71"/>
      <c r="E21" s="102"/>
      <c r="F21" s="2"/>
    </row>
    <row r="22" spans="1:6" x14ac:dyDescent="0.25">
      <c r="A22" s="2"/>
      <c r="B22" s="2"/>
      <c r="C22" s="70"/>
      <c r="D22" s="71"/>
      <c r="E22" s="102"/>
      <c r="F22" s="2"/>
    </row>
    <row r="23" spans="1:6" x14ac:dyDescent="0.25">
      <c r="A23" s="2"/>
      <c r="B23" s="2"/>
      <c r="C23" s="70"/>
      <c r="D23" s="71"/>
      <c r="E23" s="102"/>
      <c r="F23" s="2"/>
    </row>
    <row r="24" spans="1:6" x14ac:dyDescent="0.25">
      <c r="B24" s="2"/>
      <c r="C24" s="70"/>
      <c r="D24" s="71"/>
      <c r="E24" s="102"/>
      <c r="F24" s="2"/>
    </row>
    <row r="25" spans="1:6" x14ac:dyDescent="0.25">
      <c r="A25" s="2"/>
      <c r="B25" s="2"/>
      <c r="C25" s="70"/>
      <c r="D25" s="71"/>
      <c r="E25" s="102"/>
      <c r="F25" s="2"/>
    </row>
    <row r="26" spans="1:6" x14ac:dyDescent="0.25">
      <c r="B26" s="2"/>
      <c r="C26" s="70"/>
      <c r="D26" s="71"/>
      <c r="E26" s="102"/>
    </row>
    <row r="27" spans="1:6" x14ac:dyDescent="0.25">
      <c r="B27" s="2"/>
      <c r="C27" s="70"/>
      <c r="D27" s="71"/>
      <c r="E27" s="102"/>
    </row>
    <row r="28" spans="1:6" ht="18" x14ac:dyDescent="0.25">
      <c r="C28" s="70"/>
      <c r="D28" s="71"/>
      <c r="E28" s="72"/>
    </row>
    <row r="29" spans="1:6" ht="18" x14ac:dyDescent="0.25">
      <c r="C29" s="70"/>
      <c r="D29" s="71"/>
      <c r="E29" s="72"/>
    </row>
    <row r="30" spans="1:6" ht="18" x14ac:dyDescent="0.25">
      <c r="E30" s="100"/>
    </row>
    <row r="33" spans="4:5" ht="12" customHeight="1" x14ac:dyDescent="0.25">
      <c r="D33"/>
      <c r="E33"/>
    </row>
    <row r="34" spans="4:5" x14ac:dyDescent="0.25">
      <c r="D34"/>
      <c r="E34"/>
    </row>
    <row r="49" spans="4:5" hidden="1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hidden="1" x14ac:dyDescent="0.25">
      <c r="D53"/>
      <c r="E53"/>
    </row>
    <row r="54" spans="4:5" hidden="1" x14ac:dyDescent="0.25">
      <c r="D54"/>
      <c r="E54"/>
    </row>
    <row r="55" spans="4:5" hidden="1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hidden="1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Deuda</vt:lpstr>
      <vt:lpstr>compras</vt:lpstr>
      <vt:lpstr>Alm Gral</vt:lpstr>
      <vt:lpstr>Central</vt:lpstr>
      <vt:lpstr>Herr</vt:lpstr>
      <vt:lpstr>CIC</vt:lpstr>
      <vt:lpstr>'Alm Gral'!Área_de_impresión</vt:lpstr>
      <vt:lpstr>Central!Área_de_impresión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2013-06-24T16:53:54Z</cp:lastPrinted>
  <dcterms:created xsi:type="dcterms:W3CDTF">2011-09-01T14:27:58Z</dcterms:created>
  <dcterms:modified xsi:type="dcterms:W3CDTF">2013-11-07T22:09:42Z</dcterms:modified>
</cp:coreProperties>
</file>