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0" windowWidth="14040" windowHeight="6975" firstSheet="7" activeTab="9"/>
  </bookViews>
  <sheets>
    <sheet name="OCTUBRE 2014 " sheetId="3" r:id="rId1"/>
    <sheet name="NOVIEMBRE 2014" sheetId="7" r:id="rId2"/>
    <sheet name="DICIEMBRE  2014" sheetId="8" r:id="rId3"/>
    <sheet name="ENERO 2015" sheetId="9" r:id="rId4"/>
    <sheet name="FEBRERO 2015" sheetId="10" r:id="rId5"/>
    <sheet name="MARZO 2015" sheetId="11" r:id="rId6"/>
    <sheet name="Remisiones MARZO 2015" sheetId="12" r:id="rId7"/>
    <sheet name="ABRIL   2015" sheetId="13" r:id="rId8"/>
    <sheet name="Remisiones  ABRIL  2015" sheetId="14" r:id="rId9"/>
    <sheet name="M A Y O    2015" sheetId="15" r:id="rId10"/>
    <sheet name="REMISIONES MAYO 2015" sheetId="16" r:id="rId11"/>
    <sheet name=" J U N I O    2015  " sheetId="17" r:id="rId12"/>
    <sheet name="REMISIONES  J U N IO 2015" sheetId="18" r:id="rId13"/>
    <sheet name="Hoja4" sheetId="19" r:id="rId14"/>
    <sheet name="Hoja6" sheetId="20" r:id="rId15"/>
    <sheet name="Hoja1" sheetId="21" r:id="rId16"/>
    <sheet name="Hoja5" sheetId="22" r:id="rId17"/>
    <sheet name="Hoja7" sheetId="23" r:id="rId18"/>
    <sheet name="Hoja8" sheetId="24" r:id="rId19"/>
  </sheets>
  <externalReferences>
    <externalReference r:id="rId20"/>
  </externalReferences>
  <calcPr calcId="144525"/>
</workbook>
</file>

<file path=xl/calcChain.xml><?xml version="1.0" encoding="utf-8"?>
<calcChain xmlns="http://schemas.openxmlformats.org/spreadsheetml/2006/main">
  <c r="K44" i="13" l="1"/>
  <c r="N37" i="15"/>
  <c r="C61" i="18" l="1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E61" i="18"/>
  <c r="F15" i="18"/>
  <c r="F14" i="18"/>
  <c r="F13" i="18"/>
  <c r="F12" i="18"/>
  <c r="F11" i="18"/>
  <c r="F10" i="18"/>
  <c r="F9" i="18"/>
  <c r="F8" i="18"/>
  <c r="F7" i="18"/>
  <c r="F6" i="18"/>
  <c r="F5" i="18"/>
  <c r="F16" i="18" l="1"/>
  <c r="F61" i="18" s="1"/>
  <c r="E27" i="16"/>
  <c r="I89" i="16" l="1"/>
  <c r="I87" i="16"/>
  <c r="I86" i="16"/>
  <c r="I93" i="16" s="1"/>
  <c r="N98" i="16"/>
  <c r="K98" i="16"/>
  <c r="E21" i="16" l="1"/>
  <c r="E19" i="16"/>
  <c r="N79" i="16" l="1"/>
  <c r="I63" i="16"/>
  <c r="I62" i="16"/>
  <c r="I61" i="16"/>
  <c r="I60" i="16"/>
  <c r="I58" i="16"/>
  <c r="I57" i="16"/>
  <c r="I56" i="16"/>
  <c r="I55" i="16"/>
  <c r="K79" i="16"/>
  <c r="I75" i="16"/>
  <c r="E16" i="16" l="1"/>
  <c r="E37" i="14" l="1"/>
  <c r="K49" i="16" l="1"/>
  <c r="I20" i="16"/>
  <c r="I18" i="16"/>
  <c r="I19" i="16"/>
  <c r="I15" i="16"/>
  <c r="I17" i="16"/>
  <c r="I14" i="16"/>
  <c r="I13" i="16"/>
  <c r="I12" i="16"/>
  <c r="I11" i="16" l="1"/>
  <c r="I10" i="16"/>
  <c r="I8" i="16"/>
  <c r="I7" i="16"/>
  <c r="I6" i="16"/>
  <c r="I5" i="16"/>
  <c r="I4" i="16"/>
  <c r="I24" i="16" s="1"/>
  <c r="N49" i="16"/>
  <c r="C61" i="14" l="1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E17" i="14"/>
  <c r="F17" i="14" s="1"/>
  <c r="F16" i="14"/>
  <c r="F15" i="14"/>
  <c r="F14" i="14"/>
  <c r="E13" i="14"/>
  <c r="F13" i="14" s="1"/>
  <c r="F12" i="14"/>
  <c r="F11" i="14"/>
  <c r="F10" i="14"/>
  <c r="E9" i="14"/>
  <c r="F9" i="14" s="1"/>
  <c r="F8" i="14"/>
  <c r="E7" i="14"/>
  <c r="E61" i="14" s="1"/>
  <c r="F6" i="14"/>
  <c r="F5" i="14"/>
  <c r="F7" i="14" l="1"/>
  <c r="F61" i="14" s="1"/>
  <c r="I103" i="14" l="1"/>
  <c r="I101" i="14"/>
  <c r="I85" i="14"/>
  <c r="I84" i="14"/>
  <c r="I86" i="14"/>
  <c r="I87" i="14"/>
  <c r="I91" i="14"/>
  <c r="I93" i="14"/>
  <c r="I94" i="14"/>
  <c r="I98" i="14"/>
  <c r="I96" i="14"/>
  <c r="I99" i="14"/>
  <c r="I100" i="14"/>
  <c r="N128" i="14"/>
  <c r="K128" i="14" l="1"/>
  <c r="C46" i="16" l="1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E46" i="16"/>
  <c r="F6" i="16"/>
  <c r="F5" i="16"/>
  <c r="L38" i="15"/>
  <c r="I38" i="15"/>
  <c r="K40" i="15" s="1"/>
  <c r="F38" i="15"/>
  <c r="F41" i="15" s="1"/>
  <c r="C38" i="15"/>
  <c r="F42" i="15" s="1"/>
  <c r="F7" i="16" l="1"/>
  <c r="F46" i="16" s="1"/>
  <c r="F44" i="15"/>
  <c r="F46" i="15" s="1"/>
  <c r="K44" i="15" s="1"/>
  <c r="K47" i="15" s="1"/>
  <c r="I60" i="14"/>
  <c r="E43" i="12"/>
  <c r="E40" i="12"/>
  <c r="I50" i="14"/>
  <c r="I52" i="14"/>
  <c r="I53" i="14"/>
  <c r="I54" i="14"/>
  <c r="I55" i="14"/>
  <c r="I57" i="14"/>
  <c r="I49" i="14"/>
  <c r="I47" i="14" l="1"/>
  <c r="N78" i="14"/>
  <c r="K78" i="14"/>
  <c r="I9" i="14" l="1"/>
  <c r="N38" i="14"/>
  <c r="I17" i="14"/>
  <c r="I13" i="14"/>
  <c r="I12" i="14"/>
  <c r="I11" i="14"/>
  <c r="I7" i="14"/>
  <c r="I5" i="14"/>
  <c r="I97" i="12"/>
  <c r="K38" i="14" l="1"/>
  <c r="I38" i="13"/>
  <c r="F38" i="13"/>
  <c r="C38" i="13"/>
  <c r="F42" i="13" s="1"/>
  <c r="N37" i="13"/>
  <c r="L38" i="13"/>
  <c r="C38" i="11"/>
  <c r="C38" i="10"/>
  <c r="K40" i="13" l="1"/>
  <c r="F41" i="13" s="1"/>
  <c r="F44" i="13" s="1"/>
  <c r="F46" i="13" s="1"/>
  <c r="K47" i="13" s="1"/>
  <c r="F42" i="11" l="1"/>
  <c r="F41" i="11"/>
  <c r="F44" i="11" s="1"/>
  <c r="F46" i="11" s="1"/>
  <c r="F48" i="11" l="1"/>
  <c r="K44" i="11" s="1"/>
  <c r="K47" i="11" s="1"/>
  <c r="N37" i="11"/>
  <c r="L12" i="11"/>
  <c r="E31" i="12" l="1"/>
  <c r="I94" i="12"/>
  <c r="I96" i="12"/>
  <c r="I91" i="12"/>
  <c r="I89" i="12"/>
  <c r="I88" i="12"/>
  <c r="N109" i="12"/>
  <c r="K109" i="12"/>
  <c r="I106" i="12"/>
  <c r="F48" i="12" l="1"/>
  <c r="E16" i="12" l="1"/>
  <c r="I62" i="12"/>
  <c r="I61" i="12"/>
  <c r="I59" i="12"/>
  <c r="I60" i="12"/>
  <c r="I58" i="12"/>
  <c r="I56" i="12"/>
  <c r="I55" i="12"/>
  <c r="I52" i="12"/>
  <c r="I51" i="12"/>
  <c r="I53" i="12"/>
  <c r="I50" i="12"/>
  <c r="I47" i="12"/>
  <c r="I64" i="12" s="1"/>
  <c r="I49" i="12"/>
  <c r="I48" i="12"/>
  <c r="N83" i="12"/>
  <c r="K83" i="12"/>
  <c r="I4" i="12" l="1"/>
  <c r="I6" i="12"/>
  <c r="I7" i="12"/>
  <c r="I8" i="12"/>
  <c r="I10" i="12"/>
  <c r="I14" i="12"/>
  <c r="I16" i="12"/>
  <c r="I18" i="12"/>
  <c r="I20" i="12"/>
  <c r="I21" i="12"/>
  <c r="I23" i="12"/>
  <c r="T40" i="10" l="1"/>
  <c r="N41" i="12"/>
  <c r="L38" i="11" l="1"/>
  <c r="I38" i="11"/>
  <c r="K40" i="11" s="1"/>
  <c r="F38" i="11"/>
  <c r="L38" i="10"/>
  <c r="I38" i="10"/>
  <c r="K40" i="10" s="1"/>
  <c r="F38" i="10"/>
  <c r="F41" i="10" s="1"/>
  <c r="F42" i="10"/>
  <c r="N34" i="10"/>
  <c r="E61" i="12" l="1"/>
  <c r="C61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K41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61" i="12" s="1"/>
  <c r="U41" i="10" l="1"/>
  <c r="U42" i="10"/>
  <c r="U43" i="10"/>
  <c r="U44" i="10"/>
  <c r="U45" i="10"/>
  <c r="U46" i="10"/>
  <c r="U47" i="10"/>
  <c r="T30" i="10" l="1"/>
  <c r="AC97" i="10"/>
  <c r="Z97" i="10"/>
  <c r="R49" i="10" l="1"/>
  <c r="F43" i="10" s="1"/>
  <c r="F44" i="10" s="1"/>
  <c r="F46" i="10" s="1"/>
  <c r="T23" i="10"/>
  <c r="T15" i="10"/>
  <c r="AC69" i="10"/>
  <c r="Z69" i="10"/>
  <c r="K44" i="10" l="1"/>
  <c r="K47" i="10" s="1"/>
  <c r="AC46" i="10"/>
  <c r="T22" i="10"/>
  <c r="T18" i="10"/>
  <c r="T14" i="10"/>
  <c r="T13" i="10"/>
  <c r="Z46" i="10"/>
  <c r="AC19" i="10" l="1"/>
  <c r="Z19" i="10"/>
  <c r="T11" i="10"/>
  <c r="T10" i="10"/>
  <c r="T49" i="10" s="1"/>
  <c r="S40" i="9" l="1"/>
  <c r="F42" i="9" l="1"/>
  <c r="AA97" i="9" l="1"/>
  <c r="S38" i="9"/>
  <c r="X97" i="9"/>
  <c r="L38" i="9" l="1"/>
  <c r="C38" i="9"/>
  <c r="X80" i="9"/>
  <c r="AA80" i="9"/>
  <c r="S45" i="9"/>
  <c r="Q45" i="9"/>
  <c r="S37" i="9"/>
  <c r="U40" i="10" l="1"/>
  <c r="U39" i="10"/>
  <c r="U38" i="10"/>
  <c r="U37" i="10"/>
  <c r="U36" i="10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T40" i="9"/>
  <c r="T39" i="9"/>
  <c r="T38" i="9"/>
  <c r="T37" i="9"/>
  <c r="S36" i="9"/>
  <c r="T36" i="9" s="1"/>
  <c r="S35" i="9"/>
  <c r="T35" i="9" s="1"/>
  <c r="T34" i="9"/>
  <c r="T33" i="9"/>
  <c r="T32" i="9"/>
  <c r="T31" i="9"/>
  <c r="T30" i="9"/>
  <c r="S29" i="9"/>
  <c r="T29" i="9" s="1"/>
  <c r="T28" i="9"/>
  <c r="T27" i="9"/>
  <c r="T26" i="9"/>
  <c r="T25" i="9"/>
  <c r="T24" i="9"/>
  <c r="T23" i="9"/>
  <c r="S22" i="9"/>
  <c r="T22" i="9" s="1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45" i="9" l="1"/>
  <c r="U22" i="10"/>
  <c r="U49" i="10" s="1"/>
  <c r="AA69" i="9"/>
  <c r="AA58" i="9" l="1"/>
  <c r="AA47" i="9" l="1"/>
  <c r="AB44" i="9"/>
  <c r="AB42" i="9"/>
  <c r="AB36" i="9"/>
  <c r="AB33" i="9"/>
  <c r="AB30" i="9"/>
  <c r="AB27" i="9"/>
  <c r="C29" i="9" l="1"/>
  <c r="I38" i="9" l="1"/>
  <c r="K40" i="9" s="1"/>
  <c r="F38" i="9"/>
  <c r="F41" i="9" s="1"/>
  <c r="F44" i="9" l="1"/>
  <c r="F46" i="9" s="1"/>
  <c r="J43" i="9" s="1"/>
  <c r="J46" i="9" s="1"/>
  <c r="C37" i="8"/>
  <c r="P44" i="8"/>
  <c r="N61" i="7" l="1"/>
  <c r="L38" i="8" l="1"/>
  <c r="I38" i="8"/>
  <c r="K40" i="8" s="1"/>
  <c r="F38" i="8"/>
  <c r="F41" i="8" s="1"/>
  <c r="C38" i="8"/>
  <c r="F42" i="8" s="1"/>
  <c r="F43" i="8" l="1"/>
  <c r="F45" i="8" s="1"/>
  <c r="L45" i="8" s="1"/>
  <c r="L30" i="7"/>
  <c r="K38" i="7" l="1"/>
  <c r="I38" i="7"/>
  <c r="J40" i="7" s="1"/>
  <c r="F38" i="7"/>
  <c r="F41" i="7" s="1"/>
  <c r="C38" i="7"/>
  <c r="F42" i="7" s="1"/>
  <c r="F43" i="7" l="1"/>
  <c r="F45" i="7" s="1"/>
  <c r="K45" i="7" s="1"/>
  <c r="C38" i="3"/>
  <c r="F38" i="3" l="1"/>
  <c r="K38" i="3" l="1"/>
  <c r="F42" i="3" l="1"/>
  <c r="I38" i="3"/>
  <c r="J40" i="3" s="1"/>
  <c r="F41" i="3" s="1"/>
  <c r="F43" i="3"/>
  <c r="F45" i="3" s="1"/>
  <c r="K45" i="3" s="1"/>
</calcChain>
</file>

<file path=xl/sharedStrings.xml><?xml version="1.0" encoding="utf-8"?>
<sst xmlns="http://schemas.openxmlformats.org/spreadsheetml/2006/main" count="1170" uniqueCount="447">
  <si>
    <t>COMPRAS</t>
  </si>
  <si>
    <t>TOTAL</t>
  </si>
  <si>
    <t>INVENTARIO INICIAL</t>
  </si>
  <si>
    <t>LUZ</t>
  </si>
  <si>
    <t>G  A  S   T  O  S</t>
  </si>
  <si>
    <t>TELEFONOS</t>
  </si>
  <si>
    <t>RENTA</t>
  </si>
  <si>
    <t>GRAN TOTAL GASTOS</t>
  </si>
  <si>
    <t>VENTAS NETAS</t>
  </si>
  <si>
    <t>INVENTARIO FINAL</t>
  </si>
  <si>
    <t>Sub Total 1</t>
  </si>
  <si>
    <t xml:space="preserve">Sub Total 2 </t>
  </si>
  <si>
    <t xml:space="preserve"> </t>
  </si>
  <si>
    <t>GANANCIA</t>
  </si>
  <si>
    <t xml:space="preserve">VENTAS  </t>
  </si>
  <si>
    <t>vacaciones</t>
  </si>
  <si>
    <t>AGUINALDOS</t>
  </si>
  <si>
    <t xml:space="preserve">BALANCE       DE    OCTUBRE 2014     HERRADURA </t>
  </si>
  <si>
    <t xml:space="preserve">Notas de Venta </t>
  </si>
  <si>
    <t># 52213---# 52250</t>
  </si>
  <si>
    <t># 52251---# 52300</t>
  </si>
  <si>
    <t># 52301---# 52368</t>
  </si>
  <si>
    <t># 52369---# 52441</t>
  </si>
  <si>
    <t># 52504---# 52564</t>
  </si>
  <si>
    <t># 52442---# 52503</t>
  </si>
  <si>
    <t># 52565---# 52597</t>
  </si>
  <si>
    <t># 52598---# 52632</t>
  </si>
  <si>
    <t># 52633---# 52680</t>
  </si>
  <si>
    <t># 52681---# 52723</t>
  </si>
  <si>
    <t>obrador</t>
  </si>
  <si>
    <t># 52724---# 52784</t>
  </si>
  <si>
    <t>tocino</t>
  </si>
  <si>
    <t># 52785---# 52845</t>
  </si>
  <si>
    <t># 52846---# 52888</t>
  </si>
  <si>
    <t># 52889---# 52934</t>
  </si>
  <si>
    <t># 52935---# 52967</t>
  </si>
  <si>
    <t># 52968---# 53009</t>
  </si>
  <si>
    <t># 53010---# 53059</t>
  </si>
  <si>
    <t># 53060---# 53106</t>
  </si>
  <si>
    <t># 53107---# 53163</t>
  </si>
  <si>
    <t># 53164---# 53205</t>
  </si>
  <si>
    <t># 53206---# 53247</t>
  </si>
  <si>
    <t># 53248---# 53281</t>
  </si>
  <si>
    <t># 53282---# 53326</t>
  </si>
  <si>
    <t># 53327---# 53382</t>
  </si>
  <si>
    <t># 53383---# 53431</t>
  </si>
  <si>
    <t># 53432---# 53496</t>
  </si>
  <si>
    <t># 53497---# 53539</t>
  </si>
  <si>
    <t># 53540---# 53578</t>
  </si>
  <si>
    <t># 53579---# 53617</t>
  </si>
  <si>
    <t>tripas</t>
  </si>
  <si>
    <t>chuleta</t>
  </si>
  <si>
    <t>IMPERMEABILIZACION</t>
  </si>
  <si>
    <t>CAMARAS</t>
  </si>
  <si>
    <t>BOLSAS</t>
  </si>
  <si>
    <t>M LIMPIEZA</t>
  </si>
  <si>
    <t xml:space="preserve">BALANCE       DE   NOVIEMBRE    2014     HERRADURA </t>
  </si>
  <si>
    <t># 53633---# 53789</t>
  </si>
  <si>
    <t># 53790---# 53845</t>
  </si>
  <si>
    <t># 53846---# 53889</t>
  </si>
  <si>
    <t># 53890---# 53928</t>
  </si>
  <si>
    <t># 53929---# 53969</t>
  </si>
  <si>
    <t>pavo</t>
  </si>
  <si>
    <t># 53970--- # 54016</t>
  </si>
  <si>
    <t># 54017---# 54083</t>
  </si>
  <si>
    <t>obrador y pechos</t>
  </si>
  <si>
    <t># 54084---# 54152</t>
  </si>
  <si>
    <t>#  54153---# 54219</t>
  </si>
  <si>
    <t>SOAPAP</t>
  </si>
  <si>
    <t># 54220---# 54274</t>
  </si>
  <si>
    <t># 542575---# 54300</t>
  </si>
  <si>
    <t xml:space="preserve">obrador </t>
  </si>
  <si>
    <t># 54301---# 54342</t>
  </si>
  <si>
    <t># 54343---# 54388</t>
  </si>
  <si>
    <t># 54389---# 54452</t>
  </si>
  <si>
    <t># 54453---# 54514</t>
  </si>
  <si>
    <t>NOMINA 44</t>
  </si>
  <si>
    <t>NOMINA 45</t>
  </si>
  <si>
    <t>NOMINA 46</t>
  </si>
  <si>
    <t>NOMINA 47</t>
  </si>
  <si>
    <t>NOMINA 48</t>
  </si>
  <si>
    <t>NOMINA 49</t>
  </si>
  <si>
    <t>NOMINA 40</t>
  </si>
  <si>
    <t>NOMINA 41</t>
  </si>
  <si>
    <t>NOMINA 42</t>
  </si>
  <si>
    <t>NOMINA 43</t>
  </si>
  <si>
    <t># 56515---# 54591</t>
  </si>
  <si>
    <t>Central</t>
  </si>
  <si>
    <t># 54592---# 54649</t>
  </si>
  <si>
    <t># 54650---# 54686</t>
  </si>
  <si>
    <t># 54687---# 54712</t>
  </si>
  <si>
    <t>#54713---# 54754</t>
  </si>
  <si>
    <t>COMPRAS A ALMACEN</t>
  </si>
  <si>
    <t># 54755---$ 54811</t>
  </si>
  <si>
    <t># 54812---# 54876</t>
  </si>
  <si>
    <t># 54877---# 54936</t>
  </si>
  <si>
    <t># 54937---# 54984</t>
  </si>
  <si>
    <t># 54985---# 55019</t>
  </si>
  <si>
    <t># 55059---# 55099</t>
  </si>
  <si>
    <t>PREDIAL</t>
  </si>
  <si>
    <t># 55100---# 55156</t>
  </si>
  <si>
    <t># 55157---# 55228</t>
  </si>
  <si>
    <t># 55229---# 55290</t>
  </si>
  <si>
    <t xml:space="preserve">BALANCE       DE   DICIEMBRE    2014     HERRADURA </t>
  </si>
  <si>
    <t>#55291---# 55328</t>
  </si>
  <si>
    <t>#55329---# 55362</t>
  </si>
  <si>
    <t># 55363---# 55391</t>
  </si>
  <si>
    <t># 55437---# 55492</t>
  </si>
  <si>
    <t># 55493---# 55557</t>
  </si>
  <si>
    <t>central</t>
  </si>
  <si>
    <t># 55558---# 55603</t>
  </si>
  <si>
    <t># 55604---# 55646</t>
  </si>
  <si>
    <t># 55647---# 55702</t>
  </si>
  <si>
    <t># 55703---# 55757</t>
  </si>
  <si>
    <t>flores y Angel</t>
  </si>
  <si>
    <t>angel</t>
  </si>
  <si>
    <t>Afilador-Angel</t>
  </si>
  <si>
    <t>NOMINA 50</t>
  </si>
  <si>
    <t>NOMINA 51</t>
  </si>
  <si>
    <t>NOMINA 52</t>
  </si>
  <si>
    <t xml:space="preserve">NOMINA </t>
  </si>
  <si>
    <t># 55758---# 55805</t>
  </si>
  <si>
    <t># 55806---# 55857</t>
  </si>
  <si>
    <t># 55858---# 55915</t>
  </si>
  <si>
    <t># 55916---# 55981</t>
  </si>
  <si>
    <t># 559821---# 56023</t>
  </si>
  <si>
    <t># 56024---# 56067</t>
  </si>
  <si>
    <t>Engrasador --Angel</t>
  </si>
  <si>
    <t>Cinta--Angel</t>
  </si>
  <si>
    <t>mantenimiento-Angel-Espatula</t>
  </si>
  <si>
    <t># 56124---# 56181</t>
  </si>
  <si>
    <t># 56068---# 56123</t>
  </si>
  <si>
    <t>Angel---afilador</t>
  </si>
  <si>
    <t># 56182--# 56238</t>
  </si>
  <si>
    <t># 56239---# 56314</t>
  </si>
  <si>
    <t># 56315---# 56381</t>
  </si>
  <si>
    <t># 56382---# 56441</t>
  </si>
  <si>
    <t># 56442---# 56545</t>
  </si>
  <si>
    <t># 56546---# 56640</t>
  </si>
  <si>
    <t>.</t>
  </si>
  <si>
    <t>fumigacion--angel</t>
  </si>
  <si>
    <t>,,,,,,,,,,,,,,,,,,,,,,,</t>
  </si>
  <si>
    <t># 56641---# 56715</t>
  </si>
  <si>
    <t># 56716---# 56796</t>
  </si>
  <si>
    <t># 56797---# 56860</t>
  </si>
  <si>
    <t>combo--pierna</t>
  </si>
  <si>
    <t># 56861---# 56902</t>
  </si>
  <si>
    <t># 56903---# 56968</t>
  </si>
  <si>
    <t>,0052K</t>
  </si>
  <si>
    <t>,0061 K</t>
  </si>
  <si>
    <t>,0071 K</t>
  </si>
  <si>
    <t>,0078 K</t>
  </si>
  <si>
    <t>,0089 K</t>
  </si>
  <si>
    <t>,0100 K</t>
  </si>
  <si>
    <t>,0116 K</t>
  </si>
  <si>
    <t>,0111 K</t>
  </si>
  <si>
    <t>,0125 K</t>
  </si>
  <si>
    <t>,0134 K</t>
  </si>
  <si>
    <t>,0139 K</t>
  </si>
  <si>
    <t>,0154 K</t>
  </si>
  <si>
    <t>,0164 K</t>
  </si>
  <si>
    <t>,0167 K</t>
  </si>
  <si>
    <t>,0188 K</t>
  </si>
  <si>
    <t>,0207 k</t>
  </si>
  <si>
    <t>,0221 k</t>
  </si>
  <si>
    <t>,0237 k</t>
  </si>
  <si>
    <t>,0239 k</t>
  </si>
  <si>
    <t>,0250 k</t>
  </si>
  <si>
    <t>,0255 k</t>
  </si>
  <si>
    <t>,0266 k</t>
  </si>
  <si>
    <t>,0274 k</t>
  </si>
  <si>
    <t>,0287 k</t>
  </si>
  <si>
    <t>,0289 k</t>
  </si>
  <si>
    <t>TRASPASOS ALMACEN</t>
  </si>
  <si>
    <t>REMISIONES OBRADOR</t>
  </si>
  <si>
    <t># 56969---# 57050</t>
  </si>
  <si>
    <t xml:space="preserve">BALANCE       DE   E N E R O     2015     HERRADURA </t>
  </si>
  <si>
    <t># 57051--# 57125</t>
  </si>
  <si>
    <t># 57126---# 57196</t>
  </si>
  <si>
    <t># 59197---# 57242</t>
  </si>
  <si>
    <t># 57243--# 27296</t>
  </si>
  <si>
    <t># 57297---# 57346</t>
  </si>
  <si>
    <t># 57347---# 57380</t>
  </si>
  <si>
    <t># 57381---# 57444</t>
  </si>
  <si>
    <t># 57445---# 57505</t>
  </si>
  <si>
    <t># 57506---# 57582</t>
  </si>
  <si>
    <t># 57583---#  57644</t>
  </si>
  <si>
    <t># 57645---# 57697</t>
  </si>
  <si>
    <t># 57698---# 57726</t>
  </si>
  <si>
    <t># 57727---# 57768</t>
  </si>
  <si>
    <t># 57769---# 57813</t>
  </si>
  <si>
    <t># 57814---# 57881</t>
  </si>
  <si>
    <t>NOMINA 01</t>
  </si>
  <si>
    <t>NOMINA 02</t>
  </si>
  <si>
    <t>NOMINA 03</t>
  </si>
  <si>
    <t>NOMINA 04</t>
  </si>
  <si>
    <t># 57882---# 57945</t>
  </si>
  <si>
    <t># 57946---# 57998</t>
  </si>
  <si>
    <t># 57999---# 58041</t>
  </si>
  <si>
    <t># 58042---# 58082</t>
  </si>
  <si>
    <t>PAGOS DE HERRADURA</t>
  </si>
  <si>
    <t>REM 9139</t>
  </si>
  <si>
    <t>BBVA</t>
  </si>
  <si>
    <t>REM 9260</t>
  </si>
  <si>
    <t>REM 9264</t>
  </si>
  <si>
    <t>REM 9433</t>
  </si>
  <si>
    <t>REM 9370</t>
  </si>
  <si>
    <t>REM 9371</t>
  </si>
  <si>
    <t>REM 9534</t>
  </si>
  <si>
    <t>23-,.Enero 2015</t>
  </si>
  <si>
    <t xml:space="preserve">  </t>
  </si>
  <si>
    <t># 58083---# 58122</t>
  </si>
  <si>
    <t>R-9534</t>
  </si>
  <si>
    <t>Mantenimiento</t>
  </si>
  <si>
    <t># 58123---# 58179</t>
  </si>
  <si>
    <t># 58236---# 58311</t>
  </si>
  <si>
    <t># 58180---# 58235</t>
  </si>
  <si>
    <t># 58379---# 58427</t>
  </si>
  <si>
    <t>#58312---# 58378</t>
  </si>
  <si>
    <t>#58428---# 58462</t>
  </si>
  <si>
    <t>28-,.Enero 2015</t>
  </si>
  <si>
    <t>R-9530</t>
  </si>
  <si>
    <t>R-9716</t>
  </si>
  <si>
    <t>R-9777</t>
  </si>
  <si>
    <t>R-9916</t>
  </si>
  <si>
    <t>R-10006</t>
  </si>
  <si>
    <t>R-10207</t>
  </si>
  <si>
    <t>A/Cta</t>
  </si>
  <si>
    <t># 58463---# 58503</t>
  </si>
  <si>
    <t>30-,.Enero 2015</t>
  </si>
  <si>
    <t>R-10305</t>
  </si>
  <si>
    <t>R-10118</t>
  </si>
  <si>
    <t xml:space="preserve">TOTAL </t>
  </si>
  <si>
    <t># 58504---# 58542</t>
  </si>
  <si>
    <t>R-10380</t>
  </si>
  <si>
    <t>31-Enero ,.,2015</t>
  </si>
  <si>
    <t>21-Ene 9,920.00--23-Ene $ 45,595.56</t>
  </si>
  <si>
    <t>23-Ene 8,621.00--28-Ene 68,301.08</t>
  </si>
  <si>
    <t>28-Ene 14,546.00---30-Ene --22,644.90</t>
  </si>
  <si>
    <t>30-Ene 5,648.90---31-Ene 11,010.50</t>
  </si>
  <si>
    <t>REMISIONES  HERRADURA</t>
  </si>
  <si>
    <t xml:space="preserve">BALANCE       DE   FEBRERO      2015     HERRADURA </t>
  </si>
  <si>
    <t>abono</t>
  </si>
  <si>
    <t>restp</t>
  </si>
  <si>
    <t>resto</t>
  </si>
  <si>
    <t>#058543---#58607</t>
  </si>
  <si>
    <t>31-Ene ---03-Feb</t>
  </si>
  <si>
    <t>03-Febrero .,2015</t>
  </si>
  <si>
    <t>R-10577</t>
  </si>
  <si>
    <t>NOTAS OBRADOR</t>
  </si>
  <si>
    <t xml:space="preserve">SUB TOTAL </t>
  </si>
  <si>
    <t>SUB TOTAL 2</t>
  </si>
  <si>
    <t># 58608---# 58682</t>
  </si>
  <si>
    <t>04-Febrero .,2015</t>
  </si>
  <si>
    <t>03-Feb--04-Feb</t>
  </si>
  <si>
    <t>NOMINA 05</t>
  </si>
  <si>
    <t>vac- Marisol</t>
  </si>
  <si>
    <t>menos inventario inicial</t>
  </si>
  <si>
    <t>NOMINA 06</t>
  </si>
  <si>
    <t>NOMINA 07</t>
  </si>
  <si>
    <t>NOMINA 08</t>
  </si>
  <si>
    <t>NOMINA 09</t>
  </si>
  <si>
    <t># 58683---# 58741</t>
  </si>
  <si>
    <t># 58742---# 58789</t>
  </si>
  <si>
    <t>BANCO</t>
  </si>
  <si>
    <t># 58790---# 58838</t>
  </si>
  <si>
    <t>Cerrajero-policia</t>
  </si>
  <si>
    <t># 58839---# 58873</t>
  </si>
  <si>
    <t>#58874---# 58917</t>
  </si>
  <si>
    <t>#58918---# 58980</t>
  </si>
  <si>
    <t># 58981---# 59058</t>
  </si>
  <si>
    <t>04-Feb ---12-Feb</t>
  </si>
  <si>
    <t># 59059---# 59119</t>
  </si>
  <si>
    <t># 59120---# 59173</t>
  </si>
  <si>
    <t># 59174---# 59223</t>
  </si>
  <si>
    <t># 59224---# 59266</t>
  </si>
  <si>
    <t>#59267---# 59318</t>
  </si>
  <si>
    <t># 59319---# 59373</t>
  </si>
  <si>
    <t># 59374---# 59450</t>
  </si>
  <si>
    <t>12-Feb--16-Feb</t>
  </si>
  <si>
    <t>jamon--tocino</t>
  </si>
  <si>
    <t>#59451---# 59509</t>
  </si>
  <si>
    <t># 59510---# 59561</t>
  </si>
  <si>
    <t># 59562---# 59614</t>
  </si>
  <si>
    <t># 59615---59648</t>
  </si>
  <si>
    <t>16-Feb 500.00--21-Feb 4,662.90</t>
  </si>
  <si>
    <t>16-Feb 12,450.00--21-Feb 65,966.35</t>
  </si>
  <si>
    <t># 59649---# 59694</t>
  </si>
  <si>
    <t># 59695---# 59743</t>
  </si>
  <si>
    <t># 59744---# 59819</t>
  </si>
  <si>
    <t># 59820---# 59887</t>
  </si>
  <si>
    <t># 59988---# 59936</t>
  </si>
  <si>
    <t># 59937---# 59978</t>
  </si>
  <si>
    <t># 59979---# 60024</t>
  </si>
  <si>
    <t>21-Feb--28-Feb</t>
  </si>
  <si>
    <t>FECHA</t>
  </si>
  <si>
    <t>#</t>
  </si>
  <si>
    <t>IMPORTE</t>
  </si>
  <si>
    <t>PAGO</t>
  </si>
  <si>
    <t>SALDO</t>
  </si>
  <si>
    <t># 60025---# 60083</t>
  </si>
  <si>
    <t># 60084---# 60130</t>
  </si>
  <si>
    <t># 60131---# 60212</t>
  </si>
  <si>
    <t>REMISION OBRADOR</t>
  </si>
  <si>
    <t xml:space="preserve">BALANCE       DE   MARZO      2015     HERRADURA </t>
  </si>
  <si>
    <t># 60213---# 60267</t>
  </si>
  <si>
    <t># 60268---# 60318</t>
  </si>
  <si>
    <t># 60319---# 60362</t>
  </si>
  <si>
    <t># 60363---# 60404</t>
  </si>
  <si>
    <t># 60405---# 60458</t>
  </si>
  <si>
    <t># 60459---# 60507</t>
  </si>
  <si>
    <t># 60508---# 60583</t>
  </si>
  <si>
    <t># 60584--# 60654</t>
  </si>
  <si>
    <t>tocino-jamon</t>
  </si>
  <si>
    <t># 60655---# 60711</t>
  </si>
  <si>
    <t xml:space="preserve">28-Feb ---12-Mar </t>
  </si>
  <si>
    <t>NOMINA 10</t>
  </si>
  <si>
    <t>NOMINA 11</t>
  </si>
  <si>
    <t>NOMINA 12</t>
  </si>
  <si>
    <t>NOMINA 13</t>
  </si>
  <si>
    <t># 60914---# 60985</t>
  </si>
  <si>
    <t># 60986---# 61053</t>
  </si>
  <si>
    <t># 60712---# 60761</t>
  </si>
  <si>
    <t># 60762---# 60810</t>
  </si>
  <si>
    <t># 60811---# 60870</t>
  </si>
  <si>
    <t># 60871---# 60913</t>
  </si>
  <si>
    <t># 61054---# 61115</t>
  </si>
  <si>
    <t># 61116---# 61175</t>
  </si>
  <si>
    <t># 61176---# 61230</t>
  </si>
  <si>
    <t># 61231---# 61282</t>
  </si>
  <si>
    <t># 61283---# 61324</t>
  </si>
  <si>
    <t>12-Mar 33,161.71--24-Mar 7,655.09</t>
  </si>
  <si>
    <t>fumigacion</t>
  </si>
  <si>
    <t># 61325---# 61406</t>
  </si>
  <si>
    <t># 61407---# 61484</t>
  </si>
  <si>
    <t># 61485---# 61530</t>
  </si>
  <si>
    <t># 61531---# 51567</t>
  </si>
  <si>
    <t># 61568---# 61612</t>
  </si>
  <si>
    <t># 61613---# 61662</t>
  </si>
  <si>
    <t xml:space="preserve">24-Mar --30-Mar </t>
  </si>
  <si>
    <t># 61663---# 61709</t>
  </si>
  <si>
    <t># 61710---61784</t>
  </si>
  <si>
    <t># 61785---# 61846</t>
  </si>
  <si>
    <t># 61847---# 61894</t>
  </si>
  <si>
    <t>NOMINA  14</t>
  </si>
  <si>
    <t>a</t>
  </si>
  <si>
    <t>CREDITOS</t>
  </si>
  <si>
    <t xml:space="preserve">Sub Total </t>
  </si>
  <si>
    <t xml:space="preserve">BALANCE       DE   ABRIL       2015     HERRADURA </t>
  </si>
  <si>
    <t>NOMINA 14</t>
  </si>
  <si>
    <t>NOMINA 15</t>
  </si>
  <si>
    <t>NOMINA 16</t>
  </si>
  <si>
    <t>NOMINA 17</t>
  </si>
  <si>
    <t>NOMINA  18</t>
  </si>
  <si>
    <t># 61943---# 61972</t>
  </si>
  <si>
    <t># 61973---# 62024</t>
  </si>
  <si>
    <t># 62025---# 62092</t>
  </si>
  <si>
    <t>SOAPAP 5-Abril</t>
  </si>
  <si>
    <t># 62093---# 62162</t>
  </si>
  <si>
    <t># 62163---# 62218</t>
  </si>
  <si>
    <t># 62219---# 62266</t>
  </si>
  <si>
    <t>ABONO</t>
  </si>
  <si>
    <t># 62267---# 62306</t>
  </si>
  <si>
    <t># 62307---# 62362</t>
  </si>
  <si>
    <t># 62363---# 62426</t>
  </si>
  <si>
    <t># 62427---# 62487</t>
  </si>
  <si>
    <t># 62488 ---# 62555</t>
  </si>
  <si>
    <t># 62556---# 62607</t>
  </si>
  <si>
    <t># 62608---# 62650</t>
  </si>
  <si>
    <t># 62651---# 62692</t>
  </si>
  <si>
    <t>Folio 1305</t>
  </si>
  <si>
    <t>S/Rem 17425</t>
  </si>
  <si>
    <t>Folio 1298</t>
  </si>
  <si>
    <t>S/Rem 16197</t>
  </si>
  <si>
    <t>dif precio vaciada</t>
  </si>
  <si>
    <t>sin Remision</t>
  </si>
  <si>
    <t>Abono</t>
  </si>
  <si>
    <t xml:space="preserve">30-Mar--09-Abril --20-Abril </t>
  </si>
  <si>
    <t>09-Abril---20-Abril</t>
  </si>
  <si>
    <t xml:space="preserve">09-Abril ---20-Abril </t>
  </si>
  <si>
    <t># 62693---# 62750</t>
  </si>
  <si>
    <t># 62751---# 62817</t>
  </si>
  <si>
    <t># 62818---# 62880</t>
  </si>
  <si>
    <t># 62881---# 62950</t>
  </si>
  <si>
    <t># 62951---# 63000</t>
  </si>
  <si>
    <t># 63001---# 63048</t>
  </si>
  <si>
    <t># 63049---# 63093</t>
  </si>
  <si>
    <t># 63094---# 63148</t>
  </si>
  <si>
    <t># 63149---# 63214</t>
  </si>
  <si>
    <t>delantero</t>
  </si>
  <si>
    <t># 63215---# 63290</t>
  </si>
  <si>
    <t># 63291---# 63368</t>
  </si>
  <si>
    <t># 63369---# 63413</t>
  </si>
  <si>
    <t># 63414---# 63467</t>
  </si>
  <si>
    <t># 63468---# 63509</t>
  </si>
  <si>
    <t>Recepcion producto ????</t>
  </si>
  <si>
    <t>??????</t>
  </si>
  <si>
    <t>Recepcion de producto ???</t>
  </si>
  <si>
    <t># 63510---# 63576</t>
  </si>
  <si>
    <t xml:space="preserve">20-Abril -+-02-Mayo </t>
  </si>
  <si>
    <t>FOLIO???</t>
  </si>
  <si>
    <t>PERDIDA</t>
  </si>
  <si>
    <t xml:space="preserve">BALANCE       DE   M A Y O        2015     HERRADURA </t>
  </si>
  <si>
    <t>NOMINA 19</t>
  </si>
  <si>
    <t>NOMINA 20</t>
  </si>
  <si>
    <t>NOMINA 21</t>
  </si>
  <si>
    <t>NOMINA 22</t>
  </si>
  <si>
    <t>NOMINA  23</t>
  </si>
  <si>
    <t xml:space="preserve">SOAPAP </t>
  </si>
  <si>
    <t>#63577---# 63664</t>
  </si>
  <si>
    <t># 63665---# 63734</t>
  </si>
  <si>
    <t># 63735---# 63792</t>
  </si>
  <si>
    <t># 63793---# 63836</t>
  </si>
  <si>
    <t># 63837---# 63880</t>
  </si>
  <si>
    <t># 63881---# 63937</t>
  </si>
  <si>
    <t># 63938---# 63989</t>
  </si>
  <si>
    <t># 63990---# 64050</t>
  </si>
  <si>
    <t># 64051---# 64126</t>
  </si>
  <si>
    <t># 64127---# 64200</t>
  </si>
  <si>
    <t># 64201---# 64244</t>
  </si>
  <si>
    <t># 64245---# 64302</t>
  </si>
  <si>
    <t>Tripas-tocino</t>
  </si>
  <si>
    <t># 64303---# 64352</t>
  </si>
  <si>
    <t>SANTANDER</t>
  </si>
  <si>
    <t>02-May-16-May</t>
  </si>
  <si>
    <t>16-MaY--18-May</t>
  </si>
  <si>
    <t># 64353---# 64410</t>
  </si>
  <si>
    <t># 64411---# 64464</t>
  </si>
  <si>
    <t># 64465---# 64529</t>
  </si>
  <si>
    <t># 64530---# 64588</t>
  </si>
  <si>
    <t># 64589---# 64638</t>
  </si>
  <si>
    <t># 64639---# 64675</t>
  </si>
  <si>
    <t>16-May ---23-May</t>
  </si>
  <si>
    <t xml:space="preserve">23-May --29-May </t>
  </si>
  <si>
    <t># 64761---# 64822</t>
  </si>
  <si>
    <t># 64823---# 64875</t>
  </si>
  <si>
    <t># 64876---# 64928</t>
  </si>
  <si>
    <t># 64929---# 64977</t>
  </si>
  <si>
    <t># 64978---# 65016</t>
  </si>
  <si>
    <t># 65017---# 65058</t>
  </si>
  <si>
    <t xml:space="preserve">tripas  </t>
  </si>
  <si>
    <t># 65059---# 65103</t>
  </si>
  <si>
    <t># 65104---# 65158</t>
  </si>
  <si>
    <t># 65159---# 65223</t>
  </si>
  <si>
    <t># 65224---# 65296</t>
  </si>
  <si>
    <t># 64676---# 64715</t>
  </si>
  <si>
    <t># 64716---# 64760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</si>
</sst>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&quot;$&quot;#,##0.00"/>
    <numFmt numFmtId="165" formatCode="[$-C0A]dd\-mmm\-yy;@"/>
    <numFmt numFmtId="166" formatCode="[$-C0A]d\-mmm\-yy;@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u/>
      <sz val="11"/>
      <color rgb="FF0000FF"/>
      <name val="Cambria"/>
      <family val="1"/>
      <scheme val="major"/>
    </font>
    <font>
      <b/>
      <sz val="11"/>
      <color indexed="8"/>
      <name val="Calibri"/>
      <family val="2"/>
    </font>
    <font>
      <b/>
      <sz val="12"/>
      <color theme="1"/>
      <name val="Calibri"/>
      <family val="2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</font>
    <font>
      <b/>
      <sz val="9"/>
      <color rgb="FF0000FF"/>
      <name val="Calibri"/>
      <family val="2"/>
      <scheme val="minor"/>
    </font>
    <font>
      <b/>
      <sz val="8"/>
      <color theme="1"/>
      <name val="Calibri"/>
      <family val="2"/>
    </font>
    <font>
      <b/>
      <sz val="11"/>
      <color rgb="FF0000FF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8"/>
      <color rgb="FF0000FF"/>
      <name val="Calibri"/>
      <family val="2"/>
    </font>
    <font>
      <b/>
      <u val="singleAccounting"/>
      <sz val="9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auto="1"/>
      </left>
      <right/>
      <top style="double">
        <color auto="1"/>
      </top>
      <bottom style="medium">
        <color auto="1"/>
      </bottom>
      <diagonal/>
    </border>
    <border>
      <left/>
      <right style="mediumDashed">
        <color auto="1"/>
      </right>
      <top style="double">
        <color auto="1"/>
      </top>
      <bottom style="medium">
        <color auto="1"/>
      </bottom>
      <diagonal/>
    </border>
    <border>
      <left style="mediumDashed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Dashed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44" fontId="15" fillId="0" borderId="0" applyFont="0" applyFill="0" applyBorder="0" applyAlignment="0" applyProtection="0"/>
  </cellStyleXfs>
  <cellXfs count="410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0" fillId="0" borderId="11" xfId="0" applyNumberFormat="1" applyBorder="1"/>
    <xf numFmtId="0" fontId="0" fillId="0" borderId="10" xfId="0" applyBorder="1"/>
    <xf numFmtId="0" fontId="0" fillId="0" borderId="12" xfId="0" applyBorder="1"/>
    <xf numFmtId="164" fontId="0" fillId="0" borderId="13" xfId="0" applyNumberFormat="1" applyBorder="1"/>
    <xf numFmtId="0" fontId="0" fillId="0" borderId="15" xfId="0" applyBorder="1"/>
    <xf numFmtId="0" fontId="4" fillId="0" borderId="0" xfId="0" applyFont="1" applyAlignment="1">
      <alignment horizontal="center"/>
    </xf>
    <xf numFmtId="0" fontId="0" fillId="0" borderId="0" xfId="0" applyBorder="1"/>
    <xf numFmtId="0" fontId="4" fillId="0" borderId="1" xfId="0" applyFont="1" applyBorder="1"/>
    <xf numFmtId="0" fontId="8" fillId="0" borderId="1" xfId="0" applyFont="1" applyBorder="1"/>
    <xf numFmtId="0" fontId="0" fillId="0" borderId="23" xfId="0" applyBorder="1"/>
    <xf numFmtId="164" fontId="1" fillId="0" borderId="0" xfId="0" applyNumberFormat="1" applyFont="1" applyAlignment="1">
      <alignment horizontal="center"/>
    </xf>
    <xf numFmtId="0" fontId="0" fillId="0" borderId="24" xfId="0" applyBorder="1"/>
    <xf numFmtId="164" fontId="0" fillId="0" borderId="0" xfId="0" applyNumberFormat="1" applyFill="1" applyBorder="1"/>
    <xf numFmtId="164" fontId="0" fillId="0" borderId="0" xfId="0" applyNumberFormat="1" applyBorder="1"/>
    <xf numFmtId="16" fontId="0" fillId="0" borderId="0" xfId="0" applyNumberFormat="1"/>
    <xf numFmtId="164" fontId="0" fillId="0" borderId="0" xfId="0" applyNumberFormat="1" applyFill="1"/>
    <xf numFmtId="0" fontId="0" fillId="0" borderId="0" xfId="0" applyFill="1"/>
    <xf numFmtId="15" fontId="0" fillId="0" borderId="14" xfId="0" applyNumberFormat="1" applyFill="1" applyBorder="1"/>
    <xf numFmtId="16" fontId="0" fillId="0" borderId="15" xfId="0" applyNumberFormat="1" applyBorder="1"/>
    <xf numFmtId="15" fontId="0" fillId="0" borderId="10" xfId="0" applyNumberFormat="1" applyFill="1" applyBorder="1"/>
    <xf numFmtId="15" fontId="0" fillId="0" borderId="15" xfId="0" applyNumberFormat="1" applyFill="1" applyBorder="1"/>
    <xf numFmtId="0" fontId="0" fillId="0" borderId="0" xfId="0" applyFill="1" applyBorder="1"/>
    <xf numFmtId="164" fontId="9" fillId="0" borderId="0" xfId="0" applyNumberFormat="1" applyFont="1" applyFill="1"/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164" fontId="5" fillId="0" borderId="0" xfId="0" applyNumberFormat="1" applyFont="1" applyFill="1"/>
    <xf numFmtId="164" fontId="14" fillId="0" borderId="0" xfId="0" applyNumberFormat="1" applyFont="1"/>
    <xf numFmtId="0" fontId="0" fillId="0" borderId="29" xfId="0" applyBorder="1"/>
    <xf numFmtId="0" fontId="10" fillId="0" borderId="0" xfId="0" applyFont="1" applyBorder="1"/>
    <xf numFmtId="16" fontId="0" fillId="0" borderId="0" xfId="0" applyNumberFormat="1" applyBorder="1"/>
    <xf numFmtId="165" fontId="0" fillId="0" borderId="0" xfId="0" applyNumberFormat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5" fontId="5" fillId="0" borderId="18" xfId="0" applyNumberFormat="1" applyFont="1" applyBorder="1" applyAlignment="1">
      <alignment horizontal="center"/>
    </xf>
    <xf numFmtId="165" fontId="4" fillId="0" borderId="6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44" fontId="0" fillId="0" borderId="0" xfId="1" applyFont="1"/>
    <xf numFmtId="44" fontId="2" fillId="0" borderId="19" xfId="1" applyFont="1" applyBorder="1" applyAlignment="1">
      <alignment horizontal="center"/>
    </xf>
    <xf numFmtId="44" fontId="1" fillId="0" borderId="5" xfId="1" applyFont="1" applyFill="1" applyBorder="1"/>
    <xf numFmtId="44" fontId="0" fillId="0" borderId="5" xfId="1" applyFont="1" applyBorder="1"/>
    <xf numFmtId="44" fontId="1" fillId="0" borderId="7" xfId="1" applyFont="1" applyBorder="1"/>
    <xf numFmtId="44" fontId="3" fillId="0" borderId="0" xfId="1" applyFont="1"/>
    <xf numFmtId="44" fontId="0" fillId="0" borderId="0" xfId="1" applyFont="1" applyFill="1" applyBorder="1"/>
    <xf numFmtId="44" fontId="1" fillId="0" borderId="0" xfId="1" applyFont="1" applyAlignment="1">
      <alignment horizontal="center"/>
    </xf>
    <xf numFmtId="44" fontId="1" fillId="0" borderId="11" xfId="1" applyFont="1" applyFill="1" applyBorder="1"/>
    <xf numFmtId="44" fontId="0" fillId="0" borderId="11" xfId="1" applyFont="1" applyBorder="1"/>
    <xf numFmtId="44" fontId="0" fillId="0" borderId="13" xfId="1" applyFont="1" applyBorder="1"/>
    <xf numFmtId="44" fontId="4" fillId="0" borderId="0" xfId="1" applyFont="1"/>
    <xf numFmtId="44" fontId="0" fillId="0" borderId="0" xfId="1" applyFont="1" applyBorder="1"/>
    <xf numFmtId="44" fontId="1" fillId="0" borderId="0" xfId="1" applyFont="1" applyBorder="1"/>
    <xf numFmtId="44" fontId="0" fillId="0" borderId="24" xfId="1" applyFont="1" applyBorder="1"/>
    <xf numFmtId="44" fontId="1" fillId="0" borderId="0" xfId="1" applyFont="1"/>
    <xf numFmtId="44" fontId="4" fillId="0" borderId="28" xfId="1" applyFont="1" applyBorder="1"/>
    <xf numFmtId="44" fontId="1" fillId="0" borderId="32" xfId="1" applyFont="1" applyFill="1" applyBorder="1"/>
    <xf numFmtId="44" fontId="1" fillId="0" borderId="33" xfId="1" applyFont="1" applyFill="1" applyBorder="1"/>
    <xf numFmtId="44" fontId="1" fillId="0" borderId="16" xfId="1" applyFont="1" applyFill="1" applyBorder="1"/>
    <xf numFmtId="44" fontId="0" fillId="0" borderId="16" xfId="1" applyFont="1" applyBorder="1"/>
    <xf numFmtId="44" fontId="0" fillId="0" borderId="17" xfId="1" applyFont="1" applyBorder="1"/>
    <xf numFmtId="44" fontId="6" fillId="0" borderId="0" xfId="1" applyFont="1" applyAlignment="1">
      <alignment horizontal="center" vertical="center" wrapText="1"/>
    </xf>
    <xf numFmtId="44" fontId="1" fillId="0" borderId="20" xfId="1" applyFont="1" applyBorder="1"/>
    <xf numFmtId="0" fontId="0" fillId="0" borderId="34" xfId="0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36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164" fontId="10" fillId="0" borderId="0" xfId="0" applyNumberFormat="1" applyFont="1" applyFill="1"/>
    <xf numFmtId="0" fontId="9" fillId="0" borderId="0" xfId="0" applyFont="1" applyFill="1" applyBorder="1"/>
    <xf numFmtId="44" fontId="0" fillId="0" borderId="0" xfId="1" applyFont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5" fontId="0" fillId="0" borderId="30" xfId="0" applyNumberFormat="1" applyFill="1" applyBorder="1"/>
    <xf numFmtId="0" fontId="16" fillId="0" borderId="34" xfId="0" applyFont="1" applyBorder="1" applyAlignment="1">
      <alignment horizontal="center"/>
    </xf>
    <xf numFmtId="44" fontId="0" fillId="0" borderId="0" xfId="0" applyNumberFormat="1"/>
    <xf numFmtId="0" fontId="0" fillId="3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34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44" fontId="1" fillId="0" borderId="29" xfId="1" applyFont="1" applyFill="1" applyBorder="1"/>
    <xf numFmtId="44" fontId="1" fillId="0" borderId="0" xfId="1" applyFont="1" applyFill="1" applyBorder="1"/>
    <xf numFmtId="44" fontId="11" fillId="0" borderId="0" xfId="1" applyFont="1" applyFill="1" applyBorder="1"/>
    <xf numFmtId="44" fontId="17" fillId="0" borderId="0" xfId="1" applyFont="1" applyFill="1" applyBorder="1"/>
    <xf numFmtId="44" fontId="1" fillId="4" borderId="5" xfId="1" applyFont="1" applyFill="1" applyBorder="1"/>
    <xf numFmtId="44" fontId="1" fillId="4" borderId="11" xfId="1" applyFont="1" applyFill="1" applyBorder="1"/>
    <xf numFmtId="44" fontId="1" fillId="4" borderId="16" xfId="1" applyFont="1" applyFill="1" applyBorder="1"/>
    <xf numFmtId="44" fontId="3" fillId="0" borderId="20" xfId="1" applyFont="1" applyBorder="1"/>
    <xf numFmtId="0" fontId="0" fillId="4" borderId="34" xfId="0" applyFill="1" applyBorder="1" applyAlignment="1">
      <alignment horizontal="center"/>
    </xf>
    <xf numFmtId="0" fontId="18" fillId="0" borderId="1" xfId="0" applyFont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4" fontId="1" fillId="4" borderId="32" xfId="1" applyFont="1" applyFill="1" applyBorder="1"/>
    <xf numFmtId="0" fontId="20" fillId="0" borderId="0" xfId="0" applyFont="1"/>
    <xf numFmtId="164" fontId="21" fillId="0" borderId="0" xfId="0" applyNumberFormat="1" applyFont="1" applyFill="1" applyBorder="1"/>
    <xf numFmtId="44" fontId="21" fillId="0" borderId="0" xfId="1" applyFont="1" applyFill="1" applyBorder="1"/>
    <xf numFmtId="165" fontId="1" fillId="0" borderId="0" xfId="0" applyNumberFormat="1" applyFont="1" applyFill="1" applyBorder="1"/>
    <xf numFmtId="0" fontId="22" fillId="0" borderId="0" xfId="0" applyFont="1" applyFill="1" applyBorder="1" applyAlignment="1">
      <alignment horizontal="center"/>
    </xf>
    <xf numFmtId="0" fontId="21" fillId="0" borderId="0" xfId="0" applyFont="1" applyFill="1" applyBorder="1"/>
    <xf numFmtId="164" fontId="1" fillId="0" borderId="0" xfId="0" applyNumberFormat="1" applyFont="1" applyFill="1" applyBorder="1"/>
    <xf numFmtId="14" fontId="1" fillId="0" borderId="0" xfId="0" applyNumberFormat="1" applyFont="1" applyFill="1" applyBorder="1"/>
    <xf numFmtId="164" fontId="23" fillId="0" borderId="0" xfId="0" applyNumberFormat="1" applyFont="1" applyFill="1" applyBorder="1"/>
    <xf numFmtId="165" fontId="1" fillId="0" borderId="0" xfId="0" applyNumberFormat="1" applyFont="1"/>
    <xf numFmtId="1" fontId="1" fillId="0" borderId="0" xfId="0" applyNumberFormat="1" applyFont="1" applyAlignment="1">
      <alignment horizontal="center"/>
    </xf>
    <xf numFmtId="164" fontId="24" fillId="0" borderId="42" xfId="0" applyNumberFormat="1" applyFont="1" applyFill="1" applyBorder="1"/>
    <xf numFmtId="165" fontId="19" fillId="0" borderId="42" xfId="0" applyNumberFormat="1" applyFont="1" applyFill="1" applyBorder="1"/>
    <xf numFmtId="44" fontId="24" fillId="0" borderId="42" xfId="1" applyFont="1" applyFill="1" applyBorder="1"/>
    <xf numFmtId="164" fontId="23" fillId="0" borderId="42" xfId="0" applyNumberFormat="1" applyFont="1" applyFill="1" applyBorder="1"/>
    <xf numFmtId="0" fontId="19" fillId="4" borderId="42" xfId="0" applyFont="1" applyFill="1" applyBorder="1"/>
    <xf numFmtId="0" fontId="14" fillId="0" borderId="42" xfId="0" applyFont="1" applyBorder="1"/>
    <xf numFmtId="44" fontId="19" fillId="0" borderId="42" xfId="1" applyFont="1" applyBorder="1"/>
    <xf numFmtId="0" fontId="0" fillId="0" borderId="42" xfId="0" applyBorder="1"/>
    <xf numFmtId="164" fontId="24" fillId="4" borderId="42" xfId="0" applyNumberFormat="1" applyFont="1" applyFill="1" applyBorder="1"/>
    <xf numFmtId="44" fontId="1" fillId="0" borderId="42" xfId="1" applyFont="1" applyBorder="1"/>
    <xf numFmtId="0" fontId="9" fillId="0" borderId="15" xfId="0" applyFont="1" applyBorder="1"/>
    <xf numFmtId="165" fontId="1" fillId="0" borderId="24" xfId="0" applyNumberFormat="1" applyFont="1" applyBorder="1"/>
    <xf numFmtId="1" fontId="1" fillId="0" borderId="24" xfId="0" applyNumberFormat="1" applyFont="1" applyBorder="1" applyAlignment="1">
      <alignment horizontal="center"/>
    </xf>
    <xf numFmtId="44" fontId="1" fillId="0" borderId="24" xfId="1" applyFont="1" applyBorder="1"/>
    <xf numFmtId="0" fontId="19" fillId="0" borderId="42" xfId="0" applyFont="1" applyFill="1" applyBorder="1"/>
    <xf numFmtId="0" fontId="19" fillId="0" borderId="42" xfId="0" applyFont="1" applyBorder="1"/>
    <xf numFmtId="0" fontId="1" fillId="0" borderId="42" xfId="0" applyFont="1" applyBorder="1"/>
    <xf numFmtId="44" fontId="1" fillId="5" borderId="42" xfId="0" applyNumberFormat="1" applyFont="1" applyFill="1" applyBorder="1"/>
    <xf numFmtId="44" fontId="21" fillId="0" borderId="42" xfId="1" applyFont="1" applyFill="1" applyBorder="1"/>
    <xf numFmtId="44" fontId="13" fillId="0" borderId="0" xfId="1" applyFont="1"/>
    <xf numFmtId="165" fontId="19" fillId="0" borderId="43" xfId="0" applyNumberFormat="1" applyFont="1" applyFill="1" applyBorder="1"/>
    <xf numFmtId="44" fontId="19" fillId="0" borderId="43" xfId="1" applyFont="1" applyBorder="1"/>
    <xf numFmtId="164" fontId="24" fillId="0" borderId="0" xfId="0" applyNumberFormat="1" applyFont="1" applyFill="1" applyBorder="1"/>
    <xf numFmtId="165" fontId="19" fillId="0" borderId="0" xfId="0" applyNumberFormat="1" applyFont="1" applyFill="1" applyBorder="1"/>
    <xf numFmtId="44" fontId="19" fillId="0" borderId="0" xfId="1" applyFont="1" applyBorder="1"/>
    <xf numFmtId="0" fontId="1" fillId="0" borderId="0" xfId="0" applyFont="1" applyBorder="1"/>
    <xf numFmtId="164" fontId="24" fillId="0" borderId="44" xfId="0" applyNumberFormat="1" applyFont="1" applyFill="1" applyBorder="1"/>
    <xf numFmtId="0" fontId="1" fillId="0" borderId="45" xfId="0" applyFont="1" applyBorder="1"/>
    <xf numFmtId="44" fontId="19" fillId="0" borderId="47" xfId="1" applyFont="1" applyBorder="1"/>
    <xf numFmtId="165" fontId="19" fillId="0" borderId="46" xfId="0" applyNumberFormat="1" applyFont="1" applyFill="1" applyBorder="1" applyAlignment="1">
      <alignment horizontal="right"/>
    </xf>
    <xf numFmtId="16" fontId="21" fillId="0" borderId="0" xfId="1" applyNumberFormat="1" applyFont="1" applyFill="1" applyBorder="1"/>
    <xf numFmtId="165" fontId="1" fillId="0" borderId="42" xfId="0" applyNumberFormat="1" applyFont="1" applyFill="1" applyBorder="1" applyAlignment="1">
      <alignment horizontal="center"/>
    </xf>
    <xf numFmtId="0" fontId="22" fillId="0" borderId="25" xfId="0" applyFont="1" applyFill="1" applyBorder="1" applyAlignment="1">
      <alignment horizontal="center"/>
    </xf>
    <xf numFmtId="165" fontId="17" fillId="0" borderId="0" xfId="0" applyNumberFormat="1" applyFont="1" applyFill="1" applyBorder="1"/>
    <xf numFmtId="166" fontId="1" fillId="0" borderId="0" xfId="0" applyNumberFormat="1" applyFont="1" applyFill="1" applyBorder="1"/>
    <xf numFmtId="166" fontId="17" fillId="0" borderId="0" xfId="0" applyNumberFormat="1" applyFont="1" applyFill="1" applyBorder="1"/>
    <xf numFmtId="44" fontId="19" fillId="4" borderId="42" xfId="1" applyFont="1" applyFill="1" applyBorder="1"/>
    <xf numFmtId="44" fontId="24" fillId="4" borderId="42" xfId="1" applyFont="1" applyFill="1" applyBorder="1"/>
    <xf numFmtId="44" fontId="0" fillId="0" borderId="42" xfId="1" applyFont="1" applyBorder="1"/>
    <xf numFmtId="44" fontId="19" fillId="0" borderId="42" xfId="1" applyFont="1" applyFill="1" applyBorder="1"/>
    <xf numFmtId="44" fontId="24" fillId="0" borderId="43" xfId="1" applyFont="1" applyFill="1" applyBorder="1"/>
    <xf numFmtId="44" fontId="24" fillId="0" borderId="0" xfId="1" applyFont="1" applyFill="1" applyBorder="1"/>
    <xf numFmtId="44" fontId="1" fillId="0" borderId="27" xfId="1" applyFont="1" applyFill="1" applyBorder="1"/>
    <xf numFmtId="44" fontId="23" fillId="0" borderId="27" xfId="1" applyFont="1" applyFill="1" applyBorder="1"/>
    <xf numFmtId="44" fontId="21" fillId="0" borderId="25" xfId="1" applyFont="1" applyFill="1" applyBorder="1"/>
    <xf numFmtId="44" fontId="1" fillId="0" borderId="25" xfId="1" applyFont="1" applyFill="1" applyBorder="1"/>
    <xf numFmtId="165" fontId="23" fillId="0" borderId="42" xfId="0" applyNumberFormat="1" applyFont="1" applyFill="1" applyBorder="1"/>
    <xf numFmtId="165" fontId="1" fillId="0" borderId="42" xfId="0" applyNumberFormat="1" applyFont="1" applyBorder="1"/>
    <xf numFmtId="44" fontId="24" fillId="0" borderId="48" xfId="1" applyFont="1" applyFill="1" applyBorder="1"/>
    <xf numFmtId="0" fontId="0" fillId="4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9" xfId="0" applyBorder="1"/>
    <xf numFmtId="0" fontId="0" fillId="0" borderId="50" xfId="0" applyBorder="1"/>
    <xf numFmtId="0" fontId="0" fillId="0" borderId="51" xfId="0" applyBorder="1"/>
    <xf numFmtId="164" fontId="0" fillId="0" borderId="52" xfId="0" applyNumberFormat="1" applyBorder="1"/>
    <xf numFmtId="0" fontId="10" fillId="0" borderId="51" xfId="0" applyFont="1" applyBorder="1"/>
    <xf numFmtId="0" fontId="9" fillId="0" borderId="51" xfId="0" applyFont="1" applyFill="1" applyBorder="1"/>
    <xf numFmtId="44" fontId="0" fillId="0" borderId="52" xfId="1" applyFont="1" applyBorder="1" applyAlignment="1">
      <alignment horizontal="center"/>
    </xf>
    <xf numFmtId="0" fontId="0" fillId="0" borderId="51" xfId="0" applyFill="1" applyBorder="1"/>
    <xf numFmtId="44" fontId="0" fillId="0" borderId="52" xfId="1" applyFont="1" applyFill="1" applyBorder="1" applyAlignment="1">
      <alignment horizontal="center"/>
    </xf>
    <xf numFmtId="16" fontId="0" fillId="0" borderId="51" xfId="0" applyNumberFormat="1" applyBorder="1"/>
    <xf numFmtId="44" fontId="0" fillId="0" borderId="52" xfId="1" applyFont="1" applyBorder="1"/>
    <xf numFmtId="0" fontId="9" fillId="0" borderId="51" xfId="0" applyFont="1" applyBorder="1"/>
    <xf numFmtId="0" fontId="0" fillId="0" borderId="0" xfId="0" applyAlignment="1">
      <alignment horizontal="right"/>
    </xf>
    <xf numFmtId="0" fontId="13" fillId="0" borderId="0" xfId="0" applyFont="1" applyFill="1" applyBorder="1" applyAlignment="1">
      <alignment vertical="center"/>
    </xf>
    <xf numFmtId="164" fontId="7" fillId="0" borderId="0" xfId="0" applyNumberFormat="1" applyFont="1" applyFill="1" applyBorder="1" applyAlignment="1"/>
    <xf numFmtId="0" fontId="4" fillId="0" borderId="0" xfId="0" applyFont="1" applyAlignment="1">
      <alignment horizontal="right"/>
    </xf>
    <xf numFmtId="44" fontId="0" fillId="0" borderId="28" xfId="1" applyFont="1" applyBorder="1"/>
    <xf numFmtId="44" fontId="1" fillId="0" borderId="0" xfId="0" applyNumberFormat="1" applyFont="1" applyAlignment="1"/>
    <xf numFmtId="166" fontId="25" fillId="0" borderId="0" xfId="0" applyNumberFormat="1" applyFont="1" applyFill="1" applyBorder="1"/>
    <xf numFmtId="44" fontId="26" fillId="0" borderId="0" xfId="1" applyFont="1" applyFill="1" applyBorder="1"/>
    <xf numFmtId="166" fontId="27" fillId="0" borderId="0" xfId="0" applyNumberFormat="1" applyFont="1" applyFill="1" applyBorder="1"/>
    <xf numFmtId="166" fontId="3" fillId="0" borderId="0" xfId="0" applyNumberFormat="1" applyFont="1" applyFill="1" applyBorder="1"/>
    <xf numFmtId="165" fontId="1" fillId="0" borderId="43" xfId="0" applyNumberFormat="1" applyFont="1" applyBorder="1"/>
    <xf numFmtId="165" fontId="19" fillId="0" borderId="54" xfId="0" applyNumberFormat="1" applyFont="1" applyFill="1" applyBorder="1" applyAlignment="1">
      <alignment horizontal="right"/>
    </xf>
    <xf numFmtId="44" fontId="19" fillId="0" borderId="55" xfId="1" applyFont="1" applyBorder="1"/>
    <xf numFmtId="0" fontId="1" fillId="0" borderId="56" xfId="0" applyFont="1" applyBorder="1"/>
    <xf numFmtId="1" fontId="19" fillId="0" borderId="42" xfId="0" applyNumberFormat="1" applyFont="1" applyFill="1" applyBorder="1"/>
    <xf numFmtId="1" fontId="0" fillId="0" borderId="42" xfId="0" applyNumberFormat="1" applyBorder="1"/>
    <xf numFmtId="1" fontId="24" fillId="0" borderId="42" xfId="0" applyNumberFormat="1" applyFont="1" applyFill="1" applyBorder="1" applyAlignment="1">
      <alignment horizontal="center"/>
    </xf>
    <xf numFmtId="1" fontId="19" fillId="0" borderId="42" xfId="0" applyNumberFormat="1" applyFont="1" applyFill="1" applyBorder="1" applyAlignment="1">
      <alignment horizontal="center"/>
    </xf>
    <xf numFmtId="1" fontId="24" fillId="0" borderId="43" xfId="0" applyNumberFormat="1" applyFont="1" applyFill="1" applyBorder="1" applyAlignment="1">
      <alignment horizontal="center"/>
    </xf>
    <xf numFmtId="1" fontId="0" fillId="0" borderId="42" xfId="0" applyNumberFormat="1" applyBorder="1" applyAlignment="1">
      <alignment horizontal="center"/>
    </xf>
    <xf numFmtId="1" fontId="24" fillId="0" borderId="53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6" fontId="1" fillId="0" borderId="42" xfId="0" applyNumberFormat="1" applyFont="1" applyBorder="1"/>
    <xf numFmtId="0" fontId="5" fillId="0" borderId="51" xfId="0" applyFont="1" applyFill="1" applyBorder="1"/>
    <xf numFmtId="0" fontId="0" fillId="0" borderId="0" xfId="0" applyFill="1" applyAlignment="1">
      <alignment horizontal="center"/>
    </xf>
    <xf numFmtId="44" fontId="0" fillId="0" borderId="0" xfId="1" applyFont="1" applyAlignment="1">
      <alignment horizontal="center"/>
    </xf>
    <xf numFmtId="44" fontId="7" fillId="0" borderId="0" xfId="1" applyFont="1" applyBorder="1" applyAlignment="1">
      <alignment horizontal="center"/>
    </xf>
    <xf numFmtId="44" fontId="0" fillId="0" borderId="0" xfId="1" applyFont="1" applyFill="1" applyAlignment="1">
      <alignment horizontal="center"/>
    </xf>
    <xf numFmtId="0" fontId="22" fillId="2" borderId="25" xfId="0" applyFont="1" applyFill="1" applyBorder="1" applyAlignment="1">
      <alignment horizontal="center"/>
    </xf>
    <xf numFmtId="0" fontId="0" fillId="0" borderId="42" xfId="0" applyFill="1" applyBorder="1"/>
    <xf numFmtId="44" fontId="1" fillId="0" borderId="42" xfId="1" applyFont="1" applyFill="1" applyBorder="1"/>
    <xf numFmtId="44" fontId="19" fillId="0" borderId="0" xfId="1" applyFont="1" applyFill="1" applyBorder="1"/>
    <xf numFmtId="0" fontId="1" fillId="0" borderId="0" xfId="0" applyFont="1" applyFill="1" applyBorder="1"/>
    <xf numFmtId="0" fontId="19" fillId="0" borderId="0" xfId="0" applyFont="1" applyFill="1" applyBorder="1"/>
    <xf numFmtId="0" fontId="14" fillId="0" borderId="0" xfId="0" applyFont="1" applyFill="1" applyBorder="1"/>
    <xf numFmtId="16" fontId="0" fillId="0" borderId="42" xfId="0" applyNumberFormat="1" applyFill="1" applyBorder="1"/>
    <xf numFmtId="44" fontId="23" fillId="0" borderId="0" xfId="1" applyFont="1" applyFill="1" applyBorder="1"/>
    <xf numFmtId="44" fontId="23" fillId="0" borderId="42" xfId="1" applyFont="1" applyFill="1" applyBorder="1"/>
    <xf numFmtId="165" fontId="21" fillId="0" borderId="0" xfId="1" applyNumberFormat="1" applyFon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44" fontId="1" fillId="0" borderId="43" xfId="1" applyFont="1" applyFill="1" applyBorder="1"/>
    <xf numFmtId="44" fontId="13" fillId="0" borderId="1" xfId="1" applyFont="1" applyBorder="1"/>
    <xf numFmtId="44" fontId="13" fillId="0" borderId="18" xfId="1" applyFont="1" applyBorder="1"/>
    <xf numFmtId="44" fontId="13" fillId="0" borderId="37" xfId="1" applyFont="1" applyBorder="1"/>
    <xf numFmtId="165" fontId="0" fillId="0" borderId="42" xfId="0" applyNumberFormat="1" applyFill="1" applyBorder="1"/>
    <xf numFmtId="165" fontId="0" fillId="0" borderId="42" xfId="0" applyNumberFormat="1" applyBorder="1"/>
    <xf numFmtId="165" fontId="21" fillId="6" borderId="0" xfId="1" applyNumberFormat="1" applyFont="1" applyFill="1" applyBorder="1" applyAlignment="1">
      <alignment horizontal="center"/>
    </xf>
    <xf numFmtId="165" fontId="21" fillId="7" borderId="0" xfId="1" applyNumberFormat="1" applyFont="1" applyFill="1" applyBorder="1" applyAlignment="1">
      <alignment horizontal="center"/>
    </xf>
    <xf numFmtId="165" fontId="19" fillId="0" borderId="42" xfId="0" applyNumberFormat="1" applyFont="1" applyFill="1" applyBorder="1" applyAlignment="1">
      <alignment horizontal="center"/>
    </xf>
    <xf numFmtId="165" fontId="1" fillId="0" borderId="42" xfId="0" applyNumberFormat="1" applyFont="1" applyFill="1" applyBorder="1"/>
    <xf numFmtId="16" fontId="0" fillId="0" borderId="42" xfId="0" applyNumberFormat="1" applyBorder="1"/>
    <xf numFmtId="165" fontId="28" fillId="0" borderId="25" xfId="1" applyNumberFormat="1" applyFont="1" applyFill="1" applyBorder="1"/>
    <xf numFmtId="165" fontId="1" fillId="0" borderId="43" xfId="0" applyNumberFormat="1" applyFont="1" applyFill="1" applyBorder="1"/>
    <xf numFmtId="44" fontId="21" fillId="0" borderId="43" xfId="1" applyFont="1" applyFill="1" applyBorder="1"/>
    <xf numFmtId="165" fontId="19" fillId="0" borderId="43" xfId="0" applyNumberFormat="1" applyFont="1" applyFill="1" applyBorder="1" applyAlignment="1">
      <alignment horizontal="center"/>
    </xf>
    <xf numFmtId="16" fontId="0" fillId="0" borderId="43" xfId="0" applyNumberFormat="1" applyBorder="1"/>
    <xf numFmtId="1" fontId="0" fillId="0" borderId="57" xfId="0" applyNumberFormat="1" applyBorder="1" applyAlignment="1">
      <alignment horizontal="center"/>
    </xf>
    <xf numFmtId="44" fontId="1" fillId="0" borderId="57" xfId="1" applyFont="1" applyBorder="1"/>
    <xf numFmtId="165" fontId="19" fillId="0" borderId="57" xfId="0" applyNumberFormat="1" applyFont="1" applyFill="1" applyBorder="1"/>
    <xf numFmtId="0" fontId="0" fillId="0" borderId="57" xfId="0" applyBorder="1"/>
    <xf numFmtId="0" fontId="0" fillId="0" borderId="43" xfId="0" applyBorder="1"/>
    <xf numFmtId="44" fontId="1" fillId="0" borderId="43" xfId="1" applyFont="1" applyBorder="1"/>
    <xf numFmtId="1" fontId="29" fillId="0" borderId="0" xfId="0" applyNumberFormat="1" applyFont="1" applyAlignment="1">
      <alignment horizontal="center"/>
    </xf>
    <xf numFmtId="1" fontId="29" fillId="0" borderId="42" xfId="0" applyNumberFormat="1" applyFont="1" applyBorder="1" applyAlignment="1">
      <alignment horizontal="center"/>
    </xf>
    <xf numFmtId="44" fontId="23" fillId="0" borderId="45" xfId="1" applyFont="1" applyFill="1" applyBorder="1"/>
    <xf numFmtId="44" fontId="0" fillId="0" borderId="0" xfId="1" applyFont="1" applyFill="1"/>
    <xf numFmtId="165" fontId="1" fillId="0" borderId="57" xfId="0" applyNumberFormat="1" applyFont="1" applyFill="1" applyBorder="1" applyAlignment="1">
      <alignment horizontal="center"/>
    </xf>
    <xf numFmtId="0" fontId="22" fillId="0" borderId="59" xfId="0" applyFont="1" applyFill="1" applyBorder="1" applyAlignment="1">
      <alignment horizontal="center"/>
    </xf>
    <xf numFmtId="44" fontId="21" fillId="0" borderId="59" xfId="1" applyFont="1" applyFill="1" applyBorder="1"/>
    <xf numFmtId="44" fontId="1" fillId="0" borderId="60" xfId="1" applyFont="1" applyFill="1" applyBorder="1"/>
    <xf numFmtId="165" fontId="19" fillId="0" borderId="1" xfId="0" applyNumberFormat="1" applyFont="1" applyBorder="1" applyAlignment="1">
      <alignment horizontal="center"/>
    </xf>
    <xf numFmtId="1" fontId="19" fillId="0" borderId="18" xfId="0" applyNumberFormat="1" applyFont="1" applyBorder="1" applyAlignment="1">
      <alignment horizontal="center"/>
    </xf>
    <xf numFmtId="1" fontId="24" fillId="0" borderId="0" xfId="0" applyNumberFormat="1" applyFont="1" applyFill="1" applyBorder="1" applyAlignment="1">
      <alignment horizontal="center"/>
    </xf>
    <xf numFmtId="165" fontId="0" fillId="0" borderId="0" xfId="0" applyNumberFormat="1" applyFill="1" applyBorder="1"/>
    <xf numFmtId="165" fontId="19" fillId="0" borderId="0" xfId="0" applyNumberFormat="1" applyFont="1" applyFill="1" applyBorder="1" applyAlignment="1">
      <alignment horizontal="center"/>
    </xf>
    <xf numFmtId="16" fontId="0" fillId="0" borderId="0" xfId="0" applyNumberFormat="1" applyFill="1" applyBorder="1"/>
    <xf numFmtId="44" fontId="19" fillId="0" borderId="18" xfId="1" applyFont="1" applyBorder="1" applyAlignment="1">
      <alignment horizontal="center"/>
    </xf>
    <xf numFmtId="44" fontId="19" fillId="0" borderId="37" xfId="1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44" fontId="1" fillId="0" borderId="36" xfId="1" applyFont="1" applyBorder="1" applyAlignment="1">
      <alignment horizontal="center"/>
    </xf>
    <xf numFmtId="165" fontId="21" fillId="0" borderId="42" xfId="1" applyNumberFormat="1" applyFont="1" applyFill="1" applyBorder="1" applyAlignment="1">
      <alignment horizontal="center"/>
    </xf>
    <xf numFmtId="0" fontId="30" fillId="0" borderId="42" xfId="0" applyFont="1" applyBorder="1" applyAlignment="1">
      <alignment horizontal="center"/>
    </xf>
    <xf numFmtId="0" fontId="30" fillId="0" borderId="42" xfId="0" applyFont="1" applyFill="1" applyBorder="1" applyAlignment="1">
      <alignment horizontal="center"/>
    </xf>
    <xf numFmtId="165" fontId="30" fillId="0" borderId="42" xfId="0" applyNumberFormat="1" applyFont="1" applyFill="1" applyBorder="1" applyAlignment="1">
      <alignment horizontal="center"/>
    </xf>
    <xf numFmtId="1" fontId="31" fillId="0" borderId="42" xfId="0" applyNumberFormat="1" applyFont="1" applyFill="1" applyBorder="1" applyAlignment="1">
      <alignment horizontal="center"/>
    </xf>
    <xf numFmtId="1" fontId="24" fillId="2" borderId="42" xfId="0" applyNumberFormat="1" applyFont="1" applyFill="1" applyBorder="1" applyAlignment="1">
      <alignment horizontal="center"/>
    </xf>
    <xf numFmtId="1" fontId="19" fillId="2" borderId="42" xfId="0" applyNumberFormat="1" applyFont="1" applyFill="1" applyBorder="1" applyAlignment="1">
      <alignment horizontal="center"/>
    </xf>
    <xf numFmtId="0" fontId="30" fillId="2" borderId="42" xfId="0" applyFont="1" applyFill="1" applyBorder="1" applyAlignment="1">
      <alignment horizontal="center"/>
    </xf>
    <xf numFmtId="1" fontId="30" fillId="2" borderId="42" xfId="0" applyNumberFormat="1" applyFont="1" applyFill="1" applyBorder="1" applyAlignment="1">
      <alignment horizontal="center"/>
    </xf>
    <xf numFmtId="44" fontId="1" fillId="2" borderId="42" xfId="1" applyFont="1" applyFill="1" applyBorder="1"/>
    <xf numFmtId="44" fontId="23" fillId="2" borderId="42" xfId="1" applyFont="1" applyFill="1" applyBorder="1"/>
    <xf numFmtId="44" fontId="1" fillId="2" borderId="43" xfId="1" applyFont="1" applyFill="1" applyBorder="1"/>
    <xf numFmtId="44" fontId="1" fillId="8" borderId="42" xfId="1" applyFont="1" applyFill="1" applyBorder="1"/>
    <xf numFmtId="16" fontId="0" fillId="8" borderId="42" xfId="0" applyNumberFormat="1" applyFill="1" applyBorder="1"/>
    <xf numFmtId="44" fontId="23" fillId="2" borderId="43" xfId="1" applyFont="1" applyFill="1" applyBorder="1"/>
    <xf numFmtId="44" fontId="0" fillId="0" borderId="61" xfId="1" applyFont="1" applyBorder="1"/>
    <xf numFmtId="165" fontId="25" fillId="0" borderId="0" xfId="0" applyNumberFormat="1" applyFont="1" applyFill="1" applyBorder="1"/>
    <xf numFmtId="44" fontId="3" fillId="0" borderId="0" xfId="1" applyFont="1" applyBorder="1"/>
    <xf numFmtId="16" fontId="3" fillId="0" borderId="0" xfId="1" applyNumberFormat="1" applyFont="1"/>
    <xf numFmtId="16" fontId="3" fillId="0" borderId="0" xfId="1" applyNumberFormat="1" applyFont="1" applyBorder="1"/>
    <xf numFmtId="165" fontId="21" fillId="9" borderId="0" xfId="1" applyNumberFormat="1" applyFont="1" applyFill="1" applyBorder="1" applyAlignment="1">
      <alignment horizontal="center"/>
    </xf>
    <xf numFmtId="16" fontId="0" fillId="0" borderId="0" xfId="0" applyNumberFormat="1" applyFill="1"/>
    <xf numFmtId="1" fontId="30" fillId="0" borderId="42" xfId="0" applyNumberFormat="1" applyFont="1" applyFill="1" applyBorder="1" applyAlignment="1">
      <alignment horizontal="center"/>
    </xf>
    <xf numFmtId="165" fontId="21" fillId="0" borderId="25" xfId="1" applyNumberFormat="1" applyFont="1" applyFill="1" applyBorder="1"/>
    <xf numFmtId="165" fontId="1" fillId="0" borderId="0" xfId="0" applyNumberFormat="1" applyFont="1" applyAlignment="1">
      <alignment horizontal="center"/>
    </xf>
    <xf numFmtId="165" fontId="1" fillId="0" borderId="42" xfId="0" applyNumberFormat="1" applyFont="1" applyBorder="1" applyAlignment="1">
      <alignment horizontal="center"/>
    </xf>
    <xf numFmtId="0" fontId="0" fillId="0" borderId="42" xfId="0" applyBorder="1" applyAlignment="1">
      <alignment horizontal="center"/>
    </xf>
    <xf numFmtId="165" fontId="1" fillId="0" borderId="24" xfId="0" applyNumberFormat="1" applyFont="1" applyBorder="1" applyAlignment="1">
      <alignment horizontal="center"/>
    </xf>
    <xf numFmtId="165" fontId="21" fillId="2" borderId="0" xfId="1" applyNumberFormat="1" applyFont="1" applyFill="1" applyBorder="1" applyAlignment="1">
      <alignment horizontal="center"/>
    </xf>
    <xf numFmtId="0" fontId="0" fillId="0" borderId="42" xfId="0" applyFont="1" applyBorder="1"/>
    <xf numFmtId="1" fontId="30" fillId="0" borderId="42" xfId="0" applyNumberFormat="1" applyFont="1" applyBorder="1" applyAlignment="1">
      <alignment horizontal="center"/>
    </xf>
    <xf numFmtId="0" fontId="32" fillId="0" borderId="42" xfId="0" applyFont="1" applyBorder="1"/>
    <xf numFmtId="1" fontId="29" fillId="0" borderId="25" xfId="0" applyNumberFormat="1" applyFont="1" applyFill="1" applyBorder="1" applyAlignment="1">
      <alignment horizontal="center"/>
    </xf>
    <xf numFmtId="0" fontId="22" fillId="0" borderId="42" xfId="0" applyFont="1" applyFill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1" fillId="0" borderId="43" xfId="0" applyNumberFormat="1" applyFont="1" applyFill="1" applyBorder="1" applyAlignment="1">
      <alignment horizontal="center"/>
    </xf>
    <xf numFmtId="1" fontId="29" fillId="0" borderId="0" xfId="0" applyNumberFormat="1" applyFont="1" applyBorder="1" applyAlignment="1">
      <alignment horizontal="center"/>
    </xf>
    <xf numFmtId="0" fontId="22" fillId="0" borderId="43" xfId="0" applyFont="1" applyFill="1" applyBorder="1" applyAlignment="1">
      <alignment horizontal="center"/>
    </xf>
    <xf numFmtId="165" fontId="1" fillId="0" borderId="0" xfId="1" applyNumberFormat="1" applyFont="1" applyFill="1"/>
    <xf numFmtId="165" fontId="1" fillId="0" borderId="0" xfId="1" applyNumberFormat="1" applyFont="1" applyFill="1" applyBorder="1"/>
    <xf numFmtId="165" fontId="1" fillId="0" borderId="42" xfId="1" applyNumberFormat="1" applyFont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3" fillId="2" borderId="0" xfId="0" applyFont="1" applyFill="1" applyBorder="1" applyAlignment="1">
      <alignment vertical="center"/>
    </xf>
    <xf numFmtId="165" fontId="1" fillId="0" borderId="0" xfId="0" applyNumberFormat="1" applyFont="1" applyFill="1" applyBorder="1" applyAlignment="1">
      <alignment horizontal="center"/>
    </xf>
    <xf numFmtId="1" fontId="29" fillId="0" borderId="0" xfId="0" applyNumberFormat="1" applyFont="1" applyFill="1" applyBorder="1" applyAlignment="1">
      <alignment horizontal="center"/>
    </xf>
    <xf numFmtId="1" fontId="29" fillId="0" borderId="42" xfId="0" applyNumberFormat="1" applyFont="1" applyFill="1" applyBorder="1" applyAlignment="1">
      <alignment horizontal="center"/>
    </xf>
    <xf numFmtId="44" fontId="0" fillId="0" borderId="61" xfId="1" applyFont="1" applyFill="1" applyBorder="1"/>
    <xf numFmtId="164" fontId="5" fillId="4" borderId="0" xfId="0" applyNumberFormat="1" applyFont="1" applyFill="1"/>
    <xf numFmtId="15" fontId="0" fillId="4" borderId="10" xfId="0" applyNumberFormat="1" applyFill="1" applyBorder="1"/>
    <xf numFmtId="0" fontId="0" fillId="4" borderId="0" xfId="0" applyFill="1"/>
    <xf numFmtId="15" fontId="0" fillId="4" borderId="15" xfId="0" applyNumberFormat="1" applyFill="1" applyBorder="1"/>
    <xf numFmtId="44" fontId="1" fillId="4" borderId="33" xfId="1" applyFont="1" applyFill="1" applyBorder="1"/>
    <xf numFmtId="16" fontId="17" fillId="0" borderId="0" xfId="0" applyNumberFormat="1" applyFont="1" applyBorder="1"/>
    <xf numFmtId="44" fontId="0" fillId="2" borderId="0" xfId="1" applyFont="1" applyFill="1"/>
    <xf numFmtId="165" fontId="27" fillId="0" borderId="0" xfId="1" applyNumberFormat="1" applyFont="1" applyFill="1"/>
    <xf numFmtId="165" fontId="3" fillId="0" borderId="0" xfId="1" applyNumberFormat="1" applyFont="1" applyFill="1" applyBorder="1"/>
    <xf numFmtId="44" fontId="3" fillId="0" borderId="0" xfId="1" applyFont="1" applyFill="1" applyBorder="1"/>
    <xf numFmtId="165" fontId="3" fillId="0" borderId="0" xfId="1" applyNumberFormat="1" applyFont="1" applyBorder="1"/>
    <xf numFmtId="165" fontId="3" fillId="0" borderId="0" xfId="0" applyNumberFormat="1" applyFont="1" applyFill="1" applyBorder="1"/>
    <xf numFmtId="44" fontId="17" fillId="0" borderId="42" xfId="1" applyFont="1" applyFill="1" applyBorder="1"/>
    <xf numFmtId="44" fontId="1" fillId="5" borderId="42" xfId="1" applyFont="1" applyFill="1" applyBorder="1"/>
    <xf numFmtId="44" fontId="1" fillId="10" borderId="42" xfId="1" applyFont="1" applyFill="1" applyBorder="1"/>
    <xf numFmtId="44" fontId="20" fillId="10" borderId="42" xfId="1" applyFont="1" applyFill="1" applyBorder="1"/>
    <xf numFmtId="0" fontId="22" fillId="8" borderId="25" xfId="0" applyFont="1" applyFill="1" applyBorder="1" applyAlignment="1">
      <alignment horizontal="center"/>
    </xf>
    <xf numFmtId="44" fontId="21" fillId="8" borderId="25" xfId="1" applyFont="1" applyFill="1" applyBorder="1"/>
    <xf numFmtId="165" fontId="27" fillId="0" borderId="0" xfId="1" applyNumberFormat="1" applyFont="1" applyBorder="1"/>
    <xf numFmtId="165" fontId="20" fillId="0" borderId="0" xfId="0" applyNumberFormat="1" applyFont="1" applyFill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4" fontId="19" fillId="0" borderId="18" xfId="1" applyFont="1" applyBorder="1" applyAlignment="1">
      <alignment horizontal="center"/>
    </xf>
    <xf numFmtId="0" fontId="0" fillId="0" borderId="0" xfId="0" applyAlignment="1">
      <alignment horizontal="center"/>
    </xf>
    <xf numFmtId="44" fontId="19" fillId="0" borderId="37" xfId="1" applyFont="1" applyFill="1" applyBorder="1" applyAlignment="1">
      <alignment horizontal="center"/>
    </xf>
    <xf numFmtId="44" fontId="0" fillId="0" borderId="42" xfId="1" applyFont="1" applyFill="1" applyBorder="1"/>
    <xf numFmtId="165" fontId="21" fillId="11" borderId="0" xfId="1" applyNumberFormat="1" applyFont="1" applyFill="1" applyBorder="1" applyAlignment="1">
      <alignment horizontal="center"/>
    </xf>
    <xf numFmtId="44" fontId="20" fillId="0" borderId="42" xfId="1" applyFont="1" applyFill="1" applyBorder="1"/>
    <xf numFmtId="44" fontId="33" fillId="2" borderId="42" xfId="1" applyFont="1" applyFill="1" applyBorder="1" applyAlignment="1">
      <alignment horizontal="center" wrapText="1"/>
    </xf>
    <xf numFmtId="0" fontId="0" fillId="0" borderId="62" xfId="0" applyBorder="1"/>
    <xf numFmtId="44" fontId="1" fillId="0" borderId="62" xfId="1" applyFont="1" applyBorder="1"/>
    <xf numFmtId="44" fontId="34" fillId="0" borderId="42" xfId="1" applyFont="1" applyBorder="1"/>
    <xf numFmtId="44" fontId="35" fillId="0" borderId="42" xfId="1" applyFont="1" applyBorder="1"/>
    <xf numFmtId="44" fontId="19" fillId="0" borderId="18" xfId="1" applyFont="1" applyBorder="1" applyAlignment="1">
      <alignment horizontal="center"/>
    </xf>
    <xf numFmtId="44" fontId="19" fillId="0" borderId="37" xfId="1" applyFont="1" applyBorder="1" applyAlignment="1">
      <alignment horizontal="center"/>
    </xf>
    <xf numFmtId="0" fontId="0" fillId="0" borderId="0" xfId="0" applyAlignment="1">
      <alignment horizontal="center"/>
    </xf>
    <xf numFmtId="0" fontId="1" fillId="12" borderId="0" xfId="0" applyFont="1" applyFill="1"/>
    <xf numFmtId="44" fontId="1" fillId="0" borderId="0" xfId="0" applyNumberFormat="1" applyFont="1" applyAlignment="1">
      <alignment horizontal="right"/>
    </xf>
    <xf numFmtId="44" fontId="1" fillId="0" borderId="63" xfId="1" applyFont="1" applyBorder="1" applyAlignment="1">
      <alignment horizontal="center"/>
    </xf>
    <xf numFmtId="44" fontId="0" fillId="0" borderId="24" xfId="1" applyFont="1" applyBorder="1" applyAlignment="1">
      <alignment horizontal="center"/>
    </xf>
    <xf numFmtId="44" fontId="7" fillId="0" borderId="64" xfId="1" applyFont="1" applyBorder="1" applyAlignment="1">
      <alignment horizontal="center"/>
    </xf>
    <xf numFmtId="44" fontId="33" fillId="0" borderId="42" xfId="1" applyFont="1" applyFill="1" applyBorder="1" applyAlignment="1">
      <alignment horizontal="center" wrapText="1"/>
    </xf>
    <xf numFmtId="165" fontId="11" fillId="0" borderId="42" xfId="0" applyNumberFormat="1" applyFont="1" applyFill="1" applyBorder="1"/>
    <xf numFmtId="165" fontId="20" fillId="0" borderId="42" xfId="0" applyNumberFormat="1" applyFont="1" applyFill="1" applyBorder="1"/>
    <xf numFmtId="165" fontId="21" fillId="10" borderId="0" xfId="1" applyNumberFormat="1" applyFont="1" applyFill="1" applyBorder="1" applyAlignment="1">
      <alignment horizontal="center"/>
    </xf>
    <xf numFmtId="165" fontId="21" fillId="8" borderId="0" xfId="1" applyNumberFormat="1" applyFont="1" applyFill="1" applyBorder="1" applyAlignment="1">
      <alignment horizontal="center"/>
    </xf>
    <xf numFmtId="165" fontId="21" fillId="13" borderId="0" xfId="1" applyNumberFormat="1" applyFont="1" applyFill="1" applyBorder="1" applyAlignment="1">
      <alignment horizontal="center"/>
    </xf>
    <xf numFmtId="44" fontId="19" fillId="0" borderId="18" xfId="1" applyFont="1" applyBorder="1" applyAlignment="1">
      <alignment horizontal="center"/>
    </xf>
    <xf numFmtId="0" fontId="0" fillId="0" borderId="0" xfId="0" applyAlignment="1">
      <alignment horizontal="center"/>
    </xf>
    <xf numFmtId="165" fontId="1" fillId="0" borderId="0" xfId="1" applyNumberFormat="1" applyFont="1" applyBorder="1"/>
    <xf numFmtId="1" fontId="30" fillId="0" borderId="0" xfId="0" applyNumberFormat="1" applyFont="1" applyBorder="1" applyAlignment="1">
      <alignment horizontal="center"/>
    </xf>
    <xf numFmtId="0" fontId="32" fillId="0" borderId="0" xfId="0" applyFont="1" applyBorder="1"/>
    <xf numFmtId="165" fontId="1" fillId="0" borderId="0" xfId="0" applyNumberFormat="1" applyFont="1" applyBorder="1"/>
    <xf numFmtId="44" fontId="1" fillId="0" borderId="0" xfId="1" applyFont="1" applyFill="1"/>
    <xf numFmtId="44" fontId="36" fillId="0" borderId="28" xfId="1" applyFont="1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2" fillId="0" borderId="0" xfId="0" applyFont="1" applyFill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164" fontId="6" fillId="0" borderId="25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13" fillId="2" borderId="8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/>
    </xf>
    <xf numFmtId="164" fontId="7" fillId="0" borderId="13" xfId="0" applyNumberFormat="1" applyFont="1" applyBorder="1" applyAlignment="1">
      <alignment horizontal="center"/>
    </xf>
    <xf numFmtId="0" fontId="19" fillId="0" borderId="38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44" fontId="19" fillId="0" borderId="1" xfId="1" applyFont="1" applyBorder="1" applyAlignment="1">
      <alignment horizontal="center"/>
    </xf>
    <xf numFmtId="44" fontId="19" fillId="0" borderId="18" xfId="1" applyFont="1" applyBorder="1" applyAlignment="1">
      <alignment horizontal="center"/>
    </xf>
    <xf numFmtId="44" fontId="19" fillId="0" borderId="37" xfId="1" applyFont="1" applyBorder="1" applyAlignment="1">
      <alignment horizontal="center"/>
    </xf>
    <xf numFmtId="44" fontId="19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44" fontId="19" fillId="0" borderId="24" xfId="1" applyFont="1" applyBorder="1" applyAlignment="1">
      <alignment horizontal="center"/>
    </xf>
    <xf numFmtId="44" fontId="19" fillId="0" borderId="0" xfId="1" applyFont="1" applyFill="1" applyBorder="1" applyAlignment="1">
      <alignment horizontal="center" vertical="center"/>
    </xf>
    <xf numFmtId="44" fontId="13" fillId="0" borderId="1" xfId="0" applyNumberFormat="1" applyFont="1" applyFill="1" applyBorder="1" applyAlignment="1">
      <alignment horizontal="center" vertical="center"/>
    </xf>
    <xf numFmtId="0" fontId="13" fillId="0" borderId="37" xfId="0" applyFont="1" applyFill="1" applyBorder="1" applyAlignment="1">
      <alignment horizontal="center" vertical="center"/>
    </xf>
    <xf numFmtId="44" fontId="13" fillId="2" borderId="1" xfId="0" applyNumberFormat="1" applyFont="1" applyFill="1" applyBorder="1" applyAlignment="1">
      <alignment horizontal="center" vertical="center"/>
    </xf>
    <xf numFmtId="0" fontId="13" fillId="2" borderId="3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44" fontId="19" fillId="0" borderId="3" xfId="1" applyFont="1" applyBorder="1" applyAlignment="1">
      <alignment horizontal="center"/>
    </xf>
    <xf numFmtId="44" fontId="19" fillId="0" borderId="58" xfId="1" applyFont="1" applyBorder="1" applyAlignment="1">
      <alignment horizontal="center"/>
    </xf>
    <xf numFmtId="44" fontId="19" fillId="0" borderId="4" xfId="1" applyFont="1" applyBorder="1" applyAlignment="1">
      <alignment horizontal="center"/>
    </xf>
    <xf numFmtId="0" fontId="13" fillId="2" borderId="0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16" fontId="0" fillId="0" borderId="15" xfId="0" applyNumberFormat="1" applyBorder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" name="2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6" name="5 Conector recto de flecha"/>
        <xdr:cNvCxnSpPr/>
      </xdr:nvCxnSpPr>
      <xdr:spPr>
        <a:xfrm flipV="1">
          <a:off x="4286250" y="874395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2959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2768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343525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2959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2768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343525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48225" y="75247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29175" y="78962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1171575</xdr:colOff>
      <xdr:row>42</xdr:row>
      <xdr:rowOff>152400</xdr:rowOff>
    </xdr:from>
    <xdr:to>
      <xdr:col>7</xdr:col>
      <xdr:colOff>590550</xdr:colOff>
      <xdr:row>46</xdr:row>
      <xdr:rowOff>38100</xdr:rowOff>
    </xdr:to>
    <xdr:cxnSp macro="">
      <xdr:nvCxnSpPr>
        <xdr:cNvPr id="4" name="3 Conector recto de flecha"/>
        <xdr:cNvCxnSpPr/>
      </xdr:nvCxnSpPr>
      <xdr:spPr>
        <a:xfrm flipV="1">
          <a:off x="4772025" y="8934450"/>
          <a:ext cx="933450" cy="7334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48225" y="77343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29175" y="81152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4 Conector recto de flecha"/>
        <xdr:cNvCxnSpPr/>
      </xdr:nvCxnSpPr>
      <xdr:spPr>
        <a:xfrm>
          <a:off x="4848225" y="78581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5 Conector recto de flecha"/>
        <xdr:cNvCxnSpPr/>
      </xdr:nvCxnSpPr>
      <xdr:spPr>
        <a:xfrm rot="10800000" flipV="1">
          <a:off x="4829175" y="8239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43</xdr:row>
      <xdr:rowOff>104775</xdr:rowOff>
    </xdr:from>
    <xdr:to>
      <xdr:col>8</xdr:col>
      <xdr:colOff>85725</xdr:colOff>
      <xdr:row>45</xdr:row>
      <xdr:rowOff>76201</xdr:rowOff>
    </xdr:to>
    <xdr:cxnSp macro="">
      <xdr:nvCxnSpPr>
        <xdr:cNvPr id="7" name="6 Conector recto de flecha"/>
        <xdr:cNvCxnSpPr/>
      </xdr:nvCxnSpPr>
      <xdr:spPr>
        <a:xfrm flipV="1">
          <a:off x="4895850" y="8943975"/>
          <a:ext cx="1066800" cy="400051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48225" y="7839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29175" y="82200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4 Conector recto de flecha"/>
        <xdr:cNvCxnSpPr/>
      </xdr:nvCxnSpPr>
      <xdr:spPr>
        <a:xfrm>
          <a:off x="4848225" y="78581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5 Conector recto de flecha"/>
        <xdr:cNvCxnSpPr/>
      </xdr:nvCxnSpPr>
      <xdr:spPr>
        <a:xfrm rot="10800000" flipV="1">
          <a:off x="4829175" y="8239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" name="7 Conector recto de flecha"/>
        <xdr:cNvCxnSpPr/>
      </xdr:nvCxnSpPr>
      <xdr:spPr>
        <a:xfrm>
          <a:off x="4848225" y="78581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" name="8 Conector recto de flecha"/>
        <xdr:cNvCxnSpPr/>
      </xdr:nvCxnSpPr>
      <xdr:spPr>
        <a:xfrm rot="10800000" flipV="1">
          <a:off x="4829175" y="8239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1" name="10 Conector recto de flecha"/>
        <xdr:cNvCxnSpPr/>
      </xdr:nvCxnSpPr>
      <xdr:spPr>
        <a:xfrm rot="10800000" flipV="1">
          <a:off x="4829175" y="8239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3" name="12 Conector recto de flecha"/>
        <xdr:cNvCxnSpPr/>
      </xdr:nvCxnSpPr>
      <xdr:spPr>
        <a:xfrm rot="10800000" flipV="1">
          <a:off x="4829175" y="8239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47</xdr:row>
      <xdr:rowOff>104775</xdr:rowOff>
    </xdr:to>
    <xdr:cxnSp macro="">
      <xdr:nvCxnSpPr>
        <xdr:cNvPr id="14" name="13 Conector recto de flecha"/>
        <xdr:cNvCxnSpPr/>
      </xdr:nvCxnSpPr>
      <xdr:spPr>
        <a:xfrm flipV="1">
          <a:off x="4848225" y="8496300"/>
          <a:ext cx="1057275" cy="9144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" name="3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6" name="5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" name="6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" name="7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" name="8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43</xdr:row>
      <xdr:rowOff>47625</xdr:rowOff>
    </xdr:from>
    <xdr:to>
      <xdr:col>8</xdr:col>
      <xdr:colOff>28575</xdr:colOff>
      <xdr:row>45</xdr:row>
      <xdr:rowOff>38100</xdr:rowOff>
    </xdr:to>
    <xdr:cxnSp macro="">
      <xdr:nvCxnSpPr>
        <xdr:cNvPr id="10" name="9 Conector recto de flecha"/>
        <xdr:cNvCxnSpPr/>
      </xdr:nvCxnSpPr>
      <xdr:spPr>
        <a:xfrm flipV="1">
          <a:off x="4810125" y="8496300"/>
          <a:ext cx="1095375" cy="4000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" name="3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6" name="5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" name="6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" name="7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" name="8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10" name="9 Conector recto de flecha"/>
        <xdr:cNvCxnSpPr/>
      </xdr:nvCxnSpPr>
      <xdr:spPr>
        <a:xfrm flipV="1">
          <a:off x="4848225" y="8496300"/>
          <a:ext cx="1057275" cy="4286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USS/Documents/ARCHIVO%20CENTRAL%20A&#209;O%20%202%200%201%204/CENTRAL%20%23%2012%20%20DICIEMBRE%20%202014/NOTAS%20HERRADURA%20%20%20Dic--A&#209;O%20%20%202014%20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-OCT 2013"/>
      <sheetName val="NOV 2013"/>
      <sheetName val="DIC 2013"/>
      <sheetName val="ENE 2014"/>
      <sheetName val="FEB 14"/>
      <sheetName val="MZO 14"/>
      <sheetName val="AB 14"/>
      <sheetName val="MY 14"/>
      <sheetName val="JUN 14"/>
      <sheetName val="JUL 14"/>
      <sheetName val="AGO 14"/>
      <sheetName val="SEPTIEMBRE 2014"/>
      <sheetName val="OCTUBRE 2014"/>
      <sheetName val="NOVIEMBRE 2014"/>
      <sheetName val="DICIEMBRE  "/>
      <sheetName val="CONCENTRADO AÑO 2014"/>
      <sheetName val="REM"/>
      <sheetName val="Hoja2"/>
      <sheetName val="Hoja3"/>
      <sheetName val="Hoja4"/>
      <sheetName val="Hoja5"/>
      <sheetName val="Hoja6"/>
      <sheetName val="Hoja7"/>
      <sheetName val="Hoja8"/>
      <sheetName val="Hoja9"/>
      <sheetName val="Hoja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0">
          <cell r="I30" t="str">
            <v># 55020---# 55058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47"/>
  <sheetViews>
    <sheetView workbookViewId="0">
      <pane xSplit="1" ySplit="4" topLeftCell="B23" activePane="bottomRight" state="frozen"/>
      <selection pane="topRight" activeCell="B1" sqref="B1"/>
      <selection pane="bottomLeft" activeCell="A5" sqref="A5"/>
      <selection pane="bottomRight" activeCell="A44" sqref="A44"/>
    </sheetView>
  </sheetViews>
  <sheetFormatPr baseColWidth="10" defaultRowHeight="15" x14ac:dyDescent="0.25"/>
  <cols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9" width="13.7109375" style="43" customWidth="1"/>
    <col min="11" max="11" width="17.85546875" bestFit="1" customWidth="1"/>
    <col min="12" max="12" width="22.5703125" style="68" customWidth="1"/>
  </cols>
  <sheetData>
    <row r="1" spans="1:13" ht="23.25" x14ac:dyDescent="0.35">
      <c r="C1" s="368" t="s">
        <v>17</v>
      </c>
      <c r="D1" s="368"/>
      <c r="E1" s="368"/>
      <c r="F1" s="368"/>
      <c r="G1" s="368"/>
      <c r="H1" s="368"/>
      <c r="I1" s="368"/>
      <c r="J1" s="368"/>
    </row>
    <row r="2" spans="1:13" ht="15.75" thickBot="1" x14ac:dyDescent="0.3">
      <c r="E2" s="1"/>
      <c r="F2" s="50"/>
    </row>
    <row r="3" spans="1:13" ht="15.75" thickBot="1" x14ac:dyDescent="0.3">
      <c r="C3" s="44" t="s">
        <v>0</v>
      </c>
      <c r="D3" s="3"/>
    </row>
    <row r="4" spans="1:13" ht="20.25" thickTop="1" thickBot="1" x14ac:dyDescent="0.35">
      <c r="A4" s="14" t="s">
        <v>2</v>
      </c>
      <c r="B4" s="38"/>
      <c r="C4" s="66">
        <v>209317.7</v>
      </c>
      <c r="D4" s="2"/>
      <c r="E4" s="369" t="s">
        <v>14</v>
      </c>
      <c r="F4" s="370"/>
      <c r="I4" s="371" t="s">
        <v>4</v>
      </c>
      <c r="J4" s="372"/>
      <c r="K4" s="372"/>
      <c r="L4" s="69" t="s">
        <v>18</v>
      </c>
    </row>
    <row r="5" spans="1:13" ht="15.75" thickTop="1" x14ac:dyDescent="0.25">
      <c r="A5" s="21"/>
      <c r="B5" s="39">
        <v>41913</v>
      </c>
      <c r="C5" s="45">
        <v>23425</v>
      </c>
      <c r="D5" s="22" t="s">
        <v>29</v>
      </c>
      <c r="E5" s="26">
        <v>41913</v>
      </c>
      <c r="F5" s="51">
        <v>95638.3</v>
      </c>
      <c r="G5" s="23"/>
      <c r="H5" s="24">
        <v>41913</v>
      </c>
      <c r="I5" s="60">
        <v>240</v>
      </c>
      <c r="J5" s="34"/>
      <c r="K5" s="34"/>
      <c r="L5" s="70" t="s">
        <v>19</v>
      </c>
    </row>
    <row r="6" spans="1:13" x14ac:dyDescent="0.25">
      <c r="A6" s="21"/>
      <c r="B6" s="39">
        <v>41914</v>
      </c>
      <c r="C6" s="45">
        <v>637</v>
      </c>
      <c r="D6" s="29"/>
      <c r="E6" s="26">
        <v>41914</v>
      </c>
      <c r="F6" s="51">
        <v>58625</v>
      </c>
      <c r="G6" s="19"/>
      <c r="H6" s="27">
        <v>41914</v>
      </c>
      <c r="I6" s="61">
        <v>1050</v>
      </c>
      <c r="J6" s="13" t="s">
        <v>5</v>
      </c>
      <c r="K6" s="20">
        <v>601</v>
      </c>
      <c r="L6" s="70" t="s">
        <v>20</v>
      </c>
    </row>
    <row r="7" spans="1:13" x14ac:dyDescent="0.25">
      <c r="A7" s="21"/>
      <c r="B7" s="39">
        <v>41915</v>
      </c>
      <c r="C7" s="45">
        <v>0</v>
      </c>
      <c r="D7" s="32"/>
      <c r="E7" s="26">
        <v>41915</v>
      </c>
      <c r="F7" s="51">
        <v>36815</v>
      </c>
      <c r="G7" s="23"/>
      <c r="H7" s="27">
        <v>41915</v>
      </c>
      <c r="I7" s="61">
        <v>200</v>
      </c>
      <c r="J7" s="13" t="s">
        <v>3</v>
      </c>
      <c r="K7" s="20">
        <v>14480</v>
      </c>
      <c r="L7" s="70" t="s">
        <v>21</v>
      </c>
    </row>
    <row r="8" spans="1:13" x14ac:dyDescent="0.25">
      <c r="A8" s="21"/>
      <c r="B8" s="39">
        <v>41916</v>
      </c>
      <c r="C8" s="45">
        <v>464</v>
      </c>
      <c r="D8" s="22"/>
      <c r="E8" s="26">
        <v>41916</v>
      </c>
      <c r="F8" s="51">
        <v>107016.5</v>
      </c>
      <c r="G8" s="23"/>
      <c r="H8" s="27">
        <v>41916</v>
      </c>
      <c r="I8" s="61">
        <v>200</v>
      </c>
      <c r="J8" s="13" t="s">
        <v>6</v>
      </c>
      <c r="K8" s="20">
        <v>28750</v>
      </c>
      <c r="L8" s="70" t="s">
        <v>22</v>
      </c>
    </row>
    <row r="9" spans="1:13" x14ac:dyDescent="0.25">
      <c r="A9" s="21"/>
      <c r="B9" s="39">
        <v>41917</v>
      </c>
      <c r="C9" s="45">
        <v>0</v>
      </c>
      <c r="D9" s="22"/>
      <c r="E9" s="26">
        <v>41917</v>
      </c>
      <c r="F9" s="51">
        <v>76432.5</v>
      </c>
      <c r="G9" s="23"/>
      <c r="H9" s="27">
        <v>41917</v>
      </c>
      <c r="I9" s="61">
        <v>200</v>
      </c>
      <c r="J9" s="13" t="s">
        <v>82</v>
      </c>
      <c r="K9" s="20">
        <v>8305.57</v>
      </c>
      <c r="L9" s="70" t="s">
        <v>24</v>
      </c>
    </row>
    <row r="10" spans="1:13" x14ac:dyDescent="0.25">
      <c r="A10" s="21"/>
      <c r="B10" s="39">
        <v>41918</v>
      </c>
      <c r="C10" s="45">
        <v>0</v>
      </c>
      <c r="D10" s="32"/>
      <c r="E10" s="26">
        <v>41918</v>
      </c>
      <c r="F10" s="51">
        <v>58955.5</v>
      </c>
      <c r="G10" s="23"/>
      <c r="H10" s="27">
        <v>41918</v>
      </c>
      <c r="I10" s="61">
        <v>200</v>
      </c>
      <c r="J10" s="13" t="s">
        <v>83</v>
      </c>
      <c r="K10" s="20">
        <v>7838.91</v>
      </c>
      <c r="L10" s="70" t="s">
        <v>23</v>
      </c>
    </row>
    <row r="11" spans="1:13" x14ac:dyDescent="0.25">
      <c r="A11" s="21"/>
      <c r="B11" s="39">
        <v>41919</v>
      </c>
      <c r="C11" s="45">
        <v>9945</v>
      </c>
      <c r="D11" s="32"/>
      <c r="E11" s="26">
        <v>41919</v>
      </c>
      <c r="F11" s="51">
        <v>63922</v>
      </c>
      <c r="G11" s="23"/>
      <c r="H11" s="27">
        <v>41919</v>
      </c>
      <c r="I11" s="61">
        <v>200</v>
      </c>
      <c r="J11" s="13" t="s">
        <v>84</v>
      </c>
      <c r="K11" s="20">
        <v>7462.72</v>
      </c>
      <c r="L11" s="70" t="s">
        <v>25</v>
      </c>
    </row>
    <row r="12" spans="1:13" x14ac:dyDescent="0.25">
      <c r="A12" s="21"/>
      <c r="B12" s="39">
        <v>41920</v>
      </c>
      <c r="C12" s="45">
        <v>0</v>
      </c>
      <c r="D12" s="32"/>
      <c r="E12" s="26">
        <v>41920</v>
      </c>
      <c r="F12" s="51">
        <v>31527.5</v>
      </c>
      <c r="G12" s="23"/>
      <c r="H12" s="27">
        <v>41920</v>
      </c>
      <c r="I12" s="61">
        <v>200</v>
      </c>
      <c r="J12" s="13" t="s">
        <v>85</v>
      </c>
      <c r="K12" s="20">
        <v>6931.87</v>
      </c>
      <c r="L12" s="70" t="s">
        <v>26</v>
      </c>
    </row>
    <row r="13" spans="1:13" x14ac:dyDescent="0.25">
      <c r="A13" s="21"/>
      <c r="B13" s="39">
        <v>41921</v>
      </c>
      <c r="C13" s="45">
        <v>0</v>
      </c>
      <c r="D13" s="32"/>
      <c r="E13" s="26">
        <v>41921</v>
      </c>
      <c r="F13" s="51">
        <v>68532.5</v>
      </c>
      <c r="G13" s="23"/>
      <c r="H13" s="27">
        <v>41921</v>
      </c>
      <c r="I13" s="61">
        <v>200</v>
      </c>
      <c r="J13" s="13" t="s">
        <v>76</v>
      </c>
      <c r="K13" s="20">
        <v>7462.72</v>
      </c>
      <c r="L13" s="70" t="s">
        <v>27</v>
      </c>
    </row>
    <row r="14" spans="1:13" x14ac:dyDescent="0.25">
      <c r="A14" s="21"/>
      <c r="B14" s="39">
        <v>41922</v>
      </c>
      <c r="C14" s="45">
        <v>17339</v>
      </c>
      <c r="D14" s="32" t="s">
        <v>29</v>
      </c>
      <c r="E14" s="26">
        <v>41922</v>
      </c>
      <c r="F14" s="51">
        <v>47101.5</v>
      </c>
      <c r="G14" s="23"/>
      <c r="H14" s="27">
        <v>41922</v>
      </c>
      <c r="I14" s="61">
        <v>243</v>
      </c>
      <c r="J14" s="35" t="s">
        <v>16</v>
      </c>
      <c r="K14" s="20">
        <v>0</v>
      </c>
      <c r="L14" s="70" t="s">
        <v>28</v>
      </c>
    </row>
    <row r="15" spans="1:13" x14ac:dyDescent="0.25">
      <c r="A15" s="21"/>
      <c r="B15" s="39">
        <v>41923</v>
      </c>
      <c r="C15" s="45">
        <v>0</v>
      </c>
      <c r="D15" s="29"/>
      <c r="E15" s="26">
        <v>41923</v>
      </c>
      <c r="F15" s="51">
        <v>80127</v>
      </c>
      <c r="G15" s="23"/>
      <c r="H15" s="27">
        <v>41923</v>
      </c>
      <c r="I15" s="61">
        <v>200</v>
      </c>
      <c r="J15" s="28" t="s">
        <v>15</v>
      </c>
      <c r="K15" s="20">
        <v>286</v>
      </c>
      <c r="L15" s="70" t="s">
        <v>30</v>
      </c>
    </row>
    <row r="16" spans="1:13" x14ac:dyDescent="0.25">
      <c r="A16" s="21"/>
      <c r="B16" s="39">
        <v>41924</v>
      </c>
      <c r="C16" s="45">
        <v>281</v>
      </c>
      <c r="D16" s="32" t="s">
        <v>31</v>
      </c>
      <c r="E16" s="26">
        <v>41924</v>
      </c>
      <c r="F16" s="51">
        <v>56358.5</v>
      </c>
      <c r="G16" s="23"/>
      <c r="H16" s="27">
        <v>41924</v>
      </c>
      <c r="I16" s="61">
        <v>200</v>
      </c>
      <c r="J16" s="73" t="s">
        <v>52</v>
      </c>
      <c r="K16" s="74">
        <v>15953.05</v>
      </c>
      <c r="L16" s="67" t="s">
        <v>32</v>
      </c>
      <c r="M16" s="19"/>
    </row>
    <row r="17" spans="1:13" x14ac:dyDescent="0.25">
      <c r="A17" s="21"/>
      <c r="B17" s="39">
        <v>41925</v>
      </c>
      <c r="C17" s="45">
        <v>0</v>
      </c>
      <c r="D17" s="22"/>
      <c r="E17" s="26">
        <v>41925</v>
      </c>
      <c r="F17" s="51">
        <v>54928.5</v>
      </c>
      <c r="G17" s="23"/>
      <c r="H17" s="27">
        <v>41925</v>
      </c>
      <c r="I17" s="61">
        <v>200</v>
      </c>
      <c r="J17" s="28" t="s">
        <v>53</v>
      </c>
      <c r="K17" s="74">
        <v>4234</v>
      </c>
      <c r="L17" s="67" t="s">
        <v>33</v>
      </c>
      <c r="M17" s="19"/>
    </row>
    <row r="18" spans="1:13" x14ac:dyDescent="0.25">
      <c r="A18" s="21"/>
      <c r="B18" s="39">
        <v>41926</v>
      </c>
      <c r="C18" s="45">
        <v>7728</v>
      </c>
      <c r="D18" s="22" t="s">
        <v>29</v>
      </c>
      <c r="E18" s="26">
        <v>41926</v>
      </c>
      <c r="F18" s="51">
        <v>33024</v>
      </c>
      <c r="G18" s="23"/>
      <c r="H18" s="27">
        <v>41926</v>
      </c>
      <c r="I18" s="61">
        <v>200</v>
      </c>
      <c r="J18" s="28" t="s">
        <v>54</v>
      </c>
      <c r="K18" s="75"/>
      <c r="L18" s="67" t="s">
        <v>34</v>
      </c>
      <c r="M18" s="19"/>
    </row>
    <row r="19" spans="1:13" x14ac:dyDescent="0.25">
      <c r="A19" s="21"/>
      <c r="B19" s="39">
        <v>41927</v>
      </c>
      <c r="C19" s="45">
        <v>1184</v>
      </c>
      <c r="D19" s="29"/>
      <c r="E19" s="26">
        <v>41927</v>
      </c>
      <c r="F19" s="51">
        <v>44050</v>
      </c>
      <c r="G19" s="23"/>
      <c r="H19" s="27">
        <v>41927</v>
      </c>
      <c r="I19" s="61">
        <v>200</v>
      </c>
      <c r="J19" s="28" t="s">
        <v>55</v>
      </c>
      <c r="K19" s="75"/>
      <c r="L19" s="67" t="s">
        <v>35</v>
      </c>
      <c r="M19" s="19"/>
    </row>
    <row r="20" spans="1:13" x14ac:dyDescent="0.25">
      <c r="A20" s="21"/>
      <c r="B20" s="39">
        <v>41928</v>
      </c>
      <c r="C20" s="45"/>
      <c r="D20" s="22"/>
      <c r="E20" s="26">
        <v>41928</v>
      </c>
      <c r="F20" s="51">
        <v>48866</v>
      </c>
      <c r="G20" s="23"/>
      <c r="H20" s="27">
        <v>41928</v>
      </c>
      <c r="I20" s="62">
        <v>200</v>
      </c>
      <c r="J20" s="36"/>
      <c r="K20" s="55"/>
      <c r="L20" s="70" t="s">
        <v>36</v>
      </c>
    </row>
    <row r="21" spans="1:13" x14ac:dyDescent="0.25">
      <c r="A21" s="21"/>
      <c r="B21" s="39">
        <v>41929</v>
      </c>
      <c r="C21" s="45">
        <v>2520</v>
      </c>
      <c r="D21" s="22" t="s">
        <v>29</v>
      </c>
      <c r="E21" s="26">
        <v>41929</v>
      </c>
      <c r="F21" s="51">
        <v>55781.5</v>
      </c>
      <c r="G21" s="23"/>
      <c r="H21" s="27">
        <v>41929</v>
      </c>
      <c r="I21" s="62">
        <v>240</v>
      </c>
      <c r="J21" s="25"/>
      <c r="K21" s="55"/>
      <c r="L21" s="70" t="s">
        <v>37</v>
      </c>
    </row>
    <row r="22" spans="1:13" x14ac:dyDescent="0.25">
      <c r="A22" s="21"/>
      <c r="B22" s="39">
        <v>41930</v>
      </c>
      <c r="C22" s="45">
        <v>2937.6</v>
      </c>
      <c r="D22" s="22" t="s">
        <v>29</v>
      </c>
      <c r="E22" s="26">
        <v>41930</v>
      </c>
      <c r="F22" s="51">
        <v>63177.5</v>
      </c>
      <c r="G22" s="23"/>
      <c r="H22" s="27">
        <v>41930</v>
      </c>
      <c r="I22" s="62">
        <v>200</v>
      </c>
      <c r="J22" s="11"/>
      <c r="K22" s="55"/>
      <c r="L22" s="70" t="s">
        <v>38</v>
      </c>
    </row>
    <row r="23" spans="1:13" x14ac:dyDescent="0.25">
      <c r="A23" s="21"/>
      <c r="B23" s="39">
        <v>41931</v>
      </c>
      <c r="C23" s="45">
        <v>0</v>
      </c>
      <c r="D23" s="22"/>
      <c r="E23" s="26">
        <v>41931</v>
      </c>
      <c r="F23" s="51">
        <v>60224.5</v>
      </c>
      <c r="G23" s="23"/>
      <c r="H23" s="27">
        <v>41931</v>
      </c>
      <c r="I23" s="62">
        <v>1100</v>
      </c>
      <c r="J23" s="11"/>
      <c r="K23" s="55"/>
      <c r="L23" s="70" t="s">
        <v>39</v>
      </c>
    </row>
    <row r="24" spans="1:13" x14ac:dyDescent="0.25">
      <c r="A24" s="21"/>
      <c r="B24" s="39">
        <v>41932</v>
      </c>
      <c r="C24" s="45">
        <v>13274.2</v>
      </c>
      <c r="D24" s="22" t="s">
        <v>29</v>
      </c>
      <c r="E24" s="26">
        <v>41932</v>
      </c>
      <c r="F24" s="51">
        <v>48677.5</v>
      </c>
      <c r="G24" s="23"/>
      <c r="H24" s="27">
        <v>41932</v>
      </c>
      <c r="I24" s="62">
        <v>200</v>
      </c>
      <c r="J24" s="11"/>
      <c r="K24" s="55"/>
      <c r="L24" s="70" t="s">
        <v>40</v>
      </c>
    </row>
    <row r="25" spans="1:13" x14ac:dyDescent="0.25">
      <c r="A25" s="21"/>
      <c r="B25" s="39">
        <v>41933</v>
      </c>
      <c r="C25" s="45">
        <v>9293</v>
      </c>
      <c r="D25" s="22" t="s">
        <v>29</v>
      </c>
      <c r="E25" s="26">
        <v>41933</v>
      </c>
      <c r="F25" s="51">
        <v>39417.5</v>
      </c>
      <c r="G25" s="23"/>
      <c r="H25" s="27">
        <v>41933</v>
      </c>
      <c r="I25" s="62">
        <v>200</v>
      </c>
      <c r="J25" s="11"/>
      <c r="K25" s="55"/>
      <c r="L25" s="70" t="s">
        <v>41</v>
      </c>
    </row>
    <row r="26" spans="1:13" x14ac:dyDescent="0.25">
      <c r="A26" s="21"/>
      <c r="B26" s="39">
        <v>41934</v>
      </c>
      <c r="C26" s="45">
        <v>0</v>
      </c>
      <c r="D26" s="22"/>
      <c r="E26" s="26">
        <v>41934</v>
      </c>
      <c r="F26" s="51">
        <v>53289</v>
      </c>
      <c r="G26" s="23"/>
      <c r="H26" s="27">
        <v>41934</v>
      </c>
      <c r="I26" s="62">
        <v>200</v>
      </c>
      <c r="J26" s="11"/>
      <c r="K26" s="55"/>
      <c r="L26" s="70" t="s">
        <v>42</v>
      </c>
    </row>
    <row r="27" spans="1:13" x14ac:dyDescent="0.25">
      <c r="A27" s="21"/>
      <c r="B27" s="39">
        <v>41935</v>
      </c>
      <c r="C27" s="45">
        <v>216</v>
      </c>
      <c r="D27" s="22"/>
      <c r="E27" s="26">
        <v>41935</v>
      </c>
      <c r="F27" s="51">
        <v>41225.5</v>
      </c>
      <c r="G27" s="23"/>
      <c r="H27" s="27">
        <v>41935</v>
      </c>
      <c r="I27" s="62">
        <v>722</v>
      </c>
      <c r="J27" s="11"/>
      <c r="K27" s="55"/>
      <c r="L27" s="70" t="s">
        <v>43</v>
      </c>
    </row>
    <row r="28" spans="1:13" x14ac:dyDescent="0.25">
      <c r="A28" s="21"/>
      <c r="B28" s="39">
        <v>41936</v>
      </c>
      <c r="C28" s="45">
        <v>0</v>
      </c>
      <c r="D28" s="22"/>
      <c r="E28" s="26">
        <v>41936</v>
      </c>
      <c r="F28" s="51">
        <v>62253.5</v>
      </c>
      <c r="G28" s="23"/>
      <c r="H28" s="27">
        <v>41936</v>
      </c>
      <c r="I28" s="62">
        <v>232</v>
      </c>
      <c r="J28" s="11"/>
      <c r="K28" s="55"/>
      <c r="L28" s="70" t="s">
        <v>44</v>
      </c>
    </row>
    <row r="29" spans="1:13" x14ac:dyDescent="0.25">
      <c r="A29" s="21"/>
      <c r="B29" s="39">
        <v>41937</v>
      </c>
      <c r="C29" s="45">
        <v>0</v>
      </c>
      <c r="D29" s="22"/>
      <c r="E29" s="26">
        <v>41937</v>
      </c>
      <c r="F29" s="51">
        <v>66760.3</v>
      </c>
      <c r="G29" s="23"/>
      <c r="H29" s="27">
        <v>41937</v>
      </c>
      <c r="I29" s="62">
        <v>200</v>
      </c>
      <c r="J29" s="11"/>
      <c r="K29" s="20"/>
      <c r="L29" s="70" t="s">
        <v>45</v>
      </c>
    </row>
    <row r="30" spans="1:13" x14ac:dyDescent="0.25">
      <c r="A30" s="21"/>
      <c r="B30" s="39">
        <v>41938</v>
      </c>
      <c r="C30" s="45">
        <v>0</v>
      </c>
      <c r="D30" s="22"/>
      <c r="E30" s="26">
        <v>41938</v>
      </c>
      <c r="F30" s="51">
        <v>82379</v>
      </c>
      <c r="G30" s="23"/>
      <c r="H30" s="27">
        <v>41938</v>
      </c>
      <c r="I30" s="62">
        <v>200</v>
      </c>
      <c r="J30" s="11"/>
      <c r="K30" s="20"/>
      <c r="L30" s="70" t="s">
        <v>46</v>
      </c>
    </row>
    <row r="31" spans="1:13" x14ac:dyDescent="0.25">
      <c r="A31" s="21"/>
      <c r="B31" s="39">
        <v>41939</v>
      </c>
      <c r="C31" s="45">
        <v>16174</v>
      </c>
      <c r="D31" s="22" t="s">
        <v>29</v>
      </c>
      <c r="E31" s="26">
        <v>41939</v>
      </c>
      <c r="F31" s="51">
        <v>36141</v>
      </c>
      <c r="G31" s="23"/>
      <c r="H31" s="27">
        <v>41939</v>
      </c>
      <c r="I31" s="62">
        <v>200</v>
      </c>
      <c r="J31" s="11"/>
      <c r="K31" s="20"/>
      <c r="L31" s="70" t="s">
        <v>47</v>
      </c>
    </row>
    <row r="32" spans="1:13" x14ac:dyDescent="0.25">
      <c r="A32" s="21"/>
      <c r="B32" s="39">
        <v>41940</v>
      </c>
      <c r="C32" s="45">
        <v>0</v>
      </c>
      <c r="D32" s="22"/>
      <c r="E32" s="26">
        <v>41940</v>
      </c>
      <c r="F32" s="51">
        <v>35164</v>
      </c>
      <c r="G32" s="23"/>
      <c r="H32" s="27">
        <v>41940</v>
      </c>
      <c r="I32" s="62">
        <v>200</v>
      </c>
      <c r="J32" s="11"/>
      <c r="K32" s="20"/>
      <c r="L32" s="70" t="s">
        <v>48</v>
      </c>
    </row>
    <row r="33" spans="1:12" x14ac:dyDescent="0.25">
      <c r="A33" s="21"/>
      <c r="B33" s="39">
        <v>41941</v>
      </c>
      <c r="C33" s="45">
        <v>1990.4</v>
      </c>
      <c r="D33" s="22" t="s">
        <v>51</v>
      </c>
      <c r="E33" s="26">
        <v>41941</v>
      </c>
      <c r="F33" s="51">
        <v>71264.5</v>
      </c>
      <c r="G33" s="23"/>
      <c r="H33" s="27">
        <v>41941</v>
      </c>
      <c r="I33" s="62">
        <v>200</v>
      </c>
      <c r="J33" s="11"/>
      <c r="K33" s="20"/>
      <c r="L33" s="70" t="s">
        <v>49</v>
      </c>
    </row>
    <row r="34" spans="1:12" x14ac:dyDescent="0.25">
      <c r="A34" s="21"/>
      <c r="B34" s="39">
        <v>41942</v>
      </c>
      <c r="C34" s="45">
        <v>31850.62</v>
      </c>
      <c r="D34" s="72" t="s">
        <v>29</v>
      </c>
      <c r="E34" s="26">
        <v>41942</v>
      </c>
      <c r="F34" s="51">
        <v>84791.5</v>
      </c>
      <c r="G34" s="23"/>
      <c r="H34" s="27">
        <v>41942</v>
      </c>
      <c r="I34" s="62">
        <v>225</v>
      </c>
      <c r="J34" s="11"/>
      <c r="K34" s="20"/>
      <c r="L34" s="70"/>
    </row>
    <row r="35" spans="1:12" ht="15.75" thickBot="1" x14ac:dyDescent="0.3">
      <c r="A35" s="21"/>
      <c r="B35" s="39">
        <v>41943</v>
      </c>
      <c r="C35" s="45">
        <v>432</v>
      </c>
      <c r="D35" s="22" t="s">
        <v>50</v>
      </c>
      <c r="E35" s="26">
        <v>41943</v>
      </c>
      <c r="F35" s="51">
        <v>121904.5</v>
      </c>
      <c r="G35" s="23"/>
      <c r="H35" s="27">
        <v>41943</v>
      </c>
      <c r="I35" s="62">
        <v>230</v>
      </c>
      <c r="J35" s="11"/>
      <c r="K35" s="20"/>
      <c r="L35" s="71"/>
    </row>
    <row r="36" spans="1:12" ht="15.75" thickBot="1" x14ac:dyDescent="0.3">
      <c r="A36" s="15"/>
      <c r="B36" s="40"/>
      <c r="C36" s="46"/>
      <c r="D36" s="2"/>
      <c r="E36" s="8"/>
      <c r="F36" s="52">
        <v>0</v>
      </c>
      <c r="H36" s="30"/>
      <c r="I36" s="63"/>
      <c r="J36" s="11"/>
      <c r="K36" s="7"/>
    </row>
    <row r="37" spans="1:12" ht="15.75" thickBot="1" x14ac:dyDescent="0.3">
      <c r="A37" s="5" t="s">
        <v>92</v>
      </c>
      <c r="B37" s="41"/>
      <c r="C37" s="47">
        <v>1757990.99</v>
      </c>
      <c r="D37" s="2"/>
      <c r="E37" s="9"/>
      <c r="F37" s="53">
        <v>0</v>
      </c>
      <c r="H37" s="31"/>
      <c r="I37" s="64"/>
      <c r="J37" s="16"/>
      <c r="K37" s="10"/>
    </row>
    <row r="38" spans="1:12" x14ac:dyDescent="0.25">
      <c r="B38" s="42" t="s">
        <v>1</v>
      </c>
      <c r="C38" s="48">
        <f>SUM(C4:C37)</f>
        <v>2106999.5099999998</v>
      </c>
      <c r="E38" s="12" t="s">
        <v>1</v>
      </c>
      <c r="F38" s="54">
        <f>SUM(F6:F37)</f>
        <v>1788733.3</v>
      </c>
      <c r="H38" s="1" t="s">
        <v>1</v>
      </c>
      <c r="I38" s="58">
        <f>SUM(I5:I37)</f>
        <v>8682</v>
      </c>
      <c r="J38" s="17" t="s">
        <v>1</v>
      </c>
      <c r="K38" s="4">
        <f t="shared" ref="K38" si="0">SUM(K5:K37)</f>
        <v>102305.84</v>
      </c>
    </row>
    <row r="40" spans="1:12" ht="15.75" x14ac:dyDescent="0.25">
      <c r="A40" s="5"/>
      <c r="C40" s="49">
        <v>0</v>
      </c>
      <c r="D40" s="13"/>
      <c r="E40" s="13"/>
      <c r="F40" s="55"/>
      <c r="H40" s="373" t="s">
        <v>7</v>
      </c>
      <c r="I40" s="374"/>
      <c r="J40" s="375">
        <f>I38+K38</f>
        <v>110987.84</v>
      </c>
      <c r="K40" s="376"/>
    </row>
    <row r="41" spans="1:12" ht="15.75" x14ac:dyDescent="0.25">
      <c r="D41" s="367" t="s">
        <v>8</v>
      </c>
      <c r="E41" s="367"/>
      <c r="F41" s="56">
        <f>F38-J40</f>
        <v>1677745.46</v>
      </c>
      <c r="I41" s="65"/>
    </row>
    <row r="42" spans="1:12" ht="15.75" thickBot="1" x14ac:dyDescent="0.3">
      <c r="D42" s="18"/>
      <c r="E42" s="18" t="s">
        <v>0</v>
      </c>
      <c r="F42" s="57">
        <f>-C38</f>
        <v>-2106999.5099999998</v>
      </c>
    </row>
    <row r="43" spans="1:12" ht="15.75" thickTop="1" x14ac:dyDescent="0.25">
      <c r="C43" s="43" t="s">
        <v>12</v>
      </c>
      <c r="E43" s="5" t="s">
        <v>10</v>
      </c>
      <c r="F43" s="58">
        <f>SUM(F41:F42)</f>
        <v>-429254.04999999981</v>
      </c>
      <c r="I43" s="377"/>
      <c r="J43" s="377"/>
      <c r="K43" s="2"/>
    </row>
    <row r="44" spans="1:12" ht="16.5" thickBot="1" x14ac:dyDescent="0.3">
      <c r="D44" s="366" t="s">
        <v>9</v>
      </c>
      <c r="E44" s="366"/>
      <c r="F44" s="59">
        <v>199262.3</v>
      </c>
      <c r="I44" s="378"/>
      <c r="J44" s="378"/>
      <c r="K44" s="33"/>
    </row>
    <row r="45" spans="1:12" ht="15.75" thickTop="1" x14ac:dyDescent="0.25">
      <c r="E45" s="6" t="s">
        <v>11</v>
      </c>
      <c r="F45" s="48">
        <f>F44+F43</f>
        <v>-229991.74999999983</v>
      </c>
      <c r="I45" s="379" t="s">
        <v>13</v>
      </c>
      <c r="J45" s="380"/>
      <c r="K45" s="383">
        <f>F45+K44</f>
        <v>-229991.74999999983</v>
      </c>
    </row>
    <row r="46" spans="1:12" ht="15.75" thickBot="1" x14ac:dyDescent="0.3">
      <c r="D46" s="365"/>
      <c r="E46" s="365"/>
      <c r="F46" s="55"/>
      <c r="I46" s="381"/>
      <c r="J46" s="382"/>
      <c r="K46" s="384"/>
    </row>
    <row r="47" spans="1:12" ht="15.75" thickTop="1" x14ac:dyDescent="0.25"/>
  </sheetData>
  <mergeCells count="12">
    <mergeCell ref="D46:E46"/>
    <mergeCell ref="D44:E44"/>
    <mergeCell ref="D41:E41"/>
    <mergeCell ref="C1:J1"/>
    <mergeCell ref="E4:F4"/>
    <mergeCell ref="I4:K4"/>
    <mergeCell ref="H40:I40"/>
    <mergeCell ref="J40:K40"/>
    <mergeCell ref="I43:J43"/>
    <mergeCell ref="I44:J44"/>
    <mergeCell ref="I45:J46"/>
    <mergeCell ref="K45:K46"/>
  </mergeCells>
  <printOptions gridLines="1"/>
  <pageMargins left="0.31496062992125984" right="0.19685039370078741" top="0.15748031496062992" bottom="0.27559055118110237" header="0.31496062992125984" footer="0.31496062992125984"/>
  <pageSetup scale="80"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97"/>
  <sheetViews>
    <sheetView tabSelected="1" topLeftCell="A25" workbookViewId="0">
      <selection activeCell="I49" sqref="I49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9" width="13.7109375" style="43" customWidth="1"/>
    <col min="10" max="10" width="7.7109375" style="43" customWidth="1"/>
    <col min="12" max="12" width="17.85546875" bestFit="1" customWidth="1"/>
    <col min="13" max="13" width="22.5703125" style="333" customWidth="1"/>
    <col min="14" max="14" width="15.85546875" style="202" customWidth="1"/>
  </cols>
  <sheetData>
    <row r="1" spans="1:15" ht="23.25" x14ac:dyDescent="0.35">
      <c r="C1" s="368" t="s">
        <v>402</v>
      </c>
      <c r="D1" s="368"/>
      <c r="E1" s="368"/>
      <c r="F1" s="368"/>
      <c r="G1" s="368"/>
      <c r="H1" s="368"/>
      <c r="I1" s="368"/>
      <c r="J1" s="368"/>
      <c r="K1" s="368"/>
    </row>
    <row r="2" spans="1:15" ht="15.75" thickBot="1" x14ac:dyDescent="0.3">
      <c r="E2" s="331"/>
      <c r="F2" s="50"/>
    </row>
    <row r="3" spans="1:15" ht="15.75" thickBot="1" x14ac:dyDescent="0.3">
      <c r="C3" s="44" t="s">
        <v>0</v>
      </c>
      <c r="D3" s="3"/>
    </row>
    <row r="4" spans="1:15" ht="20.25" thickTop="1" thickBot="1" x14ac:dyDescent="0.35">
      <c r="A4" s="96" t="s">
        <v>2</v>
      </c>
      <c r="B4" s="38"/>
      <c r="C4" s="94">
        <v>149916.25</v>
      </c>
      <c r="D4" s="2"/>
      <c r="E4" s="389" t="s">
        <v>14</v>
      </c>
      <c r="F4" s="390"/>
      <c r="I4" s="371" t="s">
        <v>4</v>
      </c>
      <c r="J4" s="372"/>
      <c r="K4" s="372"/>
      <c r="L4" s="372"/>
      <c r="M4" s="69" t="s">
        <v>18</v>
      </c>
      <c r="N4" s="203" t="s">
        <v>264</v>
      </c>
    </row>
    <row r="5" spans="1:15" ht="15.75" thickTop="1" x14ac:dyDescent="0.25">
      <c r="A5" s="21"/>
      <c r="B5" s="39">
        <v>42125</v>
      </c>
      <c r="C5" s="45">
        <v>0</v>
      </c>
      <c r="D5" s="22"/>
      <c r="E5" s="26">
        <v>42125</v>
      </c>
      <c r="F5" s="51">
        <v>74600</v>
      </c>
      <c r="G5" s="23"/>
      <c r="H5" s="24">
        <v>42125</v>
      </c>
      <c r="I5" s="60">
        <v>200</v>
      </c>
      <c r="J5" s="87"/>
      <c r="K5" s="34"/>
      <c r="L5" s="34"/>
      <c r="M5" s="67" t="s">
        <v>409</v>
      </c>
      <c r="N5" s="75">
        <v>74665</v>
      </c>
      <c r="O5" s="80"/>
    </row>
    <row r="6" spans="1:15" x14ac:dyDescent="0.25">
      <c r="A6" s="21"/>
      <c r="B6" s="39">
        <v>42126</v>
      </c>
      <c r="C6" s="45">
        <v>0</v>
      </c>
      <c r="D6" s="29"/>
      <c r="E6" s="26">
        <v>42126</v>
      </c>
      <c r="F6" s="51">
        <v>70197</v>
      </c>
      <c r="G6" s="19"/>
      <c r="H6" s="27">
        <v>42126</v>
      </c>
      <c r="I6" s="61">
        <v>200</v>
      </c>
      <c r="J6" s="88"/>
      <c r="K6" s="13" t="s">
        <v>5</v>
      </c>
      <c r="L6" s="20">
        <v>733</v>
      </c>
      <c r="M6" s="67" t="s">
        <v>410</v>
      </c>
      <c r="N6" s="75">
        <v>72400</v>
      </c>
      <c r="O6" s="80"/>
    </row>
    <row r="7" spans="1:15" x14ac:dyDescent="0.25">
      <c r="A7" s="21"/>
      <c r="B7" s="39">
        <v>42127</v>
      </c>
      <c r="C7" s="45">
        <v>0</v>
      </c>
      <c r="D7" s="32"/>
      <c r="E7" s="26">
        <v>42127</v>
      </c>
      <c r="F7" s="51">
        <v>74013.5</v>
      </c>
      <c r="G7" s="23"/>
      <c r="H7" s="27">
        <v>42127</v>
      </c>
      <c r="I7" s="61">
        <v>200</v>
      </c>
      <c r="J7" s="88"/>
      <c r="K7" s="13" t="s">
        <v>3</v>
      </c>
      <c r="L7" s="20">
        <v>13416</v>
      </c>
      <c r="M7" s="67" t="s">
        <v>411</v>
      </c>
      <c r="N7" s="75">
        <v>74350</v>
      </c>
      <c r="O7" s="80"/>
    </row>
    <row r="8" spans="1:15" x14ac:dyDescent="0.25">
      <c r="A8" s="21"/>
      <c r="B8" s="39">
        <v>42128</v>
      </c>
      <c r="C8" s="45">
        <v>0</v>
      </c>
      <c r="D8" s="22"/>
      <c r="E8" s="26">
        <v>42128</v>
      </c>
      <c r="F8" s="51">
        <v>32809.5</v>
      </c>
      <c r="G8" s="23"/>
      <c r="H8" s="27">
        <v>42128</v>
      </c>
      <c r="I8" s="61">
        <v>220</v>
      </c>
      <c r="J8" s="88"/>
      <c r="K8" s="13" t="s">
        <v>6</v>
      </c>
      <c r="L8" s="20">
        <v>28750</v>
      </c>
      <c r="M8" s="201" t="s">
        <v>412</v>
      </c>
      <c r="N8" s="204">
        <v>30000</v>
      </c>
      <c r="O8" s="80"/>
    </row>
    <row r="9" spans="1:15" x14ac:dyDescent="0.25">
      <c r="A9" s="21"/>
      <c r="B9" s="39">
        <v>42129</v>
      </c>
      <c r="C9" s="45">
        <v>0</v>
      </c>
      <c r="D9" s="22"/>
      <c r="E9" s="26">
        <v>42129</v>
      </c>
      <c r="F9" s="51">
        <v>40720</v>
      </c>
      <c r="G9" s="23"/>
      <c r="H9" s="27">
        <v>42129</v>
      </c>
      <c r="I9" s="61">
        <v>200</v>
      </c>
      <c r="J9" s="88"/>
      <c r="K9" s="13" t="s">
        <v>403</v>
      </c>
      <c r="L9" s="20">
        <v>7662.72</v>
      </c>
      <c r="M9" s="67" t="s">
        <v>413</v>
      </c>
      <c r="N9" s="75">
        <v>41510</v>
      </c>
      <c r="O9" s="80"/>
    </row>
    <row r="10" spans="1:15" x14ac:dyDescent="0.25">
      <c r="A10" s="21"/>
      <c r="B10" s="39">
        <v>42130</v>
      </c>
      <c r="C10" s="45">
        <v>0</v>
      </c>
      <c r="D10" s="32"/>
      <c r="E10" s="26">
        <v>42130</v>
      </c>
      <c r="F10" s="51">
        <v>36153.5</v>
      </c>
      <c r="G10" s="23"/>
      <c r="H10" s="27">
        <v>42130</v>
      </c>
      <c r="I10" s="61">
        <v>232</v>
      </c>
      <c r="J10" s="88"/>
      <c r="K10" s="13" t="s">
        <v>404</v>
      </c>
      <c r="L10" s="20">
        <v>7896.05</v>
      </c>
      <c r="M10" s="67" t="s">
        <v>414</v>
      </c>
      <c r="N10" s="75">
        <v>37750</v>
      </c>
      <c r="O10" s="80"/>
    </row>
    <row r="11" spans="1:15" x14ac:dyDescent="0.25">
      <c r="A11" s="21"/>
      <c r="B11" s="39">
        <v>42131</v>
      </c>
      <c r="C11" s="45">
        <v>0</v>
      </c>
      <c r="D11" s="32"/>
      <c r="E11" s="26">
        <v>42131</v>
      </c>
      <c r="F11" s="51">
        <v>56568</v>
      </c>
      <c r="G11" s="23"/>
      <c r="H11" s="27">
        <v>42131</v>
      </c>
      <c r="I11" s="62">
        <v>200</v>
      </c>
      <c r="J11" s="88"/>
      <c r="K11" s="13" t="s">
        <v>405</v>
      </c>
      <c r="L11" s="20">
        <v>7462.72</v>
      </c>
      <c r="M11" s="67" t="s">
        <v>415</v>
      </c>
      <c r="N11" s="75">
        <v>56360</v>
      </c>
      <c r="O11" s="80"/>
    </row>
    <row r="12" spans="1:15" x14ac:dyDescent="0.25">
      <c r="A12" s="21"/>
      <c r="B12" s="39">
        <v>42132</v>
      </c>
      <c r="C12" s="45">
        <v>0</v>
      </c>
      <c r="D12" s="32"/>
      <c r="E12" s="26">
        <v>42132</v>
      </c>
      <c r="F12" s="51">
        <v>59868.5</v>
      </c>
      <c r="G12" s="23"/>
      <c r="H12" s="27">
        <v>42132</v>
      </c>
      <c r="I12" s="62">
        <v>250</v>
      </c>
      <c r="J12" s="88"/>
      <c r="K12" s="13" t="s">
        <v>406</v>
      </c>
      <c r="L12" s="20">
        <v>0</v>
      </c>
      <c r="M12" s="67" t="s">
        <v>416</v>
      </c>
      <c r="N12" s="75">
        <v>59050</v>
      </c>
      <c r="O12" s="80"/>
    </row>
    <row r="13" spans="1:15" x14ac:dyDescent="0.25">
      <c r="A13" s="21"/>
      <c r="B13" s="39">
        <v>42133</v>
      </c>
      <c r="C13" s="45">
        <v>0</v>
      </c>
      <c r="D13" s="32"/>
      <c r="E13" s="26">
        <v>42133</v>
      </c>
      <c r="F13" s="51">
        <v>95114</v>
      </c>
      <c r="G13" s="23"/>
      <c r="H13" s="27">
        <v>42133</v>
      </c>
      <c r="I13" s="62">
        <v>200</v>
      </c>
      <c r="J13" s="88"/>
      <c r="K13" s="13" t="s">
        <v>407</v>
      </c>
      <c r="L13" s="20">
        <v>0</v>
      </c>
      <c r="M13" s="67" t="s">
        <v>417</v>
      </c>
      <c r="N13" s="75">
        <v>91470</v>
      </c>
      <c r="O13" s="80"/>
    </row>
    <row r="14" spans="1:15" x14ac:dyDescent="0.25">
      <c r="A14" s="21"/>
      <c r="B14" s="39">
        <v>42134</v>
      </c>
      <c r="C14" s="45">
        <v>0</v>
      </c>
      <c r="D14" s="29"/>
      <c r="E14" s="26">
        <v>42134</v>
      </c>
      <c r="F14" s="51">
        <v>80074</v>
      </c>
      <c r="G14" s="23"/>
      <c r="H14" s="27">
        <v>42134</v>
      </c>
      <c r="I14" s="62">
        <v>200</v>
      </c>
      <c r="J14" s="88"/>
      <c r="K14" s="35" t="s">
        <v>16</v>
      </c>
      <c r="L14" s="20">
        <v>0</v>
      </c>
      <c r="M14" s="67" t="s">
        <v>418</v>
      </c>
      <c r="N14" s="75">
        <v>83700</v>
      </c>
      <c r="O14" s="80"/>
    </row>
    <row r="15" spans="1:15" x14ac:dyDescent="0.25">
      <c r="A15" s="21"/>
      <c r="B15" s="39">
        <v>42135</v>
      </c>
      <c r="C15" s="45">
        <v>0</v>
      </c>
      <c r="D15" s="29"/>
      <c r="E15" s="26">
        <v>42135</v>
      </c>
      <c r="F15" s="51">
        <v>37825.5</v>
      </c>
      <c r="G15" s="23"/>
      <c r="H15" s="27">
        <v>42135</v>
      </c>
      <c r="I15" s="62">
        <v>200</v>
      </c>
      <c r="J15" s="88"/>
      <c r="K15" s="28" t="s">
        <v>15</v>
      </c>
      <c r="L15" s="20">
        <v>0</v>
      </c>
      <c r="M15" s="67" t="s">
        <v>419</v>
      </c>
      <c r="N15" s="75">
        <v>37290</v>
      </c>
      <c r="O15" s="80"/>
    </row>
    <row r="16" spans="1:15" x14ac:dyDescent="0.25">
      <c r="A16" s="21"/>
      <c r="B16" s="39">
        <v>42136</v>
      </c>
      <c r="C16" s="45">
        <v>1105.2</v>
      </c>
      <c r="D16" s="32" t="s">
        <v>421</v>
      </c>
      <c r="E16" s="26">
        <v>42136</v>
      </c>
      <c r="F16" s="51">
        <v>33668</v>
      </c>
      <c r="G16" s="23"/>
      <c r="H16" s="27">
        <v>42136</v>
      </c>
      <c r="I16" s="62">
        <v>200</v>
      </c>
      <c r="J16" s="88"/>
      <c r="K16" s="73" t="s">
        <v>52</v>
      </c>
      <c r="L16" s="74">
        <v>0</v>
      </c>
      <c r="M16" s="67" t="s">
        <v>420</v>
      </c>
      <c r="N16" s="75">
        <v>32100</v>
      </c>
      <c r="O16" s="80"/>
    </row>
    <row r="17" spans="1:15" x14ac:dyDescent="0.25">
      <c r="A17" s="21"/>
      <c r="B17" s="39">
        <v>42137</v>
      </c>
      <c r="C17" s="45">
        <v>0</v>
      </c>
      <c r="D17" s="29"/>
      <c r="E17" s="26">
        <v>42137</v>
      </c>
      <c r="F17" s="51">
        <v>41786</v>
      </c>
      <c r="G17" s="23"/>
      <c r="H17" s="27">
        <v>42137</v>
      </c>
      <c r="I17" s="62">
        <v>200</v>
      </c>
      <c r="J17" s="88"/>
      <c r="K17" s="28" t="s">
        <v>53</v>
      </c>
      <c r="L17" s="74">
        <v>0</v>
      </c>
      <c r="M17" s="67" t="s">
        <v>422</v>
      </c>
      <c r="N17" s="75">
        <v>42300</v>
      </c>
      <c r="O17" s="80"/>
    </row>
    <row r="18" spans="1:15" x14ac:dyDescent="0.25">
      <c r="A18" s="21"/>
      <c r="B18" s="39">
        <v>42138</v>
      </c>
      <c r="C18" s="45">
        <v>0</v>
      </c>
      <c r="D18" s="22"/>
      <c r="E18" s="26">
        <v>42138</v>
      </c>
      <c r="F18" s="51">
        <v>46683.5</v>
      </c>
      <c r="G18" s="23"/>
      <c r="H18" s="27">
        <v>42138</v>
      </c>
      <c r="I18" s="62">
        <v>290</v>
      </c>
      <c r="J18" s="89"/>
      <c r="K18" s="28" t="s">
        <v>54</v>
      </c>
      <c r="L18" s="75">
        <v>0</v>
      </c>
      <c r="M18" s="67" t="s">
        <v>426</v>
      </c>
      <c r="N18" s="75">
        <v>46290</v>
      </c>
      <c r="O18" s="80"/>
    </row>
    <row r="19" spans="1:15" x14ac:dyDescent="0.25">
      <c r="A19" s="21"/>
      <c r="B19" s="39">
        <v>42139</v>
      </c>
      <c r="C19" s="45">
        <v>0</v>
      </c>
      <c r="D19" s="29"/>
      <c r="E19" s="26">
        <v>42139</v>
      </c>
      <c r="F19" s="51">
        <v>64667.5</v>
      </c>
      <c r="G19" s="23"/>
      <c r="H19" s="27">
        <v>42139</v>
      </c>
      <c r="I19" s="62">
        <v>200</v>
      </c>
      <c r="J19" s="88"/>
      <c r="K19" s="28" t="s">
        <v>55</v>
      </c>
      <c r="L19" s="75">
        <v>0</v>
      </c>
      <c r="M19" s="67" t="s">
        <v>427</v>
      </c>
      <c r="N19" s="75">
        <v>64940</v>
      </c>
      <c r="O19" s="80"/>
    </row>
    <row r="20" spans="1:15" x14ac:dyDescent="0.25">
      <c r="A20" s="21"/>
      <c r="B20" s="39">
        <v>42140</v>
      </c>
      <c r="C20" s="45">
        <v>0</v>
      </c>
      <c r="D20" s="22"/>
      <c r="E20" s="26">
        <v>42140</v>
      </c>
      <c r="F20" s="51">
        <v>74710.5</v>
      </c>
      <c r="G20" s="23"/>
      <c r="H20" s="27">
        <v>42140</v>
      </c>
      <c r="I20" s="62">
        <v>200</v>
      </c>
      <c r="J20" s="90"/>
      <c r="K20" s="314" t="s">
        <v>408</v>
      </c>
      <c r="L20" s="55">
        <v>0</v>
      </c>
      <c r="M20" s="67" t="s">
        <v>428</v>
      </c>
      <c r="N20" s="75">
        <v>72100</v>
      </c>
      <c r="O20" s="80"/>
    </row>
    <row r="21" spans="1:15" x14ac:dyDescent="0.25">
      <c r="A21" s="21"/>
      <c r="B21" s="39">
        <v>42141</v>
      </c>
      <c r="C21" s="45">
        <v>0</v>
      </c>
      <c r="D21" s="22"/>
      <c r="E21" s="26">
        <v>42141</v>
      </c>
      <c r="F21" s="51">
        <v>60652.5</v>
      </c>
      <c r="G21" s="23"/>
      <c r="H21" s="27">
        <v>42141</v>
      </c>
      <c r="I21" s="62">
        <v>200</v>
      </c>
      <c r="J21" s="88"/>
      <c r="K21" s="25" t="s">
        <v>99</v>
      </c>
      <c r="L21" s="55">
        <v>0</v>
      </c>
      <c r="M21" s="67" t="s">
        <v>429</v>
      </c>
      <c r="N21" s="75">
        <v>61700</v>
      </c>
      <c r="O21" s="80"/>
    </row>
    <row r="22" spans="1:15" x14ac:dyDescent="0.25">
      <c r="A22" s="21"/>
      <c r="B22" s="39">
        <v>42142</v>
      </c>
      <c r="C22" s="45">
        <v>0</v>
      </c>
      <c r="D22" s="22"/>
      <c r="E22" s="26">
        <v>42142</v>
      </c>
      <c r="F22" s="51">
        <v>44322</v>
      </c>
      <c r="G22" s="23"/>
      <c r="H22" s="27">
        <v>42142</v>
      </c>
      <c r="I22" s="62">
        <v>232</v>
      </c>
      <c r="J22" s="90"/>
      <c r="K22" s="122" t="s">
        <v>213</v>
      </c>
      <c r="L22" s="55">
        <v>0</v>
      </c>
      <c r="M22" s="67" t="s">
        <v>430</v>
      </c>
      <c r="N22" s="75">
        <v>44400</v>
      </c>
      <c r="O22" s="80"/>
    </row>
    <row r="23" spans="1:15" x14ac:dyDescent="0.25">
      <c r="A23" s="21"/>
      <c r="B23" s="39">
        <v>42143</v>
      </c>
      <c r="C23" s="45">
        <v>0</v>
      </c>
      <c r="D23" s="22"/>
      <c r="E23" s="26">
        <v>42143</v>
      </c>
      <c r="F23" s="51">
        <v>27964</v>
      </c>
      <c r="G23" s="23"/>
      <c r="H23" s="27">
        <v>42143</v>
      </c>
      <c r="I23" s="62">
        <v>200</v>
      </c>
      <c r="J23" s="88"/>
      <c r="K23" s="11" t="s">
        <v>332</v>
      </c>
      <c r="L23" s="55">
        <v>800</v>
      </c>
      <c r="M23" s="67" t="s">
        <v>431</v>
      </c>
      <c r="N23" s="75">
        <v>28200</v>
      </c>
      <c r="O23" s="80"/>
    </row>
    <row r="24" spans="1:15" x14ac:dyDescent="0.25">
      <c r="A24" s="21"/>
      <c r="B24" s="39">
        <v>42144</v>
      </c>
      <c r="C24" s="45">
        <v>0</v>
      </c>
      <c r="D24" s="29"/>
      <c r="E24" s="26">
        <v>42144</v>
      </c>
      <c r="F24" s="51">
        <v>29395.5</v>
      </c>
      <c r="G24" s="23"/>
      <c r="H24" s="27">
        <v>42144</v>
      </c>
      <c r="I24" s="62">
        <v>200</v>
      </c>
      <c r="J24" s="88"/>
      <c r="K24" s="409">
        <v>42140</v>
      </c>
      <c r="L24" s="55"/>
      <c r="M24" s="67" t="s">
        <v>445</v>
      </c>
      <c r="N24" s="75">
        <v>27350</v>
      </c>
      <c r="O24" s="80"/>
    </row>
    <row r="25" spans="1:15" x14ac:dyDescent="0.25">
      <c r="A25" s="21"/>
      <c r="B25" s="39">
        <v>42145</v>
      </c>
      <c r="C25" s="45">
        <v>0</v>
      </c>
      <c r="D25" s="22"/>
      <c r="E25" s="26">
        <v>42145</v>
      </c>
      <c r="F25" s="51">
        <v>40366</v>
      </c>
      <c r="G25" s="23"/>
      <c r="H25" s="27">
        <v>42145</v>
      </c>
      <c r="I25" s="62">
        <v>200</v>
      </c>
      <c r="J25" s="88"/>
      <c r="K25" s="11"/>
      <c r="L25" s="55"/>
      <c r="M25" s="67" t="s">
        <v>446</v>
      </c>
      <c r="N25" s="75">
        <v>41699.5</v>
      </c>
      <c r="O25" s="80"/>
    </row>
    <row r="26" spans="1:15" x14ac:dyDescent="0.25">
      <c r="A26" s="21"/>
      <c r="B26" s="39">
        <v>42146</v>
      </c>
      <c r="C26" s="45">
        <v>0</v>
      </c>
      <c r="D26" s="29"/>
      <c r="E26" s="26">
        <v>42146</v>
      </c>
      <c r="F26" s="51">
        <v>65774</v>
      </c>
      <c r="G26" s="23"/>
      <c r="H26" s="27">
        <v>42146</v>
      </c>
      <c r="I26" s="62">
        <v>200</v>
      </c>
      <c r="J26" s="88"/>
      <c r="K26" s="11"/>
      <c r="L26" s="55"/>
      <c r="M26" s="67" t="s">
        <v>434</v>
      </c>
      <c r="N26" s="75">
        <v>61050</v>
      </c>
      <c r="O26" s="80"/>
    </row>
    <row r="27" spans="1:15" x14ac:dyDescent="0.25">
      <c r="A27" s="21"/>
      <c r="B27" s="39">
        <v>42147</v>
      </c>
      <c r="C27" s="45">
        <v>0</v>
      </c>
      <c r="D27" s="29"/>
      <c r="E27" s="26">
        <v>42147</v>
      </c>
      <c r="F27" s="51">
        <v>57819</v>
      </c>
      <c r="G27" s="23"/>
      <c r="H27" s="27">
        <v>42147</v>
      </c>
      <c r="I27" s="62">
        <v>200</v>
      </c>
      <c r="J27" s="88"/>
      <c r="K27" s="11"/>
      <c r="L27" s="55"/>
      <c r="M27" s="201" t="s">
        <v>435</v>
      </c>
      <c r="N27" s="204">
        <v>61740</v>
      </c>
      <c r="O27" s="80"/>
    </row>
    <row r="28" spans="1:15" x14ac:dyDescent="0.25">
      <c r="A28" s="21"/>
      <c r="B28" s="39">
        <v>42148</v>
      </c>
      <c r="C28" s="45">
        <v>0</v>
      </c>
      <c r="D28" s="29"/>
      <c r="E28" s="26">
        <v>42148</v>
      </c>
      <c r="F28" s="51">
        <v>59816</v>
      </c>
      <c r="G28" s="23"/>
      <c r="H28" s="27">
        <v>42148</v>
      </c>
      <c r="I28" s="62">
        <v>200</v>
      </c>
      <c r="J28" s="88"/>
      <c r="K28" s="11"/>
      <c r="L28" s="55"/>
      <c r="M28" s="201" t="s">
        <v>436</v>
      </c>
      <c r="N28" s="204">
        <v>58480</v>
      </c>
      <c r="O28" s="80"/>
    </row>
    <row r="29" spans="1:15" x14ac:dyDescent="0.25">
      <c r="A29" s="21"/>
      <c r="B29" s="39">
        <v>42149</v>
      </c>
      <c r="C29" s="45">
        <v>0</v>
      </c>
      <c r="D29" s="29"/>
      <c r="E29" s="26">
        <v>42149</v>
      </c>
      <c r="F29" s="51">
        <v>39016</v>
      </c>
      <c r="G29" s="23"/>
      <c r="H29" s="27">
        <v>42149</v>
      </c>
      <c r="I29" s="62">
        <v>432</v>
      </c>
      <c r="J29" s="88"/>
      <c r="K29" s="11"/>
      <c r="L29" s="20"/>
      <c r="M29" s="67" t="s">
        <v>437</v>
      </c>
      <c r="N29" s="75">
        <v>38960</v>
      </c>
      <c r="O29" s="80"/>
    </row>
    <row r="30" spans="1:15" x14ac:dyDescent="0.25">
      <c r="A30" s="21"/>
      <c r="B30" s="39">
        <v>42150</v>
      </c>
      <c r="C30" s="45">
        <v>0</v>
      </c>
      <c r="D30" s="22"/>
      <c r="E30" s="26">
        <v>42150</v>
      </c>
      <c r="F30" s="51">
        <v>33184.5</v>
      </c>
      <c r="G30" s="23"/>
      <c r="H30" s="27">
        <v>42150</v>
      </c>
      <c r="I30" s="62">
        <v>230</v>
      </c>
      <c r="J30" s="88"/>
      <c r="K30" s="11"/>
      <c r="L30" s="20"/>
      <c r="M30" s="201" t="s">
        <v>438</v>
      </c>
      <c r="N30" s="204">
        <v>33000</v>
      </c>
      <c r="O30" s="80"/>
    </row>
    <row r="31" spans="1:15" x14ac:dyDescent="0.25">
      <c r="A31" s="21"/>
      <c r="B31" s="39">
        <v>42151</v>
      </c>
      <c r="C31" s="45">
        <v>405</v>
      </c>
      <c r="D31" s="22" t="s">
        <v>440</v>
      </c>
      <c r="E31" s="26">
        <v>42151</v>
      </c>
      <c r="F31" s="51">
        <v>29767</v>
      </c>
      <c r="G31" s="23"/>
      <c r="H31" s="27">
        <v>42151</v>
      </c>
      <c r="I31" s="62">
        <v>200</v>
      </c>
      <c r="J31" s="88"/>
      <c r="K31" s="11"/>
      <c r="L31" s="20"/>
      <c r="M31" s="201" t="s">
        <v>439</v>
      </c>
      <c r="N31" s="204">
        <v>28840</v>
      </c>
      <c r="O31" s="80"/>
    </row>
    <row r="32" spans="1:15" x14ac:dyDescent="0.25">
      <c r="A32" s="21"/>
      <c r="B32" s="39">
        <v>42152</v>
      </c>
      <c r="C32" s="45">
        <v>0</v>
      </c>
      <c r="D32" s="22"/>
      <c r="E32" s="26">
        <v>42152</v>
      </c>
      <c r="F32" s="51">
        <v>52517.5</v>
      </c>
      <c r="G32" s="23"/>
      <c r="H32" s="27">
        <v>42152</v>
      </c>
      <c r="I32" s="62">
        <v>200</v>
      </c>
      <c r="J32" s="88"/>
      <c r="K32" s="11"/>
      <c r="L32" s="20"/>
      <c r="M32" s="67" t="s">
        <v>441</v>
      </c>
      <c r="N32" s="75">
        <v>52540</v>
      </c>
      <c r="O32" s="80"/>
    </row>
    <row r="33" spans="1:15" x14ac:dyDescent="0.25">
      <c r="A33" s="21"/>
      <c r="B33" s="39">
        <v>42153</v>
      </c>
      <c r="C33" s="45">
        <v>0</v>
      </c>
      <c r="D33" s="32"/>
      <c r="E33" s="26">
        <v>42153</v>
      </c>
      <c r="F33" s="51">
        <v>65995.5</v>
      </c>
      <c r="G33" s="23"/>
      <c r="H33" s="27">
        <v>42153</v>
      </c>
      <c r="I33" s="62">
        <v>200</v>
      </c>
      <c r="J33" s="88"/>
      <c r="K33" s="11"/>
      <c r="L33" s="20"/>
      <c r="M33" s="67" t="s">
        <v>442</v>
      </c>
      <c r="N33" s="75">
        <v>62200</v>
      </c>
      <c r="O33" s="80"/>
    </row>
    <row r="34" spans="1:15" x14ac:dyDescent="0.25">
      <c r="A34" s="21"/>
      <c r="B34" s="39">
        <v>42154</v>
      </c>
      <c r="C34" s="45">
        <v>0</v>
      </c>
      <c r="D34" s="72"/>
      <c r="E34" s="26">
        <v>42154</v>
      </c>
      <c r="F34" s="51">
        <v>77422</v>
      </c>
      <c r="G34" s="23"/>
      <c r="H34" s="27">
        <v>42154</v>
      </c>
      <c r="I34" s="62">
        <v>200</v>
      </c>
      <c r="J34" s="88"/>
      <c r="K34" s="11"/>
      <c r="L34" s="20"/>
      <c r="M34" s="258" t="s">
        <v>443</v>
      </c>
      <c r="N34" s="202">
        <v>76450</v>
      </c>
      <c r="O34" s="80"/>
    </row>
    <row r="35" spans="1:15" ht="15.75" thickBot="1" x14ac:dyDescent="0.3">
      <c r="A35" s="21"/>
      <c r="B35" s="39">
        <v>42155</v>
      </c>
      <c r="C35" s="45">
        <v>0</v>
      </c>
      <c r="D35" s="22"/>
      <c r="E35" s="26">
        <v>42155</v>
      </c>
      <c r="F35" s="51">
        <v>109028</v>
      </c>
      <c r="G35" s="23"/>
      <c r="H35" s="27">
        <v>42155</v>
      </c>
      <c r="I35" s="62">
        <v>200</v>
      </c>
      <c r="J35" s="88"/>
      <c r="K35" s="11" t="s">
        <v>345</v>
      </c>
      <c r="L35" s="20"/>
      <c r="M35" s="71" t="s">
        <v>444</v>
      </c>
      <c r="N35" s="74">
        <v>112090</v>
      </c>
    </row>
    <row r="36" spans="1:15" ht="15.7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</row>
    <row r="37" spans="1:15" ht="15.7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N37" s="259">
        <f>SUM(N5:N35)</f>
        <v>1704974.5</v>
      </c>
    </row>
    <row r="38" spans="1:15" x14ac:dyDescent="0.25">
      <c r="B38" s="42" t="s">
        <v>1</v>
      </c>
      <c r="C38" s="48">
        <f>SUM(C5:C37)</f>
        <v>1510.2</v>
      </c>
      <c r="E38" s="329" t="s">
        <v>1</v>
      </c>
      <c r="F38" s="54">
        <f>SUM(F6:F37)</f>
        <v>1637898.5</v>
      </c>
      <c r="H38" s="331" t="s">
        <v>1</v>
      </c>
      <c r="I38" s="58">
        <f>SUM(I5:I37)</f>
        <v>6686</v>
      </c>
      <c r="J38" s="58"/>
      <c r="K38" s="17" t="s">
        <v>1</v>
      </c>
      <c r="L38" s="4">
        <f t="shared" ref="L38" si="0">SUM(L5:L37)</f>
        <v>66720.490000000005</v>
      </c>
    </row>
    <row r="40" spans="1:15" ht="15.75" customHeight="1" x14ac:dyDescent="0.25">
      <c r="A40" s="5"/>
      <c r="C40" s="49">
        <v>0</v>
      </c>
      <c r="D40" s="13"/>
      <c r="E40" s="13"/>
      <c r="F40" s="55"/>
      <c r="H40" s="373" t="s">
        <v>7</v>
      </c>
      <c r="I40" s="374"/>
      <c r="J40" s="330"/>
      <c r="K40" s="375">
        <f>I38+L38</f>
        <v>73406.490000000005</v>
      </c>
      <c r="L40" s="376"/>
    </row>
    <row r="41" spans="1:15" ht="15.75" customHeight="1" x14ac:dyDescent="0.25">
      <c r="D41" s="367" t="s">
        <v>8</v>
      </c>
      <c r="E41" s="367"/>
      <c r="F41" s="56">
        <f>F38-K40</f>
        <v>1564492.01</v>
      </c>
      <c r="I41" s="65"/>
      <c r="J41" s="65"/>
    </row>
    <row r="42" spans="1:15" x14ac:dyDescent="0.25">
      <c r="D42" s="13"/>
      <c r="E42" s="13" t="s">
        <v>0</v>
      </c>
      <c r="F42" s="56">
        <f>-C38</f>
        <v>-1510.2</v>
      </c>
    </row>
    <row r="43" spans="1:15" ht="15.75" thickBot="1" x14ac:dyDescent="0.3">
      <c r="C43" s="43" t="s">
        <v>12</v>
      </c>
      <c r="D43" t="s">
        <v>303</v>
      </c>
      <c r="F43" s="125">
        <v>-1569528.87</v>
      </c>
      <c r="I43" s="377"/>
      <c r="J43" s="377"/>
      <c r="K43" s="377"/>
      <c r="L43" s="2"/>
    </row>
    <row r="44" spans="1:15" ht="16.5" thickTop="1" x14ac:dyDescent="0.25">
      <c r="E44" s="5" t="s">
        <v>10</v>
      </c>
      <c r="F44" s="58">
        <f>SUM(F41:F43)</f>
        <v>-6547.0600000000559</v>
      </c>
      <c r="I44"/>
      <c r="J44" s="182" t="s">
        <v>251</v>
      </c>
      <c r="K44" s="394">
        <f>F46</f>
        <v>118584.67999999995</v>
      </c>
      <c r="L44" s="395"/>
    </row>
    <row r="45" spans="1:15" ht="15.75" customHeight="1" thickBot="1" x14ac:dyDescent="0.3">
      <c r="D45" s="329" t="s">
        <v>9</v>
      </c>
      <c r="E45" s="329"/>
      <c r="F45" s="364">
        <v>125131.74</v>
      </c>
      <c r="I45" s="403" t="s">
        <v>2</v>
      </c>
      <c r="J45" s="403"/>
      <c r="K45" s="396">
        <v>-149916.25</v>
      </c>
      <c r="L45" s="396"/>
    </row>
    <row r="46" spans="1:15" ht="15.75" customHeight="1" thickBot="1" x14ac:dyDescent="0.3">
      <c r="E46" s="6" t="s">
        <v>347</v>
      </c>
      <c r="F46" s="48">
        <f>F45+F44</f>
        <v>118584.67999999995</v>
      </c>
      <c r="I46"/>
      <c r="J46" s="178"/>
      <c r="K46" s="397">
        <v>0</v>
      </c>
      <c r="L46" s="397"/>
    </row>
    <row r="47" spans="1:15" ht="19.5" thickBot="1" x14ac:dyDescent="0.3">
      <c r="E47" s="5"/>
      <c r="F47" s="56"/>
      <c r="I47" s="407" t="s">
        <v>401</v>
      </c>
      <c r="J47" s="408"/>
      <c r="K47" s="400">
        <f>SUM(K44:L46)</f>
        <v>-31331.570000000051</v>
      </c>
      <c r="L47" s="401"/>
    </row>
    <row r="48" spans="1:15" x14ac:dyDescent="0.25">
      <c r="D48" s="377"/>
      <c r="E48" s="377"/>
      <c r="F48" s="58"/>
    </row>
    <row r="49" spans="2:14" x14ac:dyDescent="0.25">
      <c r="B49"/>
      <c r="C49"/>
      <c r="F49"/>
      <c r="I49"/>
      <c r="J49"/>
      <c r="M49"/>
      <c r="N49" s="43"/>
    </row>
    <row r="50" spans="2:14" x14ac:dyDescent="0.25">
      <c r="B50"/>
      <c r="C50"/>
      <c r="F50"/>
      <c r="I50"/>
      <c r="J50"/>
      <c r="M50"/>
      <c r="N50" s="43"/>
    </row>
    <row r="51" spans="2:14" x14ac:dyDescent="0.25">
      <c r="B51"/>
      <c r="C51"/>
      <c r="F51"/>
      <c r="I51"/>
      <c r="J51"/>
      <c r="M51"/>
      <c r="N51" s="43"/>
    </row>
    <row r="52" spans="2:14" x14ac:dyDescent="0.25">
      <c r="B52"/>
      <c r="C52"/>
      <c r="F52"/>
      <c r="I52"/>
      <c r="J52"/>
      <c r="M52"/>
    </row>
    <row r="53" spans="2:14" x14ac:dyDescent="0.25">
      <c r="B53"/>
      <c r="C53"/>
      <c r="F53"/>
      <c r="I53"/>
      <c r="J53"/>
      <c r="M53"/>
    </row>
    <row r="54" spans="2:14" x14ac:dyDescent="0.25">
      <c r="B54"/>
      <c r="C54"/>
      <c r="F54"/>
      <c r="I54"/>
      <c r="J54"/>
      <c r="M54"/>
    </row>
    <row r="55" spans="2:14" x14ac:dyDescent="0.25">
      <c r="B55"/>
      <c r="C55"/>
      <c r="F55"/>
      <c r="I55"/>
      <c r="J55"/>
      <c r="M55"/>
      <c r="N55" s="43"/>
    </row>
    <row r="56" spans="2:14" x14ac:dyDescent="0.25">
      <c r="B56"/>
      <c r="C56"/>
      <c r="F56"/>
      <c r="I56"/>
      <c r="J56"/>
      <c r="M56"/>
      <c r="N56" s="43"/>
    </row>
    <row r="57" spans="2:14" x14ac:dyDescent="0.25">
      <c r="B57"/>
      <c r="C57"/>
      <c r="F57"/>
      <c r="I57"/>
      <c r="J57"/>
      <c r="M57"/>
      <c r="N57" s="43"/>
    </row>
    <row r="58" spans="2:14" x14ac:dyDescent="0.25">
      <c r="B58"/>
      <c r="C58"/>
      <c r="F58"/>
      <c r="I58"/>
      <c r="J58"/>
      <c r="M58"/>
      <c r="N58" s="43"/>
    </row>
    <row r="59" spans="2:14" x14ac:dyDescent="0.25">
      <c r="B59"/>
      <c r="C59"/>
      <c r="F59"/>
      <c r="I59"/>
      <c r="J59"/>
      <c r="M59"/>
      <c r="N59" s="43"/>
    </row>
    <row r="60" spans="2:14" x14ac:dyDescent="0.25">
      <c r="B60"/>
      <c r="C60"/>
      <c r="F60"/>
      <c r="I60"/>
      <c r="J60"/>
      <c r="M60"/>
      <c r="N60" s="43"/>
    </row>
    <row r="61" spans="2:14" x14ac:dyDescent="0.25">
      <c r="B61"/>
      <c r="C61"/>
      <c r="F61"/>
      <c r="I61"/>
      <c r="J61"/>
      <c r="M61"/>
      <c r="N61" s="43"/>
    </row>
    <row r="62" spans="2:14" x14ac:dyDescent="0.25">
      <c r="B62"/>
      <c r="C62"/>
      <c r="F62"/>
      <c r="I62"/>
      <c r="J62"/>
      <c r="M62"/>
      <c r="N62" s="43"/>
    </row>
    <row r="63" spans="2:14" x14ac:dyDescent="0.25">
      <c r="B63"/>
      <c r="C63"/>
      <c r="F63"/>
      <c r="I63"/>
      <c r="J63"/>
      <c r="M63"/>
      <c r="N63" s="43"/>
    </row>
    <row r="64" spans="2:14" x14ac:dyDescent="0.25">
      <c r="B64"/>
      <c r="C64"/>
      <c r="F64"/>
      <c r="I64"/>
      <c r="J64"/>
      <c r="M64"/>
      <c r="N64" s="43"/>
    </row>
    <row r="65" spans="2:14" x14ac:dyDescent="0.25">
      <c r="B65"/>
      <c r="C65"/>
      <c r="F65"/>
      <c r="I65"/>
      <c r="J65"/>
      <c r="M65"/>
      <c r="N65" s="43"/>
    </row>
    <row r="66" spans="2:14" x14ac:dyDescent="0.25">
      <c r="B66"/>
      <c r="C66"/>
      <c r="F66"/>
      <c r="I66"/>
      <c r="J66"/>
      <c r="M66"/>
      <c r="N66" s="43"/>
    </row>
    <row r="67" spans="2:14" x14ac:dyDescent="0.25">
      <c r="B67"/>
      <c r="C67"/>
      <c r="F67"/>
      <c r="I67"/>
      <c r="J67"/>
      <c r="M67"/>
      <c r="N67" s="43"/>
    </row>
    <row r="68" spans="2:14" x14ac:dyDescent="0.25">
      <c r="B68"/>
      <c r="C68"/>
      <c r="F68"/>
      <c r="I68"/>
      <c r="J68"/>
      <c r="M68"/>
      <c r="N68" s="43"/>
    </row>
    <row r="69" spans="2:14" x14ac:dyDescent="0.25">
      <c r="B69"/>
      <c r="C69"/>
      <c r="F69"/>
      <c r="I69"/>
      <c r="J69"/>
      <c r="M69"/>
      <c r="N69" s="43"/>
    </row>
    <row r="70" spans="2:14" x14ac:dyDescent="0.25">
      <c r="B70"/>
      <c r="C70"/>
      <c r="F70"/>
      <c r="I70"/>
      <c r="J70"/>
      <c r="M70"/>
      <c r="N70" s="43"/>
    </row>
    <row r="71" spans="2:14" x14ac:dyDescent="0.25">
      <c r="B71"/>
      <c r="C71"/>
      <c r="F71"/>
      <c r="I71"/>
      <c r="J71"/>
      <c r="M71"/>
      <c r="N71" s="43"/>
    </row>
    <row r="72" spans="2:14" x14ac:dyDescent="0.25">
      <c r="B72"/>
      <c r="C72"/>
      <c r="F72"/>
      <c r="I72"/>
      <c r="J72"/>
      <c r="M72"/>
      <c r="N72" s="43"/>
    </row>
    <row r="73" spans="2:14" x14ac:dyDescent="0.25">
      <c r="B73"/>
      <c r="C73"/>
      <c r="F73"/>
      <c r="I73"/>
      <c r="J73"/>
      <c r="M73"/>
      <c r="N73" s="43"/>
    </row>
    <row r="74" spans="2:14" x14ac:dyDescent="0.25">
      <c r="B74"/>
      <c r="C74"/>
      <c r="F74"/>
      <c r="I74"/>
      <c r="J74"/>
      <c r="M74"/>
      <c r="N74" s="43"/>
    </row>
    <row r="75" spans="2:14" x14ac:dyDescent="0.25">
      <c r="B75"/>
      <c r="C75"/>
      <c r="F75"/>
      <c r="I75"/>
      <c r="J75"/>
      <c r="M75"/>
    </row>
    <row r="76" spans="2:14" x14ac:dyDescent="0.25">
      <c r="B76"/>
      <c r="C76"/>
      <c r="F76"/>
      <c r="I76"/>
      <c r="J76"/>
      <c r="M76"/>
    </row>
    <row r="77" spans="2:14" x14ac:dyDescent="0.25">
      <c r="B77"/>
      <c r="C77"/>
      <c r="F77"/>
      <c r="I77"/>
      <c r="J77"/>
      <c r="M77"/>
    </row>
    <row r="78" spans="2:14" x14ac:dyDescent="0.25">
      <c r="B78"/>
      <c r="C78"/>
      <c r="F78"/>
      <c r="I78"/>
      <c r="J78"/>
      <c r="M78"/>
    </row>
    <row r="79" spans="2:14" x14ac:dyDescent="0.25">
      <c r="B79"/>
      <c r="C79"/>
      <c r="F79"/>
      <c r="I79"/>
      <c r="J79"/>
      <c r="M79"/>
    </row>
    <row r="80" spans="2:14" x14ac:dyDescent="0.25">
      <c r="B80"/>
      <c r="C80"/>
      <c r="F80"/>
      <c r="I80"/>
      <c r="J80"/>
      <c r="M80"/>
    </row>
    <row r="81" spans="2:14" x14ac:dyDescent="0.25">
      <c r="B81"/>
      <c r="C81"/>
      <c r="F81"/>
      <c r="I81"/>
      <c r="J81"/>
      <c r="M81"/>
      <c r="N81"/>
    </row>
    <row r="82" spans="2:14" x14ac:dyDescent="0.25">
      <c r="B82"/>
      <c r="C82"/>
      <c r="F82"/>
      <c r="I82"/>
      <c r="J82"/>
      <c r="M82"/>
      <c r="N82"/>
    </row>
    <row r="83" spans="2:14" x14ac:dyDescent="0.25">
      <c r="B83"/>
      <c r="C83"/>
      <c r="F83"/>
      <c r="I83"/>
      <c r="J83"/>
      <c r="M83"/>
      <c r="N83"/>
    </row>
    <row r="84" spans="2:14" x14ac:dyDescent="0.25">
      <c r="B84"/>
      <c r="C84"/>
      <c r="F84"/>
      <c r="I84"/>
      <c r="J84"/>
      <c r="M84"/>
      <c r="N84"/>
    </row>
    <row r="85" spans="2:14" x14ac:dyDescent="0.25">
      <c r="B85"/>
      <c r="C85"/>
      <c r="F85"/>
      <c r="I85"/>
      <c r="J85"/>
      <c r="M85"/>
      <c r="N85"/>
    </row>
    <row r="86" spans="2:14" x14ac:dyDescent="0.25">
      <c r="B86"/>
      <c r="C86"/>
      <c r="F86"/>
      <c r="I86"/>
      <c r="J86"/>
      <c r="M86"/>
      <c r="N86"/>
    </row>
    <row r="87" spans="2:14" x14ac:dyDescent="0.25">
      <c r="B87"/>
      <c r="C87"/>
      <c r="F87"/>
      <c r="I87"/>
      <c r="J87"/>
      <c r="M87"/>
      <c r="N87"/>
    </row>
    <row r="88" spans="2:14" x14ac:dyDescent="0.25">
      <c r="B88"/>
      <c r="C88"/>
      <c r="F88"/>
      <c r="I88"/>
      <c r="J88"/>
      <c r="M88"/>
      <c r="N88"/>
    </row>
    <row r="89" spans="2:14" x14ac:dyDescent="0.25">
      <c r="B89"/>
      <c r="C89"/>
      <c r="F89"/>
      <c r="I89"/>
      <c r="J89"/>
      <c r="M89"/>
      <c r="N89"/>
    </row>
    <row r="90" spans="2:14" x14ac:dyDescent="0.25">
      <c r="B90"/>
      <c r="C90"/>
      <c r="F90"/>
      <c r="I90"/>
      <c r="J90"/>
      <c r="M90"/>
      <c r="N90"/>
    </row>
    <row r="91" spans="2:14" x14ac:dyDescent="0.25">
      <c r="B91"/>
      <c r="C91"/>
      <c r="F91"/>
      <c r="I91"/>
      <c r="J91"/>
      <c r="M91"/>
      <c r="N91"/>
    </row>
    <row r="92" spans="2:14" x14ac:dyDescent="0.25">
      <c r="B92"/>
      <c r="C92"/>
      <c r="F92"/>
      <c r="I92"/>
      <c r="J92"/>
      <c r="M92"/>
      <c r="N92"/>
    </row>
    <row r="93" spans="2:14" x14ac:dyDescent="0.25">
      <c r="B93"/>
      <c r="C93"/>
      <c r="F93"/>
      <c r="I93"/>
      <c r="J93"/>
      <c r="M93"/>
      <c r="N93"/>
    </row>
    <row r="94" spans="2:14" x14ac:dyDescent="0.25">
      <c r="B94"/>
      <c r="C94"/>
      <c r="F94"/>
      <c r="I94"/>
      <c r="J94"/>
      <c r="M94"/>
      <c r="N94"/>
    </row>
    <row r="95" spans="2:14" x14ac:dyDescent="0.25">
      <c r="B95"/>
      <c r="C95"/>
      <c r="F95"/>
      <c r="I95"/>
      <c r="J95"/>
      <c r="M95"/>
      <c r="N95"/>
    </row>
    <row r="96" spans="2:14" x14ac:dyDescent="0.25">
      <c r="B96"/>
      <c r="C96"/>
      <c r="F96"/>
      <c r="I96"/>
      <c r="J96"/>
      <c r="M96"/>
      <c r="N96"/>
    </row>
    <row r="97" spans="2:14" x14ac:dyDescent="0.25">
      <c r="B97"/>
      <c r="C97"/>
      <c r="F97"/>
      <c r="I97"/>
      <c r="J97"/>
      <c r="M97"/>
      <c r="N97"/>
    </row>
  </sheetData>
  <mergeCells count="14">
    <mergeCell ref="D41:E41"/>
    <mergeCell ref="C1:K1"/>
    <mergeCell ref="E4:F4"/>
    <mergeCell ref="I4:L4"/>
    <mergeCell ref="H40:I40"/>
    <mergeCell ref="K40:L40"/>
    <mergeCell ref="D48:E48"/>
    <mergeCell ref="I43:K43"/>
    <mergeCell ref="K44:L44"/>
    <mergeCell ref="I45:J45"/>
    <mergeCell ref="K45:L45"/>
    <mergeCell ref="K46:L46"/>
    <mergeCell ref="K47:L47"/>
    <mergeCell ref="I47:J47"/>
  </mergeCells>
  <pageMargins left="0.31496062992125984" right="0.11811023622047245" top="0.15748031496062992" bottom="0.15748031496062992" header="0.31496062992125984" footer="0.31496062992125984"/>
  <pageSetup scale="75" orientation="landscape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P99"/>
  <sheetViews>
    <sheetView topLeftCell="A31" workbookViewId="0">
      <selection activeCell="H27" sqref="H27"/>
    </sheetView>
  </sheetViews>
  <sheetFormatPr baseColWidth="10" defaultRowHeight="15" x14ac:dyDescent="0.25"/>
  <cols>
    <col min="1" max="1" width="11.42578125" style="284"/>
    <col min="2" max="2" width="11.42578125" style="111"/>
    <col min="3" max="4" width="14.140625" style="43" bestFit="1" customWidth="1"/>
    <col min="5" max="5" width="17.28515625" style="58" customWidth="1"/>
    <col min="6" max="6" width="12.5703125" style="242" bestFit="1" customWidth="1"/>
    <col min="7" max="7" width="11.42578125" style="23"/>
    <col min="9" max="9" width="12.5703125" bestFit="1" customWidth="1"/>
    <col min="11" max="11" width="17.42578125" bestFit="1" customWidth="1"/>
    <col min="14" max="14" width="17.42578125" bestFit="1" customWidth="1"/>
  </cols>
  <sheetData>
    <row r="2" spans="1:16" ht="16.5" thickBot="1" x14ac:dyDescent="0.3">
      <c r="I2" s="49"/>
      <c r="J2" s="104"/>
      <c r="K2" s="354">
        <v>42140</v>
      </c>
      <c r="L2" s="215"/>
      <c r="M2" s="134" t="s">
        <v>200</v>
      </c>
      <c r="N2" s="88"/>
    </row>
    <row r="3" spans="1:16" ht="16.5" thickBot="1" x14ac:dyDescent="0.3">
      <c r="C3" s="404" t="s">
        <v>240</v>
      </c>
      <c r="D3" s="405"/>
      <c r="E3" s="406"/>
      <c r="I3" s="49"/>
      <c r="J3" s="104"/>
      <c r="K3" s="103"/>
      <c r="L3" s="103"/>
      <c r="M3" s="103"/>
      <c r="N3" s="213"/>
    </row>
    <row r="4" spans="1:16" ht="16.5" thickBot="1" x14ac:dyDescent="0.3">
      <c r="A4" s="247" t="s">
        <v>295</v>
      </c>
      <c r="B4" s="248" t="s">
        <v>296</v>
      </c>
      <c r="C4" s="332" t="s">
        <v>297</v>
      </c>
      <c r="D4" s="332"/>
      <c r="E4" s="332" t="s">
        <v>298</v>
      </c>
      <c r="F4" s="334" t="s">
        <v>299</v>
      </c>
      <c r="I4" s="49">
        <f>19926+6288.5</f>
        <v>26214.5</v>
      </c>
      <c r="J4" s="193">
        <v>19455</v>
      </c>
      <c r="K4" s="130">
        <v>24600.61</v>
      </c>
      <c r="L4" s="351"/>
      <c r="M4" s="113" t="s">
        <v>202</v>
      </c>
      <c r="N4" s="214">
        <v>17420</v>
      </c>
      <c r="O4" s="221">
        <v>42126</v>
      </c>
      <c r="P4" s="281">
        <v>42124</v>
      </c>
    </row>
    <row r="5" spans="1:16" ht="15.75" x14ac:dyDescent="0.25">
      <c r="A5" s="243">
        <v>42125</v>
      </c>
      <c r="B5" s="244">
        <v>19629</v>
      </c>
      <c r="C5" s="245">
        <v>80018.06</v>
      </c>
      <c r="D5" s="104">
        <v>42140</v>
      </c>
      <c r="E5" s="245">
        <v>80018.06</v>
      </c>
      <c r="F5" s="246">
        <f t="shared" ref="F5:F43" si="0">C5-E5</f>
        <v>0</v>
      </c>
      <c r="G5" s="105"/>
      <c r="H5" s="106"/>
      <c r="I5" s="103">
        <f>67635.5+17115</f>
        <v>84750.5</v>
      </c>
      <c r="J5" s="194">
        <v>19536</v>
      </c>
      <c r="K5" s="207">
        <v>84750.48</v>
      </c>
      <c r="L5" s="207"/>
      <c r="M5" s="353" t="s">
        <v>423</v>
      </c>
      <c r="N5" s="207">
        <v>20000</v>
      </c>
      <c r="O5" s="221">
        <v>42124</v>
      </c>
      <c r="P5" s="281"/>
    </row>
    <row r="6" spans="1:16" x14ac:dyDescent="0.25">
      <c r="A6" s="143">
        <v>42126</v>
      </c>
      <c r="B6" s="144">
        <v>19805</v>
      </c>
      <c r="C6" s="156">
        <v>87032.7</v>
      </c>
      <c r="D6" s="104">
        <v>42140</v>
      </c>
      <c r="E6" s="156">
        <v>87032.7</v>
      </c>
      <c r="F6" s="154">
        <f t="shared" si="0"/>
        <v>0</v>
      </c>
      <c r="G6" s="105"/>
      <c r="H6" s="108"/>
      <c r="I6" s="49">
        <f>52148.5+5401.5+17331.5+5136.5</f>
        <v>80018</v>
      </c>
      <c r="J6" s="244">
        <v>19629</v>
      </c>
      <c r="K6" s="245">
        <v>80018.06</v>
      </c>
      <c r="L6" s="207"/>
      <c r="M6" s="353" t="s">
        <v>423</v>
      </c>
      <c r="N6" s="207">
        <v>12930</v>
      </c>
      <c r="O6" s="221">
        <v>42124</v>
      </c>
      <c r="P6" s="281"/>
    </row>
    <row r="7" spans="1:16" x14ac:dyDescent="0.25">
      <c r="A7" s="143">
        <v>42128</v>
      </c>
      <c r="B7" s="144">
        <v>19973</v>
      </c>
      <c r="C7" s="156">
        <v>43274.22</v>
      </c>
      <c r="D7" s="104">
        <v>42140</v>
      </c>
      <c r="E7" s="156">
        <v>43274.22</v>
      </c>
      <c r="F7" s="155">
        <f t="shared" si="0"/>
        <v>0</v>
      </c>
      <c r="G7" s="105"/>
      <c r="H7" s="108"/>
      <c r="I7" s="49">
        <f>19400+30532+31466+5635</f>
        <v>87033</v>
      </c>
      <c r="J7" s="144">
        <v>19805</v>
      </c>
      <c r="K7" s="156">
        <v>87032.7</v>
      </c>
      <c r="L7" s="130"/>
      <c r="M7" s="353" t="s">
        <v>423</v>
      </c>
      <c r="N7" s="207">
        <v>43500</v>
      </c>
      <c r="O7" s="221">
        <v>42124</v>
      </c>
      <c r="P7" s="281"/>
    </row>
    <row r="8" spans="1:16" x14ac:dyDescent="0.25">
      <c r="A8" s="143">
        <v>42129</v>
      </c>
      <c r="B8" s="144">
        <v>20072</v>
      </c>
      <c r="C8" s="156">
        <v>10504.8</v>
      </c>
      <c r="D8" s="104">
        <v>42140</v>
      </c>
      <c r="E8" s="156">
        <v>10504.8</v>
      </c>
      <c r="F8" s="155">
        <f t="shared" si="0"/>
        <v>0</v>
      </c>
      <c r="G8" s="105"/>
      <c r="H8" s="106"/>
      <c r="I8" s="49">
        <f>17901.5+5098.5+7000+7688+5586</f>
        <v>43274</v>
      </c>
      <c r="J8" s="144">
        <v>19973</v>
      </c>
      <c r="K8" s="156">
        <v>43274.22</v>
      </c>
      <c r="L8" s="130"/>
      <c r="M8" s="352" t="s">
        <v>423</v>
      </c>
      <c r="N8" s="214">
        <v>52148.5</v>
      </c>
      <c r="O8" s="221">
        <v>42126</v>
      </c>
      <c r="P8" s="281">
        <v>42125</v>
      </c>
    </row>
    <row r="9" spans="1:16" x14ac:dyDescent="0.25">
      <c r="A9" s="143">
        <v>42130</v>
      </c>
      <c r="B9" s="144">
        <v>20175</v>
      </c>
      <c r="C9" s="156">
        <v>54070.51</v>
      </c>
      <c r="D9" s="104">
        <v>42140</v>
      </c>
      <c r="E9" s="156">
        <v>54070.51</v>
      </c>
      <c r="F9" s="155">
        <f t="shared" si="0"/>
        <v>0</v>
      </c>
      <c r="I9" s="49">
        <v>10505</v>
      </c>
      <c r="J9" s="144">
        <v>20072</v>
      </c>
      <c r="K9" s="156">
        <v>10504.8</v>
      </c>
      <c r="L9" s="207"/>
      <c r="M9" s="226" t="s">
        <v>202</v>
      </c>
      <c r="N9" s="207">
        <v>5401.5</v>
      </c>
      <c r="O9" s="221">
        <v>42126</v>
      </c>
      <c r="P9" s="281">
        <v>42125</v>
      </c>
    </row>
    <row r="10" spans="1:16" x14ac:dyDescent="0.25">
      <c r="A10" s="143">
        <v>42131</v>
      </c>
      <c r="B10" s="144">
        <v>20293</v>
      </c>
      <c r="C10" s="156">
        <v>38110.6</v>
      </c>
      <c r="D10" s="104">
        <v>42140</v>
      </c>
      <c r="E10" s="156">
        <v>38110.6</v>
      </c>
      <c r="F10" s="155">
        <f t="shared" si="0"/>
        <v>0</v>
      </c>
      <c r="I10" s="49">
        <f>28236+6698+19136.5</f>
        <v>54070.5</v>
      </c>
      <c r="J10" s="144">
        <v>20175</v>
      </c>
      <c r="K10" s="156">
        <v>54070.51</v>
      </c>
      <c r="L10" s="337"/>
      <c r="M10" s="226" t="s">
        <v>202</v>
      </c>
      <c r="N10" s="207">
        <v>17115</v>
      </c>
      <c r="O10" s="221">
        <v>42126</v>
      </c>
      <c r="P10" s="281">
        <v>42125</v>
      </c>
    </row>
    <row r="11" spans="1:16" x14ac:dyDescent="0.25">
      <c r="A11" s="143">
        <v>42132</v>
      </c>
      <c r="B11" s="144">
        <v>20383</v>
      </c>
      <c r="C11" s="156">
        <v>34201.199999999997</v>
      </c>
      <c r="D11" s="104">
        <v>42140</v>
      </c>
      <c r="E11" s="156">
        <v>34201.199999999997</v>
      </c>
      <c r="F11" s="155">
        <f t="shared" si="0"/>
        <v>0</v>
      </c>
      <c r="I11" s="49">
        <f>4869.5+33241</f>
        <v>38110.5</v>
      </c>
      <c r="J11" s="144">
        <v>20293</v>
      </c>
      <c r="K11" s="156">
        <v>38110.6</v>
      </c>
      <c r="L11" s="321"/>
      <c r="M11" s="226" t="s">
        <v>423</v>
      </c>
      <c r="N11" s="207">
        <v>19400</v>
      </c>
      <c r="O11" s="221">
        <v>42126</v>
      </c>
      <c r="P11" s="281"/>
    </row>
    <row r="12" spans="1:16" x14ac:dyDescent="0.25">
      <c r="A12" s="143">
        <v>42132</v>
      </c>
      <c r="B12" s="144">
        <v>20456</v>
      </c>
      <c r="C12" s="156">
        <v>74169</v>
      </c>
      <c r="D12" s="104">
        <v>42140</v>
      </c>
      <c r="E12" s="156">
        <v>74169</v>
      </c>
      <c r="F12" s="155">
        <f t="shared" si="0"/>
        <v>0</v>
      </c>
      <c r="I12" s="49">
        <f>4877.5+29323.5</f>
        <v>34201</v>
      </c>
      <c r="J12" s="144">
        <v>20383</v>
      </c>
      <c r="K12" s="156">
        <v>34201.199999999997</v>
      </c>
      <c r="L12" s="207"/>
      <c r="M12" s="226" t="s">
        <v>202</v>
      </c>
      <c r="N12" s="207">
        <v>30532</v>
      </c>
      <c r="O12" s="221">
        <v>42126</v>
      </c>
      <c r="P12" s="281"/>
    </row>
    <row r="13" spans="1:16" ht="15.75" x14ac:dyDescent="0.25">
      <c r="A13" s="143">
        <v>42133</v>
      </c>
      <c r="B13" s="144">
        <v>20585</v>
      </c>
      <c r="C13" s="156">
        <v>118641.73</v>
      </c>
      <c r="D13" s="104">
        <v>42140</v>
      </c>
      <c r="E13" s="156">
        <v>118641.73</v>
      </c>
      <c r="F13" s="155">
        <f t="shared" si="0"/>
        <v>0</v>
      </c>
      <c r="I13" s="49">
        <f>24849+43733+5587</f>
        <v>74169</v>
      </c>
      <c r="J13" s="144">
        <v>20456</v>
      </c>
      <c r="K13" s="156">
        <v>74169</v>
      </c>
      <c r="L13" s="207"/>
      <c r="M13" s="113" t="s">
        <v>202</v>
      </c>
      <c r="N13" s="207">
        <v>17331.5</v>
      </c>
      <c r="O13" s="221">
        <v>42126</v>
      </c>
      <c r="P13" s="281"/>
    </row>
    <row r="14" spans="1:16" ht="15.75" x14ac:dyDescent="0.25">
      <c r="A14" s="143">
        <v>42135</v>
      </c>
      <c r="B14" s="144">
        <v>20723</v>
      </c>
      <c r="C14" s="156">
        <v>43037.05</v>
      </c>
      <c r="D14" s="104">
        <v>42140</v>
      </c>
      <c r="E14" s="156">
        <v>43037.05</v>
      </c>
      <c r="F14" s="155">
        <f t="shared" si="0"/>
        <v>0</v>
      </c>
      <c r="I14" s="49">
        <f>42150+9390+67102</f>
        <v>118642</v>
      </c>
      <c r="J14" s="144">
        <v>20585</v>
      </c>
      <c r="K14" s="156">
        <v>118641.73</v>
      </c>
      <c r="L14" s="207"/>
      <c r="M14" s="113" t="s">
        <v>202</v>
      </c>
      <c r="N14" s="207">
        <v>5136.5</v>
      </c>
      <c r="O14" s="221">
        <v>42126</v>
      </c>
      <c r="P14" s="281"/>
    </row>
    <row r="15" spans="1:16" ht="15.75" x14ac:dyDescent="0.25">
      <c r="A15" s="143">
        <v>42135</v>
      </c>
      <c r="B15" s="144">
        <v>20751</v>
      </c>
      <c r="C15" s="156">
        <v>4081</v>
      </c>
      <c r="D15" s="104">
        <v>42140</v>
      </c>
      <c r="E15" s="156">
        <v>4081</v>
      </c>
      <c r="F15" s="155">
        <f t="shared" si="0"/>
        <v>0</v>
      </c>
      <c r="I15" s="49">
        <f>27645+5564+9828</f>
        <v>43037</v>
      </c>
      <c r="J15" s="144">
        <v>20723</v>
      </c>
      <c r="K15" s="156">
        <v>43037.05</v>
      </c>
      <c r="L15" s="207"/>
      <c r="M15" s="113" t="s">
        <v>202</v>
      </c>
      <c r="N15" s="207">
        <v>31466</v>
      </c>
      <c r="O15" s="221">
        <v>42128</v>
      </c>
      <c r="P15" s="281">
        <v>42127</v>
      </c>
    </row>
    <row r="16" spans="1:16" ht="15.75" x14ac:dyDescent="0.25">
      <c r="A16" s="143">
        <v>42136</v>
      </c>
      <c r="B16" s="144">
        <v>20857</v>
      </c>
      <c r="C16" s="156">
        <v>13150.24</v>
      </c>
      <c r="D16" s="104" t="s">
        <v>425</v>
      </c>
      <c r="E16" s="156">
        <f>11231.84+1918.4</f>
        <v>13150.24</v>
      </c>
      <c r="F16" s="155">
        <f t="shared" si="0"/>
        <v>0</v>
      </c>
      <c r="I16" s="49">
        <v>4081</v>
      </c>
      <c r="J16" s="144">
        <v>20751</v>
      </c>
      <c r="K16" s="156">
        <v>4081</v>
      </c>
      <c r="L16" s="207"/>
      <c r="M16" s="113" t="s">
        <v>202</v>
      </c>
      <c r="N16" s="207">
        <v>5635</v>
      </c>
      <c r="O16" s="221">
        <v>42128</v>
      </c>
      <c r="P16" s="281">
        <v>42127</v>
      </c>
    </row>
    <row r="17" spans="1:16" ht="15.75" x14ac:dyDescent="0.25">
      <c r="A17" s="143">
        <v>42137</v>
      </c>
      <c r="B17" s="144">
        <v>20954</v>
      </c>
      <c r="C17" s="156">
        <v>22984.080000000002</v>
      </c>
      <c r="D17" s="104">
        <v>42140</v>
      </c>
      <c r="E17" s="156">
        <v>22984.080000000002</v>
      </c>
      <c r="F17" s="155">
        <f t="shared" si="0"/>
        <v>0</v>
      </c>
      <c r="I17" s="49">
        <f>5332.5+5899.5</f>
        <v>11232</v>
      </c>
      <c r="J17" s="144">
        <v>20857</v>
      </c>
      <c r="K17" s="156">
        <v>11231.84</v>
      </c>
      <c r="L17" s="337"/>
      <c r="M17" s="113" t="s">
        <v>202</v>
      </c>
      <c r="N17" s="207">
        <v>17901.5</v>
      </c>
      <c r="O17" s="221">
        <v>42128</v>
      </c>
      <c r="P17" s="281"/>
    </row>
    <row r="18" spans="1:16" ht="15.75" x14ac:dyDescent="0.25">
      <c r="A18" s="143">
        <v>42138</v>
      </c>
      <c r="B18" s="144">
        <v>20982</v>
      </c>
      <c r="C18" s="156">
        <v>38860.550000000003</v>
      </c>
      <c r="D18" s="104">
        <v>42140</v>
      </c>
      <c r="E18" s="156">
        <v>38860.550000000003</v>
      </c>
      <c r="F18" s="155">
        <f t="shared" si="0"/>
        <v>0</v>
      </c>
      <c r="I18" s="49">
        <f>6162.5+5448.5+11373</f>
        <v>22984</v>
      </c>
      <c r="J18" s="144">
        <v>20954</v>
      </c>
      <c r="K18" s="156">
        <v>22984.080000000002</v>
      </c>
      <c r="L18" s="207"/>
      <c r="M18" s="113" t="s">
        <v>202</v>
      </c>
      <c r="N18" s="207">
        <v>5098.5</v>
      </c>
      <c r="O18" s="221">
        <v>42128</v>
      </c>
      <c r="P18" s="281"/>
    </row>
    <row r="19" spans="1:16" ht="15.75" x14ac:dyDescent="0.25">
      <c r="A19" s="143">
        <v>42138</v>
      </c>
      <c r="B19" s="144">
        <v>21049</v>
      </c>
      <c r="C19" s="156">
        <v>82501.600000000006</v>
      </c>
      <c r="D19" s="328" t="s">
        <v>432</v>
      </c>
      <c r="E19" s="156">
        <f>26745.5+55756.1</f>
        <v>82501.600000000006</v>
      </c>
      <c r="F19" s="155">
        <f t="shared" si="0"/>
        <v>0</v>
      </c>
      <c r="I19" s="49">
        <f>36137.5+2723</f>
        <v>38860.5</v>
      </c>
      <c r="J19" s="144">
        <v>20982</v>
      </c>
      <c r="K19" s="156">
        <v>38860.550000000003</v>
      </c>
      <c r="L19" s="207"/>
      <c r="M19" s="113" t="s">
        <v>202</v>
      </c>
      <c r="N19" s="207">
        <v>7000</v>
      </c>
      <c r="O19" s="221">
        <v>42131</v>
      </c>
      <c r="P19" s="281">
        <v>42128</v>
      </c>
    </row>
    <row r="20" spans="1:16" ht="15.75" x14ac:dyDescent="0.25">
      <c r="A20" s="143">
        <v>42139</v>
      </c>
      <c r="B20" s="144">
        <v>21196</v>
      </c>
      <c r="C20" s="156">
        <v>59002.8</v>
      </c>
      <c r="D20" s="104">
        <v>42147</v>
      </c>
      <c r="E20" s="103">
        <v>59002.8</v>
      </c>
      <c r="F20" s="155">
        <f t="shared" si="0"/>
        <v>0</v>
      </c>
      <c r="I20" s="88">
        <f>26745.5</f>
        <v>26745.5</v>
      </c>
      <c r="J20" s="144">
        <v>21049</v>
      </c>
      <c r="K20" s="156">
        <v>26745.5</v>
      </c>
      <c r="L20" s="207" t="s">
        <v>361</v>
      </c>
      <c r="M20" s="113" t="s">
        <v>202</v>
      </c>
      <c r="N20" s="207">
        <v>7688</v>
      </c>
      <c r="O20" s="221">
        <v>42129</v>
      </c>
      <c r="P20" s="281"/>
    </row>
    <row r="21" spans="1:16" ht="15.75" x14ac:dyDescent="0.25">
      <c r="A21" s="143">
        <v>42139</v>
      </c>
      <c r="B21" s="144">
        <v>21242</v>
      </c>
      <c r="C21" s="156">
        <v>24602.959999999999</v>
      </c>
      <c r="D21" s="328" t="s">
        <v>432</v>
      </c>
      <c r="E21" s="103">
        <f>1614.5+22988.46</f>
        <v>24602.959999999999</v>
      </c>
      <c r="F21" s="155">
        <f t="shared" si="0"/>
        <v>0</v>
      </c>
      <c r="I21" s="49"/>
      <c r="J21" s="144">
        <v>21242</v>
      </c>
      <c r="K21" s="156">
        <v>1614.5</v>
      </c>
      <c r="L21" s="207" t="s">
        <v>361</v>
      </c>
      <c r="M21" s="113" t="s">
        <v>202</v>
      </c>
      <c r="N21" s="207">
        <v>5586</v>
      </c>
      <c r="O21" s="221">
        <v>42129</v>
      </c>
      <c r="P21" s="281"/>
    </row>
    <row r="22" spans="1:16" ht="15.75" x14ac:dyDescent="0.25">
      <c r="A22" s="143">
        <v>42140</v>
      </c>
      <c r="B22" s="144">
        <v>21307</v>
      </c>
      <c r="C22" s="156">
        <v>26448</v>
      </c>
      <c r="D22" s="104">
        <v>42147</v>
      </c>
      <c r="E22" s="103">
        <v>26448</v>
      </c>
      <c r="F22" s="155">
        <f t="shared" si="0"/>
        <v>0</v>
      </c>
      <c r="I22" s="49"/>
      <c r="J22" s="292"/>
      <c r="K22" s="157"/>
      <c r="L22" s="207"/>
      <c r="M22" s="113" t="s">
        <v>202</v>
      </c>
      <c r="N22" s="207">
        <v>28236</v>
      </c>
      <c r="O22" s="221">
        <v>42129</v>
      </c>
      <c r="P22" s="252"/>
    </row>
    <row r="23" spans="1:16" ht="15.75" x14ac:dyDescent="0.25">
      <c r="A23" s="143">
        <v>42140</v>
      </c>
      <c r="B23" s="144">
        <v>21311</v>
      </c>
      <c r="C23" s="207">
        <v>25584.45</v>
      </c>
      <c r="D23" s="283">
        <v>42147</v>
      </c>
      <c r="E23" s="103">
        <v>25584.45</v>
      </c>
      <c r="F23" s="155">
        <f t="shared" si="0"/>
        <v>0</v>
      </c>
      <c r="I23" s="49">
        <v>0</v>
      </c>
      <c r="J23" s="292"/>
      <c r="K23" s="157"/>
      <c r="L23" s="260"/>
      <c r="M23" s="113" t="s">
        <v>202</v>
      </c>
      <c r="N23" s="207">
        <v>6698</v>
      </c>
      <c r="O23" s="221">
        <v>42130</v>
      </c>
      <c r="P23" s="252"/>
    </row>
    <row r="24" spans="1:16" ht="15.75" x14ac:dyDescent="0.25">
      <c r="A24" s="143">
        <v>42141</v>
      </c>
      <c r="B24" s="144">
        <v>21381</v>
      </c>
      <c r="C24" s="156">
        <v>26114.55</v>
      </c>
      <c r="D24" s="104">
        <v>42147</v>
      </c>
      <c r="E24" s="103">
        <v>26114.55</v>
      </c>
      <c r="F24" s="155">
        <f t="shared" si="0"/>
        <v>0</v>
      </c>
      <c r="I24" s="88">
        <f>SUM(I4:I23)</f>
        <v>797928</v>
      </c>
      <c r="J24" s="263"/>
      <c r="K24" s="130"/>
      <c r="L24" s="130"/>
      <c r="M24" s="113" t="s">
        <v>202</v>
      </c>
      <c r="N24" s="207">
        <v>10505</v>
      </c>
      <c r="O24" s="221">
        <v>42130</v>
      </c>
      <c r="P24" s="252"/>
    </row>
    <row r="25" spans="1:16" ht="15.75" x14ac:dyDescent="0.25">
      <c r="A25" s="143">
        <v>42142</v>
      </c>
      <c r="B25" s="144">
        <v>21426</v>
      </c>
      <c r="C25" s="156">
        <v>31767.93</v>
      </c>
      <c r="D25" s="104">
        <v>42147</v>
      </c>
      <c r="E25" s="103">
        <v>31767.93</v>
      </c>
      <c r="F25" s="155">
        <f t="shared" si="0"/>
        <v>0</v>
      </c>
      <c r="I25" s="49"/>
      <c r="J25" s="262"/>
      <c r="K25" s="207"/>
      <c r="L25" s="207"/>
      <c r="M25" s="113" t="s">
        <v>202</v>
      </c>
      <c r="N25" s="214">
        <v>19136.5</v>
      </c>
      <c r="O25" s="221">
        <v>42130</v>
      </c>
      <c r="P25" s="252"/>
    </row>
    <row r="26" spans="1:16" ht="15.75" x14ac:dyDescent="0.25">
      <c r="A26" s="143">
        <v>42144</v>
      </c>
      <c r="B26" s="144">
        <v>21696</v>
      </c>
      <c r="C26" s="156">
        <v>56804.17</v>
      </c>
      <c r="D26" s="104">
        <v>42147</v>
      </c>
      <c r="E26" s="103">
        <v>56804.17</v>
      </c>
      <c r="F26" s="155">
        <f t="shared" si="0"/>
        <v>0</v>
      </c>
      <c r="I26" s="49"/>
      <c r="J26" s="262"/>
      <c r="K26" s="207"/>
      <c r="L26" s="207"/>
      <c r="M26" s="113" t="s">
        <v>202</v>
      </c>
      <c r="N26" s="207">
        <v>4869.5</v>
      </c>
      <c r="O26" s="221">
        <v>42131</v>
      </c>
      <c r="P26" s="252"/>
    </row>
    <row r="27" spans="1:16" ht="15.75" x14ac:dyDescent="0.25">
      <c r="A27" s="143">
        <v>42145</v>
      </c>
      <c r="B27" s="144">
        <v>21786</v>
      </c>
      <c r="C27" s="156">
        <v>37543.64</v>
      </c>
      <c r="D27" s="145" t="s">
        <v>433</v>
      </c>
      <c r="E27" s="103">
        <f>35923.64+1620</f>
        <v>37543.64</v>
      </c>
      <c r="F27" s="155">
        <f t="shared" si="0"/>
        <v>0</v>
      </c>
      <c r="I27" s="49"/>
      <c r="J27" s="264"/>
      <c r="K27" s="207"/>
      <c r="L27" s="207"/>
      <c r="M27" s="113" t="s">
        <v>202</v>
      </c>
      <c r="N27" s="207">
        <v>33241</v>
      </c>
      <c r="O27" s="221">
        <v>42131</v>
      </c>
      <c r="P27" s="252"/>
    </row>
    <row r="28" spans="1:16" ht="15.75" x14ac:dyDescent="0.25">
      <c r="A28" s="143">
        <v>42146</v>
      </c>
      <c r="B28" s="144">
        <v>21850</v>
      </c>
      <c r="C28" s="156">
        <v>95594.240000000005</v>
      </c>
      <c r="D28" s="104">
        <v>42153</v>
      </c>
      <c r="E28" s="103">
        <v>95594.240000000005</v>
      </c>
      <c r="F28" s="155">
        <f t="shared" si="0"/>
        <v>0</v>
      </c>
      <c r="I28" s="49"/>
      <c r="J28" s="264"/>
      <c r="K28" s="130"/>
      <c r="L28" s="130"/>
      <c r="M28" s="113" t="s">
        <v>202</v>
      </c>
      <c r="N28" s="207">
        <v>4877.5</v>
      </c>
      <c r="O28" s="221">
        <v>42132</v>
      </c>
      <c r="P28" s="252"/>
    </row>
    <row r="29" spans="1:16" ht="15.75" x14ac:dyDescent="0.25">
      <c r="A29" s="143">
        <v>42147</v>
      </c>
      <c r="B29" s="144">
        <v>22037</v>
      </c>
      <c r="C29" s="156">
        <v>83094.64</v>
      </c>
      <c r="D29" s="104">
        <v>42153</v>
      </c>
      <c r="E29" s="103">
        <v>83094.64</v>
      </c>
      <c r="F29" s="155">
        <f t="shared" si="0"/>
        <v>0</v>
      </c>
      <c r="I29" s="49"/>
      <c r="J29" s="193"/>
      <c r="K29" s="207"/>
      <c r="L29" s="207"/>
      <c r="M29" s="113" t="s">
        <v>202</v>
      </c>
      <c r="N29" s="207">
        <v>24849</v>
      </c>
      <c r="O29" s="221">
        <v>42132</v>
      </c>
      <c r="P29" s="252"/>
    </row>
    <row r="30" spans="1:16" ht="15.75" x14ac:dyDescent="0.25">
      <c r="A30" s="143">
        <v>42149</v>
      </c>
      <c r="B30" s="144">
        <v>22192</v>
      </c>
      <c r="C30" s="156">
        <v>9067</v>
      </c>
      <c r="D30" s="104">
        <v>42153</v>
      </c>
      <c r="E30" s="88">
        <v>9067</v>
      </c>
      <c r="F30" s="155">
        <f t="shared" si="0"/>
        <v>0</v>
      </c>
      <c r="I30" s="153"/>
      <c r="J30" s="193"/>
      <c r="K30" s="207"/>
      <c r="L30" s="207"/>
      <c r="M30" s="113" t="s">
        <v>202</v>
      </c>
      <c r="N30" s="214">
        <v>29323.5</v>
      </c>
      <c r="O30" s="221">
        <v>42132</v>
      </c>
      <c r="P30" s="252"/>
    </row>
    <row r="31" spans="1:16" ht="15.75" x14ac:dyDescent="0.25">
      <c r="A31" s="143">
        <v>42150</v>
      </c>
      <c r="B31" s="144">
        <v>22314</v>
      </c>
      <c r="C31" s="156">
        <v>28982</v>
      </c>
      <c r="D31" s="104">
        <v>42153</v>
      </c>
      <c r="E31" s="103">
        <v>28982</v>
      </c>
      <c r="F31" s="155">
        <f t="shared" si="0"/>
        <v>0</v>
      </c>
      <c r="I31" s="208"/>
      <c r="J31" s="193"/>
      <c r="K31" s="207"/>
      <c r="L31" s="207"/>
      <c r="M31" s="113" t="s">
        <v>202</v>
      </c>
      <c r="N31" s="207">
        <v>43733</v>
      </c>
      <c r="O31" s="221">
        <v>42133</v>
      </c>
      <c r="P31" s="252"/>
    </row>
    <row r="32" spans="1:16" ht="15.75" x14ac:dyDescent="0.25">
      <c r="A32" s="143">
        <v>42151</v>
      </c>
      <c r="B32" s="144">
        <v>22408</v>
      </c>
      <c r="C32" s="156">
        <v>26360.1</v>
      </c>
      <c r="D32" s="104"/>
      <c r="E32" s="103"/>
      <c r="F32" s="155">
        <f t="shared" si="0"/>
        <v>26360.1</v>
      </c>
      <c r="I32" s="153"/>
      <c r="J32" s="193"/>
      <c r="K32" s="207"/>
      <c r="L32" s="207"/>
      <c r="M32" s="113" t="s">
        <v>202</v>
      </c>
      <c r="N32" s="207">
        <v>42150</v>
      </c>
      <c r="O32" s="221">
        <v>42133</v>
      </c>
      <c r="P32" s="252"/>
    </row>
    <row r="33" spans="1:16" ht="15.75" x14ac:dyDescent="0.25">
      <c r="A33" s="143">
        <v>42152</v>
      </c>
      <c r="B33" s="144">
        <v>22443</v>
      </c>
      <c r="C33" s="156">
        <v>30947.119999999999</v>
      </c>
      <c r="D33" s="104"/>
      <c r="E33" s="88"/>
      <c r="F33" s="155">
        <f t="shared" si="0"/>
        <v>30947.119999999999</v>
      </c>
      <c r="I33" s="153"/>
      <c r="J33" s="193"/>
      <c r="K33" s="207"/>
      <c r="L33" s="207"/>
      <c r="M33" s="113" t="s">
        <v>202</v>
      </c>
      <c r="N33" s="207">
        <v>5587</v>
      </c>
      <c r="O33" s="221">
        <v>42133</v>
      </c>
      <c r="P33" s="252"/>
    </row>
    <row r="34" spans="1:16" ht="15.75" x14ac:dyDescent="0.25">
      <c r="A34" s="143">
        <v>42152</v>
      </c>
      <c r="B34" s="144">
        <v>22444</v>
      </c>
      <c r="C34" s="156">
        <v>3714.8</v>
      </c>
      <c r="D34" s="104"/>
      <c r="E34" s="88"/>
      <c r="F34" s="155">
        <f t="shared" si="0"/>
        <v>3714.8</v>
      </c>
      <c r="I34" s="153"/>
      <c r="J34" s="206"/>
      <c r="K34" s="207"/>
      <c r="L34" s="207"/>
      <c r="M34" s="113" t="s">
        <v>202</v>
      </c>
      <c r="N34" s="207">
        <v>9390</v>
      </c>
      <c r="O34" s="221">
        <v>42135</v>
      </c>
      <c r="P34" s="252">
        <v>42134</v>
      </c>
    </row>
    <row r="35" spans="1:16" ht="15.75" x14ac:dyDescent="0.25">
      <c r="A35" s="143">
        <v>42152</v>
      </c>
      <c r="B35" s="144">
        <v>22539</v>
      </c>
      <c r="C35" s="156">
        <v>26917.93</v>
      </c>
      <c r="D35" s="104"/>
      <c r="E35" s="103"/>
      <c r="F35" s="155">
        <f t="shared" si="0"/>
        <v>26917.93</v>
      </c>
      <c r="I35" s="153"/>
      <c r="J35" s="206"/>
      <c r="K35" s="207"/>
      <c r="L35" s="207"/>
      <c r="M35" s="113" t="s">
        <v>202</v>
      </c>
      <c r="N35" s="207">
        <v>67102</v>
      </c>
      <c r="O35" s="222">
        <v>42135</v>
      </c>
      <c r="P35" s="252">
        <v>42134</v>
      </c>
    </row>
    <row r="36" spans="1:16" ht="15.75" x14ac:dyDescent="0.25">
      <c r="A36" s="143">
        <v>42153</v>
      </c>
      <c r="B36" s="144">
        <v>22588</v>
      </c>
      <c r="C36" s="156">
        <v>22200.37</v>
      </c>
      <c r="D36" s="104"/>
      <c r="E36" s="103"/>
      <c r="F36" s="155">
        <f t="shared" si="0"/>
        <v>22200.37</v>
      </c>
      <c r="I36" s="153"/>
      <c r="J36" s="193"/>
      <c r="K36" s="207"/>
      <c r="L36" s="207"/>
      <c r="M36" s="113" t="s">
        <v>202</v>
      </c>
      <c r="N36" s="207">
        <v>27645</v>
      </c>
      <c r="O36" s="221">
        <v>42135</v>
      </c>
      <c r="P36" s="252"/>
    </row>
    <row r="37" spans="1:16" ht="15.75" x14ac:dyDescent="0.25">
      <c r="A37" s="143">
        <v>42153</v>
      </c>
      <c r="B37" s="292">
        <v>22603</v>
      </c>
      <c r="C37" s="157">
        <v>30328.78</v>
      </c>
      <c r="D37" s="104"/>
      <c r="E37" s="103"/>
      <c r="F37" s="155">
        <f t="shared" si="0"/>
        <v>30328.78</v>
      </c>
      <c r="I37" s="153"/>
      <c r="J37" s="119"/>
      <c r="K37" s="121"/>
      <c r="L37" s="121"/>
      <c r="M37" s="113" t="s">
        <v>202</v>
      </c>
      <c r="N37" s="121">
        <v>4081</v>
      </c>
      <c r="O37" s="222">
        <v>42135</v>
      </c>
      <c r="P37" s="252"/>
    </row>
    <row r="38" spans="1:16" ht="15.75" x14ac:dyDescent="0.25">
      <c r="A38" s="143">
        <v>42153</v>
      </c>
      <c r="B38" s="292">
        <v>22654</v>
      </c>
      <c r="C38" s="157">
        <v>29349.599999999999</v>
      </c>
      <c r="D38" s="298"/>
      <c r="E38" s="88"/>
      <c r="F38" s="155">
        <f t="shared" si="0"/>
        <v>29349.599999999999</v>
      </c>
      <c r="I38" s="153"/>
      <c r="J38" s="119"/>
      <c r="K38" s="121"/>
      <c r="L38" s="121"/>
      <c r="M38" s="113" t="s">
        <v>202</v>
      </c>
      <c r="N38" s="121">
        <v>5564</v>
      </c>
      <c r="O38" s="222">
        <v>42135</v>
      </c>
      <c r="P38" s="252"/>
    </row>
    <row r="39" spans="1:16" ht="15.75" x14ac:dyDescent="0.25">
      <c r="A39" s="143">
        <v>42153</v>
      </c>
      <c r="B39" s="292">
        <v>22661</v>
      </c>
      <c r="C39" s="157">
        <v>53986.400000000001</v>
      </c>
      <c r="D39" s="298"/>
      <c r="E39" s="88"/>
      <c r="F39" s="155">
        <f t="shared" si="0"/>
        <v>53986.400000000001</v>
      </c>
      <c r="I39" s="43"/>
      <c r="J39" s="119"/>
      <c r="K39" s="121"/>
      <c r="L39" s="121"/>
      <c r="M39" s="113" t="s">
        <v>202</v>
      </c>
      <c r="N39" s="121">
        <v>5332.5</v>
      </c>
      <c r="O39" s="222">
        <v>42136</v>
      </c>
    </row>
    <row r="40" spans="1:16" ht="15.75" customHeight="1" x14ac:dyDescent="0.25">
      <c r="A40" s="143">
        <v>42154</v>
      </c>
      <c r="B40" s="292">
        <v>22772</v>
      </c>
      <c r="C40" s="157">
        <v>66211.100000000006</v>
      </c>
      <c r="D40" s="298"/>
      <c r="E40" s="88"/>
      <c r="F40" s="241">
        <f t="shared" si="0"/>
        <v>66211.100000000006</v>
      </c>
      <c r="I40" s="43"/>
      <c r="J40" s="119"/>
      <c r="K40" s="121"/>
      <c r="L40" s="121"/>
      <c r="M40" s="113" t="s">
        <v>202</v>
      </c>
      <c r="N40" s="121">
        <v>5899.5</v>
      </c>
      <c r="O40" s="222">
        <v>42136</v>
      </c>
    </row>
    <row r="41" spans="1:16" ht="15.75" customHeight="1" x14ac:dyDescent="0.25">
      <c r="A41" s="305">
        <v>42155</v>
      </c>
      <c r="B41" s="306">
        <v>22846</v>
      </c>
      <c r="C41" s="88">
        <v>27190.15</v>
      </c>
      <c r="D41" s="299"/>
      <c r="E41" s="88"/>
      <c r="F41" s="241">
        <f t="shared" si="0"/>
        <v>27190.15</v>
      </c>
      <c r="I41" s="43"/>
      <c r="J41" s="119"/>
      <c r="K41" s="121"/>
      <c r="L41" s="121"/>
      <c r="M41" s="113" t="s">
        <v>202</v>
      </c>
      <c r="N41" s="121">
        <v>9828</v>
      </c>
      <c r="O41" s="222">
        <v>42136</v>
      </c>
    </row>
    <row r="42" spans="1:16" ht="15.75" x14ac:dyDescent="0.25">
      <c r="A42" s="143">
        <v>42155</v>
      </c>
      <c r="B42" s="307">
        <v>22847</v>
      </c>
      <c r="C42" s="207">
        <v>3078.8</v>
      </c>
      <c r="D42" s="299"/>
      <c r="E42" s="88"/>
      <c r="F42" s="241">
        <f t="shared" si="0"/>
        <v>3078.8</v>
      </c>
      <c r="I42" s="43"/>
      <c r="J42" s="119"/>
      <c r="K42" s="121"/>
      <c r="L42" s="121"/>
      <c r="M42" s="113" t="s">
        <v>202</v>
      </c>
      <c r="N42" s="121">
        <v>6162.5</v>
      </c>
      <c r="O42" s="222">
        <v>42137</v>
      </c>
    </row>
    <row r="43" spans="1:16" ht="15.75" x14ac:dyDescent="0.25">
      <c r="A43" s="143"/>
      <c r="B43" s="307"/>
      <c r="C43" s="207"/>
      <c r="D43" s="299"/>
      <c r="E43" s="88"/>
      <c r="F43" s="241">
        <f t="shared" si="0"/>
        <v>0</v>
      </c>
      <c r="I43" s="43"/>
      <c r="J43" s="119"/>
      <c r="K43" s="121"/>
      <c r="L43" s="121"/>
      <c r="M43" s="113" t="s">
        <v>202</v>
      </c>
      <c r="N43" s="121">
        <v>36137.5</v>
      </c>
      <c r="O43" s="222">
        <v>42137</v>
      </c>
    </row>
    <row r="44" spans="1:16" ht="15.75" x14ac:dyDescent="0.25">
      <c r="A44" s="286"/>
      <c r="B44" s="289"/>
      <c r="C44" s="150"/>
      <c r="D44" s="119"/>
      <c r="E44" s="150"/>
      <c r="F44" s="335"/>
      <c r="I44" s="43"/>
      <c r="J44" s="119"/>
      <c r="K44" s="121"/>
      <c r="L44" s="121"/>
      <c r="M44" s="113" t="s">
        <v>202</v>
      </c>
      <c r="N44" s="121">
        <v>2723</v>
      </c>
      <c r="O44" s="222">
        <v>42138</v>
      </c>
    </row>
    <row r="45" spans="1:16" ht="16.5" customHeight="1" thickBot="1" x14ac:dyDescent="0.3">
      <c r="A45" s="287"/>
      <c r="B45" s="124"/>
      <c r="C45" s="57">
        <v>0</v>
      </c>
      <c r="D45" s="57"/>
      <c r="E45" s="125">
        <v>0</v>
      </c>
      <c r="F45" s="242">
        <v>0</v>
      </c>
      <c r="I45" s="43"/>
      <c r="J45" s="119"/>
      <c r="K45" s="121"/>
      <c r="L45" s="121"/>
      <c r="M45" s="113" t="s">
        <v>202</v>
      </c>
      <c r="N45" s="121">
        <v>5448.5</v>
      </c>
      <c r="O45" s="222">
        <v>42138</v>
      </c>
    </row>
    <row r="46" spans="1:16" ht="16.5" thickTop="1" x14ac:dyDescent="0.25">
      <c r="C46" s="58">
        <f>SUM(C5:C45)</f>
        <v>1569528.8700000003</v>
      </c>
      <c r="D46" s="58"/>
      <c r="E46" s="58">
        <f>SUM(E5:E45)</f>
        <v>1249243.72</v>
      </c>
      <c r="F46" s="363">
        <f>SUM(F5:F45)</f>
        <v>320285.15000000002</v>
      </c>
      <c r="I46" s="43"/>
      <c r="J46" s="196"/>
      <c r="K46" s="121">
        <v>0</v>
      </c>
      <c r="L46" s="121"/>
      <c r="M46" s="113" t="s">
        <v>202</v>
      </c>
      <c r="N46" s="121">
        <v>11373</v>
      </c>
      <c r="O46" s="222">
        <v>42138</v>
      </c>
    </row>
    <row r="47" spans="1:16" ht="17.25" x14ac:dyDescent="0.4">
      <c r="A47" s="305"/>
      <c r="B47" s="105"/>
      <c r="C47" s="103"/>
      <c r="D47" s="104"/>
      <c r="E47" s="103"/>
      <c r="F47" s="213"/>
      <c r="I47" s="43"/>
      <c r="J47" s="119"/>
      <c r="K47" s="121"/>
      <c r="L47" s="341"/>
      <c r="M47" s="342" t="s">
        <v>202</v>
      </c>
      <c r="N47" s="121">
        <v>26745.5</v>
      </c>
      <c r="O47" s="199">
        <v>42138</v>
      </c>
    </row>
    <row r="48" spans="1:16" ht="15.75" thickBot="1" x14ac:dyDescent="0.3">
      <c r="A48" s="305"/>
      <c r="B48" s="105"/>
      <c r="C48" s="88"/>
      <c r="D48" s="359"/>
      <c r="E48" s="56"/>
      <c r="F48" s="49"/>
      <c r="I48" s="43"/>
      <c r="J48" s="339"/>
      <c r="K48" s="340"/>
      <c r="L48" s="340"/>
      <c r="M48" s="340"/>
      <c r="N48" s="340"/>
      <c r="O48" s="339"/>
    </row>
    <row r="49" spans="1:16" ht="18.75" x14ac:dyDescent="0.3">
      <c r="A49" s="294"/>
      <c r="B49" s="360"/>
      <c r="C49" s="55"/>
      <c r="D49" s="359"/>
      <c r="E49" s="56"/>
      <c r="F49" s="49"/>
      <c r="I49" s="43"/>
      <c r="K49" s="131">
        <f>SUM(K4:K47)</f>
        <v>797928.42999999993</v>
      </c>
      <c r="L49" s="131"/>
      <c r="M49" s="131"/>
      <c r="N49" s="131">
        <f>SUM(N4:N47)</f>
        <v>797928</v>
      </c>
    </row>
    <row r="50" spans="1:16" x14ac:dyDescent="0.25">
      <c r="A50" s="84"/>
      <c r="B50" s="361"/>
      <c r="C50" s="55"/>
      <c r="D50" s="362"/>
      <c r="E50" s="55"/>
      <c r="F50" s="49"/>
      <c r="I50" s="43"/>
      <c r="K50" s="58"/>
      <c r="L50" s="58"/>
      <c r="M50" s="58"/>
      <c r="N50" s="58"/>
    </row>
    <row r="51" spans="1:16" x14ac:dyDescent="0.25">
      <c r="A51" s="84"/>
      <c r="B51" s="361"/>
      <c r="C51" s="55"/>
      <c r="D51" s="362"/>
      <c r="E51" s="55"/>
      <c r="F51" s="49"/>
      <c r="I51" s="43"/>
      <c r="K51" s="58"/>
      <c r="L51" s="58"/>
      <c r="M51" s="58"/>
      <c r="N51" s="58"/>
    </row>
    <row r="52" spans="1:16" x14ac:dyDescent="0.25">
      <c r="A52" s="294"/>
      <c r="B52" s="360"/>
      <c r="C52" s="55"/>
      <c r="D52" s="359"/>
      <c r="E52" s="56"/>
      <c r="F52" s="49"/>
      <c r="I52" s="43"/>
      <c r="K52" s="58"/>
      <c r="L52" s="58"/>
      <c r="M52" s="58"/>
      <c r="N52" s="58"/>
    </row>
    <row r="53" spans="1:16" ht="15.75" x14ac:dyDescent="0.25">
      <c r="A53" s="294"/>
      <c r="B53" s="360"/>
      <c r="C53" s="55"/>
      <c r="D53" s="55"/>
      <c r="E53" s="56"/>
      <c r="F53" s="49"/>
      <c r="H53" s="28"/>
      <c r="I53" s="49"/>
      <c r="J53" s="104"/>
      <c r="K53" s="355">
        <v>42147</v>
      </c>
      <c r="L53" s="215"/>
      <c r="M53" s="134" t="s">
        <v>200</v>
      </c>
      <c r="N53" s="88"/>
    </row>
    <row r="54" spans="1:16" x14ac:dyDescent="0.25">
      <c r="A54" s="294"/>
      <c r="B54" s="360"/>
      <c r="C54" s="55"/>
      <c r="D54" s="55"/>
      <c r="E54" s="56"/>
      <c r="F54" s="49"/>
      <c r="H54" s="28"/>
      <c r="I54" s="49"/>
      <c r="J54" s="104"/>
      <c r="K54" s="103"/>
      <c r="L54" s="103"/>
      <c r="M54" s="103"/>
      <c r="N54" s="213"/>
    </row>
    <row r="55" spans="1:16" ht="15.75" x14ac:dyDescent="0.25">
      <c r="A55" s="84"/>
      <c r="B55" s="361"/>
      <c r="C55" s="55"/>
      <c r="D55" s="13"/>
      <c r="E55" s="55"/>
      <c r="F55" s="49"/>
      <c r="H55" s="28"/>
      <c r="I55" s="49">
        <f>5552+50204</f>
        <v>55756</v>
      </c>
      <c r="J55" s="193">
        <v>21049</v>
      </c>
      <c r="K55" s="130">
        <v>55756</v>
      </c>
      <c r="L55" s="351"/>
      <c r="M55" s="113" t="s">
        <v>202</v>
      </c>
      <c r="N55" s="214">
        <v>5552</v>
      </c>
      <c r="O55" s="221">
        <v>42139</v>
      </c>
    </row>
    <row r="56" spans="1:16" ht="15.75" x14ac:dyDescent="0.25">
      <c r="A56" s="84"/>
      <c r="B56" s="361"/>
      <c r="C56" s="55"/>
      <c r="D56" s="13"/>
      <c r="E56" s="55"/>
      <c r="F56" s="49"/>
      <c r="H56" s="28"/>
      <c r="I56" s="103">
        <f>9184+9319+35420.5+5079.5</f>
        <v>59003</v>
      </c>
      <c r="J56" s="194">
        <v>21196</v>
      </c>
      <c r="K56" s="207">
        <v>59002.8</v>
      </c>
      <c r="L56" s="207"/>
      <c r="M56" s="226" t="s">
        <v>202</v>
      </c>
      <c r="N56" s="207">
        <v>50204</v>
      </c>
      <c r="O56" s="221">
        <v>42139</v>
      </c>
    </row>
    <row r="57" spans="1:16" x14ac:dyDescent="0.25">
      <c r="A57" s="84"/>
      <c r="B57" s="361"/>
      <c r="C57" s="55"/>
      <c r="D57" s="13"/>
      <c r="E57" s="55"/>
      <c r="F57" s="49"/>
      <c r="H57" s="28"/>
      <c r="I57" s="49">
        <f>22281+707.5</f>
        <v>22988.5</v>
      </c>
      <c r="J57" s="244">
        <v>21242</v>
      </c>
      <c r="K57" s="245">
        <v>22988.46</v>
      </c>
      <c r="L57" s="207"/>
      <c r="M57" s="226" t="s">
        <v>202</v>
      </c>
      <c r="N57" s="207">
        <v>9184</v>
      </c>
      <c r="O57" s="221">
        <v>42139</v>
      </c>
    </row>
    <row r="58" spans="1:16" x14ac:dyDescent="0.25">
      <c r="A58" s="84"/>
      <c r="B58" s="361"/>
      <c r="C58" s="55"/>
      <c r="D58" s="13"/>
      <c r="E58" s="55"/>
      <c r="F58" s="49"/>
      <c r="H58" s="28"/>
      <c r="I58" s="49">
        <f>19758+6690</f>
        <v>26448</v>
      </c>
      <c r="J58" s="144">
        <v>21307</v>
      </c>
      <c r="K58" s="156">
        <v>26448</v>
      </c>
      <c r="L58" s="130"/>
      <c r="M58" s="226" t="s">
        <v>202</v>
      </c>
      <c r="N58" s="207">
        <v>22281</v>
      </c>
      <c r="O58" s="221">
        <v>42140</v>
      </c>
    </row>
    <row r="59" spans="1:16" x14ac:dyDescent="0.25">
      <c r="H59" s="28"/>
      <c r="I59" s="49">
        <v>25584.5</v>
      </c>
      <c r="J59" s="144">
        <v>21311</v>
      </c>
      <c r="K59" s="207">
        <v>25584.45</v>
      </c>
      <c r="L59" s="130"/>
      <c r="M59" s="226" t="s">
        <v>202</v>
      </c>
      <c r="N59" s="214">
        <v>9319</v>
      </c>
      <c r="O59" s="221">
        <v>42140</v>
      </c>
    </row>
    <row r="60" spans="1:16" x14ac:dyDescent="0.25">
      <c r="H60" s="28"/>
      <c r="I60" s="49">
        <f>8960+11712+5442.5</f>
        <v>26114.5</v>
      </c>
      <c r="J60" s="144">
        <v>21381</v>
      </c>
      <c r="K60" s="156">
        <v>26114.55</v>
      </c>
      <c r="L60" s="207"/>
      <c r="M60" s="226" t="s">
        <v>202</v>
      </c>
      <c r="N60" s="207">
        <v>35420.5</v>
      </c>
      <c r="O60" s="221">
        <v>42140</v>
      </c>
    </row>
    <row r="61" spans="1:16" x14ac:dyDescent="0.25">
      <c r="H61" s="28"/>
      <c r="I61" s="49">
        <f>27245.5+4522.5</f>
        <v>31768</v>
      </c>
      <c r="J61" s="144">
        <v>21426</v>
      </c>
      <c r="K61" s="156">
        <v>31767.93</v>
      </c>
      <c r="L61" s="337"/>
      <c r="M61" s="226" t="s">
        <v>202</v>
      </c>
      <c r="N61" s="207">
        <v>5079.5</v>
      </c>
      <c r="O61" s="221">
        <v>42140</v>
      </c>
    </row>
    <row r="62" spans="1:16" x14ac:dyDescent="0.25">
      <c r="A62" s="333"/>
      <c r="B62"/>
      <c r="D62"/>
      <c r="E62" s="43"/>
      <c r="H62" s="28"/>
      <c r="I62" s="49">
        <f>5132.5+18545+22653.5+4696.5+5776.5</f>
        <v>56804</v>
      </c>
      <c r="J62" s="144">
        <v>21696</v>
      </c>
      <c r="K62" s="156">
        <v>56804.17</v>
      </c>
      <c r="L62" s="321"/>
      <c r="M62" s="226" t="s">
        <v>202</v>
      </c>
      <c r="N62" s="207">
        <v>25584.5</v>
      </c>
      <c r="O62" s="221">
        <v>42142</v>
      </c>
      <c r="P62" s="21">
        <v>42141</v>
      </c>
    </row>
    <row r="63" spans="1:16" x14ac:dyDescent="0.25">
      <c r="A63" s="333"/>
      <c r="B63"/>
      <c r="D63"/>
      <c r="E63" s="43"/>
      <c r="H63" s="28"/>
      <c r="I63" s="49">
        <f>29381.5+6542</f>
        <v>35923.5</v>
      </c>
      <c r="J63" s="144">
        <v>21786</v>
      </c>
      <c r="K63" s="156">
        <v>35923.64</v>
      </c>
      <c r="L63" s="207" t="s">
        <v>361</v>
      </c>
      <c r="M63" s="226" t="s">
        <v>202</v>
      </c>
      <c r="N63" s="207">
        <v>19758</v>
      </c>
      <c r="O63" s="221">
        <v>42142</v>
      </c>
      <c r="P63" s="21">
        <v>42141</v>
      </c>
    </row>
    <row r="64" spans="1:16" ht="15.75" x14ac:dyDescent="0.25">
      <c r="A64" s="333"/>
      <c r="B64"/>
      <c r="D64"/>
      <c r="E64" s="43"/>
      <c r="H64" s="28"/>
      <c r="I64" s="49"/>
      <c r="J64" s="144"/>
      <c r="K64" s="156"/>
      <c r="L64" s="207"/>
      <c r="M64" s="113" t="s">
        <v>202</v>
      </c>
      <c r="N64" s="207">
        <v>8960</v>
      </c>
      <c r="O64" s="221">
        <v>42142</v>
      </c>
      <c r="P64" s="21">
        <v>42141</v>
      </c>
    </row>
    <row r="65" spans="1:16" ht="15.75" x14ac:dyDescent="0.25">
      <c r="A65" s="333"/>
      <c r="B65"/>
      <c r="D65"/>
      <c r="E65" s="43"/>
      <c r="H65" s="28"/>
      <c r="I65" s="49"/>
      <c r="J65" s="144"/>
      <c r="K65" s="156"/>
      <c r="L65" s="207"/>
      <c r="M65" s="113" t="s">
        <v>202</v>
      </c>
      <c r="N65" s="207">
        <v>707.5</v>
      </c>
      <c r="O65" s="221">
        <v>42142</v>
      </c>
      <c r="P65" s="21">
        <v>42141</v>
      </c>
    </row>
    <row r="66" spans="1:16" ht="15.75" x14ac:dyDescent="0.25">
      <c r="A66" s="333"/>
      <c r="B66"/>
      <c r="D66"/>
      <c r="E66" s="43"/>
      <c r="H66" s="28"/>
      <c r="I66" s="49"/>
      <c r="J66" s="144"/>
      <c r="K66" s="156"/>
      <c r="L66" s="207"/>
      <c r="M66" s="113" t="s">
        <v>202</v>
      </c>
      <c r="N66" s="207">
        <v>6690</v>
      </c>
      <c r="O66" s="221">
        <v>42142</v>
      </c>
      <c r="P66" s="21">
        <v>42141</v>
      </c>
    </row>
    <row r="67" spans="1:16" ht="15.75" x14ac:dyDescent="0.25">
      <c r="A67" s="333"/>
      <c r="B67"/>
      <c r="D67"/>
      <c r="E67" s="43"/>
      <c r="H67" s="28"/>
      <c r="I67" s="49"/>
      <c r="J67" s="144"/>
      <c r="K67" s="156"/>
      <c r="L67" s="207"/>
      <c r="M67" s="113" t="s">
        <v>202</v>
      </c>
      <c r="N67" s="207">
        <v>27245.5</v>
      </c>
      <c r="O67" s="221">
        <v>42142</v>
      </c>
    </row>
    <row r="68" spans="1:16" ht="15.75" x14ac:dyDescent="0.25">
      <c r="A68" s="333"/>
      <c r="B68"/>
      <c r="D68"/>
      <c r="E68" s="43"/>
      <c r="H68" s="28"/>
      <c r="I68" s="49"/>
      <c r="J68" s="144"/>
      <c r="K68" s="156"/>
      <c r="L68" s="337"/>
      <c r="M68" s="113" t="s">
        <v>202</v>
      </c>
      <c r="N68" s="207">
        <v>11712</v>
      </c>
      <c r="O68" s="221">
        <v>42142</v>
      </c>
    </row>
    <row r="69" spans="1:16" ht="15.75" x14ac:dyDescent="0.25">
      <c r="A69" s="333"/>
      <c r="B69"/>
      <c r="D69"/>
      <c r="E69" s="43"/>
      <c r="H69" s="28"/>
      <c r="I69" s="49"/>
      <c r="J69" s="144"/>
      <c r="K69" s="156"/>
      <c r="L69" s="207"/>
      <c r="M69" s="113" t="s">
        <v>202</v>
      </c>
      <c r="N69" s="207">
        <v>5442.5</v>
      </c>
      <c r="O69" s="221">
        <v>42142</v>
      </c>
    </row>
    <row r="70" spans="1:16" x14ac:dyDescent="0.25">
      <c r="A70" s="333"/>
      <c r="B70"/>
      <c r="D70"/>
      <c r="E70" s="43"/>
      <c r="H70" s="28"/>
      <c r="I70" s="49"/>
      <c r="J70" s="144"/>
      <c r="K70" s="156"/>
      <c r="L70" s="207"/>
      <c r="M70" s="352" t="s">
        <v>423</v>
      </c>
      <c r="N70" s="207">
        <v>5132.5</v>
      </c>
      <c r="O70" s="221">
        <v>42143</v>
      </c>
    </row>
    <row r="71" spans="1:16" x14ac:dyDescent="0.25">
      <c r="A71" s="333"/>
      <c r="B71"/>
      <c r="D71"/>
      <c r="E71" s="43"/>
      <c r="H71" s="28"/>
      <c r="I71" s="88"/>
      <c r="J71" s="144"/>
      <c r="K71" s="156"/>
      <c r="L71" s="207"/>
      <c r="M71" s="352" t="s">
        <v>423</v>
      </c>
      <c r="N71" s="207">
        <v>4522.5</v>
      </c>
      <c r="O71" s="221">
        <v>42143</v>
      </c>
    </row>
    <row r="72" spans="1:16" x14ac:dyDescent="0.25">
      <c r="A72" s="333"/>
      <c r="B72"/>
      <c r="D72"/>
      <c r="E72" s="43"/>
      <c r="H72" s="28"/>
      <c r="I72" s="49"/>
      <c r="J72" s="144"/>
      <c r="K72" s="156"/>
      <c r="L72" s="207"/>
      <c r="M72" s="352" t="s">
        <v>423</v>
      </c>
      <c r="N72" s="207">
        <v>18545</v>
      </c>
      <c r="O72" s="221">
        <v>42143</v>
      </c>
    </row>
    <row r="73" spans="1:16" ht="15.75" x14ac:dyDescent="0.25">
      <c r="A73" s="333"/>
      <c r="B73"/>
      <c r="D73"/>
      <c r="E73" s="43"/>
      <c r="H73" s="28"/>
      <c r="I73" s="49"/>
      <c r="J73" s="292"/>
      <c r="K73" s="157"/>
      <c r="L73" s="207"/>
      <c r="M73" s="113" t="s">
        <v>202</v>
      </c>
      <c r="N73" s="207">
        <v>22653.5</v>
      </c>
      <c r="O73" s="221">
        <v>42144</v>
      </c>
    </row>
    <row r="74" spans="1:16" ht="15.75" x14ac:dyDescent="0.25">
      <c r="A74" s="333"/>
      <c r="B74"/>
      <c r="D74"/>
      <c r="E74" s="43"/>
      <c r="H74" s="28"/>
      <c r="I74" s="49">
        <v>0</v>
      </c>
      <c r="J74" s="292"/>
      <c r="K74" s="157"/>
      <c r="L74" s="260"/>
      <c r="M74" s="113" t="s">
        <v>202</v>
      </c>
      <c r="N74" s="207">
        <v>4696.5</v>
      </c>
      <c r="O74" s="221">
        <v>42144</v>
      </c>
    </row>
    <row r="75" spans="1:16" ht="15.75" x14ac:dyDescent="0.25">
      <c r="H75" s="28"/>
      <c r="I75" s="88">
        <f>SUM(I55:I74)</f>
        <v>340390</v>
      </c>
      <c r="J75" s="263"/>
      <c r="K75" s="130"/>
      <c r="L75" s="130"/>
      <c r="M75" s="113" t="s">
        <v>202</v>
      </c>
      <c r="N75" s="207">
        <v>29381.5</v>
      </c>
      <c r="O75" s="221">
        <v>42145</v>
      </c>
    </row>
    <row r="76" spans="1:16" ht="15.75" x14ac:dyDescent="0.25">
      <c r="I76" s="49"/>
      <c r="J76" s="262"/>
      <c r="K76" s="207"/>
      <c r="L76" s="207"/>
      <c r="M76" s="113" t="s">
        <v>202</v>
      </c>
      <c r="N76" s="214">
        <v>5776.5</v>
      </c>
      <c r="O76" s="221">
        <v>42145</v>
      </c>
    </row>
    <row r="77" spans="1:16" ht="15.75" x14ac:dyDescent="0.25">
      <c r="I77" s="49"/>
      <c r="J77" s="262"/>
      <c r="K77" s="207"/>
      <c r="L77" s="207"/>
      <c r="M77" s="113" t="s">
        <v>202</v>
      </c>
      <c r="N77" s="207">
        <v>6542</v>
      </c>
      <c r="O77" s="221">
        <v>42145</v>
      </c>
    </row>
    <row r="78" spans="1:16" ht="15.75" thickBot="1" x14ac:dyDescent="0.3">
      <c r="A78" s="333"/>
      <c r="B78"/>
      <c r="C78"/>
      <c r="D78"/>
      <c r="E78"/>
      <c r="F78" s="23"/>
      <c r="I78" s="43"/>
      <c r="J78" s="339"/>
      <c r="K78" s="340"/>
      <c r="L78" s="340"/>
      <c r="M78" s="340"/>
      <c r="N78" s="340">
        <v>0</v>
      </c>
      <c r="O78" s="339"/>
    </row>
    <row r="79" spans="1:16" ht="18.75" x14ac:dyDescent="0.3">
      <c r="A79" s="333"/>
      <c r="B79"/>
      <c r="C79"/>
      <c r="D79"/>
      <c r="E79"/>
      <c r="F79" s="23"/>
      <c r="I79" s="43"/>
      <c r="K79" s="131">
        <f>SUM(K55:K77)</f>
        <v>340390</v>
      </c>
      <c r="L79" s="131"/>
      <c r="M79" s="131"/>
      <c r="N79" s="131">
        <f>SUM(N55:N78)</f>
        <v>340390</v>
      </c>
    </row>
    <row r="80" spans="1:16" x14ac:dyDescent="0.25">
      <c r="I80" s="43"/>
      <c r="K80" s="58"/>
      <c r="L80" s="58"/>
      <c r="M80" s="58"/>
      <c r="N80" s="58"/>
    </row>
    <row r="83" spans="9:16" customFormat="1" ht="15.75" x14ac:dyDescent="0.25">
      <c r="J83" s="104"/>
      <c r="K83" s="356">
        <v>42153</v>
      </c>
      <c r="L83" s="215"/>
      <c r="M83" s="134" t="s">
        <v>200</v>
      </c>
      <c r="N83" s="88"/>
    </row>
    <row r="84" spans="9:16" customFormat="1" x14ac:dyDescent="0.25">
      <c r="J84" s="104"/>
      <c r="K84" s="103"/>
      <c r="L84" s="103"/>
      <c r="M84" s="103"/>
      <c r="N84" s="213"/>
    </row>
    <row r="85" spans="9:16" customFormat="1" ht="15.75" x14ac:dyDescent="0.25">
      <c r="I85" s="43">
        <v>1620</v>
      </c>
      <c r="J85" s="193">
        <v>21786</v>
      </c>
      <c r="K85" s="130">
        <v>1620</v>
      </c>
      <c r="L85" s="351"/>
      <c r="M85" s="113" t="s">
        <v>202</v>
      </c>
      <c r="N85" s="214">
        <v>5008</v>
      </c>
      <c r="O85" s="221">
        <v>42146</v>
      </c>
    </row>
    <row r="86" spans="9:16" customFormat="1" x14ac:dyDescent="0.25">
      <c r="I86" s="43">
        <f>5008+54422+26632+9532</f>
        <v>95594</v>
      </c>
      <c r="J86" s="144">
        <v>21850</v>
      </c>
      <c r="K86" s="156">
        <v>95594.240000000005</v>
      </c>
      <c r="L86" s="207"/>
      <c r="M86" s="226" t="s">
        <v>202</v>
      </c>
      <c r="N86" s="207">
        <v>1620</v>
      </c>
      <c r="O86" s="221">
        <v>42146</v>
      </c>
    </row>
    <row r="87" spans="9:16" customFormat="1" x14ac:dyDescent="0.25">
      <c r="I87" s="43">
        <f>25576+52107.5+5411</f>
        <v>83094.5</v>
      </c>
      <c r="J87" s="144">
        <v>22037</v>
      </c>
      <c r="K87" s="156">
        <v>83094.64</v>
      </c>
      <c r="L87" s="207"/>
      <c r="M87" s="226" t="s">
        <v>202</v>
      </c>
      <c r="N87" s="207">
        <v>54422</v>
      </c>
      <c r="O87" s="221">
        <v>42146</v>
      </c>
    </row>
    <row r="88" spans="9:16" customFormat="1" x14ac:dyDescent="0.25">
      <c r="I88" s="43">
        <v>9067</v>
      </c>
      <c r="J88" s="144">
        <v>22192</v>
      </c>
      <c r="K88" s="156">
        <v>9067</v>
      </c>
      <c r="L88" s="130"/>
      <c r="M88" s="226" t="s">
        <v>202</v>
      </c>
      <c r="N88" s="207">
        <v>25576</v>
      </c>
      <c r="O88" s="221">
        <v>42147</v>
      </c>
    </row>
    <row r="89" spans="9:16" customFormat="1" x14ac:dyDescent="0.25">
      <c r="I89" s="43">
        <f>22811+6171</f>
        <v>28982</v>
      </c>
      <c r="J89" s="144">
        <v>22314</v>
      </c>
      <c r="K89" s="156">
        <v>28982</v>
      </c>
      <c r="L89" s="130"/>
      <c r="M89" s="226" t="s">
        <v>202</v>
      </c>
      <c r="N89" s="214">
        <v>26632</v>
      </c>
      <c r="O89" s="221">
        <v>42147</v>
      </c>
    </row>
    <row r="90" spans="9:16" customFormat="1" x14ac:dyDescent="0.25">
      <c r="I90" s="43">
        <v>0</v>
      </c>
      <c r="J90" s="144"/>
      <c r="K90" s="156">
        <v>0</v>
      </c>
      <c r="L90" s="207"/>
      <c r="M90" s="226" t="s">
        <v>202</v>
      </c>
      <c r="N90" s="207">
        <v>9532</v>
      </c>
      <c r="O90" s="221">
        <v>42147</v>
      </c>
    </row>
    <row r="91" spans="9:16" customFormat="1" x14ac:dyDescent="0.25">
      <c r="I91" s="43">
        <v>0</v>
      </c>
      <c r="J91" s="144"/>
      <c r="K91" s="156">
        <v>0</v>
      </c>
      <c r="L91" s="337"/>
      <c r="M91" s="226" t="s">
        <v>202</v>
      </c>
      <c r="N91" s="207">
        <v>52107.5</v>
      </c>
      <c r="O91" s="221">
        <v>42149</v>
      </c>
      <c r="P91" s="21">
        <v>42148</v>
      </c>
    </row>
    <row r="92" spans="9:16" customFormat="1" x14ac:dyDescent="0.25">
      <c r="I92" s="43">
        <v>0</v>
      </c>
      <c r="J92" s="144"/>
      <c r="K92" s="156"/>
      <c r="L92" s="321"/>
      <c r="M92" s="226" t="s">
        <v>202</v>
      </c>
      <c r="N92" s="207">
        <v>5411</v>
      </c>
      <c r="O92" s="221">
        <v>42149</v>
      </c>
      <c r="P92" s="21">
        <v>42148</v>
      </c>
    </row>
    <row r="93" spans="9:16" customFormat="1" x14ac:dyDescent="0.25">
      <c r="I93" s="58">
        <f>SUM(I85:I92)</f>
        <v>218357.5</v>
      </c>
      <c r="J93" s="144"/>
      <c r="K93" s="156"/>
      <c r="L93" s="207"/>
      <c r="M93" s="226" t="s">
        <v>202</v>
      </c>
      <c r="N93" s="207">
        <v>9067</v>
      </c>
      <c r="O93" s="221">
        <v>42149</v>
      </c>
    </row>
    <row r="94" spans="9:16" customFormat="1" ht="15.75" x14ac:dyDescent="0.25">
      <c r="I94" s="43"/>
      <c r="J94" s="144"/>
      <c r="K94" s="156"/>
      <c r="L94" s="207"/>
      <c r="M94" s="113" t="s">
        <v>202</v>
      </c>
      <c r="N94" s="207">
        <v>22811</v>
      </c>
      <c r="O94" s="221">
        <v>42150</v>
      </c>
    </row>
    <row r="95" spans="9:16" customFormat="1" ht="15.75" x14ac:dyDescent="0.25">
      <c r="I95" s="43"/>
      <c r="J95" s="144"/>
      <c r="K95" s="156"/>
      <c r="L95" s="207"/>
      <c r="M95" s="113" t="s">
        <v>202</v>
      </c>
      <c r="N95" s="207">
        <v>6171</v>
      </c>
      <c r="O95" s="221">
        <v>42150</v>
      </c>
    </row>
    <row r="96" spans="9:16" customFormat="1" ht="15.75" x14ac:dyDescent="0.25">
      <c r="J96" s="262"/>
      <c r="K96" s="207"/>
      <c r="L96" s="207"/>
      <c r="M96" s="113"/>
      <c r="N96" s="207"/>
      <c r="O96" s="221"/>
    </row>
    <row r="97" spans="10:15" customFormat="1" ht="15.75" thickBot="1" x14ac:dyDescent="0.3">
      <c r="J97" s="339"/>
      <c r="K97" s="340"/>
      <c r="L97" s="340"/>
      <c r="M97" s="340"/>
      <c r="N97" s="340">
        <v>0</v>
      </c>
      <c r="O97" s="339"/>
    </row>
    <row r="98" spans="10:15" customFormat="1" ht="18.75" x14ac:dyDescent="0.3">
      <c r="K98" s="131">
        <f>SUM(K85:K96)</f>
        <v>218357.88</v>
      </c>
      <c r="L98" s="131"/>
      <c r="M98" s="131"/>
      <c r="N98" s="131">
        <f>SUM(N85:N97)</f>
        <v>218357.5</v>
      </c>
    </row>
    <row r="99" spans="10:15" customFormat="1" x14ac:dyDescent="0.25">
      <c r="K99" s="58"/>
      <c r="L99" s="58"/>
      <c r="M99" s="58"/>
      <c r="N99" s="58"/>
    </row>
  </sheetData>
  <sortState ref="J16:K20">
    <sortCondition ref="J16:J20"/>
  </sortState>
  <mergeCells count="1">
    <mergeCell ref="C3:E3"/>
  </mergeCells>
  <pageMargins left="0.70866141732283472" right="0.70866141732283472" top="0.55118110236220474" bottom="0.15748031496062992" header="0.31496062992125984" footer="0.31496062992125984"/>
  <pageSetup scale="90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"/>
  <sheetViews>
    <sheetView workbookViewId="0">
      <selection activeCell="F22" sqref="F22"/>
    </sheetView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H99"/>
  <sheetViews>
    <sheetView workbookViewId="0">
      <selection activeCell="C9" sqref="C9"/>
    </sheetView>
  </sheetViews>
  <sheetFormatPr baseColWidth="10" defaultRowHeight="15" x14ac:dyDescent="0.25"/>
  <cols>
    <col min="1" max="1" width="11.42578125" style="284"/>
    <col min="2" max="2" width="11.42578125" style="111"/>
    <col min="3" max="4" width="14.140625" style="43" bestFit="1" customWidth="1"/>
    <col min="5" max="5" width="17.28515625" style="58" customWidth="1"/>
    <col min="6" max="6" width="12.5703125" style="242" bestFit="1" customWidth="1"/>
    <col min="7" max="7" width="11.42578125" style="23"/>
  </cols>
  <sheetData>
    <row r="2" spans="1:8" ht="15.75" thickBot="1" x14ac:dyDescent="0.3"/>
    <row r="3" spans="1:8" ht="16.5" thickBot="1" x14ac:dyDescent="0.3">
      <c r="C3" s="404" t="s">
        <v>240</v>
      </c>
      <c r="D3" s="405"/>
      <c r="E3" s="406"/>
    </row>
    <row r="4" spans="1:8" ht="16.5" thickBot="1" x14ac:dyDescent="0.3">
      <c r="A4" s="247" t="s">
        <v>295</v>
      </c>
      <c r="B4" s="248" t="s">
        <v>296</v>
      </c>
      <c r="C4" s="357" t="s">
        <v>297</v>
      </c>
      <c r="D4" s="357"/>
      <c r="E4" s="357" t="s">
        <v>298</v>
      </c>
      <c r="F4" s="334" t="s">
        <v>299</v>
      </c>
    </row>
    <row r="5" spans="1:8" x14ac:dyDescent="0.25">
      <c r="A5" s="243">
        <v>42156</v>
      </c>
      <c r="B5" s="244">
        <v>22878</v>
      </c>
      <c r="C5" s="245">
        <v>34832.379999999997</v>
      </c>
      <c r="D5" s="104"/>
      <c r="E5" s="245"/>
      <c r="F5" s="246">
        <f t="shared" ref="F5:F48" si="0">C5-E5</f>
        <v>34832.379999999997</v>
      </c>
      <c r="G5" s="105"/>
      <c r="H5" s="106"/>
    </row>
    <row r="6" spans="1:8" x14ac:dyDescent="0.25">
      <c r="A6" s="143">
        <v>42157</v>
      </c>
      <c r="B6" s="144">
        <v>22987</v>
      </c>
      <c r="C6" s="156">
        <v>3996</v>
      </c>
      <c r="D6" s="104"/>
      <c r="E6" s="156"/>
      <c r="F6" s="154">
        <f t="shared" si="0"/>
        <v>3996</v>
      </c>
      <c r="G6" s="105"/>
      <c r="H6" s="108"/>
    </row>
    <row r="7" spans="1:8" x14ac:dyDescent="0.25">
      <c r="A7" s="143">
        <v>42157</v>
      </c>
      <c r="B7" s="144">
        <v>23028</v>
      </c>
      <c r="C7" s="156">
        <v>29685.65</v>
      </c>
      <c r="D7" s="104"/>
      <c r="E7" s="156"/>
      <c r="F7" s="155">
        <f t="shared" si="0"/>
        <v>29685.65</v>
      </c>
      <c r="G7" s="105"/>
      <c r="H7" s="108"/>
    </row>
    <row r="8" spans="1:8" x14ac:dyDescent="0.25">
      <c r="A8" s="143">
        <v>42158</v>
      </c>
      <c r="B8" s="144">
        <v>23129</v>
      </c>
      <c r="C8" s="156">
        <v>29697.32</v>
      </c>
      <c r="D8" s="104"/>
      <c r="E8" s="156"/>
      <c r="F8" s="155">
        <f t="shared" si="0"/>
        <v>29697.32</v>
      </c>
      <c r="G8" s="105"/>
      <c r="H8" s="106"/>
    </row>
    <row r="9" spans="1:8" x14ac:dyDescent="0.25">
      <c r="A9" s="143"/>
      <c r="B9" s="144"/>
      <c r="C9" s="156"/>
      <c r="D9" s="104"/>
      <c r="E9" s="156"/>
      <c r="F9" s="155">
        <f t="shared" si="0"/>
        <v>0</v>
      </c>
    </row>
    <row r="10" spans="1:8" x14ac:dyDescent="0.25">
      <c r="A10" s="143"/>
      <c r="B10" s="144"/>
      <c r="C10" s="156"/>
      <c r="D10" s="104"/>
      <c r="E10" s="156"/>
      <c r="F10" s="155">
        <f t="shared" si="0"/>
        <v>0</v>
      </c>
    </row>
    <row r="11" spans="1:8" x14ac:dyDescent="0.25">
      <c r="A11" s="143"/>
      <c r="B11" s="144"/>
      <c r="C11" s="156"/>
      <c r="D11" s="104"/>
      <c r="E11" s="156"/>
      <c r="F11" s="155">
        <f t="shared" si="0"/>
        <v>0</v>
      </c>
    </row>
    <row r="12" spans="1:8" x14ac:dyDescent="0.25">
      <c r="A12" s="143"/>
      <c r="B12" s="144"/>
      <c r="C12" s="156"/>
      <c r="D12" s="104"/>
      <c r="E12" s="156"/>
      <c r="F12" s="155">
        <f t="shared" si="0"/>
        <v>0</v>
      </c>
    </row>
    <row r="13" spans="1:8" x14ac:dyDescent="0.25">
      <c r="A13" s="143"/>
      <c r="B13" s="144"/>
      <c r="C13" s="156"/>
      <c r="D13" s="104"/>
      <c r="E13" s="156"/>
      <c r="F13" s="155">
        <f t="shared" si="0"/>
        <v>0</v>
      </c>
    </row>
    <row r="14" spans="1:8" x14ac:dyDescent="0.25">
      <c r="A14" s="143"/>
      <c r="B14" s="144"/>
      <c r="C14" s="156"/>
      <c r="D14" s="104"/>
      <c r="E14" s="156"/>
      <c r="F14" s="155">
        <f t="shared" si="0"/>
        <v>0</v>
      </c>
    </row>
    <row r="15" spans="1:8" x14ac:dyDescent="0.25">
      <c r="A15" s="143"/>
      <c r="B15" s="144"/>
      <c r="C15" s="156"/>
      <c r="D15" s="104"/>
      <c r="E15" s="156"/>
      <c r="F15" s="155">
        <f t="shared" si="0"/>
        <v>0</v>
      </c>
    </row>
    <row r="16" spans="1:8" x14ac:dyDescent="0.25">
      <c r="A16" s="143"/>
      <c r="B16" s="144"/>
      <c r="C16" s="156"/>
      <c r="D16" s="104"/>
      <c r="E16" s="156"/>
      <c r="F16" s="155">
        <f t="shared" si="0"/>
        <v>0</v>
      </c>
    </row>
    <row r="17" spans="1:6" x14ac:dyDescent="0.25">
      <c r="A17" s="143"/>
      <c r="B17" s="144"/>
      <c r="C17" s="156"/>
      <c r="D17" s="104"/>
      <c r="E17" s="156"/>
      <c r="F17" s="155">
        <f t="shared" si="0"/>
        <v>0</v>
      </c>
    </row>
    <row r="18" spans="1:6" x14ac:dyDescent="0.25">
      <c r="A18" s="143"/>
      <c r="B18" s="144"/>
      <c r="C18" s="156"/>
      <c r="D18" s="104"/>
      <c r="E18" s="156"/>
      <c r="F18" s="155">
        <f t="shared" si="0"/>
        <v>0</v>
      </c>
    </row>
    <row r="19" spans="1:6" x14ac:dyDescent="0.25">
      <c r="A19" s="143"/>
      <c r="B19" s="144"/>
      <c r="C19" s="156"/>
      <c r="D19" s="328"/>
      <c r="E19" s="156"/>
      <c r="F19" s="155">
        <f t="shared" si="0"/>
        <v>0</v>
      </c>
    </row>
    <row r="20" spans="1:6" x14ac:dyDescent="0.25">
      <c r="A20" s="143"/>
      <c r="B20" s="144"/>
      <c r="C20" s="156"/>
      <c r="D20" s="104"/>
      <c r="E20" s="103"/>
      <c r="F20" s="155">
        <f t="shared" si="0"/>
        <v>0</v>
      </c>
    </row>
    <row r="21" spans="1:6" x14ac:dyDescent="0.25">
      <c r="A21" s="143"/>
      <c r="B21" s="144"/>
      <c r="C21" s="156"/>
      <c r="D21" s="328"/>
      <c r="E21" s="103"/>
      <c r="F21" s="155">
        <f t="shared" si="0"/>
        <v>0</v>
      </c>
    </row>
    <row r="22" spans="1:6" x14ac:dyDescent="0.25">
      <c r="A22" s="143"/>
      <c r="B22" s="144"/>
      <c r="C22" s="156"/>
      <c r="D22" s="104"/>
      <c r="E22" s="103"/>
      <c r="F22" s="155">
        <f t="shared" si="0"/>
        <v>0</v>
      </c>
    </row>
    <row r="23" spans="1:6" x14ac:dyDescent="0.25">
      <c r="A23" s="143"/>
      <c r="B23" s="144"/>
      <c r="C23" s="207"/>
      <c r="D23" s="283"/>
      <c r="E23" s="103"/>
      <c r="F23" s="155">
        <f t="shared" si="0"/>
        <v>0</v>
      </c>
    </row>
    <row r="24" spans="1:6" x14ac:dyDescent="0.25">
      <c r="A24" s="143"/>
      <c r="B24" s="144"/>
      <c r="C24" s="156"/>
      <c r="D24" s="104"/>
      <c r="E24" s="103"/>
      <c r="F24" s="155">
        <f t="shared" si="0"/>
        <v>0</v>
      </c>
    </row>
    <row r="25" spans="1:6" x14ac:dyDescent="0.25">
      <c r="A25" s="143"/>
      <c r="B25" s="144"/>
      <c r="C25" s="156"/>
      <c r="D25" s="104"/>
      <c r="E25" s="103"/>
      <c r="F25" s="155">
        <f t="shared" si="0"/>
        <v>0</v>
      </c>
    </row>
    <row r="26" spans="1:6" x14ac:dyDescent="0.25">
      <c r="A26" s="143"/>
      <c r="B26" s="144"/>
      <c r="C26" s="156"/>
      <c r="D26" s="104"/>
      <c r="E26" s="103"/>
      <c r="F26" s="155">
        <f t="shared" si="0"/>
        <v>0</v>
      </c>
    </row>
    <row r="27" spans="1:6" x14ac:dyDescent="0.25">
      <c r="A27" s="143"/>
      <c r="B27" s="144"/>
      <c r="C27" s="156"/>
      <c r="D27" s="145"/>
      <c r="E27" s="103"/>
      <c r="F27" s="155">
        <f t="shared" si="0"/>
        <v>0</v>
      </c>
    </row>
    <row r="28" spans="1:6" x14ac:dyDescent="0.25">
      <c r="A28" s="143"/>
      <c r="B28" s="144"/>
      <c r="C28" s="156"/>
      <c r="D28" s="104"/>
      <c r="E28" s="103"/>
      <c r="F28" s="155">
        <f t="shared" si="0"/>
        <v>0</v>
      </c>
    </row>
    <row r="29" spans="1:6" x14ac:dyDescent="0.25">
      <c r="A29" s="143"/>
      <c r="B29" s="144"/>
      <c r="C29" s="156"/>
      <c r="D29" s="104"/>
      <c r="E29" s="103"/>
      <c r="F29" s="155">
        <f t="shared" si="0"/>
        <v>0</v>
      </c>
    </row>
    <row r="30" spans="1:6" x14ac:dyDescent="0.25">
      <c r="A30" s="143"/>
      <c r="B30" s="144"/>
      <c r="C30" s="156"/>
      <c r="D30" s="104"/>
      <c r="E30" s="88"/>
      <c r="F30" s="155">
        <f t="shared" si="0"/>
        <v>0</v>
      </c>
    </row>
    <row r="31" spans="1:6" x14ac:dyDescent="0.25">
      <c r="A31" s="143"/>
      <c r="B31" s="144"/>
      <c r="C31" s="156"/>
      <c r="D31" s="104"/>
      <c r="E31" s="103"/>
      <c r="F31" s="155">
        <f t="shared" si="0"/>
        <v>0</v>
      </c>
    </row>
    <row r="32" spans="1:6" x14ac:dyDescent="0.25">
      <c r="A32" s="143"/>
      <c r="B32" s="144"/>
      <c r="C32" s="156"/>
      <c r="D32" s="104"/>
      <c r="E32" s="103"/>
      <c r="F32" s="155">
        <f t="shared" si="0"/>
        <v>0</v>
      </c>
    </row>
    <row r="33" spans="1:6" x14ac:dyDescent="0.25">
      <c r="A33" s="143"/>
      <c r="B33" s="144"/>
      <c r="C33" s="156"/>
      <c r="D33" s="104"/>
      <c r="E33" s="88"/>
      <c r="F33" s="155">
        <f t="shared" si="0"/>
        <v>0</v>
      </c>
    </row>
    <row r="34" spans="1:6" x14ac:dyDescent="0.25">
      <c r="A34" s="143"/>
      <c r="B34" s="144"/>
      <c r="C34" s="156"/>
      <c r="D34" s="104"/>
      <c r="E34" s="88"/>
      <c r="F34" s="155">
        <f t="shared" si="0"/>
        <v>0</v>
      </c>
    </row>
    <row r="35" spans="1:6" x14ac:dyDescent="0.25">
      <c r="A35" s="143"/>
      <c r="B35" s="144"/>
      <c r="C35" s="156"/>
      <c r="D35" s="104"/>
      <c r="E35" s="103"/>
      <c r="F35" s="155">
        <f t="shared" si="0"/>
        <v>0</v>
      </c>
    </row>
    <row r="36" spans="1:6" x14ac:dyDescent="0.25">
      <c r="A36" s="143"/>
      <c r="B36" s="144"/>
      <c r="C36" s="156"/>
      <c r="D36" s="104"/>
      <c r="E36" s="103"/>
      <c r="F36" s="155">
        <f t="shared" si="0"/>
        <v>0</v>
      </c>
    </row>
    <row r="37" spans="1:6" x14ac:dyDescent="0.25">
      <c r="A37" s="143"/>
      <c r="B37" s="292"/>
      <c r="C37" s="157"/>
      <c r="D37" s="104"/>
      <c r="E37" s="103"/>
      <c r="F37" s="155">
        <f t="shared" si="0"/>
        <v>0</v>
      </c>
    </row>
    <row r="38" spans="1:6" x14ac:dyDescent="0.25">
      <c r="A38" s="143"/>
      <c r="B38" s="292"/>
      <c r="C38" s="157"/>
      <c r="D38" s="298"/>
      <c r="E38" s="88"/>
      <c r="F38" s="155">
        <f t="shared" si="0"/>
        <v>0</v>
      </c>
    </row>
    <row r="39" spans="1:6" x14ac:dyDescent="0.25">
      <c r="A39" s="143"/>
      <c r="B39" s="292"/>
      <c r="C39" s="157"/>
      <c r="D39" s="298"/>
      <c r="E39" s="88"/>
      <c r="F39" s="155">
        <f t="shared" si="0"/>
        <v>0</v>
      </c>
    </row>
    <row r="40" spans="1:6" ht="15.75" customHeight="1" x14ac:dyDescent="0.25">
      <c r="A40" s="143"/>
      <c r="B40" s="292"/>
      <c r="C40" s="157"/>
      <c r="D40" s="298"/>
      <c r="E40" s="88"/>
      <c r="F40" s="241">
        <f t="shared" si="0"/>
        <v>0</v>
      </c>
    </row>
    <row r="41" spans="1:6" ht="15.75" customHeight="1" x14ac:dyDescent="0.25">
      <c r="A41" s="305"/>
      <c r="B41" s="306"/>
      <c r="C41" s="88"/>
      <c r="D41" s="299"/>
      <c r="E41" s="88"/>
      <c r="F41" s="241">
        <f t="shared" si="0"/>
        <v>0</v>
      </c>
    </row>
    <row r="42" spans="1:6" x14ac:dyDescent="0.25">
      <c r="A42" s="143"/>
      <c r="B42" s="307"/>
      <c r="C42" s="207"/>
      <c r="D42" s="299"/>
      <c r="E42" s="88"/>
      <c r="F42" s="241">
        <f t="shared" si="0"/>
        <v>0</v>
      </c>
    </row>
    <row r="43" spans="1:6" x14ac:dyDescent="0.25">
      <c r="A43" s="143"/>
      <c r="B43" s="307"/>
      <c r="C43" s="207"/>
      <c r="D43" s="299"/>
      <c r="E43" s="88"/>
      <c r="F43" s="241">
        <f t="shared" si="0"/>
        <v>0</v>
      </c>
    </row>
    <row r="44" spans="1:6" x14ac:dyDescent="0.25">
      <c r="A44" s="143"/>
      <c r="B44" s="282"/>
      <c r="C44" s="207"/>
      <c r="D44" s="299"/>
      <c r="E44" s="88"/>
      <c r="F44" s="241">
        <f t="shared" si="0"/>
        <v>0</v>
      </c>
    </row>
    <row r="45" spans="1:6" ht="16.5" customHeight="1" x14ac:dyDescent="0.25">
      <c r="A45" s="143"/>
      <c r="B45" s="293"/>
      <c r="C45" s="130"/>
      <c r="D45" s="104"/>
      <c r="E45" s="103"/>
      <c r="F45" s="241">
        <f t="shared" si="0"/>
        <v>0</v>
      </c>
    </row>
    <row r="46" spans="1:6" x14ac:dyDescent="0.25">
      <c r="A46" s="143"/>
      <c r="B46" s="293"/>
      <c r="C46" s="130"/>
      <c r="D46" s="104"/>
      <c r="E46" s="103"/>
      <c r="F46" s="241">
        <f t="shared" si="0"/>
        <v>0</v>
      </c>
    </row>
    <row r="47" spans="1:6" x14ac:dyDescent="0.25">
      <c r="A47" s="295"/>
      <c r="B47" s="297"/>
      <c r="C47" s="230"/>
      <c r="D47" s="104"/>
      <c r="E47" s="103"/>
      <c r="F47" s="241">
        <f t="shared" si="0"/>
        <v>0</v>
      </c>
    </row>
    <row r="48" spans="1:6" x14ac:dyDescent="0.25">
      <c r="A48" s="143"/>
      <c r="B48" s="293"/>
      <c r="C48" s="207"/>
      <c r="D48" s="300"/>
      <c r="E48" s="121"/>
      <c r="F48" s="335">
        <f t="shared" si="0"/>
        <v>0</v>
      </c>
    </row>
    <row r="49" spans="1:8" x14ac:dyDescent="0.25">
      <c r="A49" s="285"/>
      <c r="B49" s="290"/>
      <c r="C49" s="150"/>
      <c r="D49" s="300"/>
      <c r="E49" s="121"/>
      <c r="F49" s="335"/>
    </row>
    <row r="50" spans="1:8" x14ac:dyDescent="0.25">
      <c r="A50" s="286"/>
      <c r="B50" s="291"/>
      <c r="C50" s="150"/>
      <c r="D50" s="159"/>
      <c r="E50" s="150"/>
      <c r="F50" s="335"/>
    </row>
    <row r="51" spans="1:8" x14ac:dyDescent="0.25">
      <c r="A51" s="286"/>
      <c r="B51" s="291"/>
      <c r="C51" s="150"/>
      <c r="D51" s="159"/>
      <c r="E51" s="150"/>
      <c r="F51" s="335"/>
    </row>
    <row r="52" spans="1:8" x14ac:dyDescent="0.25">
      <c r="A52" s="285"/>
      <c r="B52" s="290"/>
      <c r="C52" s="150"/>
      <c r="D52" s="300"/>
      <c r="E52" s="121"/>
      <c r="F52" s="335"/>
    </row>
    <row r="53" spans="1:8" x14ac:dyDescent="0.25">
      <c r="A53" s="285"/>
      <c r="B53" s="290"/>
      <c r="C53" s="150"/>
      <c r="D53" s="150"/>
      <c r="E53" s="121"/>
      <c r="F53" s="335"/>
      <c r="H53" s="28"/>
    </row>
    <row r="54" spans="1:8" x14ac:dyDescent="0.25">
      <c r="A54" s="285"/>
      <c r="B54" s="290"/>
      <c r="C54" s="150"/>
      <c r="D54" s="150"/>
      <c r="E54" s="121"/>
      <c r="F54" s="335"/>
      <c r="H54" s="28"/>
    </row>
    <row r="55" spans="1:8" x14ac:dyDescent="0.25">
      <c r="A55" s="286"/>
      <c r="B55" s="291"/>
      <c r="C55" s="150"/>
      <c r="D55" s="119"/>
      <c r="E55" s="150"/>
      <c r="F55" s="335"/>
      <c r="H55" s="28"/>
    </row>
    <row r="56" spans="1:8" x14ac:dyDescent="0.25">
      <c r="A56" s="286"/>
      <c r="B56" s="291"/>
      <c r="C56" s="150"/>
      <c r="D56" s="119"/>
      <c r="E56" s="150"/>
      <c r="F56" s="335"/>
      <c r="H56" s="28"/>
    </row>
    <row r="57" spans="1:8" x14ac:dyDescent="0.25">
      <c r="A57" s="286"/>
      <c r="B57" s="291"/>
      <c r="C57" s="150"/>
      <c r="D57" s="119"/>
      <c r="E57" s="150"/>
      <c r="F57" s="335"/>
      <c r="H57" s="28"/>
    </row>
    <row r="58" spans="1:8" x14ac:dyDescent="0.25">
      <c r="A58" s="286"/>
      <c r="B58" s="291"/>
      <c r="C58" s="150"/>
      <c r="D58" s="119"/>
      <c r="E58" s="150"/>
      <c r="F58" s="335"/>
      <c r="H58" s="28"/>
    </row>
    <row r="59" spans="1:8" x14ac:dyDescent="0.25">
      <c r="A59" s="286"/>
      <c r="B59" s="289"/>
      <c r="C59" s="150"/>
      <c r="D59" s="119"/>
      <c r="E59" s="150"/>
      <c r="F59" s="335"/>
      <c r="H59" s="28"/>
    </row>
    <row r="60" spans="1:8" ht="15.75" thickBot="1" x14ac:dyDescent="0.3">
      <c r="A60" s="287"/>
      <c r="B60" s="124"/>
      <c r="C60" s="57">
        <v>0</v>
      </c>
      <c r="D60" s="57"/>
      <c r="E60" s="125">
        <v>0</v>
      </c>
      <c r="F60" s="242">
        <v>0</v>
      </c>
      <c r="H60" s="28"/>
    </row>
    <row r="61" spans="1:8" ht="15.75" thickTop="1" x14ac:dyDescent="0.25">
      <c r="C61" s="58">
        <f>SUM(C5:C60)</f>
        <v>98211.35</v>
      </c>
      <c r="D61" s="58"/>
      <c r="E61" s="58">
        <f>SUM(E5:E60)</f>
        <v>0</v>
      </c>
      <c r="F61" s="242">
        <f>SUM(F5:F60)</f>
        <v>98211.35</v>
      </c>
      <c r="H61" s="28"/>
    </row>
    <row r="62" spans="1:8" x14ac:dyDescent="0.25">
      <c r="A62" s="358"/>
      <c r="B62"/>
      <c r="D62"/>
      <c r="E62" s="43"/>
      <c r="H62" s="28"/>
    </row>
    <row r="63" spans="1:8" x14ac:dyDescent="0.25">
      <c r="A63" s="358"/>
      <c r="B63"/>
      <c r="D63"/>
      <c r="E63" s="43"/>
      <c r="H63" s="28"/>
    </row>
    <row r="64" spans="1:8" x14ac:dyDescent="0.25">
      <c r="A64" s="358"/>
      <c r="B64"/>
      <c r="D64"/>
      <c r="E64" s="43"/>
      <c r="H64" s="28"/>
    </row>
    <row r="65" spans="1:8" x14ac:dyDescent="0.25">
      <c r="A65" s="358"/>
      <c r="B65"/>
      <c r="D65"/>
      <c r="E65" s="43"/>
      <c r="H65" s="28"/>
    </row>
    <row r="66" spans="1:8" x14ac:dyDescent="0.25">
      <c r="A66" s="358"/>
      <c r="B66"/>
      <c r="D66"/>
      <c r="E66" s="43"/>
      <c r="H66" s="28"/>
    </row>
    <row r="67" spans="1:8" x14ac:dyDescent="0.25">
      <c r="A67" s="358"/>
      <c r="B67"/>
      <c r="D67"/>
      <c r="E67" s="43"/>
      <c r="H67" s="28"/>
    </row>
    <row r="68" spans="1:8" x14ac:dyDescent="0.25">
      <c r="A68" s="358"/>
      <c r="B68"/>
      <c r="D68"/>
      <c r="E68" s="43"/>
      <c r="H68" s="28"/>
    </row>
    <row r="69" spans="1:8" x14ac:dyDescent="0.25">
      <c r="A69" s="358"/>
      <c r="B69"/>
      <c r="D69"/>
      <c r="E69" s="43"/>
      <c r="H69" s="28"/>
    </row>
    <row r="70" spans="1:8" x14ac:dyDescent="0.25">
      <c r="A70" s="358"/>
      <c r="B70"/>
      <c r="D70"/>
      <c r="E70" s="43"/>
      <c r="H70" s="28"/>
    </row>
    <row r="71" spans="1:8" x14ac:dyDescent="0.25">
      <c r="A71" s="358"/>
      <c r="B71"/>
      <c r="D71"/>
      <c r="E71" s="43"/>
      <c r="H71" s="28"/>
    </row>
    <row r="72" spans="1:8" x14ac:dyDescent="0.25">
      <c r="A72" s="358"/>
      <c r="B72"/>
      <c r="D72"/>
      <c r="E72" s="43"/>
      <c r="H72" s="28"/>
    </row>
    <row r="73" spans="1:8" x14ac:dyDescent="0.25">
      <c r="A73" s="358"/>
      <c r="B73"/>
      <c r="D73"/>
      <c r="E73" s="43"/>
      <c r="H73" s="28"/>
    </row>
    <row r="74" spans="1:8" x14ac:dyDescent="0.25">
      <c r="A74" s="358"/>
      <c r="B74"/>
      <c r="D74"/>
      <c r="E74" s="43"/>
      <c r="H74" s="28"/>
    </row>
    <row r="75" spans="1:8" x14ac:dyDescent="0.25">
      <c r="H75" s="28"/>
    </row>
    <row r="78" spans="1:8" x14ac:dyDescent="0.25">
      <c r="A78" s="358"/>
      <c r="B78"/>
      <c r="C78"/>
      <c r="D78"/>
      <c r="E78"/>
      <c r="F78" s="23"/>
    </row>
    <row r="79" spans="1:8" x14ac:dyDescent="0.25">
      <c r="A79" s="358"/>
      <c r="B79"/>
      <c r="C79"/>
      <c r="D79"/>
      <c r="E79"/>
      <c r="F79" s="23"/>
    </row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</sheetData>
  <mergeCells count="1">
    <mergeCell ref="C3:E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6" sqref="C26"/>
    </sheetView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8" sqref="E28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N61"/>
  <sheetViews>
    <sheetView topLeftCell="A25" workbookViewId="0">
      <selection activeCell="B46" sqref="B46"/>
    </sheetView>
  </sheetViews>
  <sheetFormatPr baseColWidth="10" defaultRowHeight="15" x14ac:dyDescent="0.25"/>
  <cols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9" width="13.7109375" style="43" customWidth="1"/>
    <col min="11" max="11" width="17.85546875" bestFit="1" customWidth="1"/>
    <col min="12" max="12" width="22.5703125" style="68" customWidth="1"/>
    <col min="14" max="14" width="14.140625" style="43" hidden="1" customWidth="1"/>
  </cols>
  <sheetData>
    <row r="1" spans="1:13" ht="23.25" x14ac:dyDescent="0.35">
      <c r="C1" s="368" t="s">
        <v>56</v>
      </c>
      <c r="D1" s="368"/>
      <c r="E1" s="368"/>
      <c r="F1" s="368"/>
      <c r="G1" s="368"/>
      <c r="H1" s="368"/>
      <c r="I1" s="368"/>
      <c r="J1" s="368"/>
    </row>
    <row r="2" spans="1:13" ht="15.75" thickBot="1" x14ac:dyDescent="0.3">
      <c r="E2" s="77"/>
      <c r="F2" s="50"/>
    </row>
    <row r="3" spans="1:13" ht="15.75" thickBot="1" x14ac:dyDescent="0.3">
      <c r="C3" s="44" t="s">
        <v>0</v>
      </c>
      <c r="D3" s="3"/>
    </row>
    <row r="4" spans="1:13" ht="20.25" thickTop="1" thickBot="1" x14ac:dyDescent="0.35">
      <c r="A4" s="14" t="s">
        <v>2</v>
      </c>
      <c r="B4" s="38"/>
      <c r="C4" s="66">
        <v>199262.3</v>
      </c>
      <c r="D4" s="2"/>
      <c r="E4" s="369" t="s">
        <v>14</v>
      </c>
      <c r="F4" s="370"/>
      <c r="I4" s="371" t="s">
        <v>4</v>
      </c>
      <c r="J4" s="372"/>
      <c r="K4" s="372"/>
      <c r="L4" s="69" t="s">
        <v>18</v>
      </c>
    </row>
    <row r="5" spans="1:13" ht="15.75" thickTop="1" x14ac:dyDescent="0.25">
      <c r="A5" s="21"/>
      <c r="B5" s="39">
        <v>41944</v>
      </c>
      <c r="C5" s="45">
        <v>4869.2</v>
      </c>
      <c r="D5" s="22"/>
      <c r="E5" s="26">
        <v>41944</v>
      </c>
      <c r="F5" s="51">
        <v>63367</v>
      </c>
      <c r="G5" s="23"/>
      <c r="H5" s="24">
        <v>41944</v>
      </c>
      <c r="I5" s="60">
        <v>200</v>
      </c>
      <c r="J5" s="34"/>
      <c r="K5" s="34"/>
      <c r="L5" s="70" t="s">
        <v>57</v>
      </c>
      <c r="M5" s="80"/>
    </row>
    <row r="6" spans="1:13" x14ac:dyDescent="0.25">
      <c r="A6" s="21"/>
      <c r="B6" s="39">
        <v>41945</v>
      </c>
      <c r="C6" s="45">
        <v>0</v>
      </c>
      <c r="D6" s="29"/>
      <c r="E6" s="26">
        <v>41945</v>
      </c>
      <c r="F6" s="51">
        <v>66515.5</v>
      </c>
      <c r="G6" s="19"/>
      <c r="H6" s="27">
        <v>41945</v>
      </c>
      <c r="I6" s="61">
        <v>232</v>
      </c>
      <c r="J6" s="13" t="s">
        <v>5</v>
      </c>
      <c r="K6" s="20">
        <v>0</v>
      </c>
      <c r="L6" s="70" t="s">
        <v>58</v>
      </c>
      <c r="M6" s="80"/>
    </row>
    <row r="7" spans="1:13" x14ac:dyDescent="0.25">
      <c r="A7" s="21"/>
      <c r="B7" s="39">
        <v>41946</v>
      </c>
      <c r="C7" s="45">
        <v>0</v>
      </c>
      <c r="D7" s="32"/>
      <c r="E7" s="26">
        <v>41946</v>
      </c>
      <c r="F7" s="51">
        <v>49402.5</v>
      </c>
      <c r="G7" s="23"/>
      <c r="H7" s="27">
        <v>41946</v>
      </c>
      <c r="I7" s="61">
        <v>200</v>
      </c>
      <c r="J7" s="13" t="s">
        <v>3</v>
      </c>
      <c r="K7" s="20">
        <v>0</v>
      </c>
      <c r="L7" s="70" t="s">
        <v>59</v>
      </c>
      <c r="M7" s="80"/>
    </row>
    <row r="8" spans="1:13" x14ac:dyDescent="0.25">
      <c r="A8" s="21"/>
      <c r="B8" s="39">
        <v>41947</v>
      </c>
      <c r="C8" s="45">
        <v>0</v>
      </c>
      <c r="D8" s="22"/>
      <c r="E8" s="26">
        <v>41947</v>
      </c>
      <c r="F8" s="51">
        <v>34136.5</v>
      </c>
      <c r="G8" s="23"/>
      <c r="H8" s="27">
        <v>41947</v>
      </c>
      <c r="I8" s="61">
        <v>200</v>
      </c>
      <c r="J8" s="13" t="s">
        <v>6</v>
      </c>
      <c r="K8" s="20">
        <v>28750</v>
      </c>
      <c r="L8" s="70" t="s">
        <v>60</v>
      </c>
      <c r="M8" s="80"/>
    </row>
    <row r="9" spans="1:13" x14ac:dyDescent="0.25">
      <c r="A9" s="21"/>
      <c r="B9" s="39">
        <v>41948</v>
      </c>
      <c r="C9" s="45">
        <v>0</v>
      </c>
      <c r="D9" s="22"/>
      <c r="E9" s="26">
        <v>41948</v>
      </c>
      <c r="F9" s="51">
        <v>41586.5</v>
      </c>
      <c r="G9" s="23"/>
      <c r="H9" s="27">
        <v>41948</v>
      </c>
      <c r="I9" s="61">
        <v>200</v>
      </c>
      <c r="J9" s="13" t="s">
        <v>77</v>
      </c>
      <c r="K9" s="20">
        <v>7462.7250000000004</v>
      </c>
      <c r="L9" s="70" t="s">
        <v>61</v>
      </c>
      <c r="M9" s="80"/>
    </row>
    <row r="10" spans="1:13" x14ac:dyDescent="0.25">
      <c r="A10" s="21"/>
      <c r="B10" s="39">
        <v>41949</v>
      </c>
      <c r="C10" s="45">
        <v>112</v>
      </c>
      <c r="D10" s="32" t="s">
        <v>62</v>
      </c>
      <c r="E10" s="26">
        <v>41949</v>
      </c>
      <c r="F10" s="51">
        <v>41624.5</v>
      </c>
      <c r="G10" s="23"/>
      <c r="H10" s="27">
        <v>41949</v>
      </c>
      <c r="I10" s="61">
        <v>200</v>
      </c>
      <c r="J10" s="13" t="s">
        <v>78</v>
      </c>
      <c r="K10" s="20">
        <v>7200.86</v>
      </c>
      <c r="L10" s="70" t="s">
        <v>63</v>
      </c>
      <c r="M10" s="80"/>
    </row>
    <row r="11" spans="1:13" x14ac:dyDescent="0.25">
      <c r="A11" s="21"/>
      <c r="B11" s="39">
        <v>41950</v>
      </c>
      <c r="C11" s="45">
        <v>11586.8</v>
      </c>
      <c r="D11" s="32" t="s">
        <v>65</v>
      </c>
      <c r="E11" s="26">
        <v>41950</v>
      </c>
      <c r="F11" s="51">
        <v>80017</v>
      </c>
      <c r="G11" s="23"/>
      <c r="H11" s="27">
        <v>41950</v>
      </c>
      <c r="I11" s="61">
        <v>2500</v>
      </c>
      <c r="J11" s="13" t="s">
        <v>79</v>
      </c>
      <c r="K11" s="20">
        <v>7667.48</v>
      </c>
      <c r="L11" s="70" t="s">
        <v>64</v>
      </c>
      <c r="M11" s="80"/>
    </row>
    <row r="12" spans="1:13" x14ac:dyDescent="0.25">
      <c r="A12" s="21"/>
      <c r="B12" s="39">
        <v>41951</v>
      </c>
      <c r="C12" s="45">
        <v>0</v>
      </c>
      <c r="D12" s="32"/>
      <c r="E12" s="26">
        <v>41951</v>
      </c>
      <c r="F12" s="51">
        <v>79228.5</v>
      </c>
      <c r="G12" s="23"/>
      <c r="H12" s="27">
        <v>41951</v>
      </c>
      <c r="I12" s="61">
        <v>200</v>
      </c>
      <c r="J12" s="13" t="s">
        <v>80</v>
      </c>
      <c r="K12" s="20">
        <v>6943.68</v>
      </c>
      <c r="L12" s="70" t="s">
        <v>66</v>
      </c>
      <c r="M12" s="80"/>
    </row>
    <row r="13" spans="1:13" x14ac:dyDescent="0.25">
      <c r="A13" s="21"/>
      <c r="B13" s="39">
        <v>41952</v>
      </c>
      <c r="C13" s="45">
        <v>0</v>
      </c>
      <c r="D13" s="32"/>
      <c r="E13" s="26">
        <v>41952</v>
      </c>
      <c r="F13" s="51">
        <v>65438.5</v>
      </c>
      <c r="G13" s="23"/>
      <c r="H13" s="27">
        <v>41952</v>
      </c>
      <c r="I13" s="61">
        <v>232</v>
      </c>
      <c r="J13" s="13" t="s">
        <v>81</v>
      </c>
      <c r="K13" s="20">
        <v>0</v>
      </c>
      <c r="L13" s="70" t="s">
        <v>67</v>
      </c>
      <c r="M13" s="80"/>
    </row>
    <row r="14" spans="1:13" x14ac:dyDescent="0.25">
      <c r="A14" s="21"/>
      <c r="B14" s="39">
        <v>41953</v>
      </c>
      <c r="C14" s="45">
        <v>0</v>
      </c>
      <c r="D14" s="32"/>
      <c r="E14" s="26">
        <v>41953</v>
      </c>
      <c r="F14" s="51">
        <v>44018.5</v>
      </c>
      <c r="G14" s="23"/>
      <c r="H14" s="27">
        <v>41953</v>
      </c>
      <c r="I14" s="61">
        <v>200</v>
      </c>
      <c r="J14" s="35" t="s">
        <v>16</v>
      </c>
      <c r="K14" s="20">
        <v>0</v>
      </c>
      <c r="L14" s="79" t="s">
        <v>69</v>
      </c>
      <c r="M14" s="80"/>
    </row>
    <row r="15" spans="1:13" x14ac:dyDescent="0.25">
      <c r="A15" s="21"/>
      <c r="B15" s="39">
        <v>41954</v>
      </c>
      <c r="C15" s="45">
        <v>16905</v>
      </c>
      <c r="D15" s="29" t="s">
        <v>71</v>
      </c>
      <c r="E15" s="26">
        <v>41954</v>
      </c>
      <c r="F15" s="51">
        <v>28467</v>
      </c>
      <c r="G15" s="23"/>
      <c r="H15" s="27">
        <v>41954</v>
      </c>
      <c r="I15" s="61">
        <v>200</v>
      </c>
      <c r="J15" s="28" t="s">
        <v>15</v>
      </c>
      <c r="K15" s="20">
        <v>0</v>
      </c>
      <c r="L15" s="70" t="s">
        <v>70</v>
      </c>
      <c r="M15" s="80"/>
    </row>
    <row r="16" spans="1:13" x14ac:dyDescent="0.25">
      <c r="A16" s="21"/>
      <c r="B16" s="39">
        <v>41955</v>
      </c>
      <c r="C16" s="45">
        <v>0</v>
      </c>
      <c r="D16" s="32"/>
      <c r="E16" s="26">
        <v>41955</v>
      </c>
      <c r="F16" s="51">
        <v>51011</v>
      </c>
      <c r="G16" s="23"/>
      <c r="H16" s="27">
        <v>41955</v>
      </c>
      <c r="I16" s="61">
        <v>200</v>
      </c>
      <c r="J16" s="73" t="s">
        <v>52</v>
      </c>
      <c r="K16" s="74">
        <v>0</v>
      </c>
      <c r="L16" s="67" t="s">
        <v>72</v>
      </c>
      <c r="M16" s="80"/>
    </row>
    <row r="17" spans="1:13" x14ac:dyDescent="0.25">
      <c r="A17" s="21"/>
      <c r="B17" s="39">
        <v>41956</v>
      </c>
      <c r="C17" s="45">
        <v>0</v>
      </c>
      <c r="D17" s="22"/>
      <c r="E17" s="26">
        <v>41956</v>
      </c>
      <c r="F17" s="51">
        <v>56731.5</v>
      </c>
      <c r="G17" s="23"/>
      <c r="H17" s="78">
        <v>41956</v>
      </c>
      <c r="I17" s="62">
        <v>200</v>
      </c>
      <c r="J17" s="28" t="s">
        <v>53</v>
      </c>
      <c r="K17" s="74">
        <v>0</v>
      </c>
      <c r="L17" s="67" t="s">
        <v>73</v>
      </c>
      <c r="M17" s="80"/>
    </row>
    <row r="18" spans="1:13" x14ac:dyDescent="0.25">
      <c r="A18" s="21"/>
      <c r="B18" s="39">
        <v>41957</v>
      </c>
      <c r="C18" s="45">
        <v>11299</v>
      </c>
      <c r="D18" s="22"/>
      <c r="E18" s="26">
        <v>41957</v>
      </c>
      <c r="F18" s="51">
        <v>65749.5</v>
      </c>
      <c r="G18" s="23"/>
      <c r="H18" s="78">
        <v>41957</v>
      </c>
      <c r="I18" s="62">
        <v>224</v>
      </c>
      <c r="J18" s="28" t="s">
        <v>54</v>
      </c>
      <c r="K18" s="75">
        <v>0</v>
      </c>
      <c r="L18" s="67" t="s">
        <v>74</v>
      </c>
      <c r="M18" s="80"/>
    </row>
    <row r="19" spans="1:13" x14ac:dyDescent="0.25">
      <c r="A19" s="21"/>
      <c r="B19" s="39">
        <v>41958</v>
      </c>
      <c r="C19" s="45">
        <v>0</v>
      </c>
      <c r="D19" s="29"/>
      <c r="E19" s="26">
        <v>41958</v>
      </c>
      <c r="F19" s="51">
        <v>69710.5</v>
      </c>
      <c r="G19" s="23"/>
      <c r="H19" s="78">
        <v>41958</v>
      </c>
      <c r="I19" s="62">
        <v>200</v>
      </c>
      <c r="J19" s="28" t="s">
        <v>55</v>
      </c>
      <c r="K19" s="75">
        <v>0</v>
      </c>
      <c r="L19" s="67" t="s">
        <v>75</v>
      </c>
      <c r="M19" s="80"/>
    </row>
    <row r="20" spans="1:13" x14ac:dyDescent="0.25">
      <c r="A20" s="21"/>
      <c r="B20" s="39">
        <v>41959</v>
      </c>
      <c r="C20" s="45">
        <v>678</v>
      </c>
      <c r="D20" s="22" t="s">
        <v>87</v>
      </c>
      <c r="E20" s="26">
        <v>41959</v>
      </c>
      <c r="F20" s="51">
        <v>72056</v>
      </c>
      <c r="G20" s="23"/>
      <c r="H20" s="78">
        <v>41959</v>
      </c>
      <c r="I20" s="62">
        <v>200</v>
      </c>
      <c r="J20" s="36" t="s">
        <v>68</v>
      </c>
      <c r="K20" s="55">
        <v>2491</v>
      </c>
      <c r="L20" s="70" t="s">
        <v>86</v>
      </c>
      <c r="M20" s="80"/>
    </row>
    <row r="21" spans="1:13" x14ac:dyDescent="0.25">
      <c r="A21" s="21"/>
      <c r="B21" s="39">
        <v>41960</v>
      </c>
      <c r="C21" s="45">
        <v>1211</v>
      </c>
      <c r="D21" s="22" t="s">
        <v>29</v>
      </c>
      <c r="E21" s="26">
        <v>41960</v>
      </c>
      <c r="F21" s="51">
        <v>69962</v>
      </c>
      <c r="G21" s="23"/>
      <c r="H21" s="78">
        <v>41960</v>
      </c>
      <c r="I21" s="62">
        <v>200</v>
      </c>
      <c r="J21" s="25" t="s">
        <v>99</v>
      </c>
      <c r="K21" s="55">
        <v>4294</v>
      </c>
      <c r="L21" s="70" t="s">
        <v>88</v>
      </c>
      <c r="M21" s="80"/>
    </row>
    <row r="22" spans="1:13" x14ac:dyDescent="0.25">
      <c r="A22" s="21"/>
      <c r="B22" s="39">
        <v>41961</v>
      </c>
      <c r="C22" s="45">
        <v>0</v>
      </c>
      <c r="D22" s="22"/>
      <c r="E22" s="26">
        <v>41961</v>
      </c>
      <c r="F22" s="51">
        <v>23700.5</v>
      </c>
      <c r="G22" s="23"/>
      <c r="H22" s="78">
        <v>41961</v>
      </c>
      <c r="I22" s="62">
        <v>200</v>
      </c>
      <c r="J22" s="11"/>
      <c r="K22" s="55"/>
      <c r="L22" s="70" t="s">
        <v>89</v>
      </c>
      <c r="M22" s="80"/>
    </row>
    <row r="23" spans="1:13" x14ac:dyDescent="0.25">
      <c r="A23" s="21"/>
      <c r="B23" s="39">
        <v>41962</v>
      </c>
      <c r="C23" s="45">
        <v>0</v>
      </c>
      <c r="D23" s="22"/>
      <c r="E23" s="26">
        <v>41962</v>
      </c>
      <c r="F23" s="51">
        <v>30032.5</v>
      </c>
      <c r="G23" s="23"/>
      <c r="H23" s="78">
        <v>41962</v>
      </c>
      <c r="I23" s="62">
        <v>200</v>
      </c>
      <c r="J23" s="11"/>
      <c r="K23" s="55"/>
      <c r="L23" s="70" t="s">
        <v>90</v>
      </c>
      <c r="M23" s="80"/>
    </row>
    <row r="24" spans="1:13" x14ac:dyDescent="0.25">
      <c r="A24" s="21"/>
      <c r="B24" s="39">
        <v>41963</v>
      </c>
      <c r="C24" s="45">
        <v>0</v>
      </c>
      <c r="D24" s="22"/>
      <c r="E24" s="26">
        <v>41963</v>
      </c>
      <c r="F24" s="51">
        <v>52559.5</v>
      </c>
      <c r="G24" s="23"/>
      <c r="H24" s="78">
        <v>41963</v>
      </c>
      <c r="I24" s="62">
        <v>200</v>
      </c>
      <c r="J24" s="11"/>
      <c r="K24" s="55"/>
      <c r="L24" s="70" t="s">
        <v>91</v>
      </c>
      <c r="M24" s="80"/>
    </row>
    <row r="25" spans="1:13" x14ac:dyDescent="0.25">
      <c r="A25" s="21"/>
      <c r="B25" s="39">
        <v>41964</v>
      </c>
      <c r="C25" s="45">
        <v>11577.6</v>
      </c>
      <c r="D25" s="22" t="s">
        <v>29</v>
      </c>
      <c r="E25" s="26">
        <v>41964</v>
      </c>
      <c r="F25" s="51">
        <v>66613</v>
      </c>
      <c r="G25" s="23"/>
      <c r="H25" s="78">
        <v>41964</v>
      </c>
      <c r="I25" s="62">
        <v>232</v>
      </c>
      <c r="J25" s="11"/>
      <c r="K25" s="55"/>
      <c r="L25" s="70" t="s">
        <v>93</v>
      </c>
      <c r="M25" s="80"/>
    </row>
    <row r="26" spans="1:13" x14ac:dyDescent="0.25">
      <c r="A26" s="21"/>
      <c r="B26" s="39">
        <v>41965</v>
      </c>
      <c r="C26" s="45">
        <v>0</v>
      </c>
      <c r="D26" s="22"/>
      <c r="E26" s="26">
        <v>41965</v>
      </c>
      <c r="F26" s="51">
        <v>68906.5</v>
      </c>
      <c r="G26" s="23"/>
      <c r="H26" s="78">
        <v>41965</v>
      </c>
      <c r="I26" s="62">
        <v>200</v>
      </c>
      <c r="J26" s="11"/>
      <c r="K26" s="55"/>
      <c r="L26" s="70" t="s">
        <v>94</v>
      </c>
      <c r="M26" s="80"/>
    </row>
    <row r="27" spans="1:13" x14ac:dyDescent="0.25">
      <c r="A27" s="21"/>
      <c r="B27" s="39">
        <v>41966</v>
      </c>
      <c r="C27" s="45">
        <v>0</v>
      </c>
      <c r="D27" s="22"/>
      <c r="E27" s="26">
        <v>41966</v>
      </c>
      <c r="F27" s="51">
        <v>79411</v>
      </c>
      <c r="G27" s="23"/>
      <c r="H27" s="78">
        <v>41966</v>
      </c>
      <c r="I27" s="62">
        <v>200</v>
      </c>
      <c r="J27" s="11"/>
      <c r="K27" s="55"/>
      <c r="L27" s="81" t="s">
        <v>95</v>
      </c>
      <c r="M27" s="80"/>
    </row>
    <row r="28" spans="1:13" x14ac:dyDescent="0.25">
      <c r="A28" s="21"/>
      <c r="B28" s="39">
        <v>41967</v>
      </c>
      <c r="C28" s="45">
        <v>0</v>
      </c>
      <c r="D28" s="22"/>
      <c r="E28" s="26">
        <v>41967</v>
      </c>
      <c r="F28" s="51">
        <v>51267.5</v>
      </c>
      <c r="G28" s="23"/>
      <c r="H28" s="78">
        <v>41967</v>
      </c>
      <c r="I28" s="62">
        <v>200</v>
      </c>
      <c r="J28" s="11"/>
      <c r="K28" s="55"/>
      <c r="L28" s="68" t="s">
        <v>96</v>
      </c>
      <c r="M28" s="80"/>
    </row>
    <row r="29" spans="1:13" x14ac:dyDescent="0.25">
      <c r="A29" s="21"/>
      <c r="B29" s="39">
        <v>41968</v>
      </c>
      <c r="C29" s="45">
        <v>0</v>
      </c>
      <c r="D29" s="22"/>
      <c r="E29" s="26">
        <v>41968</v>
      </c>
      <c r="F29" s="51">
        <v>33326.5</v>
      </c>
      <c r="G29" s="23"/>
      <c r="H29" s="78">
        <v>41968</v>
      </c>
      <c r="I29" s="62">
        <v>200</v>
      </c>
      <c r="J29" s="11"/>
      <c r="K29" s="20"/>
      <c r="L29" s="70" t="s">
        <v>97</v>
      </c>
      <c r="M29" s="80"/>
    </row>
    <row r="30" spans="1:13" x14ac:dyDescent="0.25">
      <c r="A30" s="21"/>
      <c r="B30" s="39">
        <v>41969</v>
      </c>
      <c r="C30" s="45">
        <v>0</v>
      </c>
      <c r="D30" s="22"/>
      <c r="E30" s="26">
        <v>41969</v>
      </c>
      <c r="F30" s="51">
        <v>36449.5</v>
      </c>
      <c r="G30" s="23"/>
      <c r="H30" s="78">
        <v>41969</v>
      </c>
      <c r="I30" s="62">
        <v>1000</v>
      </c>
      <c r="J30" s="11"/>
      <c r="K30" s="20"/>
      <c r="L30" s="70" t="str">
        <f>'[1]NOVIEMBRE 2014'!$I$30</f>
        <v># 55020---# 55058</v>
      </c>
      <c r="M30" s="80"/>
    </row>
    <row r="31" spans="1:13" x14ac:dyDescent="0.25">
      <c r="A31" s="21"/>
      <c r="B31" s="39">
        <v>41970</v>
      </c>
      <c r="C31" s="45">
        <v>0</v>
      </c>
      <c r="D31" s="22"/>
      <c r="E31" s="26">
        <v>41970</v>
      </c>
      <c r="F31" s="51">
        <v>48771.5</v>
      </c>
      <c r="G31" s="23"/>
      <c r="H31" s="78">
        <v>41970</v>
      </c>
      <c r="I31" s="62">
        <v>200</v>
      </c>
      <c r="J31" s="11"/>
      <c r="K31" s="20"/>
      <c r="L31" s="70" t="s">
        <v>98</v>
      </c>
      <c r="M31" s="80"/>
    </row>
    <row r="32" spans="1:13" x14ac:dyDescent="0.25">
      <c r="A32" s="21"/>
      <c r="B32" s="39">
        <v>41971</v>
      </c>
      <c r="C32" s="45">
        <v>0</v>
      </c>
      <c r="D32" s="22"/>
      <c r="E32" s="26">
        <v>41971</v>
      </c>
      <c r="F32" s="51">
        <v>60833.5</v>
      </c>
      <c r="G32" s="23"/>
      <c r="H32" s="78">
        <v>41971</v>
      </c>
      <c r="I32" s="62">
        <v>0</v>
      </c>
      <c r="J32" s="11"/>
      <c r="K32" s="20"/>
      <c r="L32" s="70" t="s">
        <v>100</v>
      </c>
      <c r="M32" s="80"/>
    </row>
    <row r="33" spans="1:14" x14ac:dyDescent="0.25">
      <c r="A33" s="21"/>
      <c r="B33" s="39">
        <v>41972</v>
      </c>
      <c r="C33" s="45">
        <v>0</v>
      </c>
      <c r="D33" s="22"/>
      <c r="E33" s="26">
        <v>41972</v>
      </c>
      <c r="F33" s="51">
        <v>117203.5</v>
      </c>
      <c r="G33" s="23"/>
      <c r="H33" s="78">
        <v>41972</v>
      </c>
      <c r="I33" s="62">
        <v>200</v>
      </c>
      <c r="J33" s="11"/>
      <c r="K33" s="20"/>
      <c r="L33" s="70" t="s">
        <v>101</v>
      </c>
      <c r="M33" s="80"/>
    </row>
    <row r="34" spans="1:14" x14ac:dyDescent="0.25">
      <c r="A34" s="21"/>
      <c r="B34" s="39">
        <v>41973</v>
      </c>
      <c r="C34" s="45">
        <v>33385.5</v>
      </c>
      <c r="D34" s="72" t="s">
        <v>29</v>
      </c>
      <c r="E34" s="26">
        <v>41973</v>
      </c>
      <c r="F34" s="51">
        <v>54309.5</v>
      </c>
      <c r="G34" s="23"/>
      <c r="H34" s="78">
        <v>41973</v>
      </c>
      <c r="I34" s="62">
        <v>1132</v>
      </c>
      <c r="J34" s="11"/>
      <c r="K34" s="20"/>
      <c r="L34" s="70" t="s">
        <v>102</v>
      </c>
      <c r="M34" s="80"/>
    </row>
    <row r="35" spans="1:14" ht="15.75" thickBot="1" x14ac:dyDescent="0.3">
      <c r="A35" s="21"/>
      <c r="B35" s="39"/>
      <c r="C35" s="45"/>
      <c r="D35" s="22"/>
      <c r="E35" s="26"/>
      <c r="F35" s="51"/>
      <c r="G35" s="23"/>
      <c r="H35" s="78"/>
      <c r="I35" s="62"/>
      <c r="J35" s="11"/>
      <c r="K35" s="20"/>
      <c r="L35" s="71"/>
    </row>
    <row r="36" spans="1:14" ht="15.75" thickBot="1" x14ac:dyDescent="0.3">
      <c r="A36" s="15"/>
      <c r="B36" s="40"/>
      <c r="C36" s="46"/>
      <c r="D36" s="2"/>
      <c r="E36" s="8"/>
      <c r="F36" s="52">
        <v>0</v>
      </c>
      <c r="H36" s="78"/>
      <c r="I36" s="63"/>
      <c r="J36" s="11"/>
      <c r="K36" s="7"/>
      <c r="N36" s="43">
        <v>97747.76</v>
      </c>
    </row>
    <row r="37" spans="1:14" ht="15.75" thickBot="1" x14ac:dyDescent="0.3">
      <c r="A37" s="5" t="s">
        <v>92</v>
      </c>
      <c r="B37" s="41"/>
      <c r="C37" s="47">
        <v>1485485.34</v>
      </c>
      <c r="D37" s="2"/>
      <c r="E37" s="9"/>
      <c r="F37" s="53">
        <v>0</v>
      </c>
      <c r="H37" s="31"/>
      <c r="I37" s="64"/>
      <c r="J37" s="16"/>
      <c r="K37" s="10"/>
      <c r="N37" s="43">
        <v>31828.16</v>
      </c>
    </row>
    <row r="38" spans="1:14" x14ac:dyDescent="0.25">
      <c r="B38" s="42" t="s">
        <v>1</v>
      </c>
      <c r="C38" s="48">
        <f>SUM(C4:C37)</f>
        <v>1776371.7400000002</v>
      </c>
      <c r="E38" s="76" t="s">
        <v>1</v>
      </c>
      <c r="F38" s="54">
        <f>SUM(F6:F37)</f>
        <v>1639040</v>
      </c>
      <c r="H38" s="77" t="s">
        <v>1</v>
      </c>
      <c r="I38" s="58">
        <f>SUM(I5:I37)</f>
        <v>9952</v>
      </c>
      <c r="J38" s="17" t="s">
        <v>1</v>
      </c>
      <c r="K38" s="4">
        <f t="shared" ref="K38" si="0">SUM(K5:K37)</f>
        <v>64809.745000000003</v>
      </c>
      <c r="N38" s="43">
        <v>58576.65</v>
      </c>
    </row>
    <row r="39" spans="1:14" x14ac:dyDescent="0.25">
      <c r="N39" s="43">
        <v>63823.97</v>
      </c>
    </row>
    <row r="40" spans="1:14" ht="15.75" x14ac:dyDescent="0.25">
      <c r="A40" s="5"/>
      <c r="C40" s="49">
        <v>0</v>
      </c>
      <c r="D40" s="13"/>
      <c r="E40" s="13"/>
      <c r="F40" s="55"/>
      <c r="H40" s="373" t="s">
        <v>7</v>
      </c>
      <c r="I40" s="374"/>
      <c r="J40" s="375">
        <f>I38+K38</f>
        <v>74761.744999999995</v>
      </c>
      <c r="K40" s="376"/>
      <c r="N40" s="43">
        <v>97788.05</v>
      </c>
    </row>
    <row r="41" spans="1:14" ht="15.75" x14ac:dyDescent="0.25">
      <c r="D41" s="367" t="s">
        <v>8</v>
      </c>
      <c r="E41" s="367"/>
      <c r="F41" s="56">
        <f>F38-J40</f>
        <v>1564278.2549999999</v>
      </c>
      <c r="I41" s="65"/>
      <c r="N41" s="43">
        <v>56420.61</v>
      </c>
    </row>
    <row r="42" spans="1:14" ht="15.75" thickBot="1" x14ac:dyDescent="0.3">
      <c r="D42" s="18"/>
      <c r="E42" s="18" t="s">
        <v>0</v>
      </c>
      <c r="F42" s="57">
        <f>-C38</f>
        <v>-1776371.7400000002</v>
      </c>
      <c r="N42" s="43">
        <v>66884.7</v>
      </c>
    </row>
    <row r="43" spans="1:14" ht="15.75" thickTop="1" x14ac:dyDescent="0.25">
      <c r="C43" s="43" t="s">
        <v>12</v>
      </c>
      <c r="E43" s="5" t="s">
        <v>10</v>
      </c>
      <c r="F43" s="58">
        <f>SUM(F41:F42)</f>
        <v>-212093.48500000034</v>
      </c>
      <c r="I43" s="377"/>
      <c r="J43" s="377"/>
      <c r="K43" s="2"/>
      <c r="N43" s="43">
        <v>32473.27</v>
      </c>
    </row>
    <row r="44" spans="1:14" ht="16.5" thickBot="1" x14ac:dyDescent="0.3">
      <c r="D44" s="366" t="s">
        <v>9</v>
      </c>
      <c r="E44" s="366"/>
      <c r="F44" s="59">
        <v>232988.59</v>
      </c>
      <c r="I44" s="378"/>
      <c r="J44" s="378"/>
      <c r="K44" s="33"/>
      <c r="N44" s="43">
        <v>76980.320000000007</v>
      </c>
    </row>
    <row r="45" spans="1:14" ht="15.75" thickTop="1" x14ac:dyDescent="0.25">
      <c r="E45" s="6" t="s">
        <v>11</v>
      </c>
      <c r="F45" s="48">
        <f>F44+F43</f>
        <v>20895.104999999661</v>
      </c>
      <c r="I45" s="379" t="s">
        <v>13</v>
      </c>
      <c r="J45" s="380"/>
      <c r="K45" s="383">
        <f>F45+K44</f>
        <v>20895.104999999661</v>
      </c>
      <c r="N45" s="43">
        <v>64614.3</v>
      </c>
    </row>
    <row r="46" spans="1:14" ht="15.75" thickBot="1" x14ac:dyDescent="0.3">
      <c r="D46" s="365"/>
      <c r="E46" s="365"/>
      <c r="F46" s="55"/>
      <c r="I46" s="381"/>
      <c r="J46" s="382"/>
      <c r="K46" s="384"/>
      <c r="N46" s="43">
        <v>30288.6</v>
      </c>
    </row>
    <row r="47" spans="1:14" ht="15.75" thickTop="1" x14ac:dyDescent="0.25">
      <c r="N47" s="43">
        <v>86826.26</v>
      </c>
    </row>
    <row r="48" spans="1:14" x14ac:dyDescent="0.25">
      <c r="N48" s="43">
        <v>2722</v>
      </c>
    </row>
    <row r="49" spans="14:14" x14ac:dyDescent="0.25">
      <c r="N49" s="43">
        <v>4833</v>
      </c>
    </row>
    <row r="50" spans="14:14" x14ac:dyDescent="0.25">
      <c r="N50" s="43">
        <v>131558.76</v>
      </c>
    </row>
    <row r="51" spans="14:14" x14ac:dyDescent="0.25">
      <c r="N51" s="43">
        <v>7736.44</v>
      </c>
    </row>
    <row r="52" spans="14:14" x14ac:dyDescent="0.25">
      <c r="N52" s="43">
        <v>64785.72</v>
      </c>
    </row>
    <row r="53" spans="14:14" x14ac:dyDescent="0.25">
      <c r="N53" s="43">
        <v>71877.600000000006</v>
      </c>
    </row>
    <row r="54" spans="14:14" x14ac:dyDescent="0.25">
      <c r="N54" s="43">
        <v>68170.240000000005</v>
      </c>
    </row>
    <row r="55" spans="14:14" x14ac:dyDescent="0.25">
      <c r="N55" s="43">
        <v>43672.47</v>
      </c>
    </row>
    <row r="56" spans="14:14" x14ac:dyDescent="0.25">
      <c r="N56" s="43">
        <v>60373.5</v>
      </c>
    </row>
    <row r="57" spans="14:14" x14ac:dyDescent="0.25">
      <c r="N57" s="43">
        <v>63236.6</v>
      </c>
    </row>
    <row r="58" spans="14:14" x14ac:dyDescent="0.25">
      <c r="N58" s="43">
        <v>68294.8</v>
      </c>
    </row>
    <row r="59" spans="14:14" x14ac:dyDescent="0.25">
      <c r="N59" s="43">
        <v>133971.56</v>
      </c>
    </row>
    <row r="60" spans="14:14" ht="15.75" thickBot="1" x14ac:dyDescent="0.3">
      <c r="N60" s="57">
        <v>0</v>
      </c>
    </row>
    <row r="61" spans="14:14" ht="15.75" thickTop="1" x14ac:dyDescent="0.25">
      <c r="N61" s="43">
        <f>SUM(N36:N60)</f>
        <v>1485485.34</v>
      </c>
    </row>
  </sheetData>
  <mergeCells count="12">
    <mergeCell ref="I43:J43"/>
    <mergeCell ref="D44:E44"/>
    <mergeCell ref="I44:J44"/>
    <mergeCell ref="I45:J46"/>
    <mergeCell ref="K45:K46"/>
    <mergeCell ref="D46:E46"/>
    <mergeCell ref="D41:E41"/>
    <mergeCell ref="C1:J1"/>
    <mergeCell ref="E4:F4"/>
    <mergeCell ref="I4:K4"/>
    <mergeCell ref="H40:I40"/>
    <mergeCell ref="J40:K40"/>
  </mergeCells>
  <pageMargins left="0.31496062992125984" right="0.31496062992125984" top="0.15748031496062992" bottom="0.15748031496062992" header="0.31496062992125984" footer="0.31496062992125984"/>
  <pageSetup scale="80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P47"/>
  <sheetViews>
    <sheetView topLeftCell="A19" workbookViewId="0">
      <selection activeCell="E48" sqref="E48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10" width="13.7109375" style="43" customWidth="1"/>
    <col min="12" max="12" width="17.85546875" bestFit="1" customWidth="1"/>
    <col min="13" max="13" width="22.5703125" style="68" customWidth="1"/>
    <col min="16" max="16" width="14.140625" style="43" bestFit="1" customWidth="1"/>
  </cols>
  <sheetData>
    <row r="1" spans="1:16" ht="23.25" x14ac:dyDescent="0.35">
      <c r="C1" s="368" t="s">
        <v>103</v>
      </c>
      <c r="D1" s="368"/>
      <c r="E1" s="368"/>
      <c r="F1" s="368"/>
      <c r="G1" s="368"/>
      <c r="H1" s="368"/>
      <c r="I1" s="368"/>
      <c r="J1" s="368"/>
      <c r="K1" s="368"/>
    </row>
    <row r="2" spans="1:16" ht="15.75" thickBot="1" x14ac:dyDescent="0.3">
      <c r="E2" s="83"/>
      <c r="F2" s="50"/>
    </row>
    <row r="3" spans="1:16" ht="15.75" thickBot="1" x14ac:dyDescent="0.3">
      <c r="C3" s="44" t="s">
        <v>0</v>
      </c>
      <c r="D3" s="3"/>
    </row>
    <row r="4" spans="1:16" ht="20.25" thickTop="1" thickBot="1" x14ac:dyDescent="0.35">
      <c r="A4" s="96" t="s">
        <v>2</v>
      </c>
      <c r="B4" s="38"/>
      <c r="C4" s="94">
        <v>232988.59</v>
      </c>
      <c r="D4" s="2"/>
      <c r="E4" s="389" t="s">
        <v>14</v>
      </c>
      <c r="F4" s="390"/>
      <c r="I4" s="371" t="s">
        <v>4</v>
      </c>
      <c r="J4" s="372"/>
      <c r="K4" s="372"/>
      <c r="L4" s="372"/>
      <c r="M4" s="69" t="s">
        <v>18</v>
      </c>
    </row>
    <row r="5" spans="1:16" ht="15.75" thickTop="1" x14ac:dyDescent="0.25">
      <c r="A5" s="21"/>
      <c r="B5" s="39">
        <v>41974</v>
      </c>
      <c r="C5" s="45">
        <v>0</v>
      </c>
      <c r="D5" s="22"/>
      <c r="E5" s="26">
        <v>41974</v>
      </c>
      <c r="F5" s="51">
        <v>41659.5</v>
      </c>
      <c r="G5" s="23"/>
      <c r="H5" s="24">
        <v>41974</v>
      </c>
      <c r="I5" s="60">
        <v>200</v>
      </c>
      <c r="J5" s="87"/>
      <c r="K5" s="34"/>
      <c r="L5" s="34"/>
      <c r="M5" s="70" t="s">
        <v>104</v>
      </c>
      <c r="N5" s="80"/>
      <c r="O5" s="84"/>
      <c r="P5" s="55"/>
    </row>
    <row r="6" spans="1:16" x14ac:dyDescent="0.25">
      <c r="A6" s="21"/>
      <c r="B6" s="39">
        <v>41975</v>
      </c>
      <c r="C6" s="45">
        <v>0</v>
      </c>
      <c r="D6" s="29"/>
      <c r="E6" s="26">
        <v>41975</v>
      </c>
      <c r="F6" s="51">
        <v>40853</v>
      </c>
      <c r="G6" s="19"/>
      <c r="H6" s="27">
        <v>41975</v>
      </c>
      <c r="I6" s="61">
        <v>200</v>
      </c>
      <c r="J6" s="88"/>
      <c r="K6" s="13" t="s">
        <v>5</v>
      </c>
      <c r="L6" s="20">
        <v>0</v>
      </c>
      <c r="M6" s="70" t="s">
        <v>105</v>
      </c>
      <c r="N6" s="80"/>
    </row>
    <row r="7" spans="1:16" x14ac:dyDescent="0.25">
      <c r="A7" s="21"/>
      <c r="B7" s="39">
        <v>41976</v>
      </c>
      <c r="C7" s="45">
        <v>405</v>
      </c>
      <c r="D7" s="32" t="s">
        <v>50</v>
      </c>
      <c r="E7" s="26">
        <v>41976</v>
      </c>
      <c r="F7" s="51">
        <v>36804.5</v>
      </c>
      <c r="G7" s="23"/>
      <c r="H7" s="27">
        <v>41976</v>
      </c>
      <c r="I7" s="61">
        <v>200</v>
      </c>
      <c r="J7" s="88"/>
      <c r="K7" s="13" t="s">
        <v>3</v>
      </c>
      <c r="L7" s="20">
        <v>0</v>
      </c>
      <c r="M7" s="70" t="s">
        <v>106</v>
      </c>
      <c r="N7" s="80"/>
    </row>
    <row r="8" spans="1:16" x14ac:dyDescent="0.25">
      <c r="A8" s="21"/>
      <c r="B8" s="39">
        <v>41977</v>
      </c>
      <c r="C8" s="45">
        <v>0</v>
      </c>
      <c r="D8" s="22"/>
      <c r="E8" s="26">
        <v>41977</v>
      </c>
      <c r="F8" s="51">
        <v>46170.3</v>
      </c>
      <c r="G8" s="23"/>
      <c r="H8" s="27">
        <v>41977</v>
      </c>
      <c r="I8" s="61">
        <v>216.5</v>
      </c>
      <c r="J8" s="88"/>
      <c r="K8" s="13" t="s">
        <v>6</v>
      </c>
      <c r="L8" s="20">
        <v>28750</v>
      </c>
      <c r="M8" s="68" t="s">
        <v>106</v>
      </c>
      <c r="N8" s="80"/>
    </row>
    <row r="9" spans="1:16" x14ac:dyDescent="0.25">
      <c r="A9" s="21"/>
      <c r="B9" s="39">
        <v>41978</v>
      </c>
      <c r="C9" s="45">
        <v>0</v>
      </c>
      <c r="D9" s="22"/>
      <c r="E9" s="26">
        <v>41978</v>
      </c>
      <c r="F9" s="51">
        <v>62846.8</v>
      </c>
      <c r="G9" s="23"/>
      <c r="H9" s="27">
        <v>41978</v>
      </c>
      <c r="I9" s="61">
        <v>419</v>
      </c>
      <c r="J9" s="88"/>
      <c r="K9" s="13" t="s">
        <v>81</v>
      </c>
      <c r="L9" s="20">
        <v>8043.67</v>
      </c>
      <c r="M9" s="70" t="s">
        <v>107</v>
      </c>
      <c r="N9" s="80"/>
    </row>
    <row r="10" spans="1:16" x14ac:dyDescent="0.25">
      <c r="A10" s="21"/>
      <c r="B10" s="39">
        <v>41979</v>
      </c>
      <c r="C10" s="45">
        <v>0</v>
      </c>
      <c r="D10" s="32"/>
      <c r="E10" s="26">
        <v>41979</v>
      </c>
      <c r="F10" s="51">
        <v>68695</v>
      </c>
      <c r="G10" s="23"/>
      <c r="H10" s="27">
        <v>41979</v>
      </c>
      <c r="I10" s="61">
        <v>200</v>
      </c>
      <c r="J10" s="88"/>
      <c r="K10" s="13" t="s">
        <v>117</v>
      </c>
      <c r="L10" s="20">
        <v>7512.82</v>
      </c>
      <c r="M10" s="70" t="s">
        <v>108</v>
      </c>
      <c r="N10" s="80"/>
    </row>
    <row r="11" spans="1:16" x14ac:dyDescent="0.25">
      <c r="A11" s="21"/>
      <c r="B11" s="39">
        <v>41980</v>
      </c>
      <c r="C11" s="45">
        <v>300</v>
      </c>
      <c r="D11" s="32" t="s">
        <v>109</v>
      </c>
      <c r="E11" s="26">
        <v>41980</v>
      </c>
      <c r="F11" s="51">
        <v>54239.5</v>
      </c>
      <c r="G11" s="23"/>
      <c r="H11" s="78">
        <v>41980</v>
      </c>
      <c r="I11" s="62">
        <v>200</v>
      </c>
      <c r="J11" s="88"/>
      <c r="K11" s="13" t="s">
        <v>118</v>
      </c>
      <c r="L11" s="20">
        <v>0</v>
      </c>
      <c r="M11" s="70" t="s">
        <v>110</v>
      </c>
      <c r="N11" s="80"/>
    </row>
    <row r="12" spans="1:16" x14ac:dyDescent="0.25">
      <c r="A12" s="21"/>
      <c r="B12" s="39">
        <v>41981</v>
      </c>
      <c r="C12" s="45">
        <v>1702</v>
      </c>
      <c r="D12" s="32" t="s">
        <v>109</v>
      </c>
      <c r="E12" s="26">
        <v>41981</v>
      </c>
      <c r="F12" s="51">
        <v>41584</v>
      </c>
      <c r="G12" s="23"/>
      <c r="H12" s="78">
        <v>41981</v>
      </c>
      <c r="I12" s="62">
        <v>200</v>
      </c>
      <c r="J12" s="88"/>
      <c r="K12" s="13" t="s">
        <v>119</v>
      </c>
      <c r="L12" s="20">
        <v>0</v>
      </c>
      <c r="M12" s="68" t="s">
        <v>111</v>
      </c>
      <c r="N12" s="80"/>
    </row>
    <row r="13" spans="1:16" x14ac:dyDescent="0.25">
      <c r="A13" s="21"/>
      <c r="B13" s="39">
        <v>41982</v>
      </c>
      <c r="C13" s="45">
        <v>22148.2</v>
      </c>
      <c r="D13" s="32" t="s">
        <v>29</v>
      </c>
      <c r="E13" s="26">
        <v>41982</v>
      </c>
      <c r="F13" s="51">
        <v>60467</v>
      </c>
      <c r="G13" s="23"/>
      <c r="H13" s="78">
        <v>41982</v>
      </c>
      <c r="I13" s="62">
        <v>200</v>
      </c>
      <c r="J13" s="88"/>
      <c r="K13" s="13" t="s">
        <v>120</v>
      </c>
      <c r="L13" s="20">
        <v>0</v>
      </c>
      <c r="M13" s="68" t="s">
        <v>112</v>
      </c>
      <c r="N13" s="80"/>
    </row>
    <row r="14" spans="1:16" x14ac:dyDescent="0.25">
      <c r="A14" s="21"/>
      <c r="B14" s="39">
        <v>41983</v>
      </c>
      <c r="C14" s="45">
        <v>7502</v>
      </c>
      <c r="D14" s="32" t="s">
        <v>29</v>
      </c>
      <c r="E14" s="26">
        <v>41983</v>
      </c>
      <c r="F14" s="51">
        <v>64477.5</v>
      </c>
      <c r="G14" s="23"/>
      <c r="H14" s="78">
        <v>41983</v>
      </c>
      <c r="I14" s="62">
        <v>211.5</v>
      </c>
      <c r="J14" s="88"/>
      <c r="K14" s="35" t="s">
        <v>16</v>
      </c>
      <c r="L14" s="20">
        <v>0</v>
      </c>
      <c r="M14" s="85" t="s">
        <v>113</v>
      </c>
      <c r="N14" s="80"/>
    </row>
    <row r="15" spans="1:16" x14ac:dyDescent="0.25">
      <c r="A15" s="21"/>
      <c r="B15" s="39">
        <v>41984</v>
      </c>
      <c r="C15" s="45">
        <v>2291</v>
      </c>
      <c r="D15" s="29" t="s">
        <v>29</v>
      </c>
      <c r="E15" s="26">
        <v>41984</v>
      </c>
      <c r="F15" s="51">
        <v>47774.5</v>
      </c>
      <c r="G15" s="23"/>
      <c r="H15" s="78">
        <v>41984</v>
      </c>
      <c r="I15" s="62">
        <v>338</v>
      </c>
      <c r="J15" s="88" t="s">
        <v>114</v>
      </c>
      <c r="K15" s="28" t="s">
        <v>15</v>
      </c>
      <c r="L15" s="20">
        <v>0</v>
      </c>
      <c r="M15" s="70" t="s">
        <v>121</v>
      </c>
      <c r="N15" s="80"/>
    </row>
    <row r="16" spans="1:16" ht="15.75" thickBot="1" x14ac:dyDescent="0.3">
      <c r="A16" s="21"/>
      <c r="B16" s="39">
        <v>41985</v>
      </c>
      <c r="C16" s="45">
        <v>0</v>
      </c>
      <c r="D16" s="32"/>
      <c r="E16" s="26">
        <v>41985</v>
      </c>
      <c r="F16" s="51">
        <v>62089</v>
      </c>
      <c r="G16" s="23"/>
      <c r="H16" s="78">
        <v>41985</v>
      </c>
      <c r="I16" s="62">
        <v>200</v>
      </c>
      <c r="J16" s="88" t="s">
        <v>115</v>
      </c>
      <c r="K16" s="73" t="s">
        <v>52</v>
      </c>
      <c r="L16" s="74">
        <v>0</v>
      </c>
      <c r="M16" s="67" t="s">
        <v>122</v>
      </c>
      <c r="N16" s="80"/>
    </row>
    <row r="17" spans="1:16" ht="15.75" thickTop="1" x14ac:dyDescent="0.25">
      <c r="A17" s="21"/>
      <c r="B17" s="39">
        <v>41986</v>
      </c>
      <c r="C17" s="45">
        <v>0</v>
      </c>
      <c r="D17" s="22"/>
      <c r="E17" s="26">
        <v>41986</v>
      </c>
      <c r="F17" s="51">
        <v>73537.5</v>
      </c>
      <c r="G17" s="23"/>
      <c r="H17" s="78">
        <v>41986</v>
      </c>
      <c r="I17" s="62">
        <v>200</v>
      </c>
      <c r="J17" s="88" t="s">
        <v>115</v>
      </c>
      <c r="K17" s="28" t="s">
        <v>53</v>
      </c>
      <c r="L17" s="74">
        <v>0</v>
      </c>
      <c r="M17" s="67" t="s">
        <v>123</v>
      </c>
      <c r="N17" s="80"/>
      <c r="O17" s="385" t="s">
        <v>173</v>
      </c>
      <c r="P17" s="386"/>
    </row>
    <row r="18" spans="1:16" ht="15.75" thickBot="1" x14ac:dyDescent="0.3">
      <c r="A18" s="21"/>
      <c r="B18" s="39">
        <v>41987</v>
      </c>
      <c r="C18" s="45">
        <v>4373</v>
      </c>
      <c r="D18" s="22" t="s">
        <v>29</v>
      </c>
      <c r="E18" s="26">
        <v>41987</v>
      </c>
      <c r="F18" s="51">
        <v>86303.5</v>
      </c>
      <c r="G18" s="23"/>
      <c r="H18" s="78">
        <v>41987</v>
      </c>
      <c r="I18" s="62">
        <v>232</v>
      </c>
      <c r="J18" s="89" t="s">
        <v>116</v>
      </c>
      <c r="K18" s="28" t="s">
        <v>54</v>
      </c>
      <c r="L18" s="75">
        <v>0</v>
      </c>
      <c r="M18" s="67" t="s">
        <v>124</v>
      </c>
      <c r="N18" s="80"/>
      <c r="O18" s="387"/>
      <c r="P18" s="388"/>
    </row>
    <row r="19" spans="1:16" ht="15.75" thickTop="1" x14ac:dyDescent="0.25">
      <c r="A19" s="21"/>
      <c r="B19" s="39">
        <v>41988</v>
      </c>
      <c r="C19" s="45">
        <v>0</v>
      </c>
      <c r="D19" s="29"/>
      <c r="E19" s="26">
        <v>41988</v>
      </c>
      <c r="F19" s="51">
        <v>50754</v>
      </c>
      <c r="G19" s="23"/>
      <c r="H19" s="78">
        <v>41988</v>
      </c>
      <c r="I19" s="62">
        <v>200</v>
      </c>
      <c r="J19" s="88" t="s">
        <v>115</v>
      </c>
      <c r="K19" s="28" t="s">
        <v>55</v>
      </c>
      <c r="L19" s="75">
        <v>0</v>
      </c>
      <c r="M19" s="67" t="s">
        <v>125</v>
      </c>
      <c r="N19" s="80"/>
      <c r="O19" t="s">
        <v>148</v>
      </c>
      <c r="P19" s="43">
        <v>63462.239999999998</v>
      </c>
    </row>
    <row r="20" spans="1:16" x14ac:dyDescent="0.25">
      <c r="A20" s="21"/>
      <c r="B20" s="39">
        <v>41989</v>
      </c>
      <c r="C20" s="45">
        <v>10502.9</v>
      </c>
      <c r="D20" s="22" t="s">
        <v>29</v>
      </c>
      <c r="E20" s="26">
        <v>41989</v>
      </c>
      <c r="F20" s="51">
        <v>40855</v>
      </c>
      <c r="G20" s="23"/>
      <c r="H20" s="78">
        <v>41989</v>
      </c>
      <c r="I20" s="62">
        <v>650</v>
      </c>
      <c r="J20" s="90" t="s">
        <v>127</v>
      </c>
      <c r="K20" s="36" t="s">
        <v>68</v>
      </c>
      <c r="L20" s="55">
        <v>616</v>
      </c>
      <c r="M20" s="70" t="s">
        <v>126</v>
      </c>
      <c r="N20" s="80"/>
      <c r="O20" t="s">
        <v>149</v>
      </c>
      <c r="P20" s="43">
        <v>67388.12</v>
      </c>
    </row>
    <row r="21" spans="1:16" x14ac:dyDescent="0.25">
      <c r="A21" s="21"/>
      <c r="B21" s="39">
        <v>41990</v>
      </c>
      <c r="C21" s="45">
        <v>0</v>
      </c>
      <c r="D21" s="22"/>
      <c r="E21" s="26">
        <v>41990</v>
      </c>
      <c r="F21" s="51">
        <v>76771.5</v>
      </c>
      <c r="G21" s="23"/>
      <c r="H21" s="78">
        <v>41990</v>
      </c>
      <c r="I21" s="62">
        <v>290</v>
      </c>
      <c r="J21" s="88" t="s">
        <v>128</v>
      </c>
      <c r="K21" s="25" t="s">
        <v>99</v>
      </c>
      <c r="L21" s="55">
        <v>0</v>
      </c>
      <c r="M21" s="68" t="s">
        <v>131</v>
      </c>
      <c r="N21" s="80"/>
      <c r="O21" t="s">
        <v>150</v>
      </c>
      <c r="P21" s="43">
        <v>103061.88</v>
      </c>
    </row>
    <row r="22" spans="1:16" x14ac:dyDescent="0.25">
      <c r="A22" s="21"/>
      <c r="B22" s="39">
        <v>41991</v>
      </c>
      <c r="C22" s="45">
        <v>0</v>
      </c>
      <c r="D22" s="22"/>
      <c r="E22" s="26">
        <v>41991</v>
      </c>
      <c r="F22" s="51">
        <v>77730.5</v>
      </c>
      <c r="G22" s="23"/>
      <c r="H22" s="78">
        <v>41991</v>
      </c>
      <c r="I22" s="62">
        <v>1115</v>
      </c>
      <c r="J22" s="90" t="s">
        <v>129</v>
      </c>
      <c r="K22" s="11"/>
      <c r="L22" s="55"/>
      <c r="M22" s="70" t="s">
        <v>130</v>
      </c>
      <c r="N22" s="80"/>
      <c r="O22" t="s">
        <v>151</v>
      </c>
      <c r="P22" s="43">
        <v>63911.256000000001</v>
      </c>
    </row>
    <row r="23" spans="1:16" x14ac:dyDescent="0.25">
      <c r="A23" s="21"/>
      <c r="B23" s="39">
        <v>41992</v>
      </c>
      <c r="C23" s="45">
        <v>6244.8</v>
      </c>
      <c r="D23" s="22" t="s">
        <v>29</v>
      </c>
      <c r="E23" s="26">
        <v>41992</v>
      </c>
      <c r="F23" s="51">
        <v>88286</v>
      </c>
      <c r="G23" s="23"/>
      <c r="H23" s="78">
        <v>41992</v>
      </c>
      <c r="I23" s="62">
        <v>200</v>
      </c>
      <c r="J23" s="88" t="s">
        <v>115</v>
      </c>
      <c r="K23" s="11"/>
      <c r="L23" s="55"/>
      <c r="M23" s="70" t="s">
        <v>133</v>
      </c>
      <c r="N23" s="80"/>
      <c r="O23" t="s">
        <v>152</v>
      </c>
      <c r="P23" s="43">
        <v>39082.06</v>
      </c>
    </row>
    <row r="24" spans="1:16" x14ac:dyDescent="0.25">
      <c r="A24" s="21"/>
      <c r="B24" s="39">
        <v>41993</v>
      </c>
      <c r="C24" s="45">
        <v>0</v>
      </c>
      <c r="D24" s="22"/>
      <c r="E24" s="26">
        <v>41993</v>
      </c>
      <c r="F24" s="51">
        <v>102293.5</v>
      </c>
      <c r="G24" s="23"/>
      <c r="H24" s="78">
        <v>41993</v>
      </c>
      <c r="I24" s="62">
        <v>200</v>
      </c>
      <c r="J24" s="88" t="s">
        <v>115</v>
      </c>
      <c r="K24" s="11"/>
      <c r="L24" s="55"/>
      <c r="M24" s="70" t="s">
        <v>134</v>
      </c>
      <c r="N24" s="80"/>
      <c r="O24" t="s">
        <v>153</v>
      </c>
      <c r="P24" s="43">
        <v>66781.440000000002</v>
      </c>
    </row>
    <row r="25" spans="1:16" x14ac:dyDescent="0.25">
      <c r="A25" s="21"/>
      <c r="B25" s="39">
        <v>41994</v>
      </c>
      <c r="C25" s="45">
        <v>0</v>
      </c>
      <c r="D25" s="22"/>
      <c r="E25" s="26">
        <v>41994</v>
      </c>
      <c r="F25" s="51">
        <v>91697.5</v>
      </c>
      <c r="G25" s="23"/>
      <c r="H25" s="78">
        <v>41994</v>
      </c>
      <c r="I25" s="62">
        <v>216</v>
      </c>
      <c r="J25" s="88" t="s">
        <v>132</v>
      </c>
      <c r="K25" s="11"/>
      <c r="L25" s="55"/>
      <c r="M25" s="70" t="s">
        <v>135</v>
      </c>
      <c r="N25" s="80"/>
      <c r="O25" t="s">
        <v>155</v>
      </c>
      <c r="P25" s="43">
        <v>100324.75</v>
      </c>
    </row>
    <row r="26" spans="1:16" x14ac:dyDescent="0.25">
      <c r="A26" s="21"/>
      <c r="B26" s="39">
        <v>41995</v>
      </c>
      <c r="C26" s="45">
        <v>9123.16</v>
      </c>
      <c r="D26" s="22" t="s">
        <v>29</v>
      </c>
      <c r="E26" s="26">
        <v>41995</v>
      </c>
      <c r="F26" s="51">
        <v>69028</v>
      </c>
      <c r="G26" s="23"/>
      <c r="H26" s="78">
        <v>41995</v>
      </c>
      <c r="I26" s="62">
        <v>200</v>
      </c>
      <c r="J26" s="88" t="s">
        <v>115</v>
      </c>
      <c r="K26" s="11"/>
      <c r="L26" s="55"/>
      <c r="M26" s="70" t="s">
        <v>136</v>
      </c>
      <c r="N26" s="80"/>
      <c r="O26" t="s">
        <v>154</v>
      </c>
      <c r="P26" s="43">
        <v>94089.95</v>
      </c>
    </row>
    <row r="27" spans="1:16" x14ac:dyDescent="0.25">
      <c r="A27" s="21"/>
      <c r="B27" s="39">
        <v>41996</v>
      </c>
      <c r="C27" s="45">
        <v>0</v>
      </c>
      <c r="D27" s="22"/>
      <c r="E27" s="26">
        <v>41996</v>
      </c>
      <c r="F27" s="51">
        <v>93608</v>
      </c>
      <c r="G27" s="23"/>
      <c r="H27" s="78">
        <v>41996</v>
      </c>
      <c r="I27" s="62">
        <v>200</v>
      </c>
      <c r="J27" s="88" t="s">
        <v>115</v>
      </c>
      <c r="K27" s="11"/>
      <c r="L27" s="55"/>
      <c r="M27" s="81" t="s">
        <v>137</v>
      </c>
      <c r="N27" s="80"/>
      <c r="O27" t="s">
        <v>156</v>
      </c>
      <c r="P27" s="43">
        <v>72883.3</v>
      </c>
    </row>
    <row r="28" spans="1:16" x14ac:dyDescent="0.25">
      <c r="A28" s="21"/>
      <c r="B28" s="39">
        <v>41997</v>
      </c>
      <c r="C28" s="45">
        <v>19630.759999999998</v>
      </c>
      <c r="D28" s="22" t="s">
        <v>29</v>
      </c>
      <c r="E28" s="26">
        <v>41997</v>
      </c>
      <c r="F28" s="51">
        <v>115705</v>
      </c>
      <c r="G28" s="23"/>
      <c r="H28" s="78">
        <v>41997</v>
      </c>
      <c r="I28" s="62">
        <v>200</v>
      </c>
      <c r="J28" s="88" t="s">
        <v>115</v>
      </c>
      <c r="K28" s="11"/>
      <c r="L28" s="55"/>
      <c r="M28" s="68" t="s">
        <v>138</v>
      </c>
      <c r="N28" s="80"/>
      <c r="O28" t="s">
        <v>157</v>
      </c>
      <c r="P28" s="43">
        <v>29012.65</v>
      </c>
    </row>
    <row r="29" spans="1:16" x14ac:dyDescent="0.25">
      <c r="A29" s="21"/>
      <c r="B29" s="39">
        <v>41998</v>
      </c>
      <c r="C29" s="91">
        <v>0</v>
      </c>
      <c r="D29" s="22"/>
      <c r="E29" s="26">
        <v>41998</v>
      </c>
      <c r="F29" s="92">
        <v>0</v>
      </c>
      <c r="G29" s="23"/>
      <c r="H29" s="78">
        <v>41998</v>
      </c>
      <c r="I29" s="93">
        <v>0</v>
      </c>
      <c r="J29" s="88" t="s">
        <v>139</v>
      </c>
      <c r="K29" s="11"/>
      <c r="L29" s="20"/>
      <c r="M29" s="95" t="s">
        <v>141</v>
      </c>
      <c r="N29" s="80"/>
      <c r="O29" t="s">
        <v>158</v>
      </c>
      <c r="P29" s="43">
        <v>86790</v>
      </c>
    </row>
    <row r="30" spans="1:16" x14ac:dyDescent="0.25">
      <c r="A30" s="21"/>
      <c r="B30" s="39">
        <v>41999</v>
      </c>
      <c r="C30" s="45">
        <v>5126.3999999999996</v>
      </c>
      <c r="D30" s="22" t="s">
        <v>29</v>
      </c>
      <c r="E30" s="26">
        <v>41999</v>
      </c>
      <c r="F30" s="51">
        <v>103772.5</v>
      </c>
      <c r="G30" s="23"/>
      <c r="H30" s="78">
        <v>41999</v>
      </c>
      <c r="I30" s="62">
        <v>1000</v>
      </c>
      <c r="J30" s="88" t="s">
        <v>140</v>
      </c>
      <c r="K30" s="11"/>
      <c r="L30" s="20"/>
      <c r="M30" s="68" t="s">
        <v>142</v>
      </c>
      <c r="N30" s="80"/>
      <c r="O30" t="s">
        <v>159</v>
      </c>
      <c r="P30" s="43">
        <v>54619.519999999997</v>
      </c>
    </row>
    <row r="31" spans="1:16" x14ac:dyDescent="0.25">
      <c r="A31" s="21"/>
      <c r="B31" s="39">
        <v>42000</v>
      </c>
      <c r="C31" s="45">
        <v>0</v>
      </c>
      <c r="D31" s="22"/>
      <c r="E31" s="26">
        <v>42000</v>
      </c>
      <c r="F31" s="51">
        <v>87275</v>
      </c>
      <c r="G31" s="23"/>
      <c r="H31" s="78">
        <v>42000</v>
      </c>
      <c r="I31" s="62">
        <v>200</v>
      </c>
      <c r="J31" s="88" t="s">
        <v>115</v>
      </c>
      <c r="K31" s="11"/>
      <c r="L31" s="20"/>
      <c r="M31" s="68" t="s">
        <v>143</v>
      </c>
      <c r="N31" s="80"/>
      <c r="O31" t="s">
        <v>160</v>
      </c>
      <c r="P31" s="43">
        <v>57489.35</v>
      </c>
    </row>
    <row r="32" spans="1:16" x14ac:dyDescent="0.25">
      <c r="A32" s="21"/>
      <c r="B32" s="39">
        <v>42001</v>
      </c>
      <c r="C32" s="45">
        <v>61553.5</v>
      </c>
      <c r="D32" s="22" t="s">
        <v>29</v>
      </c>
      <c r="E32" s="26">
        <v>42001</v>
      </c>
      <c r="F32" s="51">
        <v>75435.5</v>
      </c>
      <c r="G32" s="23"/>
      <c r="H32" s="78">
        <v>42001</v>
      </c>
      <c r="I32" s="62">
        <v>200</v>
      </c>
      <c r="J32" s="88" t="s">
        <v>115</v>
      </c>
      <c r="K32" s="11"/>
      <c r="L32" s="20"/>
      <c r="M32" s="70" t="s">
        <v>144</v>
      </c>
      <c r="N32" s="80"/>
      <c r="O32" t="s">
        <v>161</v>
      </c>
      <c r="P32" s="43">
        <v>141029.42000000001</v>
      </c>
    </row>
    <row r="33" spans="1:16" x14ac:dyDescent="0.25">
      <c r="A33" s="21"/>
      <c r="B33" s="39">
        <v>42002</v>
      </c>
      <c r="C33" s="45">
        <v>31362.3</v>
      </c>
      <c r="D33" s="32" t="s">
        <v>145</v>
      </c>
      <c r="E33" s="26">
        <v>42002</v>
      </c>
      <c r="F33" s="51">
        <v>38279.5</v>
      </c>
      <c r="G33" s="23"/>
      <c r="H33" s="78">
        <v>42002</v>
      </c>
      <c r="I33" s="62">
        <v>0</v>
      </c>
      <c r="J33" s="88"/>
      <c r="K33" s="11"/>
      <c r="L33" s="20"/>
      <c r="M33" s="70" t="s">
        <v>146</v>
      </c>
      <c r="N33" s="80"/>
      <c r="O33" t="s">
        <v>162</v>
      </c>
      <c r="P33" s="43">
        <v>188771.7</v>
      </c>
    </row>
    <row r="34" spans="1:16" x14ac:dyDescent="0.25">
      <c r="A34" s="21"/>
      <c r="B34" s="39">
        <v>42003</v>
      </c>
      <c r="C34" s="45">
        <v>51319.5</v>
      </c>
      <c r="D34" s="72" t="s">
        <v>29</v>
      </c>
      <c r="E34" s="26">
        <v>42003</v>
      </c>
      <c r="F34" s="51">
        <v>64903</v>
      </c>
      <c r="G34" s="23"/>
      <c r="H34" s="78">
        <v>42003</v>
      </c>
      <c r="I34" s="62">
        <v>200</v>
      </c>
      <c r="J34" s="88" t="s">
        <v>115</v>
      </c>
      <c r="K34" s="11"/>
      <c r="L34" s="20"/>
      <c r="M34" s="70" t="s">
        <v>147</v>
      </c>
      <c r="N34" s="80"/>
      <c r="O34" t="s">
        <v>163</v>
      </c>
      <c r="P34" s="43">
        <v>61780.7</v>
      </c>
    </row>
    <row r="35" spans="1:16" ht="15.75" thickBot="1" x14ac:dyDescent="0.3">
      <c r="A35" s="21"/>
      <c r="B35" s="39">
        <v>42004</v>
      </c>
      <c r="C35" s="45">
        <v>0</v>
      </c>
      <c r="D35" s="22"/>
      <c r="E35" s="26">
        <v>42004</v>
      </c>
      <c r="F35" s="51">
        <v>94151.5</v>
      </c>
      <c r="G35" s="23"/>
      <c r="H35" s="78">
        <v>42004</v>
      </c>
      <c r="I35" s="62">
        <v>224</v>
      </c>
      <c r="J35" s="88"/>
      <c r="K35" s="11"/>
      <c r="L35" s="20"/>
      <c r="M35" s="71" t="s">
        <v>175</v>
      </c>
      <c r="O35" t="s">
        <v>164</v>
      </c>
      <c r="P35" s="43">
        <v>67661.440000000002</v>
      </c>
    </row>
    <row r="36" spans="1:16" ht="15.75" thickBot="1" x14ac:dyDescent="0.3">
      <c r="A36" s="15" t="s">
        <v>174</v>
      </c>
      <c r="B36" s="40"/>
      <c r="C36" s="46">
        <v>37769</v>
      </c>
      <c r="D36" s="2"/>
      <c r="E36" s="8"/>
      <c r="F36" s="52">
        <v>0</v>
      </c>
      <c r="H36" s="78"/>
      <c r="I36" s="63"/>
      <c r="J36" s="55"/>
      <c r="K36" s="11"/>
      <c r="L36" s="7"/>
      <c r="O36" t="s">
        <v>165</v>
      </c>
      <c r="P36" s="43">
        <v>10494.4</v>
      </c>
    </row>
    <row r="37" spans="1:16" ht="15.75" thickBot="1" x14ac:dyDescent="0.3">
      <c r="A37" s="5" t="s">
        <v>92</v>
      </c>
      <c r="B37" s="41"/>
      <c r="C37" s="47">
        <f>P44</f>
        <v>1752900.5660000001</v>
      </c>
      <c r="D37" s="2"/>
      <c r="E37" s="9"/>
      <c r="F37" s="53">
        <v>0</v>
      </c>
      <c r="H37" s="31"/>
      <c r="I37" s="64"/>
      <c r="J37" s="55"/>
      <c r="K37" s="16"/>
      <c r="L37" s="10"/>
      <c r="O37" t="s">
        <v>166</v>
      </c>
      <c r="P37" s="43">
        <v>89109</v>
      </c>
    </row>
    <row r="38" spans="1:16" x14ac:dyDescent="0.25">
      <c r="B38" s="42" t="s">
        <v>1</v>
      </c>
      <c r="C38" s="48">
        <f>SUM(C4:C37)</f>
        <v>2257242.676</v>
      </c>
      <c r="E38" s="82" t="s">
        <v>1</v>
      </c>
      <c r="F38" s="54">
        <f>SUM(F6:F37)</f>
        <v>2016388.1</v>
      </c>
      <c r="H38" s="83" t="s">
        <v>1</v>
      </c>
      <c r="I38" s="58">
        <f>SUM(I5:I37)</f>
        <v>8512</v>
      </c>
      <c r="J38" s="58"/>
      <c r="K38" s="17" t="s">
        <v>1</v>
      </c>
      <c r="L38" s="4">
        <f t="shared" ref="L38" si="0">SUM(L5:L37)</f>
        <v>44922.49</v>
      </c>
      <c r="O38" t="s">
        <v>167</v>
      </c>
      <c r="P38" s="43">
        <v>29913.599999999999</v>
      </c>
    </row>
    <row r="39" spans="1:16" x14ac:dyDescent="0.25">
      <c r="O39" t="s">
        <v>168</v>
      </c>
      <c r="P39" s="43">
        <v>7918.56</v>
      </c>
    </row>
    <row r="40" spans="1:16" ht="15.75" x14ac:dyDescent="0.25">
      <c r="A40" s="5"/>
      <c r="C40" s="49">
        <v>0</v>
      </c>
      <c r="D40" s="13"/>
      <c r="E40" s="13"/>
      <c r="F40" s="55"/>
      <c r="H40" s="373" t="s">
        <v>7</v>
      </c>
      <c r="I40" s="374"/>
      <c r="J40" s="86"/>
      <c r="K40" s="375">
        <f>I38+L38</f>
        <v>53434.49</v>
      </c>
      <c r="L40" s="376"/>
      <c r="O40" t="s">
        <v>169</v>
      </c>
      <c r="P40" s="43">
        <v>16673.759999999998</v>
      </c>
    </row>
    <row r="41" spans="1:16" ht="15.75" x14ac:dyDescent="0.25">
      <c r="D41" s="367" t="s">
        <v>8</v>
      </c>
      <c r="E41" s="367"/>
      <c r="F41" s="56">
        <f>F38-K40</f>
        <v>1962953.61</v>
      </c>
      <c r="I41" s="65"/>
      <c r="J41" s="65"/>
      <c r="O41" t="s">
        <v>170</v>
      </c>
      <c r="P41" s="43">
        <v>60656.31</v>
      </c>
    </row>
    <row r="42" spans="1:16" ht="15.75" thickBot="1" x14ac:dyDescent="0.3">
      <c r="D42" s="18"/>
      <c r="E42" s="18" t="s">
        <v>0</v>
      </c>
      <c r="F42" s="57">
        <f>-C38</f>
        <v>-2257242.676</v>
      </c>
      <c r="O42" t="s">
        <v>171</v>
      </c>
      <c r="P42" s="43">
        <v>121902.16</v>
      </c>
    </row>
    <row r="43" spans="1:16" ht="15.75" thickTop="1" x14ac:dyDescent="0.25">
      <c r="C43" s="43" t="s">
        <v>12</v>
      </c>
      <c r="E43" s="5" t="s">
        <v>10</v>
      </c>
      <c r="F43" s="58">
        <f>SUM(F41:F42)</f>
        <v>-294289.06599999988</v>
      </c>
      <c r="I43" s="377"/>
      <c r="J43" s="377"/>
      <c r="K43" s="377"/>
      <c r="L43" s="2"/>
      <c r="O43" t="s">
        <v>172</v>
      </c>
      <c r="P43" s="43">
        <v>58093</v>
      </c>
    </row>
    <row r="44" spans="1:16" ht="16.5" thickBot="1" x14ac:dyDescent="0.3">
      <c r="D44" s="366" t="s">
        <v>9</v>
      </c>
      <c r="E44" s="366"/>
      <c r="F44" s="59">
        <v>174723.71</v>
      </c>
      <c r="I44" s="378"/>
      <c r="J44" s="378"/>
      <c r="K44" s="378"/>
      <c r="L44" s="33"/>
      <c r="P44" s="43">
        <f>SUM(P19:P43)</f>
        <v>1752900.5660000001</v>
      </c>
    </row>
    <row r="45" spans="1:16" ht="15.75" thickTop="1" x14ac:dyDescent="0.25">
      <c r="E45" s="6" t="s">
        <v>11</v>
      </c>
      <c r="F45" s="48">
        <f>F44+F43</f>
        <v>-119565.35599999988</v>
      </c>
      <c r="I45" s="379" t="s">
        <v>13</v>
      </c>
      <c r="J45" s="380"/>
      <c r="K45" s="380"/>
      <c r="L45" s="383">
        <f>F45+L44</f>
        <v>-119565.35599999988</v>
      </c>
    </row>
    <row r="46" spans="1:16" ht="15.75" thickBot="1" x14ac:dyDescent="0.3">
      <c r="D46" s="365"/>
      <c r="E46" s="365"/>
      <c r="F46" s="55"/>
      <c r="I46" s="381"/>
      <c r="J46" s="382"/>
      <c r="K46" s="382"/>
      <c r="L46" s="384"/>
    </row>
    <row r="47" spans="1:16" ht="15.75" thickTop="1" x14ac:dyDescent="0.25"/>
  </sheetData>
  <mergeCells count="13">
    <mergeCell ref="I43:K43"/>
    <mergeCell ref="D44:E44"/>
    <mergeCell ref="I44:K44"/>
    <mergeCell ref="I45:K46"/>
    <mergeCell ref="L45:L46"/>
    <mergeCell ref="D46:E46"/>
    <mergeCell ref="O17:P18"/>
    <mergeCell ref="D41:E41"/>
    <mergeCell ref="C1:K1"/>
    <mergeCell ref="E4:F4"/>
    <mergeCell ref="I4:L4"/>
    <mergeCell ref="H40:I40"/>
    <mergeCell ref="K40:L40"/>
  </mergeCells>
  <pageMargins left="0.70866141732283472" right="0.70866141732283472" top="0.74803149606299213" bottom="0.74803149606299213" header="0.31496062992125984" footer="0.31496062992125984"/>
  <pageSetup scale="7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C98"/>
  <sheetViews>
    <sheetView topLeftCell="A28" workbookViewId="0">
      <selection activeCell="E50" sqref="E50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10" width="13.7109375" style="43" customWidth="1"/>
    <col min="12" max="12" width="17.85546875" bestFit="1" customWidth="1"/>
    <col min="13" max="13" width="22.5703125" style="68" customWidth="1"/>
    <col min="15" max="15" width="11.42578125" style="110"/>
    <col min="16" max="16" width="11.42578125" style="111"/>
    <col min="17" max="18" width="14.140625" style="43" bestFit="1" customWidth="1"/>
    <col min="19" max="19" width="17.28515625" style="58" customWidth="1"/>
    <col min="20" max="20" width="12.5703125" style="43" bestFit="1" customWidth="1"/>
    <col min="24" max="24" width="13.85546875" style="43" bestFit="1" customWidth="1"/>
    <col min="25" max="25" width="13.85546875" style="43" customWidth="1"/>
    <col min="27" max="27" width="17.42578125" style="58" bestFit="1" customWidth="1"/>
    <col min="28" max="28" width="12.5703125" style="5" bestFit="1" customWidth="1"/>
  </cols>
  <sheetData>
    <row r="1" spans="1:28" ht="23.25" x14ac:dyDescent="0.35">
      <c r="C1" s="368" t="s">
        <v>176</v>
      </c>
      <c r="D1" s="368"/>
      <c r="E1" s="368"/>
      <c r="F1" s="368"/>
      <c r="G1" s="368"/>
      <c r="H1" s="368"/>
      <c r="I1" s="368"/>
      <c r="J1" s="368"/>
      <c r="K1" s="368"/>
    </row>
    <row r="2" spans="1:28" ht="15.75" thickBot="1" x14ac:dyDescent="0.3">
      <c r="E2" s="99"/>
      <c r="F2" s="50"/>
      <c r="W2" s="102" t="s">
        <v>200</v>
      </c>
      <c r="X2" s="103"/>
      <c r="Y2" s="103"/>
      <c r="Z2" s="104"/>
      <c r="AA2" s="103" t="s">
        <v>209</v>
      </c>
      <c r="AB2" s="107"/>
    </row>
    <row r="3" spans="1:28" ht="16.5" thickBot="1" x14ac:dyDescent="0.3">
      <c r="C3" s="44" t="s">
        <v>0</v>
      </c>
      <c r="D3" s="3"/>
      <c r="Q3" s="391" t="s">
        <v>240</v>
      </c>
      <c r="R3" s="392"/>
      <c r="S3" s="393"/>
      <c r="W3" s="102"/>
      <c r="X3" s="103"/>
      <c r="Y3" s="103"/>
      <c r="Z3" s="104"/>
      <c r="AA3" s="103"/>
      <c r="AB3" s="109"/>
    </row>
    <row r="4" spans="1:28" ht="20.25" thickTop="1" thickBot="1" x14ac:dyDescent="0.35">
      <c r="A4" s="96" t="s">
        <v>2</v>
      </c>
      <c r="B4" s="38"/>
      <c r="C4" s="94">
        <v>174723.71</v>
      </c>
      <c r="D4" s="2"/>
      <c r="E4" s="389" t="s">
        <v>14</v>
      </c>
      <c r="F4" s="390"/>
      <c r="I4" s="371" t="s">
        <v>4</v>
      </c>
      <c r="J4" s="372"/>
      <c r="K4" s="372"/>
      <c r="L4" s="372"/>
      <c r="M4" s="69" t="s">
        <v>18</v>
      </c>
      <c r="W4" s="112" t="s">
        <v>201</v>
      </c>
      <c r="X4" s="114"/>
      <c r="Y4" s="114"/>
      <c r="Z4" s="113" t="s">
        <v>202</v>
      </c>
      <c r="AA4" s="114">
        <v>45595.5</v>
      </c>
      <c r="AB4" s="115"/>
    </row>
    <row r="5" spans="1:28" ht="17.25" thickTop="1" thickBot="1" x14ac:dyDescent="0.3">
      <c r="A5" s="21"/>
      <c r="B5" s="39">
        <v>42005</v>
      </c>
      <c r="C5" s="91" t="s">
        <v>210</v>
      </c>
      <c r="D5" s="22"/>
      <c r="E5" s="26">
        <v>42005</v>
      </c>
      <c r="F5" s="92"/>
      <c r="G5" s="23"/>
      <c r="H5" s="24">
        <v>42005</v>
      </c>
      <c r="I5" s="100"/>
      <c r="J5" s="87"/>
      <c r="K5" s="165"/>
      <c r="L5" s="166"/>
      <c r="M5" s="161"/>
      <c r="N5" s="80"/>
      <c r="O5" s="143">
        <v>42006</v>
      </c>
      <c r="P5" s="144">
        <v>8009</v>
      </c>
      <c r="Q5" s="156">
        <v>58093</v>
      </c>
      <c r="R5" s="104">
        <v>42007</v>
      </c>
      <c r="S5" s="103">
        <v>58093</v>
      </c>
      <c r="T5" s="154">
        <f t="shared" ref="T5:T40" si="0">Q5-S5</f>
        <v>0</v>
      </c>
      <c r="U5" s="105"/>
      <c r="V5" s="106"/>
      <c r="W5" s="116" t="s">
        <v>203</v>
      </c>
      <c r="X5" s="148"/>
      <c r="Y5" s="148"/>
      <c r="Z5" s="117" t="s">
        <v>202</v>
      </c>
      <c r="AA5" s="118">
        <v>2900</v>
      </c>
      <c r="AB5" s="128"/>
    </row>
    <row r="6" spans="1:28" ht="16.5" thickBot="1" x14ac:dyDescent="0.3">
      <c r="A6" s="21"/>
      <c r="B6" s="39">
        <v>42006</v>
      </c>
      <c r="C6" s="45">
        <v>0</v>
      </c>
      <c r="D6" s="29"/>
      <c r="E6" s="26">
        <v>42006</v>
      </c>
      <c r="F6" s="51">
        <v>138710</v>
      </c>
      <c r="G6" s="19"/>
      <c r="H6" s="27">
        <v>42006</v>
      </c>
      <c r="I6" s="61">
        <v>200</v>
      </c>
      <c r="J6" s="88"/>
      <c r="K6" s="167" t="s">
        <v>5</v>
      </c>
      <c r="L6" s="168">
        <v>771</v>
      </c>
      <c r="M6" s="162" t="s">
        <v>177</v>
      </c>
      <c r="N6" s="80"/>
      <c r="O6" s="143">
        <v>42007</v>
      </c>
      <c r="P6" s="144">
        <v>8054</v>
      </c>
      <c r="Q6" s="156">
        <v>5961.6</v>
      </c>
      <c r="R6" s="104">
        <v>42007</v>
      </c>
      <c r="S6" s="103">
        <v>5961.6</v>
      </c>
      <c r="T6" s="154">
        <f t="shared" si="0"/>
        <v>0</v>
      </c>
      <c r="U6" s="105"/>
      <c r="V6" s="108"/>
      <c r="W6" s="120" t="s">
        <v>203</v>
      </c>
      <c r="X6" s="149"/>
      <c r="Y6" s="149"/>
      <c r="Z6" s="117" t="s">
        <v>202</v>
      </c>
      <c r="AA6" s="118">
        <v>46700</v>
      </c>
      <c r="AB6" s="128"/>
    </row>
    <row r="7" spans="1:28" ht="16.5" thickBot="1" x14ac:dyDescent="0.3">
      <c r="A7" s="21"/>
      <c r="B7" s="39">
        <v>42007</v>
      </c>
      <c r="C7" s="45">
        <v>0</v>
      </c>
      <c r="D7" s="32"/>
      <c r="E7" s="26">
        <v>42007</v>
      </c>
      <c r="F7" s="51">
        <v>83460</v>
      </c>
      <c r="G7" s="23"/>
      <c r="H7" s="27">
        <v>42007</v>
      </c>
      <c r="I7" s="61">
        <v>200</v>
      </c>
      <c r="J7" s="88"/>
      <c r="K7" s="167" t="s">
        <v>3</v>
      </c>
      <c r="L7" s="168">
        <v>0</v>
      </c>
      <c r="M7" s="162" t="s">
        <v>178</v>
      </c>
      <c r="N7" s="80"/>
      <c r="O7" s="143">
        <v>42008</v>
      </c>
      <c r="P7" s="144">
        <v>8155</v>
      </c>
      <c r="Q7" s="156">
        <v>80254.13</v>
      </c>
      <c r="R7" s="104">
        <v>42011</v>
      </c>
      <c r="S7" s="103">
        <v>80254.13</v>
      </c>
      <c r="T7" s="155">
        <f t="shared" si="0"/>
        <v>0</v>
      </c>
      <c r="U7" s="105"/>
      <c r="V7" s="108"/>
      <c r="W7" s="120" t="s">
        <v>203</v>
      </c>
      <c r="X7" s="149"/>
      <c r="Y7" s="149"/>
      <c r="Z7" s="113" t="s">
        <v>202</v>
      </c>
      <c r="AA7" s="114">
        <v>11206</v>
      </c>
      <c r="AB7" s="128"/>
    </row>
    <row r="8" spans="1:28" ht="16.5" thickBot="1" x14ac:dyDescent="0.3">
      <c r="A8" s="21"/>
      <c r="B8" s="39">
        <v>42008</v>
      </c>
      <c r="C8" s="45">
        <v>0</v>
      </c>
      <c r="D8" s="22"/>
      <c r="E8" s="26">
        <v>42008</v>
      </c>
      <c r="F8" s="51">
        <v>59869</v>
      </c>
      <c r="G8" s="23"/>
      <c r="H8" s="27">
        <v>42008</v>
      </c>
      <c r="I8" s="61">
        <v>0</v>
      </c>
      <c r="J8" s="88"/>
      <c r="K8" s="167" t="s">
        <v>6</v>
      </c>
      <c r="L8" s="168">
        <v>28750</v>
      </c>
      <c r="M8" s="68" t="s">
        <v>179</v>
      </c>
      <c r="N8" s="80"/>
      <c r="O8" s="143">
        <v>42010</v>
      </c>
      <c r="P8" s="144">
        <v>8302</v>
      </c>
      <c r="Q8" s="156">
        <v>71461.39</v>
      </c>
      <c r="R8" s="104">
        <v>42014</v>
      </c>
      <c r="S8" s="103">
        <v>71461.39</v>
      </c>
      <c r="T8" s="155">
        <f t="shared" si="0"/>
        <v>0</v>
      </c>
      <c r="U8" s="105"/>
      <c r="V8" s="106"/>
      <c r="W8" s="112" t="s">
        <v>204</v>
      </c>
      <c r="X8" s="114"/>
      <c r="Y8" s="114"/>
      <c r="Z8" s="113" t="s">
        <v>202</v>
      </c>
      <c r="AA8" s="118">
        <v>6929</v>
      </c>
      <c r="AB8" s="128"/>
    </row>
    <row r="9" spans="1:28" ht="16.5" thickBot="1" x14ac:dyDescent="0.3">
      <c r="A9" s="21"/>
      <c r="B9" s="39">
        <v>42009</v>
      </c>
      <c r="C9" s="45">
        <v>0</v>
      </c>
      <c r="D9" s="22"/>
      <c r="E9" s="26">
        <v>42009</v>
      </c>
      <c r="F9" s="51">
        <v>61656.5</v>
      </c>
      <c r="G9" s="23"/>
      <c r="H9" s="27">
        <v>42009</v>
      </c>
      <c r="I9" s="61">
        <v>400</v>
      </c>
      <c r="J9" s="88"/>
      <c r="K9" s="167" t="s">
        <v>192</v>
      </c>
      <c r="L9" s="168">
        <v>8305.57</v>
      </c>
      <c r="M9" s="162" t="s">
        <v>180</v>
      </c>
      <c r="N9" s="80"/>
      <c r="O9" s="143">
        <v>42011</v>
      </c>
      <c r="P9" s="144">
        <v>8438</v>
      </c>
      <c r="Q9" s="156">
        <v>25006.06</v>
      </c>
      <c r="R9" s="104">
        <v>42014</v>
      </c>
      <c r="S9" s="103">
        <v>25006.06</v>
      </c>
      <c r="T9" s="155">
        <f t="shared" si="0"/>
        <v>0</v>
      </c>
      <c r="W9" s="120" t="s">
        <v>206</v>
      </c>
      <c r="X9" s="149"/>
      <c r="Y9" s="149"/>
      <c r="Z9" s="113" t="s">
        <v>202</v>
      </c>
      <c r="AA9" s="118">
        <v>5839</v>
      </c>
      <c r="AB9" s="128"/>
    </row>
    <row r="10" spans="1:28" ht="16.5" thickBot="1" x14ac:dyDescent="0.3">
      <c r="A10" s="21"/>
      <c r="B10" s="39">
        <v>42010</v>
      </c>
      <c r="C10" s="45">
        <v>0</v>
      </c>
      <c r="D10" s="32"/>
      <c r="E10" s="26">
        <v>42010</v>
      </c>
      <c r="F10" s="51">
        <v>39394</v>
      </c>
      <c r="G10" s="23"/>
      <c r="H10" s="27">
        <v>42010</v>
      </c>
      <c r="I10" s="61">
        <v>200</v>
      </c>
      <c r="J10" s="88"/>
      <c r="K10" s="167" t="s">
        <v>193</v>
      </c>
      <c r="L10" s="168">
        <v>8043.67</v>
      </c>
      <c r="M10" s="162" t="s">
        <v>181</v>
      </c>
      <c r="N10" s="80"/>
      <c r="O10" s="143">
        <v>42012</v>
      </c>
      <c r="P10" s="144">
        <v>8511</v>
      </c>
      <c r="Q10" s="156">
        <v>8301.5</v>
      </c>
      <c r="R10" s="104">
        <v>42014</v>
      </c>
      <c r="S10" s="103">
        <v>8301.5</v>
      </c>
      <c r="T10" s="155">
        <f t="shared" si="0"/>
        <v>0</v>
      </c>
      <c r="W10" s="120" t="s">
        <v>206</v>
      </c>
      <c r="X10" s="149"/>
      <c r="Y10" s="149"/>
      <c r="Z10" s="113" t="s">
        <v>202</v>
      </c>
      <c r="AA10" s="118">
        <v>27800</v>
      </c>
      <c r="AB10" s="128"/>
    </row>
    <row r="11" spans="1:28" ht="16.5" thickBot="1" x14ac:dyDescent="0.3">
      <c r="A11" s="21"/>
      <c r="B11" s="39">
        <v>42011</v>
      </c>
      <c r="C11" s="45">
        <v>0</v>
      </c>
      <c r="D11" s="32"/>
      <c r="E11" s="26">
        <v>42011</v>
      </c>
      <c r="F11" s="51">
        <v>51577</v>
      </c>
      <c r="G11" s="23"/>
      <c r="H11" s="27">
        <v>42011</v>
      </c>
      <c r="I11" s="62">
        <v>200</v>
      </c>
      <c r="J11" s="88"/>
      <c r="K11" s="167" t="s">
        <v>194</v>
      </c>
      <c r="L11" s="168">
        <v>7667.48</v>
      </c>
      <c r="M11" s="162" t="s">
        <v>182</v>
      </c>
      <c r="N11" s="80"/>
      <c r="O11" s="143">
        <v>42012</v>
      </c>
      <c r="P11" s="144">
        <v>8513</v>
      </c>
      <c r="Q11" s="156">
        <v>79026.13</v>
      </c>
      <c r="R11" s="104">
        <v>42014</v>
      </c>
      <c r="S11" s="103">
        <v>79026.13</v>
      </c>
      <c r="T11" s="155">
        <f t="shared" si="0"/>
        <v>0</v>
      </c>
      <c r="W11" s="112" t="s">
        <v>207</v>
      </c>
      <c r="X11" s="114"/>
      <c r="Y11" s="114"/>
      <c r="Z11" s="113" t="s">
        <v>202</v>
      </c>
      <c r="AA11" s="118">
        <v>1235</v>
      </c>
      <c r="AB11" s="128"/>
    </row>
    <row r="12" spans="1:28" ht="16.5" thickBot="1" x14ac:dyDescent="0.3">
      <c r="A12" s="21"/>
      <c r="B12" s="39">
        <v>42012</v>
      </c>
      <c r="C12" s="45">
        <v>0</v>
      </c>
      <c r="D12" s="32"/>
      <c r="E12" s="26">
        <v>42012</v>
      </c>
      <c r="F12" s="51">
        <v>59799</v>
      </c>
      <c r="G12" s="23"/>
      <c r="H12" s="27">
        <v>42012</v>
      </c>
      <c r="I12" s="62">
        <v>200</v>
      </c>
      <c r="J12" s="88"/>
      <c r="K12" s="167" t="s">
        <v>195</v>
      </c>
      <c r="L12" s="168">
        <v>6939</v>
      </c>
      <c r="M12" s="162" t="s">
        <v>183</v>
      </c>
      <c r="N12" s="80"/>
      <c r="O12" s="143">
        <v>42013</v>
      </c>
      <c r="P12" s="144">
        <v>8616</v>
      </c>
      <c r="Q12" s="156">
        <v>5414.4</v>
      </c>
      <c r="R12" s="104">
        <v>42014</v>
      </c>
      <c r="S12" s="103">
        <v>5414.4</v>
      </c>
      <c r="T12" s="155">
        <f t="shared" si="0"/>
        <v>0</v>
      </c>
      <c r="W12" s="120" t="s">
        <v>205</v>
      </c>
      <c r="X12" s="149"/>
      <c r="Y12" s="149"/>
      <c r="Z12" s="113" t="s">
        <v>202</v>
      </c>
      <c r="AA12" s="118">
        <v>9400</v>
      </c>
      <c r="AB12" s="128"/>
    </row>
    <row r="13" spans="1:28" ht="16.5" thickBot="1" x14ac:dyDescent="0.3">
      <c r="A13" s="21"/>
      <c r="B13" s="39">
        <v>42013</v>
      </c>
      <c r="C13" s="45">
        <v>0</v>
      </c>
      <c r="D13" s="32"/>
      <c r="E13" s="26">
        <v>42013</v>
      </c>
      <c r="F13" s="51">
        <v>58257.5</v>
      </c>
      <c r="G13" s="23"/>
      <c r="H13" s="27">
        <v>42013</v>
      </c>
      <c r="I13" s="62">
        <v>232</v>
      </c>
      <c r="J13" s="88"/>
      <c r="K13" s="167" t="s">
        <v>255</v>
      </c>
      <c r="L13" s="168">
        <v>7400.86</v>
      </c>
      <c r="M13" s="162" t="s">
        <v>184</v>
      </c>
      <c r="N13" s="80"/>
      <c r="O13" s="143">
        <v>42013</v>
      </c>
      <c r="P13" s="144">
        <v>8654</v>
      </c>
      <c r="Q13" s="156">
        <v>78418.7</v>
      </c>
      <c r="R13" s="104">
        <v>42016</v>
      </c>
      <c r="S13" s="103">
        <v>78418.7</v>
      </c>
      <c r="T13" s="155">
        <f t="shared" si="0"/>
        <v>0</v>
      </c>
      <c r="W13" s="120" t="s">
        <v>205</v>
      </c>
      <c r="X13" s="149"/>
      <c r="Y13" s="149"/>
      <c r="Z13" s="113" t="s">
        <v>202</v>
      </c>
      <c r="AA13" s="118">
        <v>5126</v>
      </c>
      <c r="AB13" s="128"/>
    </row>
    <row r="14" spans="1:28" ht="16.5" thickBot="1" x14ac:dyDescent="0.3">
      <c r="A14" s="21"/>
      <c r="B14" s="39">
        <v>42014</v>
      </c>
      <c r="C14" s="45">
        <v>0</v>
      </c>
      <c r="D14" s="29"/>
      <c r="E14" s="26">
        <v>42014</v>
      </c>
      <c r="F14" s="51">
        <v>101455.5</v>
      </c>
      <c r="G14" s="23"/>
      <c r="H14" s="27">
        <v>42014</v>
      </c>
      <c r="I14" s="62">
        <v>219</v>
      </c>
      <c r="J14" s="88"/>
      <c r="K14" s="169" t="s">
        <v>16</v>
      </c>
      <c r="L14" s="168">
        <v>0</v>
      </c>
      <c r="M14" s="162" t="s">
        <v>185</v>
      </c>
      <c r="N14" s="80"/>
      <c r="O14" s="143">
        <v>42014</v>
      </c>
      <c r="P14" s="144">
        <v>8702</v>
      </c>
      <c r="Q14" s="156">
        <v>79831.759999999995</v>
      </c>
      <c r="R14" s="104">
        <v>42016</v>
      </c>
      <c r="S14" s="103">
        <v>79831.759999999995</v>
      </c>
      <c r="T14" s="155">
        <f t="shared" si="0"/>
        <v>0</v>
      </c>
      <c r="W14" s="120" t="s">
        <v>205</v>
      </c>
      <c r="X14" s="149"/>
      <c r="Y14" s="149"/>
      <c r="Z14" s="113" t="s">
        <v>202</v>
      </c>
      <c r="AA14" s="118">
        <v>689</v>
      </c>
      <c r="AB14" s="128"/>
    </row>
    <row r="15" spans="1:28" ht="16.5" thickBot="1" x14ac:dyDescent="0.3">
      <c r="A15" s="21"/>
      <c r="B15" s="39">
        <v>42015</v>
      </c>
      <c r="C15" s="45">
        <v>0</v>
      </c>
      <c r="D15" s="29"/>
      <c r="E15" s="26">
        <v>42015</v>
      </c>
      <c r="F15" s="51">
        <v>61516</v>
      </c>
      <c r="G15" s="23"/>
      <c r="H15" s="27">
        <v>42015</v>
      </c>
      <c r="I15" s="62">
        <v>200</v>
      </c>
      <c r="J15" s="88"/>
      <c r="K15" s="200" t="s">
        <v>256</v>
      </c>
      <c r="L15" s="168">
        <v>5143</v>
      </c>
      <c r="M15" s="162" t="s">
        <v>186</v>
      </c>
      <c r="N15" s="80"/>
      <c r="O15" s="143">
        <v>42015</v>
      </c>
      <c r="P15" s="144">
        <v>8776</v>
      </c>
      <c r="Q15" s="156">
        <v>2502</v>
      </c>
      <c r="R15" s="104">
        <v>42023</v>
      </c>
      <c r="S15" s="103">
        <v>2502</v>
      </c>
      <c r="T15" s="155">
        <f t="shared" si="0"/>
        <v>0</v>
      </c>
      <c r="W15" s="120" t="s">
        <v>205</v>
      </c>
      <c r="X15" s="149"/>
      <c r="Y15" s="149"/>
      <c r="Z15" s="113" t="s">
        <v>202</v>
      </c>
      <c r="AA15" s="118">
        <v>14000</v>
      </c>
      <c r="AB15" s="128"/>
    </row>
    <row r="16" spans="1:28" ht="16.5" thickBot="1" x14ac:dyDescent="0.3">
      <c r="A16" s="21"/>
      <c r="B16" s="39">
        <v>42016</v>
      </c>
      <c r="C16" s="45">
        <v>0</v>
      </c>
      <c r="D16" s="32"/>
      <c r="E16" s="26">
        <v>42016</v>
      </c>
      <c r="F16" s="51">
        <v>61512</v>
      </c>
      <c r="G16" s="23"/>
      <c r="H16" s="27">
        <v>42016</v>
      </c>
      <c r="I16" s="62">
        <v>200</v>
      </c>
      <c r="J16" s="88"/>
      <c r="K16" s="170" t="s">
        <v>52</v>
      </c>
      <c r="L16" s="171">
        <v>0</v>
      </c>
      <c r="M16" s="162" t="s">
        <v>187</v>
      </c>
      <c r="N16" s="80"/>
      <c r="O16" s="143">
        <v>42016</v>
      </c>
      <c r="P16" s="144">
        <v>8880</v>
      </c>
      <c r="Q16" s="156">
        <v>1964.5</v>
      </c>
      <c r="R16" s="104">
        <v>42023</v>
      </c>
      <c r="S16" s="103">
        <v>1964.5</v>
      </c>
      <c r="T16" s="155">
        <f t="shared" si="0"/>
        <v>0</v>
      </c>
      <c r="W16" s="112" t="s">
        <v>208</v>
      </c>
      <c r="X16" s="114"/>
      <c r="Y16" s="114"/>
      <c r="Z16" s="113" t="s">
        <v>202</v>
      </c>
      <c r="AA16" s="118">
        <v>4321</v>
      </c>
      <c r="AB16" s="128"/>
    </row>
    <row r="17" spans="1:28" ht="15.75" customHeight="1" thickBot="1" x14ac:dyDescent="0.3">
      <c r="A17" s="21"/>
      <c r="B17" s="39">
        <v>42017</v>
      </c>
      <c r="C17" s="45">
        <v>0</v>
      </c>
      <c r="D17" s="29"/>
      <c r="E17" s="26">
        <v>42017</v>
      </c>
      <c r="F17" s="51">
        <v>21156</v>
      </c>
      <c r="G17" s="23"/>
      <c r="H17" s="27">
        <v>42017</v>
      </c>
      <c r="I17" s="62">
        <v>230</v>
      </c>
      <c r="J17" s="88"/>
      <c r="K17" s="172" t="s">
        <v>53</v>
      </c>
      <c r="L17" s="171">
        <v>0</v>
      </c>
      <c r="M17" s="162" t="s">
        <v>188</v>
      </c>
      <c r="N17" s="80"/>
      <c r="O17" s="143">
        <v>42017</v>
      </c>
      <c r="P17" s="144">
        <v>8945</v>
      </c>
      <c r="Q17" s="156">
        <v>862</v>
      </c>
      <c r="R17" s="104">
        <v>42023</v>
      </c>
      <c r="S17" s="88">
        <v>862</v>
      </c>
      <c r="T17" s="155">
        <f t="shared" si="0"/>
        <v>0</v>
      </c>
      <c r="W17" s="112" t="s">
        <v>208</v>
      </c>
      <c r="X17" s="114"/>
      <c r="Y17" s="114"/>
      <c r="Z17" s="113" t="s">
        <v>202</v>
      </c>
      <c r="AA17" s="118">
        <v>4300</v>
      </c>
      <c r="AB17" s="128"/>
    </row>
    <row r="18" spans="1:28" ht="15.75" customHeight="1" thickBot="1" x14ac:dyDescent="0.3">
      <c r="A18" s="21"/>
      <c r="B18" s="39">
        <v>42018</v>
      </c>
      <c r="C18" s="45">
        <v>0</v>
      </c>
      <c r="D18" s="22"/>
      <c r="E18" s="26">
        <v>42018</v>
      </c>
      <c r="F18" s="51">
        <v>45661.5</v>
      </c>
      <c r="G18" s="23"/>
      <c r="H18" s="27">
        <v>42018</v>
      </c>
      <c r="I18" s="62">
        <v>200</v>
      </c>
      <c r="J18" s="89"/>
      <c r="K18" s="172" t="s">
        <v>54</v>
      </c>
      <c r="L18" s="173">
        <v>0</v>
      </c>
      <c r="M18" s="162" t="s">
        <v>189</v>
      </c>
      <c r="N18" s="80"/>
      <c r="O18" s="143">
        <v>42017</v>
      </c>
      <c r="P18" s="144">
        <v>8973</v>
      </c>
      <c r="Q18" s="156">
        <v>56209.919999999998</v>
      </c>
      <c r="R18" s="104">
        <v>42023</v>
      </c>
      <c r="S18" s="103">
        <v>56209.919999999998</v>
      </c>
      <c r="T18" s="155">
        <f t="shared" si="0"/>
        <v>0</v>
      </c>
      <c r="W18" s="119"/>
      <c r="X18" s="150"/>
      <c r="Y18" s="150"/>
      <c r="Z18" s="119"/>
      <c r="AA18" s="121"/>
      <c r="AB18" s="128"/>
    </row>
    <row r="19" spans="1:28" ht="15.75" thickBot="1" x14ac:dyDescent="0.3">
      <c r="A19" s="21"/>
      <c r="B19" s="39">
        <v>42019</v>
      </c>
      <c r="C19" s="45">
        <v>0</v>
      </c>
      <c r="D19" s="29"/>
      <c r="E19" s="26">
        <v>42019</v>
      </c>
      <c r="F19" s="51">
        <v>58411</v>
      </c>
      <c r="G19" s="23"/>
      <c r="H19" s="27">
        <v>42019</v>
      </c>
      <c r="I19" s="62">
        <v>200</v>
      </c>
      <c r="J19" s="88"/>
      <c r="K19" s="172" t="s">
        <v>55</v>
      </c>
      <c r="L19" s="173">
        <v>0</v>
      </c>
      <c r="M19" s="162" t="s">
        <v>190</v>
      </c>
      <c r="N19" s="80"/>
      <c r="O19" s="143">
        <v>42018</v>
      </c>
      <c r="P19" s="144">
        <v>9011</v>
      </c>
      <c r="Q19" s="156">
        <v>4635</v>
      </c>
      <c r="R19" s="104">
        <v>42023</v>
      </c>
      <c r="S19" s="103">
        <v>4635</v>
      </c>
      <c r="T19" s="155">
        <f t="shared" si="0"/>
        <v>0</v>
      </c>
    </row>
    <row r="20" spans="1:28" ht="15.75" thickBot="1" x14ac:dyDescent="0.3">
      <c r="A20" s="21"/>
      <c r="B20" s="39">
        <v>42020</v>
      </c>
      <c r="C20" s="45">
        <v>0</v>
      </c>
      <c r="D20" s="22"/>
      <c r="E20" s="26">
        <v>42020</v>
      </c>
      <c r="F20" s="51">
        <v>67368.5</v>
      </c>
      <c r="G20" s="23"/>
      <c r="H20" s="27">
        <v>42020</v>
      </c>
      <c r="I20" s="62">
        <v>200</v>
      </c>
      <c r="J20" s="90"/>
      <c r="K20" s="174" t="s">
        <v>68</v>
      </c>
      <c r="L20" s="175">
        <v>615</v>
      </c>
      <c r="M20" s="162" t="s">
        <v>191</v>
      </c>
      <c r="N20" s="80"/>
      <c r="O20" s="143">
        <v>42018</v>
      </c>
      <c r="P20" s="144">
        <v>9066</v>
      </c>
      <c r="Q20" s="156">
        <v>72492.72</v>
      </c>
      <c r="R20" s="104">
        <v>42023</v>
      </c>
      <c r="S20" s="103">
        <v>72492.72</v>
      </c>
      <c r="T20" s="155">
        <f t="shared" si="0"/>
        <v>0</v>
      </c>
    </row>
    <row r="21" spans="1:28" ht="15.75" thickBot="1" x14ac:dyDescent="0.3">
      <c r="A21" s="21"/>
      <c r="B21" s="39">
        <v>42021</v>
      </c>
      <c r="C21" s="45">
        <v>0</v>
      </c>
      <c r="D21" s="22"/>
      <c r="E21" s="26">
        <v>42021</v>
      </c>
      <c r="F21" s="51">
        <v>71961.5</v>
      </c>
      <c r="G21" s="23"/>
      <c r="H21" s="27">
        <v>42021</v>
      </c>
      <c r="I21" s="62">
        <v>200</v>
      </c>
      <c r="J21" s="88"/>
      <c r="K21" s="174" t="s">
        <v>99</v>
      </c>
      <c r="L21" s="175">
        <v>0</v>
      </c>
      <c r="M21" s="162" t="s">
        <v>196</v>
      </c>
      <c r="N21" s="80"/>
      <c r="O21" s="143">
        <v>42019</v>
      </c>
      <c r="P21" s="144">
        <v>9138</v>
      </c>
      <c r="Q21" s="156">
        <v>3994</v>
      </c>
      <c r="R21" s="104">
        <v>42023</v>
      </c>
      <c r="S21" s="103">
        <v>3994</v>
      </c>
      <c r="T21" s="155">
        <f t="shared" si="0"/>
        <v>0</v>
      </c>
    </row>
    <row r="22" spans="1:28" ht="15.75" thickBot="1" x14ac:dyDescent="0.3">
      <c r="A22" s="21"/>
      <c r="B22" s="39">
        <v>42022</v>
      </c>
      <c r="C22" s="45">
        <v>0</v>
      </c>
      <c r="D22" s="22"/>
      <c r="E22" s="26">
        <v>42022</v>
      </c>
      <c r="F22" s="51">
        <v>53109</v>
      </c>
      <c r="G22" s="23"/>
      <c r="H22" s="27">
        <v>42022</v>
      </c>
      <c r="I22" s="62">
        <v>200</v>
      </c>
      <c r="J22" s="90"/>
      <c r="K22" s="176" t="s">
        <v>213</v>
      </c>
      <c r="L22" s="175">
        <v>900</v>
      </c>
      <c r="M22" s="162" t="s">
        <v>197</v>
      </c>
      <c r="N22" s="80"/>
      <c r="O22" s="143">
        <v>42019</v>
      </c>
      <c r="P22" s="144">
        <v>9139</v>
      </c>
      <c r="Q22" s="156">
        <v>55515.56</v>
      </c>
      <c r="R22" s="145" t="s">
        <v>236</v>
      </c>
      <c r="S22" s="103">
        <f>9920+45595.56</f>
        <v>55515.56</v>
      </c>
      <c r="T22" s="155">
        <f t="shared" si="0"/>
        <v>0</v>
      </c>
      <c r="W22" s="102" t="s">
        <v>200</v>
      </c>
      <c r="X22" s="103"/>
      <c r="Y22" s="103"/>
      <c r="Z22" s="104"/>
      <c r="AA22" s="103" t="s">
        <v>220</v>
      </c>
      <c r="AB22" s="107"/>
    </row>
    <row r="23" spans="1:28" ht="15.75" thickBot="1" x14ac:dyDescent="0.3">
      <c r="A23" s="21"/>
      <c r="B23" s="39">
        <v>42023</v>
      </c>
      <c r="C23" s="45">
        <v>540</v>
      </c>
      <c r="D23" s="22" t="s">
        <v>50</v>
      </c>
      <c r="E23" s="26">
        <v>42023</v>
      </c>
      <c r="F23" s="51">
        <v>52234.3</v>
      </c>
      <c r="G23" s="23"/>
      <c r="H23" s="27">
        <v>42023</v>
      </c>
      <c r="I23" s="62">
        <v>200</v>
      </c>
      <c r="J23" s="88"/>
      <c r="K23" s="167"/>
      <c r="L23" s="175"/>
      <c r="M23" s="162" t="s">
        <v>198</v>
      </c>
      <c r="N23" s="80"/>
      <c r="O23" s="143">
        <v>42020</v>
      </c>
      <c r="P23" s="144">
        <v>9260</v>
      </c>
      <c r="Q23" s="156">
        <v>60805.94</v>
      </c>
      <c r="R23" s="104">
        <v>42027</v>
      </c>
      <c r="S23" s="103">
        <v>60805.94</v>
      </c>
      <c r="T23" s="155">
        <f t="shared" si="0"/>
        <v>0</v>
      </c>
      <c r="W23" s="102"/>
      <c r="X23" s="103"/>
      <c r="Y23" s="103"/>
      <c r="Z23" s="104"/>
      <c r="AA23" s="103"/>
      <c r="AB23" s="109"/>
    </row>
    <row r="24" spans="1:28" ht="16.5" thickBot="1" x14ac:dyDescent="0.3">
      <c r="A24" s="21"/>
      <c r="B24" s="39">
        <v>42024</v>
      </c>
      <c r="C24" s="45">
        <v>0</v>
      </c>
      <c r="D24" s="29"/>
      <c r="E24" s="26">
        <v>42024</v>
      </c>
      <c r="F24" s="51">
        <v>23888</v>
      </c>
      <c r="G24" s="23"/>
      <c r="H24" s="27">
        <v>42024</v>
      </c>
      <c r="I24" s="62">
        <v>200</v>
      </c>
      <c r="J24" s="88"/>
      <c r="K24" s="167"/>
      <c r="L24" s="175"/>
      <c r="M24" s="162" t="s">
        <v>199</v>
      </c>
      <c r="N24" s="80"/>
      <c r="O24" s="143">
        <v>42020</v>
      </c>
      <c r="P24" s="144">
        <v>9264</v>
      </c>
      <c r="Q24" s="156">
        <v>6929</v>
      </c>
      <c r="R24" s="104">
        <v>42027</v>
      </c>
      <c r="S24" s="103">
        <v>6929</v>
      </c>
      <c r="T24" s="155">
        <f t="shared" si="0"/>
        <v>0</v>
      </c>
      <c r="W24" s="112" t="s">
        <v>212</v>
      </c>
      <c r="X24" s="114"/>
      <c r="Y24" s="114"/>
      <c r="Z24" s="113" t="s">
        <v>202</v>
      </c>
      <c r="AA24" s="130">
        <v>28350</v>
      </c>
      <c r="AB24" s="115"/>
    </row>
    <row r="25" spans="1:28" ht="16.5" thickBot="1" x14ac:dyDescent="0.3">
      <c r="A25" s="21"/>
      <c r="B25" s="39">
        <v>42025</v>
      </c>
      <c r="C25" s="45">
        <v>0</v>
      </c>
      <c r="D25" s="22"/>
      <c r="E25" s="26">
        <v>42025</v>
      </c>
      <c r="F25" s="51">
        <v>32696</v>
      </c>
      <c r="G25" s="23"/>
      <c r="H25" s="27">
        <v>42025</v>
      </c>
      <c r="I25" s="62">
        <v>200</v>
      </c>
      <c r="J25" s="88"/>
      <c r="K25" s="167"/>
      <c r="L25" s="175"/>
      <c r="M25" s="162" t="s">
        <v>211</v>
      </c>
      <c r="N25" s="80"/>
      <c r="O25" s="143">
        <v>42021</v>
      </c>
      <c r="P25" s="144">
        <v>9370</v>
      </c>
      <c r="Q25" s="156">
        <v>33638.81</v>
      </c>
      <c r="R25" s="104">
        <v>42027</v>
      </c>
      <c r="S25" s="103">
        <v>33638.81</v>
      </c>
      <c r="T25" s="155">
        <f t="shared" si="0"/>
        <v>0</v>
      </c>
      <c r="W25" s="126"/>
      <c r="X25" s="151"/>
      <c r="Y25" s="151"/>
      <c r="Z25" s="127" t="s">
        <v>202</v>
      </c>
      <c r="AA25" s="121">
        <v>4699</v>
      </c>
      <c r="AB25" s="128"/>
    </row>
    <row r="26" spans="1:28" ht="16.5" thickBot="1" x14ac:dyDescent="0.3">
      <c r="A26" s="21"/>
      <c r="B26" s="39">
        <v>42026</v>
      </c>
      <c r="C26" s="45">
        <v>0</v>
      </c>
      <c r="D26" s="29"/>
      <c r="E26" s="26">
        <v>42026</v>
      </c>
      <c r="F26" s="51">
        <v>42041</v>
      </c>
      <c r="G26" s="23"/>
      <c r="H26" s="27">
        <v>42026</v>
      </c>
      <c r="I26" s="62">
        <v>1120</v>
      </c>
      <c r="J26" s="88"/>
      <c r="K26" s="167"/>
      <c r="L26" s="175"/>
      <c r="M26" s="162" t="s">
        <v>214</v>
      </c>
      <c r="N26" s="80"/>
      <c r="O26" s="143">
        <v>42021</v>
      </c>
      <c r="P26" s="144">
        <v>9371</v>
      </c>
      <c r="Q26" s="156">
        <v>1234.8</v>
      </c>
      <c r="R26" s="104">
        <v>42027</v>
      </c>
      <c r="S26" s="103">
        <v>1234.8</v>
      </c>
      <c r="T26" s="155">
        <f t="shared" si="0"/>
        <v>0</v>
      </c>
      <c r="W26" s="112"/>
      <c r="X26" s="114"/>
      <c r="Y26" s="114"/>
      <c r="Z26" s="127" t="s">
        <v>202</v>
      </c>
      <c r="AA26" s="121">
        <v>28106</v>
      </c>
      <c r="AB26" s="128"/>
    </row>
    <row r="27" spans="1:28" ht="16.5" thickBot="1" x14ac:dyDescent="0.3">
      <c r="A27" s="21"/>
      <c r="B27" s="39">
        <v>42027</v>
      </c>
      <c r="C27" s="45">
        <v>0</v>
      </c>
      <c r="D27" s="29"/>
      <c r="E27" s="26">
        <v>42027</v>
      </c>
      <c r="F27" s="51">
        <v>62467</v>
      </c>
      <c r="G27" s="23"/>
      <c r="H27" s="27">
        <v>42027</v>
      </c>
      <c r="I27" s="62">
        <v>200</v>
      </c>
      <c r="J27" s="88"/>
      <c r="K27" s="167"/>
      <c r="L27" s="175"/>
      <c r="M27" s="81" t="s">
        <v>216</v>
      </c>
      <c r="N27" s="80"/>
      <c r="O27" s="143">
        <v>42022</v>
      </c>
      <c r="P27" s="144">
        <v>9433</v>
      </c>
      <c r="Q27" s="156">
        <v>29215.599999999999</v>
      </c>
      <c r="R27" s="104">
        <v>42027</v>
      </c>
      <c r="S27" s="103">
        <v>29215.599999999999</v>
      </c>
      <c r="T27" s="155">
        <f t="shared" si="0"/>
        <v>0</v>
      </c>
      <c r="W27" s="112"/>
      <c r="X27" s="114"/>
      <c r="Y27" s="114"/>
      <c r="Z27" s="113" t="s">
        <v>202</v>
      </c>
      <c r="AA27" s="130">
        <v>7146</v>
      </c>
      <c r="AB27" s="129">
        <f>AA27+AA26+AA25+AA24</f>
        <v>68301</v>
      </c>
    </row>
    <row r="28" spans="1:28" ht="16.5" thickBot="1" x14ac:dyDescent="0.3">
      <c r="A28" s="21"/>
      <c r="B28" s="39">
        <v>42028</v>
      </c>
      <c r="C28" s="45">
        <v>0</v>
      </c>
      <c r="D28" s="29"/>
      <c r="E28" s="26">
        <v>42028</v>
      </c>
      <c r="F28" s="51">
        <v>50224</v>
      </c>
      <c r="G28" s="23"/>
      <c r="H28" s="27">
        <v>42028</v>
      </c>
      <c r="I28" s="62">
        <v>200</v>
      </c>
      <c r="J28" s="88"/>
      <c r="K28" s="167"/>
      <c r="L28" s="175"/>
      <c r="M28" s="68" t="s">
        <v>215</v>
      </c>
      <c r="N28" s="80"/>
      <c r="O28" s="143">
        <v>42023</v>
      </c>
      <c r="P28" s="144">
        <v>9530</v>
      </c>
      <c r="Q28" s="156">
        <v>4936.3999999999996</v>
      </c>
      <c r="R28" s="104">
        <v>42032</v>
      </c>
      <c r="S28" s="103">
        <v>4936.3999999999996</v>
      </c>
      <c r="T28" s="155">
        <f t="shared" si="0"/>
        <v>0</v>
      </c>
      <c r="W28" s="112" t="s">
        <v>221</v>
      </c>
      <c r="X28" s="114"/>
      <c r="Y28" s="114"/>
      <c r="Z28" s="113" t="s">
        <v>202</v>
      </c>
      <c r="AA28" s="121">
        <v>4936.3999999999996</v>
      </c>
      <c r="AB28" s="128"/>
    </row>
    <row r="29" spans="1:28" ht="16.5" thickBot="1" x14ac:dyDescent="0.3">
      <c r="A29" s="21"/>
      <c r="B29" s="39">
        <v>42029</v>
      </c>
      <c r="C29" s="45">
        <f>370+1487</f>
        <v>1857</v>
      </c>
      <c r="D29" s="29" t="s">
        <v>109</v>
      </c>
      <c r="E29" s="26">
        <v>42029</v>
      </c>
      <c r="F29" s="51">
        <v>66776</v>
      </c>
      <c r="G29" s="23"/>
      <c r="H29" s="27">
        <v>42029</v>
      </c>
      <c r="I29" s="62">
        <v>200</v>
      </c>
      <c r="J29" s="88"/>
      <c r="K29" s="167"/>
      <c r="L29" s="168"/>
      <c r="M29" s="163" t="s">
        <v>218</v>
      </c>
      <c r="N29" s="80"/>
      <c r="O29" s="143">
        <v>42023</v>
      </c>
      <c r="P29" s="144">
        <v>9534</v>
      </c>
      <c r="Q29" s="156">
        <v>76922.080000000002</v>
      </c>
      <c r="R29" s="145" t="s">
        <v>237</v>
      </c>
      <c r="S29" s="103">
        <f>8621+68301.08</f>
        <v>76922.080000000002</v>
      </c>
      <c r="T29" s="155">
        <f t="shared" si="0"/>
        <v>0</v>
      </c>
      <c r="W29" s="112" t="s">
        <v>222</v>
      </c>
      <c r="X29" s="114"/>
      <c r="Y29" s="114"/>
      <c r="Z29" s="113" t="s">
        <v>202</v>
      </c>
      <c r="AA29" s="121">
        <v>1783.6</v>
      </c>
      <c r="AB29" s="128"/>
    </row>
    <row r="30" spans="1:28" ht="16.5" thickBot="1" x14ac:dyDescent="0.3">
      <c r="A30" s="21"/>
      <c r="B30" s="39">
        <v>42030</v>
      </c>
      <c r="C30" s="45">
        <v>0</v>
      </c>
      <c r="D30" s="22"/>
      <c r="E30" s="26">
        <v>42030</v>
      </c>
      <c r="F30" s="51">
        <v>46234.5</v>
      </c>
      <c r="G30" s="23"/>
      <c r="H30" s="27">
        <v>42030</v>
      </c>
      <c r="I30" s="62">
        <v>238.5</v>
      </c>
      <c r="J30" s="88"/>
      <c r="K30" s="167"/>
      <c r="L30" s="168"/>
      <c r="M30" s="68" t="s">
        <v>217</v>
      </c>
      <c r="N30" s="80"/>
      <c r="O30" s="143">
        <v>42025</v>
      </c>
      <c r="P30" s="144">
        <v>9716</v>
      </c>
      <c r="Q30" s="156">
        <v>5962.8</v>
      </c>
      <c r="R30" s="104">
        <v>42032</v>
      </c>
      <c r="S30" s="88">
        <v>5962.8</v>
      </c>
      <c r="T30" s="155">
        <f t="shared" si="0"/>
        <v>0</v>
      </c>
      <c r="W30" s="112"/>
      <c r="X30" s="114"/>
      <c r="Y30" s="114"/>
      <c r="Z30" s="113" t="s">
        <v>202</v>
      </c>
      <c r="AA30" s="121">
        <v>4179</v>
      </c>
      <c r="AB30" s="129">
        <f>AA30+AA29</f>
        <v>5962.6</v>
      </c>
    </row>
    <row r="31" spans="1:28" ht="16.5" thickBot="1" x14ac:dyDescent="0.3">
      <c r="A31" s="21"/>
      <c r="B31" s="39">
        <v>42031</v>
      </c>
      <c r="C31" s="45">
        <v>0</v>
      </c>
      <c r="D31" s="22"/>
      <c r="E31" s="26">
        <v>42031</v>
      </c>
      <c r="F31" s="51">
        <v>26265.5</v>
      </c>
      <c r="G31" s="23"/>
      <c r="H31" s="27">
        <v>42031</v>
      </c>
      <c r="I31" s="62">
        <v>200</v>
      </c>
      <c r="J31" s="88"/>
      <c r="K31" s="167"/>
      <c r="L31" s="168"/>
      <c r="M31" s="68" t="s">
        <v>219</v>
      </c>
      <c r="N31" s="80"/>
      <c r="O31" s="143">
        <v>42026</v>
      </c>
      <c r="P31" s="144">
        <v>9777</v>
      </c>
      <c r="Q31" s="156">
        <v>64645.24</v>
      </c>
      <c r="R31" s="146">
        <v>42032</v>
      </c>
      <c r="S31" s="103">
        <v>64645.24</v>
      </c>
      <c r="T31" s="155">
        <f t="shared" si="0"/>
        <v>0</v>
      </c>
      <c r="W31" s="112" t="s">
        <v>223</v>
      </c>
      <c r="X31" s="114"/>
      <c r="Y31" s="114"/>
      <c r="Z31" s="113" t="s">
        <v>202</v>
      </c>
      <c r="AA31" s="121">
        <v>3780</v>
      </c>
      <c r="AB31" s="128"/>
    </row>
    <row r="32" spans="1:28" ht="16.5" thickBot="1" x14ac:dyDescent="0.3">
      <c r="A32" s="21"/>
      <c r="B32" s="39">
        <v>42032</v>
      </c>
      <c r="C32" s="45">
        <v>0</v>
      </c>
      <c r="D32" s="22"/>
      <c r="E32" s="26">
        <v>42032</v>
      </c>
      <c r="F32" s="51">
        <v>33449</v>
      </c>
      <c r="G32" s="23"/>
      <c r="H32" s="27">
        <v>42032</v>
      </c>
      <c r="I32" s="62">
        <v>200</v>
      </c>
      <c r="J32" s="88"/>
      <c r="K32" s="167"/>
      <c r="L32" s="168"/>
      <c r="M32" s="162" t="s">
        <v>228</v>
      </c>
      <c r="N32" s="80"/>
      <c r="O32" s="143">
        <v>42027</v>
      </c>
      <c r="P32" s="144">
        <v>9916</v>
      </c>
      <c r="Q32" s="156">
        <v>104029.1</v>
      </c>
      <c r="R32" s="104">
        <v>42032</v>
      </c>
      <c r="S32" s="103">
        <v>104029.1</v>
      </c>
      <c r="T32" s="155">
        <f t="shared" si="0"/>
        <v>0</v>
      </c>
      <c r="W32" s="112"/>
      <c r="X32" s="114"/>
      <c r="Y32" s="114"/>
      <c r="Z32" s="113" t="s">
        <v>202</v>
      </c>
      <c r="AA32" s="121">
        <v>5195</v>
      </c>
      <c r="AB32" s="128"/>
    </row>
    <row r="33" spans="1:29" ht="16.5" thickBot="1" x14ac:dyDescent="0.3">
      <c r="A33" s="21"/>
      <c r="B33" s="39">
        <v>42033</v>
      </c>
      <c r="C33" s="45">
        <v>0</v>
      </c>
      <c r="D33" s="32"/>
      <c r="E33" s="26">
        <v>42033</v>
      </c>
      <c r="F33" s="51">
        <v>33046</v>
      </c>
      <c r="G33" s="23"/>
      <c r="H33" s="27">
        <v>42033</v>
      </c>
      <c r="I33" s="62">
        <v>200</v>
      </c>
      <c r="J33" s="88"/>
      <c r="K33" s="167"/>
      <c r="L33" s="168"/>
      <c r="M33" s="162" t="s">
        <v>233</v>
      </c>
      <c r="N33" s="80"/>
      <c r="O33" s="143">
        <v>42028</v>
      </c>
      <c r="P33" s="144">
        <v>10006</v>
      </c>
      <c r="Q33" s="156">
        <v>63077.8</v>
      </c>
      <c r="R33" s="104">
        <v>42032</v>
      </c>
      <c r="S33" s="88">
        <v>63077.8</v>
      </c>
      <c r="T33" s="155">
        <f t="shared" si="0"/>
        <v>0</v>
      </c>
      <c r="W33" s="112"/>
      <c r="X33" s="114"/>
      <c r="Y33" s="114"/>
      <c r="Z33" s="113" t="s">
        <v>202</v>
      </c>
      <c r="AA33" s="121">
        <v>55670</v>
      </c>
      <c r="AB33" s="129">
        <f>AA33+AA32+AA31</f>
        <v>64645</v>
      </c>
    </row>
    <row r="34" spans="1:29" ht="16.5" thickBot="1" x14ac:dyDescent="0.3">
      <c r="A34" s="21"/>
      <c r="B34" s="39">
        <v>42034</v>
      </c>
      <c r="C34" s="45">
        <v>0</v>
      </c>
      <c r="D34" s="72"/>
      <c r="E34" s="26">
        <v>42034</v>
      </c>
      <c r="F34" s="51">
        <v>63735.5</v>
      </c>
      <c r="G34" s="23"/>
      <c r="H34" s="27">
        <v>42034</v>
      </c>
      <c r="I34" s="62">
        <v>200</v>
      </c>
      <c r="J34" s="88"/>
      <c r="K34" s="167"/>
      <c r="L34" s="168"/>
      <c r="M34" s="162" t="s">
        <v>245</v>
      </c>
      <c r="N34" s="80"/>
      <c r="O34" s="143">
        <v>42030</v>
      </c>
      <c r="P34" s="144">
        <v>10118</v>
      </c>
      <c r="Q34" s="157">
        <v>6029.6</v>
      </c>
      <c r="R34" s="104">
        <v>42034</v>
      </c>
      <c r="S34" s="88">
        <v>6029.6</v>
      </c>
      <c r="T34" s="155">
        <f t="shared" si="0"/>
        <v>0</v>
      </c>
      <c r="W34" s="112" t="s">
        <v>224</v>
      </c>
      <c r="X34" s="114"/>
      <c r="Y34" s="114"/>
      <c r="Z34" s="113" t="s">
        <v>202</v>
      </c>
      <c r="AA34" s="121">
        <v>57202</v>
      </c>
      <c r="AB34" s="128"/>
    </row>
    <row r="35" spans="1:29" ht="16.5" thickBot="1" x14ac:dyDescent="0.3">
      <c r="A35" s="21"/>
      <c r="B35" s="39">
        <v>42035</v>
      </c>
      <c r="C35" s="45">
        <v>0</v>
      </c>
      <c r="D35" s="22"/>
      <c r="E35" s="26">
        <v>42035</v>
      </c>
      <c r="F35" s="51">
        <v>90971.5</v>
      </c>
      <c r="G35" s="23"/>
      <c r="H35" s="27">
        <v>42035</v>
      </c>
      <c r="I35" s="62">
        <v>200</v>
      </c>
      <c r="J35" s="88"/>
      <c r="K35" s="167"/>
      <c r="L35" s="168"/>
      <c r="M35" s="164" t="s">
        <v>252</v>
      </c>
      <c r="O35" s="143">
        <v>42031</v>
      </c>
      <c r="P35" s="144">
        <v>10207</v>
      </c>
      <c r="Q35" s="156">
        <v>37190.9</v>
      </c>
      <c r="R35" s="145" t="s">
        <v>238</v>
      </c>
      <c r="S35" s="103">
        <f>14546+22644.9</f>
        <v>37190.9</v>
      </c>
      <c r="T35" s="155">
        <f t="shared" si="0"/>
        <v>0</v>
      </c>
      <c r="W35" s="112"/>
      <c r="X35" s="114"/>
      <c r="Y35" s="114"/>
      <c r="Z35" s="113" t="s">
        <v>202</v>
      </c>
      <c r="AA35" s="121">
        <v>4757</v>
      </c>
      <c r="AB35" s="128"/>
    </row>
    <row r="36" spans="1:29" ht="16.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67"/>
      <c r="L36" s="168"/>
      <c r="O36" s="143">
        <v>42032</v>
      </c>
      <c r="P36" s="144">
        <v>10305</v>
      </c>
      <c r="Q36" s="156">
        <v>16659.400000000001</v>
      </c>
      <c r="R36" s="147" t="s">
        <v>239</v>
      </c>
      <c r="S36" s="103">
        <f>5648.9+11010.5</f>
        <v>16659.400000000001</v>
      </c>
      <c r="T36" s="155">
        <f t="shared" si="0"/>
        <v>0</v>
      </c>
      <c r="W36" s="112"/>
      <c r="X36" s="114"/>
      <c r="Y36" s="114"/>
      <c r="Z36" s="113" t="s">
        <v>202</v>
      </c>
      <c r="AA36" s="121">
        <v>42070</v>
      </c>
      <c r="AB36" s="129">
        <f>AA36+AA35+AA34</f>
        <v>104029</v>
      </c>
    </row>
    <row r="37" spans="1:29" ht="16.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O37" s="143">
        <v>42033</v>
      </c>
      <c r="P37" s="144">
        <v>10380</v>
      </c>
      <c r="Q37" s="156">
        <v>60509.27</v>
      </c>
      <c r="R37" s="183" t="s">
        <v>246</v>
      </c>
      <c r="S37" s="184">
        <f>21950+33619.5+4939.77</f>
        <v>60509.270000000004</v>
      </c>
      <c r="T37" s="155">
        <f t="shared" si="0"/>
        <v>0</v>
      </c>
      <c r="W37" s="112" t="s">
        <v>225</v>
      </c>
      <c r="X37" s="114"/>
      <c r="Y37" s="114"/>
      <c r="Z37" s="113" t="s">
        <v>202</v>
      </c>
      <c r="AA37" s="121">
        <v>10187</v>
      </c>
      <c r="AB37" s="128"/>
    </row>
    <row r="38" spans="1:29" ht="15.75" x14ac:dyDescent="0.25">
      <c r="B38" s="42" t="s">
        <v>1</v>
      </c>
      <c r="C38" s="48">
        <f>SUM(C5:C37)</f>
        <v>2397</v>
      </c>
      <c r="E38" s="97" t="s">
        <v>1</v>
      </c>
      <c r="F38" s="54">
        <f>SUM(F6:F37)</f>
        <v>1718902.3</v>
      </c>
      <c r="H38" s="99" t="s">
        <v>1</v>
      </c>
      <c r="I38" s="58">
        <f>SUM(I5:I37)</f>
        <v>7039.5</v>
      </c>
      <c r="J38" s="58"/>
      <c r="K38" s="17" t="s">
        <v>1</v>
      </c>
      <c r="L38" s="4">
        <f>SUM(L5:L37)</f>
        <v>74535.58</v>
      </c>
      <c r="O38" s="143">
        <v>42034</v>
      </c>
      <c r="P38" s="144">
        <v>10577</v>
      </c>
      <c r="Q38" s="156">
        <v>62948.86</v>
      </c>
      <c r="R38" s="185" t="s">
        <v>254</v>
      </c>
      <c r="S38" s="184">
        <f>19020+37176+6753</f>
        <v>62949</v>
      </c>
      <c r="T38" s="155">
        <f t="shared" si="0"/>
        <v>-0.13999999999941792</v>
      </c>
      <c r="W38" s="119"/>
      <c r="X38" s="150"/>
      <c r="Y38" s="150"/>
      <c r="Z38" s="113" t="s">
        <v>202</v>
      </c>
      <c r="AA38" s="121">
        <v>5367</v>
      </c>
      <c r="AB38" s="128"/>
    </row>
    <row r="39" spans="1:29" ht="15.75" x14ac:dyDescent="0.25">
      <c r="O39" s="143">
        <v>42035</v>
      </c>
      <c r="P39" s="144">
        <v>10655</v>
      </c>
      <c r="Q39" s="156">
        <v>8689.7000000000007</v>
      </c>
      <c r="R39" s="186">
        <v>42039</v>
      </c>
      <c r="S39" s="184">
        <v>8690</v>
      </c>
      <c r="T39" s="155">
        <f t="shared" si="0"/>
        <v>-0.2999999999992724</v>
      </c>
      <c r="W39" s="119"/>
      <c r="X39" s="150"/>
      <c r="Y39" s="150"/>
      <c r="Z39" s="113" t="s">
        <v>202</v>
      </c>
      <c r="AA39" s="121">
        <v>4000</v>
      </c>
      <c r="AB39" s="128"/>
    </row>
    <row r="40" spans="1:29" ht="15.75" x14ac:dyDescent="0.25">
      <c r="A40" s="5"/>
      <c r="C40" s="49"/>
      <c r="D40" s="13"/>
      <c r="E40" s="13"/>
      <c r="F40" s="55"/>
      <c r="H40" s="373" t="s">
        <v>7</v>
      </c>
      <c r="I40" s="374"/>
      <c r="J40" s="98"/>
      <c r="K40" s="375">
        <f>I38+L38</f>
        <v>81575.08</v>
      </c>
      <c r="L40" s="376"/>
      <c r="O40" s="143">
        <v>42035</v>
      </c>
      <c r="P40" s="144">
        <v>10690</v>
      </c>
      <c r="Q40" s="156">
        <v>96350.9</v>
      </c>
      <c r="R40" s="186" t="s">
        <v>271</v>
      </c>
      <c r="S40" s="184">
        <f>35000+4300+5605.5+44300+7145.5</f>
        <v>96351</v>
      </c>
      <c r="T40" s="155">
        <f t="shared" si="0"/>
        <v>-0.10000000000582077</v>
      </c>
      <c r="W40" s="119"/>
      <c r="X40" s="150"/>
      <c r="Y40" s="150"/>
      <c r="Z40" s="113" t="s">
        <v>202</v>
      </c>
      <c r="AA40" s="121">
        <v>37200</v>
      </c>
      <c r="AB40" s="128"/>
    </row>
    <row r="41" spans="1:29" ht="15.75" x14ac:dyDescent="0.25">
      <c r="D41" s="367" t="s">
        <v>8</v>
      </c>
      <c r="E41" s="367"/>
      <c r="F41" s="56">
        <f>F38-K40</f>
        <v>1637327.22</v>
      </c>
      <c r="I41" s="65"/>
      <c r="J41" s="65"/>
      <c r="Q41" s="43">
        <v>0</v>
      </c>
      <c r="S41" s="58">
        <v>0</v>
      </c>
      <c r="T41" s="43">
        <v>0</v>
      </c>
      <c r="W41" s="119"/>
      <c r="X41" s="150"/>
      <c r="Y41" s="150"/>
      <c r="Z41" s="113" t="s">
        <v>202</v>
      </c>
      <c r="AA41" s="121">
        <v>4174</v>
      </c>
      <c r="AB41" s="128"/>
    </row>
    <row r="42" spans="1:29" ht="15.75" x14ac:dyDescent="0.25">
      <c r="D42" s="13"/>
      <c r="E42" s="13" t="s">
        <v>0</v>
      </c>
      <c r="F42" s="55">
        <f>-C38</f>
        <v>-2397</v>
      </c>
      <c r="Q42" s="43">
        <v>0</v>
      </c>
      <c r="S42" s="58">
        <v>0</v>
      </c>
      <c r="T42" s="43">
        <v>0</v>
      </c>
      <c r="W42" s="119"/>
      <c r="X42" s="150"/>
      <c r="Y42" s="150"/>
      <c r="Z42" s="113" t="s">
        <v>202</v>
      </c>
      <c r="AA42" s="121">
        <v>2150</v>
      </c>
      <c r="AB42" s="129">
        <f>AA42+AA41+AA40+AA39+AA38+AA37</f>
        <v>63078</v>
      </c>
    </row>
    <row r="43" spans="1:29" ht="16.5" thickBot="1" x14ac:dyDescent="0.3">
      <c r="C43" s="43" t="s">
        <v>12</v>
      </c>
      <c r="E43" s="177" t="s">
        <v>249</v>
      </c>
      <c r="F43" s="57">
        <v>-1429720.57</v>
      </c>
      <c r="I43" s="182" t="s">
        <v>251</v>
      </c>
      <c r="J43" s="394">
        <f>F46</f>
        <v>423444.86999999988</v>
      </c>
      <c r="K43" s="395"/>
      <c r="L43" s="2"/>
      <c r="Q43" s="43">
        <v>0</v>
      </c>
      <c r="S43" s="58">
        <v>0</v>
      </c>
      <c r="T43" s="43">
        <v>0</v>
      </c>
      <c r="W43" s="128" t="s">
        <v>226</v>
      </c>
      <c r="X43" s="121"/>
      <c r="Y43" s="121"/>
      <c r="Z43" s="113" t="s">
        <v>202</v>
      </c>
      <c r="AA43" s="121">
        <v>4796</v>
      </c>
      <c r="AB43" s="128"/>
    </row>
    <row r="44" spans="1:29" ht="17.25" thickTop="1" thickBot="1" x14ac:dyDescent="0.3">
      <c r="E44" s="5" t="s">
        <v>10</v>
      </c>
      <c r="F44" s="58">
        <f>SUM(F41:F43)</f>
        <v>205209.64999999991</v>
      </c>
      <c r="H44" s="378" t="s">
        <v>257</v>
      </c>
      <c r="I44" s="378"/>
      <c r="J44" s="396">
        <v>-174723.71</v>
      </c>
      <c r="K44" s="396"/>
      <c r="L44" s="33"/>
      <c r="O44" s="123"/>
      <c r="P44" s="124"/>
      <c r="Q44" s="57">
        <v>0</v>
      </c>
      <c r="R44" s="57"/>
      <c r="S44" s="125">
        <v>0</v>
      </c>
      <c r="T44" s="57">
        <v>0</v>
      </c>
      <c r="W44" s="119"/>
      <c r="X44" s="150"/>
      <c r="Y44" s="150"/>
      <c r="Z44" s="113" t="s">
        <v>202</v>
      </c>
      <c r="AA44" s="121">
        <v>9750</v>
      </c>
      <c r="AB44" s="129">
        <f>AA44+AA43</f>
        <v>14546</v>
      </c>
    </row>
    <row r="45" spans="1:29" ht="16.5" customHeight="1" thickTop="1" thickBot="1" x14ac:dyDescent="0.35">
      <c r="E45" s="180" t="s">
        <v>9</v>
      </c>
      <c r="F45" s="181">
        <v>218235.22</v>
      </c>
      <c r="I45" s="178"/>
      <c r="J45" s="397">
        <v>0</v>
      </c>
      <c r="K45" s="397"/>
      <c r="L45" s="179"/>
      <c r="Q45" s="58">
        <f>SUM(Q5:Q44)</f>
        <v>1429720.57</v>
      </c>
      <c r="R45" s="58"/>
      <c r="S45" s="58">
        <f>SUM(S5:S44)</f>
        <v>1429721.11</v>
      </c>
      <c r="T45" s="43">
        <f>SUM(T5:T44)</f>
        <v>-0.54000000000451109</v>
      </c>
      <c r="W45" s="119"/>
      <c r="X45" s="150"/>
      <c r="Y45" s="150"/>
      <c r="Z45" s="113" t="s">
        <v>202</v>
      </c>
      <c r="AA45" s="121">
        <v>0</v>
      </c>
      <c r="AB45" s="128"/>
    </row>
    <row r="46" spans="1:29" ht="16.5" customHeight="1" thickBot="1" x14ac:dyDescent="0.35">
      <c r="D46" s="365" t="s">
        <v>250</v>
      </c>
      <c r="E46" s="365"/>
      <c r="F46" s="55">
        <f>F44+F45</f>
        <v>423444.86999999988</v>
      </c>
      <c r="I46" s="178" t="s">
        <v>13</v>
      </c>
      <c r="J46" s="398">
        <f t="shared" ref="J46" si="1">SUM(J43:K45)</f>
        <v>248721.15999999989</v>
      </c>
      <c r="K46" s="399"/>
      <c r="L46" s="179"/>
      <c r="W46" s="119"/>
      <c r="X46" s="150"/>
      <c r="Y46" s="150"/>
      <c r="Z46" s="113" t="s">
        <v>202</v>
      </c>
      <c r="AA46" s="121">
        <v>0</v>
      </c>
      <c r="AB46" s="128"/>
    </row>
    <row r="47" spans="1:29" ht="18.75" x14ac:dyDescent="0.3">
      <c r="E47" s="6"/>
      <c r="F47" s="48"/>
      <c r="AA47" s="131">
        <f>SUM(AA24:AA46)</f>
        <v>325498</v>
      </c>
    </row>
    <row r="48" spans="1:29" x14ac:dyDescent="0.25">
      <c r="AC48" s="5" t="s">
        <v>227</v>
      </c>
    </row>
    <row r="49" spans="17:28" customFormat="1" x14ac:dyDescent="0.25">
      <c r="Q49" s="43"/>
      <c r="S49" s="43"/>
      <c r="T49" s="43"/>
      <c r="X49" s="43"/>
      <c r="Y49" s="43"/>
      <c r="AA49" s="58"/>
      <c r="AB49" s="5"/>
    </row>
    <row r="50" spans="17:28" customFormat="1" x14ac:dyDescent="0.25">
      <c r="Q50" s="43"/>
      <c r="S50" s="43"/>
      <c r="T50" s="43"/>
      <c r="X50" s="43"/>
      <c r="Y50" s="43"/>
      <c r="AA50" s="58"/>
      <c r="AB50" s="5"/>
    </row>
    <row r="51" spans="17:28" customFormat="1" x14ac:dyDescent="0.25">
      <c r="Q51" s="43"/>
      <c r="S51" s="43"/>
      <c r="T51" s="43"/>
      <c r="W51" s="102" t="s">
        <v>200</v>
      </c>
      <c r="X51" s="103"/>
      <c r="Y51" s="103"/>
      <c r="Z51" s="104"/>
      <c r="AA51" s="103" t="s">
        <v>229</v>
      </c>
      <c r="AB51" s="107"/>
    </row>
    <row r="52" spans="17:28" x14ac:dyDescent="0.25">
      <c r="W52" s="102"/>
      <c r="X52" s="103"/>
      <c r="Y52" s="103"/>
      <c r="Z52" s="104"/>
      <c r="AA52" s="103"/>
      <c r="AB52" s="109"/>
    </row>
    <row r="53" spans="17:28" ht="15.75" x14ac:dyDescent="0.25">
      <c r="W53" s="112" t="s">
        <v>226</v>
      </c>
      <c r="X53" s="114">
        <v>22644.9</v>
      </c>
      <c r="Y53" s="114"/>
      <c r="Z53" s="113" t="s">
        <v>202</v>
      </c>
      <c r="AA53" s="114">
        <v>22645</v>
      </c>
      <c r="AB53" s="115" t="s">
        <v>243</v>
      </c>
    </row>
    <row r="54" spans="17:28" ht="15.75" x14ac:dyDescent="0.25">
      <c r="W54" s="126" t="s">
        <v>230</v>
      </c>
      <c r="X54" s="151">
        <v>5550</v>
      </c>
      <c r="Y54" s="151"/>
      <c r="Z54" s="117" t="s">
        <v>202</v>
      </c>
      <c r="AA54" s="118">
        <v>5550</v>
      </c>
      <c r="AB54" s="128" t="s">
        <v>242</v>
      </c>
    </row>
    <row r="55" spans="17:28" customFormat="1" ht="15.75" x14ac:dyDescent="0.25">
      <c r="Q55" s="43"/>
      <c r="S55" s="43"/>
      <c r="T55" s="43"/>
      <c r="W55" s="112" t="s">
        <v>231</v>
      </c>
      <c r="X55" s="114">
        <v>6029.6</v>
      </c>
      <c r="Y55" s="114"/>
      <c r="Z55" s="117" t="s">
        <v>202</v>
      </c>
      <c r="AA55" s="118">
        <v>6029.6</v>
      </c>
      <c r="AB55" s="128"/>
    </row>
    <row r="56" spans="17:28" customFormat="1" ht="15.75" x14ac:dyDescent="0.25">
      <c r="Q56" s="43"/>
      <c r="S56" s="43"/>
      <c r="T56" s="43"/>
      <c r="W56" s="112" t="s">
        <v>230</v>
      </c>
      <c r="X56" s="114">
        <v>99</v>
      </c>
      <c r="Y56" s="114"/>
      <c r="Z56" s="113" t="s">
        <v>202</v>
      </c>
      <c r="AA56" s="114">
        <v>98.9</v>
      </c>
      <c r="AB56" s="128" t="s">
        <v>242</v>
      </c>
    </row>
    <row r="57" spans="17:28" customFormat="1" ht="16.5" thickBot="1" x14ac:dyDescent="0.3">
      <c r="Q57" s="43"/>
      <c r="S57" s="43"/>
      <c r="T57" s="43"/>
      <c r="W57" s="112"/>
      <c r="X57" s="152"/>
      <c r="Y57" s="152"/>
      <c r="Z57" s="132" t="s">
        <v>202</v>
      </c>
      <c r="AA57" s="133">
        <v>0</v>
      </c>
      <c r="AB57" s="128"/>
    </row>
    <row r="58" spans="17:28" customFormat="1" ht="16.5" thickBot="1" x14ac:dyDescent="0.3">
      <c r="Q58" s="43"/>
      <c r="S58" s="43"/>
      <c r="T58" s="43"/>
      <c r="W58" s="138"/>
      <c r="X58" s="153"/>
      <c r="Y58" s="153"/>
      <c r="Z58" s="141" t="s">
        <v>232</v>
      </c>
      <c r="AA58" s="140">
        <f>SUM(AA53:AA57)</f>
        <v>34323.5</v>
      </c>
      <c r="AB58" s="139"/>
    </row>
    <row r="59" spans="17:28" customFormat="1" ht="15.75" x14ac:dyDescent="0.25">
      <c r="Q59" s="43"/>
      <c r="S59" s="43"/>
      <c r="T59" s="43"/>
      <c r="W59" s="134"/>
      <c r="X59" s="153"/>
      <c r="Y59" s="153"/>
      <c r="Z59" s="135"/>
      <c r="AA59" s="136"/>
      <c r="AB59" s="137"/>
    </row>
    <row r="60" spans="17:28" customFormat="1" ht="15.75" x14ac:dyDescent="0.25">
      <c r="Q60" s="43"/>
      <c r="S60" s="43"/>
      <c r="T60" s="43"/>
      <c r="W60" s="134"/>
      <c r="X60" s="153"/>
      <c r="Y60" s="153"/>
      <c r="Z60" s="135"/>
      <c r="AA60" s="136"/>
      <c r="AB60" s="137"/>
    </row>
    <row r="61" spans="17:28" customFormat="1" ht="15.75" x14ac:dyDescent="0.25">
      <c r="Q61" s="43"/>
      <c r="S61" s="43"/>
      <c r="T61" s="43"/>
      <c r="W61" s="134"/>
      <c r="X61" s="153"/>
      <c r="Y61" s="153"/>
      <c r="Z61" s="135"/>
      <c r="AA61" s="136"/>
      <c r="AB61" s="137"/>
    </row>
    <row r="62" spans="17:28" customFormat="1" x14ac:dyDescent="0.25">
      <c r="Q62" s="43"/>
      <c r="S62" s="43"/>
      <c r="T62" s="43"/>
      <c r="W62" s="102" t="s">
        <v>200</v>
      </c>
      <c r="X62" s="103"/>
      <c r="Y62" s="103"/>
      <c r="Z62" s="104"/>
      <c r="AA62" s="142" t="s">
        <v>235</v>
      </c>
      <c r="AB62" s="107"/>
    </row>
    <row r="63" spans="17:28" customFormat="1" x14ac:dyDescent="0.25">
      <c r="Q63" s="43"/>
      <c r="S63" s="43"/>
      <c r="T63" s="43"/>
      <c r="V63" s="13"/>
      <c r="W63" s="102"/>
      <c r="X63" s="103"/>
      <c r="Y63" s="103"/>
      <c r="Z63" s="104"/>
      <c r="AA63" s="103"/>
      <c r="AB63" s="109"/>
    </row>
    <row r="64" spans="17:28" customFormat="1" ht="15.75" x14ac:dyDescent="0.25">
      <c r="Q64" s="43"/>
      <c r="S64" s="43"/>
      <c r="T64" s="43"/>
      <c r="V64" s="13"/>
      <c r="W64" s="112" t="s">
        <v>234</v>
      </c>
      <c r="X64" s="114">
        <v>21950</v>
      </c>
      <c r="Y64" s="114"/>
      <c r="Z64" s="113" t="s">
        <v>202</v>
      </c>
      <c r="AA64" s="114">
        <v>21950</v>
      </c>
      <c r="AB64" s="115" t="s">
        <v>242</v>
      </c>
    </row>
    <row r="65" spans="17:28" customFormat="1" ht="15.75" x14ac:dyDescent="0.25">
      <c r="Q65" s="43"/>
      <c r="S65" s="43"/>
      <c r="T65" s="43"/>
      <c r="V65" s="13"/>
      <c r="W65" s="126" t="s">
        <v>230</v>
      </c>
      <c r="X65" s="151">
        <v>5956.5</v>
      </c>
      <c r="Y65" s="151"/>
      <c r="Z65" s="117" t="s">
        <v>202</v>
      </c>
      <c r="AA65" s="118">
        <v>5956.5</v>
      </c>
      <c r="AB65" s="128" t="s">
        <v>242</v>
      </c>
    </row>
    <row r="66" spans="17:28" customFormat="1" ht="15.75" x14ac:dyDescent="0.25">
      <c r="Q66" s="43"/>
      <c r="S66" s="43"/>
      <c r="T66" s="43"/>
      <c r="W66" s="112" t="s">
        <v>230</v>
      </c>
      <c r="X66" s="114">
        <v>5054</v>
      </c>
      <c r="Y66" s="114"/>
      <c r="Z66" s="117" t="s">
        <v>202</v>
      </c>
      <c r="AA66" s="118">
        <v>5054</v>
      </c>
      <c r="AB66" s="128" t="s">
        <v>244</v>
      </c>
    </row>
    <row r="67" spans="17:28" customFormat="1" ht="15.75" x14ac:dyDescent="0.25">
      <c r="Q67" s="43"/>
      <c r="S67" s="43"/>
      <c r="T67" s="43"/>
      <c r="W67" s="112"/>
      <c r="X67" s="114"/>
      <c r="Y67" s="114"/>
      <c r="Z67" s="113" t="s">
        <v>202</v>
      </c>
      <c r="AA67" s="114">
        <v>0</v>
      </c>
      <c r="AB67" s="128"/>
    </row>
    <row r="68" spans="17:28" customFormat="1" ht="16.5" thickBot="1" x14ac:dyDescent="0.3">
      <c r="Q68" s="43"/>
      <c r="S68" s="43"/>
      <c r="T68" s="43"/>
      <c r="W68" s="112"/>
      <c r="X68" s="152"/>
      <c r="Y68" s="152"/>
      <c r="Z68" s="132" t="s">
        <v>202</v>
      </c>
      <c r="AA68" s="133">
        <v>0</v>
      </c>
      <c r="AB68" s="128"/>
    </row>
    <row r="69" spans="17:28" customFormat="1" ht="16.5" thickBot="1" x14ac:dyDescent="0.3">
      <c r="Q69" s="43"/>
      <c r="S69" s="43"/>
      <c r="T69" s="43"/>
      <c r="W69" s="138"/>
      <c r="X69" s="153"/>
      <c r="Y69" s="153"/>
      <c r="Z69" s="141" t="s">
        <v>232</v>
      </c>
      <c r="AA69" s="140">
        <f>SUM(AA64:AA68)</f>
        <v>32960.5</v>
      </c>
      <c r="AB69" s="139"/>
    </row>
    <row r="70" spans="17:28" customFormat="1" ht="15.75" x14ac:dyDescent="0.25">
      <c r="Q70" s="43"/>
      <c r="S70" s="43"/>
      <c r="T70" s="43"/>
      <c r="W70" s="134"/>
      <c r="X70" s="153"/>
      <c r="Y70" s="153"/>
      <c r="Z70" s="135"/>
      <c r="AA70" s="136"/>
      <c r="AB70" s="137"/>
    </row>
    <row r="71" spans="17:28" customFormat="1" x14ac:dyDescent="0.25">
      <c r="Q71" s="43"/>
      <c r="S71" s="43"/>
      <c r="T71" s="43"/>
      <c r="X71" s="43"/>
      <c r="Y71" s="43"/>
      <c r="AA71" s="58"/>
      <c r="AB71" s="5"/>
    </row>
    <row r="72" spans="17:28" customFormat="1" x14ac:dyDescent="0.25">
      <c r="Q72" s="43"/>
      <c r="S72" s="43"/>
      <c r="T72" s="43"/>
      <c r="X72" s="43"/>
      <c r="Y72" s="43"/>
      <c r="AA72" s="58"/>
      <c r="AB72" s="5"/>
    </row>
    <row r="73" spans="17:28" customFormat="1" x14ac:dyDescent="0.25">
      <c r="Q73" s="43"/>
      <c r="S73" s="43"/>
      <c r="T73" s="43"/>
      <c r="W73" s="102" t="s">
        <v>200</v>
      </c>
      <c r="X73" s="103"/>
      <c r="Y73" s="103"/>
      <c r="Z73" s="104"/>
      <c r="AA73" s="142" t="s">
        <v>247</v>
      </c>
      <c r="AB73" s="107"/>
    </row>
    <row r="74" spans="17:28" customFormat="1" x14ac:dyDescent="0.25">
      <c r="Q74" s="43"/>
      <c r="S74" s="43"/>
      <c r="T74" s="43"/>
      <c r="V74" s="13"/>
      <c r="W74" s="102"/>
      <c r="X74" s="103"/>
      <c r="Y74" s="103"/>
      <c r="Z74" s="104"/>
      <c r="AA74" s="103"/>
      <c r="AB74" s="109"/>
    </row>
    <row r="75" spans="17:28" ht="15.75" x14ac:dyDescent="0.25">
      <c r="W75" s="112" t="s">
        <v>234</v>
      </c>
      <c r="X75" s="114">
        <v>38559.269999999997</v>
      </c>
      <c r="Y75" s="114"/>
      <c r="Z75" s="113" t="s">
        <v>202</v>
      </c>
      <c r="AA75" s="114">
        <v>33619.5</v>
      </c>
      <c r="AB75" s="158">
        <v>42034</v>
      </c>
    </row>
    <row r="76" spans="17:28" ht="15.75" x14ac:dyDescent="0.25">
      <c r="W76" s="126"/>
      <c r="X76" s="151">
        <v>0</v>
      </c>
      <c r="Y76" s="151"/>
      <c r="Z76" s="117" t="s">
        <v>202</v>
      </c>
      <c r="AA76" s="118">
        <v>4939.5</v>
      </c>
      <c r="AB76" s="159">
        <v>42034</v>
      </c>
    </row>
    <row r="77" spans="17:28" ht="15.75" x14ac:dyDescent="0.25">
      <c r="W77" s="112" t="s">
        <v>248</v>
      </c>
      <c r="X77" s="114">
        <v>19020</v>
      </c>
      <c r="Y77" s="114"/>
      <c r="Z77" s="117" t="s">
        <v>202</v>
      </c>
      <c r="AA77" s="118">
        <v>19020</v>
      </c>
      <c r="AB77" s="159">
        <v>42034</v>
      </c>
    </row>
    <row r="78" spans="17:28" ht="15.75" x14ac:dyDescent="0.25">
      <c r="W78" s="112" t="s">
        <v>242</v>
      </c>
      <c r="X78" s="114">
        <v>0</v>
      </c>
      <c r="Y78" s="114"/>
      <c r="Z78" s="113" t="s">
        <v>202</v>
      </c>
      <c r="AA78" s="114">
        <v>0</v>
      </c>
      <c r="AB78" s="159"/>
    </row>
    <row r="79" spans="17:28" ht="16.5" thickBot="1" x14ac:dyDescent="0.3">
      <c r="W79" s="112"/>
      <c r="X79" s="160">
        <v>0</v>
      </c>
      <c r="Y79" s="152"/>
      <c r="Z79" s="132" t="s">
        <v>202</v>
      </c>
      <c r="AA79" s="133">
        <v>0</v>
      </c>
      <c r="AB79" s="159"/>
    </row>
    <row r="80" spans="17:28" ht="17.25" thickTop="1" thickBot="1" x14ac:dyDescent="0.3">
      <c r="W80" s="138"/>
      <c r="X80" s="153">
        <f>SUM(X75:X79)</f>
        <v>57579.27</v>
      </c>
      <c r="Y80" s="153"/>
      <c r="Z80" s="141" t="s">
        <v>232</v>
      </c>
      <c r="AA80" s="140">
        <f>SUM(AA75:AA79)</f>
        <v>57579</v>
      </c>
      <c r="AB80" s="139"/>
    </row>
    <row r="81" spans="23:28" ht="15.75" x14ac:dyDescent="0.25">
      <c r="W81" s="134"/>
      <c r="X81" s="153"/>
      <c r="Y81" s="153"/>
      <c r="Z81" s="135"/>
      <c r="AA81" s="136"/>
      <c r="AB81" s="137"/>
    </row>
    <row r="85" spans="23:28" x14ac:dyDescent="0.25">
      <c r="W85" s="102" t="s">
        <v>200</v>
      </c>
      <c r="X85" s="103"/>
      <c r="Y85" s="103"/>
      <c r="Z85" s="104"/>
      <c r="AA85" s="142" t="s">
        <v>253</v>
      </c>
      <c r="AB85" s="107"/>
    </row>
    <row r="86" spans="23:28" x14ac:dyDescent="0.25">
      <c r="W86" s="102"/>
      <c r="X86" s="103"/>
      <c r="Y86" s="103"/>
      <c r="Z86" s="104"/>
      <c r="AA86" s="103"/>
      <c r="AB86" s="109"/>
    </row>
    <row r="87" spans="23:28" ht="15.75" x14ac:dyDescent="0.25">
      <c r="W87" s="193">
        <v>10577</v>
      </c>
      <c r="X87" s="114">
        <v>43928.86</v>
      </c>
      <c r="Y87" s="114"/>
      <c r="Z87" s="113" t="s">
        <v>202</v>
      </c>
      <c r="AA87" s="114">
        <v>37176</v>
      </c>
      <c r="AB87" s="158">
        <v>42035</v>
      </c>
    </row>
    <row r="88" spans="23:28" ht="15.75" x14ac:dyDescent="0.25">
      <c r="W88" s="194">
        <v>10655</v>
      </c>
      <c r="X88" s="151">
        <v>8689.7000000000007</v>
      </c>
      <c r="Y88" s="151"/>
      <c r="Z88" s="127" t="s">
        <v>202</v>
      </c>
      <c r="AA88" s="118">
        <v>6753</v>
      </c>
      <c r="AB88" s="159">
        <v>42035</v>
      </c>
    </row>
    <row r="89" spans="23:28" ht="15.75" x14ac:dyDescent="0.25">
      <c r="W89" s="193">
        <v>10690</v>
      </c>
      <c r="X89" s="114">
        <v>89205.94</v>
      </c>
      <c r="Y89" s="114" t="s">
        <v>242</v>
      </c>
      <c r="Z89" s="127" t="s">
        <v>202</v>
      </c>
      <c r="AA89" s="118">
        <v>8690</v>
      </c>
      <c r="AB89" s="159">
        <v>42035</v>
      </c>
    </row>
    <row r="90" spans="23:28" ht="15.75" x14ac:dyDescent="0.25">
      <c r="W90" s="193"/>
      <c r="X90" s="114"/>
      <c r="Y90" s="114"/>
      <c r="Z90" s="191">
        <v>27250557</v>
      </c>
      <c r="AA90" s="114">
        <v>35000</v>
      </c>
      <c r="AB90" s="159">
        <v>42035</v>
      </c>
    </row>
    <row r="91" spans="23:28" ht="15.75" x14ac:dyDescent="0.25">
      <c r="W91" s="195"/>
      <c r="X91" s="152">
        <v>0</v>
      </c>
      <c r="Y91" s="152"/>
      <c r="Z91" s="132" t="s">
        <v>202</v>
      </c>
      <c r="AA91" s="133">
        <v>4300</v>
      </c>
      <c r="AB91" s="187">
        <v>42035</v>
      </c>
    </row>
    <row r="92" spans="23:28" ht="15.75" x14ac:dyDescent="0.25">
      <c r="W92" s="196"/>
      <c r="X92" s="150"/>
      <c r="Y92" s="150"/>
      <c r="Z92" s="127">
        <v>2720559</v>
      </c>
      <c r="AA92" s="118">
        <v>5605.5</v>
      </c>
      <c r="AB92" s="199">
        <v>42036</v>
      </c>
    </row>
    <row r="93" spans="23:28" ht="15.75" x14ac:dyDescent="0.25">
      <c r="W93" s="193"/>
      <c r="X93" s="114"/>
      <c r="Y93" s="114"/>
      <c r="Z93" s="191">
        <v>2720558</v>
      </c>
      <c r="AA93" s="118">
        <v>44300</v>
      </c>
      <c r="AB93" s="199">
        <v>42036</v>
      </c>
    </row>
    <row r="94" spans="23:28" x14ac:dyDescent="0.25">
      <c r="W94" s="196"/>
      <c r="X94" s="150"/>
      <c r="Y94" s="150"/>
      <c r="Z94" s="192"/>
      <c r="AA94" s="121"/>
      <c r="AB94" s="128"/>
    </row>
    <row r="95" spans="23:28" x14ac:dyDescent="0.25">
      <c r="W95" s="196"/>
      <c r="X95" s="150"/>
      <c r="Y95" s="150"/>
      <c r="Z95" s="192"/>
      <c r="AA95" s="121"/>
      <c r="AB95" s="128"/>
    </row>
    <row r="96" spans="23:28" x14ac:dyDescent="0.25">
      <c r="W96" s="196"/>
      <c r="X96" s="150"/>
      <c r="Y96" s="150"/>
      <c r="Z96" s="119"/>
      <c r="AA96" s="121"/>
      <c r="AB96" s="128"/>
    </row>
    <row r="97" spans="23:28" ht="16.5" thickBot="1" x14ac:dyDescent="0.3">
      <c r="W97" s="197"/>
      <c r="X97" s="153">
        <f>SUM(X87:X91)</f>
        <v>141824.5</v>
      </c>
      <c r="Y97" s="153"/>
      <c r="Z97" s="188" t="s">
        <v>232</v>
      </c>
      <c r="AA97" s="189">
        <f>SUM(AA87:AA93)</f>
        <v>141824.5</v>
      </c>
      <c r="AB97" s="190"/>
    </row>
    <row r="98" spans="23:28" x14ac:dyDescent="0.25">
      <c r="W98" s="198"/>
    </row>
  </sheetData>
  <sortState ref="O24:T31">
    <sortCondition ref="P24:P31"/>
  </sortState>
  <mergeCells count="13">
    <mergeCell ref="Q3:S3"/>
    <mergeCell ref="J43:K43"/>
    <mergeCell ref="D46:E46"/>
    <mergeCell ref="C1:K1"/>
    <mergeCell ref="E4:F4"/>
    <mergeCell ref="I4:L4"/>
    <mergeCell ref="H40:I40"/>
    <mergeCell ref="K40:L40"/>
    <mergeCell ref="D41:E41"/>
    <mergeCell ref="H44:I44"/>
    <mergeCell ref="J44:K44"/>
    <mergeCell ref="J45:K45"/>
    <mergeCell ref="J46:K46"/>
  </mergeCells>
  <pageMargins left="0.70866141732283472" right="0.70866141732283472" top="0.19685039370078741" bottom="0.15748031496062992" header="0.31496062992125984" footer="0.31496062992125984"/>
  <pageSetup scale="75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E97"/>
  <sheetViews>
    <sheetView topLeftCell="A25" workbookViewId="0">
      <selection activeCell="F51" sqref="F51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10" width="13.7109375" style="43" customWidth="1"/>
    <col min="12" max="12" width="17.85546875" bestFit="1" customWidth="1"/>
    <col min="13" max="13" width="22.5703125" style="68" customWidth="1"/>
    <col min="14" max="14" width="22.5703125" style="202" customWidth="1"/>
    <col min="16" max="16" width="11.42578125" style="110"/>
    <col min="17" max="17" width="11.42578125" style="111"/>
    <col min="18" max="19" width="14.140625" style="43" bestFit="1" customWidth="1"/>
    <col min="20" max="20" width="17.28515625" style="58" customWidth="1"/>
    <col min="21" max="21" width="12.5703125" style="43" bestFit="1" customWidth="1"/>
    <col min="26" max="26" width="17.42578125" style="58" bestFit="1" customWidth="1"/>
    <col min="27" max="27" width="9.5703125" style="58" customWidth="1"/>
    <col min="28" max="28" width="10.7109375" style="58" customWidth="1"/>
    <col min="29" max="29" width="17.42578125" style="58" bestFit="1" customWidth="1"/>
  </cols>
  <sheetData>
    <row r="1" spans="1:30" ht="23.25" x14ac:dyDescent="0.35">
      <c r="C1" s="368" t="s">
        <v>241</v>
      </c>
      <c r="D1" s="368"/>
      <c r="E1" s="368"/>
      <c r="F1" s="368"/>
      <c r="G1" s="368"/>
      <c r="H1" s="368"/>
      <c r="I1" s="368"/>
      <c r="J1" s="368"/>
      <c r="K1" s="368"/>
    </row>
    <row r="2" spans="1:30" ht="16.5" thickBot="1" x14ac:dyDescent="0.3">
      <c r="E2" s="257"/>
      <c r="F2" s="50"/>
      <c r="Y2" s="104"/>
      <c r="Z2" s="224">
        <v>42047</v>
      </c>
      <c r="AA2" s="215"/>
      <c r="AB2" s="134" t="s">
        <v>200</v>
      </c>
      <c r="AC2" s="88"/>
    </row>
    <row r="3" spans="1:30" ht="16.5" thickBot="1" x14ac:dyDescent="0.3">
      <c r="C3" s="44" t="s">
        <v>0</v>
      </c>
      <c r="D3" s="3"/>
      <c r="R3" s="391" t="s">
        <v>240</v>
      </c>
      <c r="S3" s="392"/>
      <c r="T3" s="393"/>
      <c r="X3" s="102"/>
      <c r="Y3" s="104"/>
      <c r="Z3" s="103"/>
      <c r="AA3" s="103"/>
      <c r="AB3" s="103"/>
      <c r="AC3" s="213"/>
    </row>
    <row r="4" spans="1:30" ht="20.25" thickTop="1" thickBot="1" x14ac:dyDescent="0.35">
      <c r="A4" s="96" t="s">
        <v>2</v>
      </c>
      <c r="B4" s="38"/>
      <c r="C4" s="94">
        <v>218235.22</v>
      </c>
      <c r="D4" s="2"/>
      <c r="E4" s="389" t="s">
        <v>14</v>
      </c>
      <c r="F4" s="390"/>
      <c r="I4" s="371" t="s">
        <v>4</v>
      </c>
      <c r="J4" s="372"/>
      <c r="K4" s="372"/>
      <c r="L4" s="372"/>
      <c r="M4" s="69" t="s">
        <v>18</v>
      </c>
      <c r="N4" s="203" t="s">
        <v>264</v>
      </c>
      <c r="Y4" s="193">
        <v>10690</v>
      </c>
      <c r="Z4" s="130">
        <v>7145.5</v>
      </c>
      <c r="AA4" s="130"/>
      <c r="AB4" s="113" t="s">
        <v>202</v>
      </c>
      <c r="AC4" s="270">
        <v>7145.5</v>
      </c>
      <c r="AD4" s="212">
        <v>42038</v>
      </c>
    </row>
    <row r="5" spans="1:30" ht="16.5" thickTop="1" x14ac:dyDescent="0.25">
      <c r="A5" s="21"/>
      <c r="B5" s="39">
        <v>42036</v>
      </c>
      <c r="C5" s="45">
        <v>431.5</v>
      </c>
      <c r="D5" s="22" t="s">
        <v>31</v>
      </c>
      <c r="E5" s="26">
        <v>42036</v>
      </c>
      <c r="F5" s="51">
        <v>50233</v>
      </c>
      <c r="G5" s="23"/>
      <c r="H5" s="24">
        <v>42036</v>
      </c>
      <c r="I5" s="60">
        <v>200</v>
      </c>
      <c r="J5" s="87"/>
      <c r="K5" s="34"/>
      <c r="L5" s="34"/>
      <c r="M5" s="67" t="s">
        <v>262</v>
      </c>
      <c r="N5" s="75">
        <v>49905.5</v>
      </c>
      <c r="O5" s="80"/>
      <c r="P5" s="143">
        <v>42036</v>
      </c>
      <c r="Q5" s="144">
        <v>10771</v>
      </c>
      <c r="R5" s="156">
        <v>10067.719999999999</v>
      </c>
      <c r="S5" s="104">
        <v>42047</v>
      </c>
      <c r="T5" s="103">
        <v>10067.719999999999</v>
      </c>
      <c r="U5" s="154">
        <f t="shared" ref="U5:U47" si="0">R5-T5</f>
        <v>0</v>
      </c>
      <c r="V5" s="105"/>
      <c r="W5" s="106"/>
      <c r="Y5" s="194">
        <v>10771</v>
      </c>
      <c r="Z5" s="207">
        <v>10067.719999999999</v>
      </c>
      <c r="AA5" s="207"/>
      <c r="AB5" s="127" t="s">
        <v>202</v>
      </c>
      <c r="AC5" s="269">
        <v>23088</v>
      </c>
      <c r="AD5" s="212">
        <v>42038</v>
      </c>
    </row>
    <row r="6" spans="1:30" ht="15.75" x14ac:dyDescent="0.25">
      <c r="A6" s="21"/>
      <c r="B6" s="39">
        <v>42037</v>
      </c>
      <c r="C6" s="45">
        <v>0</v>
      </c>
      <c r="D6" s="29"/>
      <c r="E6" s="26">
        <v>42037</v>
      </c>
      <c r="F6" s="51">
        <v>35073</v>
      </c>
      <c r="G6" s="19"/>
      <c r="H6" s="27">
        <v>42037</v>
      </c>
      <c r="I6" s="61">
        <v>81</v>
      </c>
      <c r="J6" s="88"/>
      <c r="K6" s="13" t="s">
        <v>5</v>
      </c>
      <c r="L6" s="20">
        <v>0</v>
      </c>
      <c r="M6" s="67" t="s">
        <v>263</v>
      </c>
      <c r="N6" s="75">
        <v>35535</v>
      </c>
      <c r="O6" s="80"/>
      <c r="P6" s="143">
        <v>42036</v>
      </c>
      <c r="Q6" s="144">
        <v>10774</v>
      </c>
      <c r="R6" s="156">
        <v>3650</v>
      </c>
      <c r="S6" s="104">
        <v>42047</v>
      </c>
      <c r="T6" s="103">
        <v>3650</v>
      </c>
      <c r="U6" s="154">
        <f t="shared" si="0"/>
        <v>0</v>
      </c>
      <c r="V6" s="105"/>
      <c r="W6" s="108"/>
      <c r="Y6" s="193">
        <v>10774</v>
      </c>
      <c r="Z6" s="207">
        <v>3650</v>
      </c>
      <c r="AA6" s="207"/>
      <c r="AB6" s="127" t="s">
        <v>202</v>
      </c>
      <c r="AC6" s="269">
        <v>5301.5</v>
      </c>
      <c r="AD6" s="212">
        <v>42038</v>
      </c>
    </row>
    <row r="7" spans="1:30" ht="15.75" x14ac:dyDescent="0.25">
      <c r="A7" s="21"/>
      <c r="B7" s="39">
        <v>42038</v>
      </c>
      <c r="C7" s="45">
        <v>0</v>
      </c>
      <c r="D7" s="32"/>
      <c r="E7" s="26">
        <v>42038</v>
      </c>
      <c r="F7" s="51">
        <v>36897</v>
      </c>
      <c r="G7" s="23"/>
      <c r="H7" s="27">
        <v>42038</v>
      </c>
      <c r="I7" s="61">
        <v>680</v>
      </c>
      <c r="J7" s="88" t="s">
        <v>266</v>
      </c>
      <c r="K7" s="13" t="s">
        <v>3</v>
      </c>
      <c r="L7" s="20">
        <v>0</v>
      </c>
      <c r="M7" s="67" t="s">
        <v>265</v>
      </c>
      <c r="N7" s="75">
        <v>36362</v>
      </c>
      <c r="O7" s="80"/>
      <c r="P7" s="143">
        <v>42037</v>
      </c>
      <c r="Q7" s="144">
        <v>10839</v>
      </c>
      <c r="R7" s="156">
        <v>9370</v>
      </c>
      <c r="S7" s="104">
        <v>42047</v>
      </c>
      <c r="T7" s="103">
        <v>9370</v>
      </c>
      <c r="U7" s="155">
        <f t="shared" si="0"/>
        <v>0</v>
      </c>
      <c r="V7" s="105"/>
      <c r="W7" s="108"/>
      <c r="Y7" s="193">
        <v>10839</v>
      </c>
      <c r="Z7" s="130">
        <v>9370</v>
      </c>
      <c r="AA7" s="130"/>
      <c r="AB7" s="113" t="s">
        <v>202</v>
      </c>
      <c r="AC7" s="269">
        <v>2512</v>
      </c>
      <c r="AD7" s="212">
        <v>42038</v>
      </c>
    </row>
    <row r="8" spans="1:30" ht="15.75" x14ac:dyDescent="0.25">
      <c r="A8" s="21"/>
      <c r="B8" s="39">
        <v>42039</v>
      </c>
      <c r="C8" s="45">
        <v>0</v>
      </c>
      <c r="D8" s="22"/>
      <c r="E8" s="26">
        <v>42039</v>
      </c>
      <c r="F8" s="51">
        <v>26052.5</v>
      </c>
      <c r="G8" s="23"/>
      <c r="H8" s="27">
        <v>42039</v>
      </c>
      <c r="I8" s="61">
        <v>200</v>
      </c>
      <c r="J8" s="88"/>
      <c r="K8" s="13" t="s">
        <v>6</v>
      </c>
      <c r="L8" s="20">
        <v>28750</v>
      </c>
      <c r="M8" s="201" t="s">
        <v>267</v>
      </c>
      <c r="N8" s="204">
        <v>25600</v>
      </c>
      <c r="O8" s="80"/>
      <c r="P8" s="143">
        <v>42038</v>
      </c>
      <c r="Q8" s="144">
        <v>10928</v>
      </c>
      <c r="R8" s="156">
        <v>7813.3</v>
      </c>
      <c r="S8" s="104">
        <v>42047</v>
      </c>
      <c r="T8" s="103">
        <v>7813.3</v>
      </c>
      <c r="U8" s="155">
        <f t="shared" si="0"/>
        <v>0</v>
      </c>
      <c r="V8" s="105"/>
      <c r="W8" s="106"/>
      <c r="Y8" s="193">
        <v>10928</v>
      </c>
      <c r="Z8" s="207">
        <v>7813.3</v>
      </c>
      <c r="AA8" s="207"/>
      <c r="AB8" s="113" t="s">
        <v>202</v>
      </c>
      <c r="AC8" s="269">
        <v>33850</v>
      </c>
      <c r="AD8" s="212">
        <v>42038</v>
      </c>
    </row>
    <row r="9" spans="1:30" ht="15.75" x14ac:dyDescent="0.25">
      <c r="A9" s="21"/>
      <c r="B9" s="39">
        <v>42040</v>
      </c>
      <c r="C9" s="45">
        <v>0</v>
      </c>
      <c r="D9" s="22"/>
      <c r="E9" s="26">
        <v>42040</v>
      </c>
      <c r="F9" s="51">
        <v>44064</v>
      </c>
      <c r="G9" s="23"/>
      <c r="H9" s="27">
        <v>42040</v>
      </c>
      <c r="I9" s="61">
        <v>200</v>
      </c>
      <c r="J9" s="88"/>
      <c r="K9" s="13" t="s">
        <v>258</v>
      </c>
      <c r="L9" s="20">
        <v>8938.91</v>
      </c>
      <c r="M9" s="67" t="s">
        <v>268</v>
      </c>
      <c r="N9" s="75">
        <v>43781.5</v>
      </c>
      <c r="O9" s="80"/>
      <c r="P9" s="143">
        <v>42039</v>
      </c>
      <c r="Q9" s="144">
        <v>11028</v>
      </c>
      <c r="R9" s="156">
        <v>33865.300000000003</v>
      </c>
      <c r="S9" s="104">
        <v>42047</v>
      </c>
      <c r="T9" s="103">
        <v>33865.300000000003</v>
      </c>
      <c r="U9" s="155">
        <f t="shared" si="0"/>
        <v>0</v>
      </c>
      <c r="Y9" s="193">
        <v>11028</v>
      </c>
      <c r="Z9" s="207">
        <v>33865.300000000003</v>
      </c>
      <c r="AA9" s="207"/>
      <c r="AB9" s="113" t="s">
        <v>202</v>
      </c>
      <c r="AC9" s="269">
        <v>7361.5</v>
      </c>
      <c r="AD9" s="212">
        <v>42041</v>
      </c>
    </row>
    <row r="10" spans="1:30" ht="15.75" x14ac:dyDescent="0.25">
      <c r="A10" s="21"/>
      <c r="B10" s="39">
        <v>42041</v>
      </c>
      <c r="C10" s="45">
        <v>0</v>
      </c>
      <c r="D10" s="32"/>
      <c r="E10" s="26">
        <v>42041</v>
      </c>
      <c r="F10" s="51">
        <v>46417.5</v>
      </c>
      <c r="G10" s="23"/>
      <c r="H10" s="27">
        <v>42041</v>
      </c>
      <c r="I10" s="61">
        <v>200</v>
      </c>
      <c r="J10" s="88"/>
      <c r="K10" s="13" t="s">
        <v>259</v>
      </c>
      <c r="L10" s="20">
        <v>7777.05</v>
      </c>
      <c r="M10" s="67" t="s">
        <v>269</v>
      </c>
      <c r="N10" s="75">
        <v>45966.5</v>
      </c>
      <c r="O10" s="80"/>
      <c r="P10" s="143">
        <v>42040</v>
      </c>
      <c r="Q10" s="205">
        <v>11107</v>
      </c>
      <c r="R10" s="156">
        <v>8643.1</v>
      </c>
      <c r="S10" s="104">
        <v>42047</v>
      </c>
      <c r="T10" s="103">
        <f>5366.5+3276.6</f>
        <v>8643.1</v>
      </c>
      <c r="U10" s="155">
        <f t="shared" si="0"/>
        <v>0</v>
      </c>
      <c r="Y10" s="193">
        <v>11107</v>
      </c>
      <c r="Z10" s="207">
        <v>8643.1</v>
      </c>
      <c r="AA10" s="207"/>
      <c r="AB10" s="113" t="s">
        <v>202</v>
      </c>
      <c r="AC10" s="269">
        <v>5366.5</v>
      </c>
      <c r="AD10" s="212">
        <v>42040</v>
      </c>
    </row>
    <row r="11" spans="1:30" ht="15.75" x14ac:dyDescent="0.25">
      <c r="A11" s="21"/>
      <c r="B11" s="39">
        <v>42042</v>
      </c>
      <c r="C11" s="45">
        <v>0</v>
      </c>
      <c r="D11" s="32"/>
      <c r="E11" s="26">
        <v>42042</v>
      </c>
      <c r="F11" s="51">
        <v>85510.5</v>
      </c>
      <c r="G11" s="23"/>
      <c r="H11" s="27">
        <v>42042</v>
      </c>
      <c r="I11" s="62">
        <v>200</v>
      </c>
      <c r="J11" s="88"/>
      <c r="K11" s="13" t="s">
        <v>260</v>
      </c>
      <c r="L11" s="20">
        <v>7850.81</v>
      </c>
      <c r="M11" s="67" t="s">
        <v>270</v>
      </c>
      <c r="N11" s="75">
        <v>85149.5</v>
      </c>
      <c r="O11" s="80"/>
      <c r="P11" s="143">
        <v>42040</v>
      </c>
      <c r="Q11" s="144">
        <v>11183</v>
      </c>
      <c r="R11" s="156">
        <v>69578.64</v>
      </c>
      <c r="S11" s="104">
        <v>42047</v>
      </c>
      <c r="T11" s="103">
        <f>25600+38400+5448.5+130+0.14</f>
        <v>69578.64</v>
      </c>
      <c r="U11" s="155">
        <f t="shared" si="0"/>
        <v>0</v>
      </c>
      <c r="Y11" s="193">
        <v>11183</v>
      </c>
      <c r="Z11" s="207">
        <v>69578.64</v>
      </c>
      <c r="AA11" s="207"/>
      <c r="AB11" s="113" t="s">
        <v>202</v>
      </c>
      <c r="AC11" s="269">
        <v>25600</v>
      </c>
      <c r="AD11" s="212">
        <v>42039</v>
      </c>
    </row>
    <row r="12" spans="1:30" ht="15.75" x14ac:dyDescent="0.25">
      <c r="A12" s="21"/>
      <c r="B12" s="39">
        <v>42043</v>
      </c>
      <c r="C12" s="45">
        <v>0</v>
      </c>
      <c r="D12" s="32"/>
      <c r="E12" s="26">
        <v>42043</v>
      </c>
      <c r="F12" s="51">
        <v>48077</v>
      </c>
      <c r="G12" s="23"/>
      <c r="H12" s="27">
        <v>42043</v>
      </c>
      <c r="I12" s="62">
        <v>200</v>
      </c>
      <c r="J12" s="88"/>
      <c r="K12" s="13" t="s">
        <v>261</v>
      </c>
      <c r="L12" s="20">
        <v>8038.91</v>
      </c>
      <c r="M12" s="67" t="s">
        <v>272</v>
      </c>
      <c r="N12" s="75">
        <v>48214</v>
      </c>
      <c r="O12" s="80"/>
      <c r="P12" s="143">
        <v>42041</v>
      </c>
      <c r="Q12" s="205">
        <v>11298</v>
      </c>
      <c r="R12" s="156">
        <v>7361.6</v>
      </c>
      <c r="S12" s="104">
        <v>42047</v>
      </c>
      <c r="T12" s="103">
        <v>7361.6</v>
      </c>
      <c r="U12" s="155">
        <f t="shared" si="0"/>
        <v>0</v>
      </c>
      <c r="Y12" s="193">
        <v>11298</v>
      </c>
      <c r="Z12" s="207">
        <v>7361.6</v>
      </c>
      <c r="AA12" s="207"/>
      <c r="AB12" s="113" t="s">
        <v>202</v>
      </c>
      <c r="AC12" s="269">
        <v>38415.5</v>
      </c>
      <c r="AD12" s="212">
        <v>42040</v>
      </c>
    </row>
    <row r="13" spans="1:30" ht="15.75" x14ac:dyDescent="0.25">
      <c r="A13" s="21"/>
      <c r="B13" s="39">
        <v>42044</v>
      </c>
      <c r="C13" s="45">
        <v>0</v>
      </c>
      <c r="D13" s="32"/>
      <c r="E13" s="26">
        <v>42044</v>
      </c>
      <c r="F13" s="51">
        <v>63682</v>
      </c>
      <c r="G13" s="23"/>
      <c r="H13" s="27">
        <v>42044</v>
      </c>
      <c r="I13" s="62">
        <v>200</v>
      </c>
      <c r="J13" s="88"/>
      <c r="K13" s="13" t="s">
        <v>120</v>
      </c>
      <c r="L13" s="20">
        <v>0</v>
      </c>
      <c r="M13" s="67" t="s">
        <v>273</v>
      </c>
      <c r="N13" s="75">
        <v>61907.5</v>
      </c>
      <c r="O13" s="80"/>
      <c r="P13" s="143">
        <v>42041</v>
      </c>
      <c r="Q13" s="144">
        <v>11317</v>
      </c>
      <c r="R13" s="156">
        <v>48049.65</v>
      </c>
      <c r="S13" s="104" t="s">
        <v>279</v>
      </c>
      <c r="T13" s="103">
        <f>29750+12600+5699.5</f>
        <v>48049.5</v>
      </c>
      <c r="U13" s="155">
        <f t="shared" si="0"/>
        <v>0.15000000000145519</v>
      </c>
      <c r="Y13" s="193">
        <v>11317</v>
      </c>
      <c r="Z13" s="207">
        <v>29750</v>
      </c>
      <c r="AA13" s="207"/>
      <c r="AB13" s="113" t="s">
        <v>202</v>
      </c>
      <c r="AC13" s="269">
        <v>29750</v>
      </c>
      <c r="AD13" s="212">
        <v>42041</v>
      </c>
    </row>
    <row r="14" spans="1:30" ht="15.75" x14ac:dyDescent="0.25">
      <c r="A14" s="21"/>
      <c r="B14" s="39">
        <v>42045</v>
      </c>
      <c r="C14" s="45">
        <v>0</v>
      </c>
      <c r="D14" s="29"/>
      <c r="E14" s="26">
        <v>42045</v>
      </c>
      <c r="F14" s="51">
        <v>35650.5</v>
      </c>
      <c r="G14" s="23"/>
      <c r="H14" s="27">
        <v>42045</v>
      </c>
      <c r="I14" s="62">
        <v>200</v>
      </c>
      <c r="J14" s="88"/>
      <c r="K14" s="35" t="s">
        <v>16</v>
      </c>
      <c r="L14" s="20">
        <v>0</v>
      </c>
      <c r="M14" s="67" t="s">
        <v>274</v>
      </c>
      <c r="N14" s="75">
        <v>35614</v>
      </c>
      <c r="O14" s="80"/>
      <c r="P14" s="143">
        <v>42042</v>
      </c>
      <c r="Q14" s="144">
        <v>11399</v>
      </c>
      <c r="R14" s="156">
        <v>85674.76</v>
      </c>
      <c r="S14" s="104">
        <v>42051</v>
      </c>
      <c r="T14" s="103">
        <f>5244.5+13580.5+47200+19650</f>
        <v>85675</v>
      </c>
      <c r="U14" s="155">
        <f t="shared" si="0"/>
        <v>-0.24000000000523869</v>
      </c>
      <c r="Y14" s="193"/>
      <c r="Z14" s="207">
        <v>0</v>
      </c>
      <c r="AA14" s="207"/>
      <c r="AB14" s="113" t="s">
        <v>202</v>
      </c>
      <c r="AC14" s="269">
        <v>3276.5</v>
      </c>
      <c r="AD14" s="212">
        <v>42041</v>
      </c>
    </row>
    <row r="15" spans="1:30" ht="15.75" x14ac:dyDescent="0.25">
      <c r="A15" s="21"/>
      <c r="B15" s="39">
        <v>42046</v>
      </c>
      <c r="C15" s="45">
        <v>0</v>
      </c>
      <c r="D15" s="29"/>
      <c r="E15" s="26">
        <v>42046</v>
      </c>
      <c r="F15" s="51">
        <v>24734</v>
      </c>
      <c r="G15" s="23"/>
      <c r="H15" s="27">
        <v>42046</v>
      </c>
      <c r="I15" s="62">
        <v>200</v>
      </c>
      <c r="J15" s="88"/>
      <c r="K15" s="28" t="s">
        <v>15</v>
      </c>
      <c r="L15" s="20">
        <v>0</v>
      </c>
      <c r="M15" s="67" t="s">
        <v>275</v>
      </c>
      <c r="N15" s="75">
        <v>26031</v>
      </c>
      <c r="O15" s="80"/>
      <c r="P15" s="143">
        <v>42042</v>
      </c>
      <c r="Q15" s="144">
        <v>11414</v>
      </c>
      <c r="R15" s="156">
        <v>5162.8999999999996</v>
      </c>
      <c r="S15" s="145" t="s">
        <v>285</v>
      </c>
      <c r="T15" s="103">
        <f>500+4662.9</f>
        <v>5162.8999999999996</v>
      </c>
      <c r="U15" s="155">
        <f t="shared" si="0"/>
        <v>0</v>
      </c>
      <c r="Y15" s="193"/>
      <c r="Z15" s="207">
        <v>0</v>
      </c>
      <c r="AA15" s="207"/>
      <c r="AB15" s="113" t="s">
        <v>202</v>
      </c>
      <c r="AC15" s="269">
        <v>5448.5</v>
      </c>
      <c r="AD15" s="212">
        <v>42041</v>
      </c>
    </row>
    <row r="16" spans="1:30" ht="15.75" x14ac:dyDescent="0.25">
      <c r="A16" s="21"/>
      <c r="B16" s="39">
        <v>42047</v>
      </c>
      <c r="C16" s="45">
        <v>0</v>
      </c>
      <c r="D16" s="32"/>
      <c r="E16" s="26">
        <v>42047</v>
      </c>
      <c r="F16" s="51">
        <v>37949.5</v>
      </c>
      <c r="G16" s="23"/>
      <c r="H16" s="27">
        <v>42047</v>
      </c>
      <c r="I16" s="62">
        <v>200</v>
      </c>
      <c r="J16" s="88"/>
      <c r="K16" s="73" t="s">
        <v>52</v>
      </c>
      <c r="L16" s="74">
        <v>0</v>
      </c>
      <c r="M16" s="67" t="s">
        <v>276</v>
      </c>
      <c r="N16" s="75">
        <v>36189</v>
      </c>
      <c r="O16" s="80"/>
      <c r="P16" s="143">
        <v>42043</v>
      </c>
      <c r="Q16" s="144">
        <v>11466</v>
      </c>
      <c r="R16" s="156">
        <v>10189</v>
      </c>
      <c r="S16" s="104">
        <v>42051</v>
      </c>
      <c r="T16" s="103">
        <v>10189</v>
      </c>
      <c r="U16" s="155">
        <f t="shared" si="0"/>
        <v>0</v>
      </c>
      <c r="Y16" s="193"/>
      <c r="Z16" s="207">
        <v>0</v>
      </c>
      <c r="AA16" s="207"/>
      <c r="AB16" s="113" t="s">
        <v>202</v>
      </c>
      <c r="AC16" s="269">
        <v>130</v>
      </c>
      <c r="AD16" s="212">
        <v>42041</v>
      </c>
    </row>
    <row r="17" spans="1:30" ht="15.75" x14ac:dyDescent="0.25">
      <c r="A17" s="21"/>
      <c r="B17" s="39">
        <v>42048</v>
      </c>
      <c r="C17" s="45">
        <v>405</v>
      </c>
      <c r="D17" s="29" t="s">
        <v>50</v>
      </c>
      <c r="E17" s="26">
        <v>42048</v>
      </c>
      <c r="F17" s="51">
        <v>57436.5</v>
      </c>
      <c r="G17" s="23"/>
      <c r="H17" s="27">
        <v>42048</v>
      </c>
      <c r="I17" s="62">
        <v>200</v>
      </c>
      <c r="J17" s="88"/>
      <c r="K17" s="28" t="s">
        <v>53</v>
      </c>
      <c r="L17" s="74">
        <v>0</v>
      </c>
      <c r="M17" s="67" t="s">
        <v>277</v>
      </c>
      <c r="N17" s="75">
        <v>57480.5</v>
      </c>
      <c r="O17" s="80"/>
      <c r="P17" s="143">
        <v>42044</v>
      </c>
      <c r="Q17" s="144">
        <v>11567</v>
      </c>
      <c r="R17" s="156">
        <v>4611.8</v>
      </c>
      <c r="S17" s="104">
        <v>42051</v>
      </c>
      <c r="T17" s="88">
        <v>4612</v>
      </c>
      <c r="U17" s="155">
        <f t="shared" si="0"/>
        <v>-0.1999999999998181</v>
      </c>
      <c r="Y17" s="193"/>
      <c r="Z17" s="207">
        <v>0</v>
      </c>
      <c r="AA17" s="207"/>
      <c r="AB17" s="113"/>
      <c r="AC17" s="207">
        <v>0</v>
      </c>
      <c r="AD17" s="206"/>
    </row>
    <row r="18" spans="1:30" ht="15.75" x14ac:dyDescent="0.25">
      <c r="A18" s="21"/>
      <c r="B18" s="39">
        <v>42049</v>
      </c>
      <c r="C18" s="45">
        <v>0</v>
      </c>
      <c r="D18" s="22"/>
      <c r="E18" s="26">
        <v>42049</v>
      </c>
      <c r="F18" s="51">
        <v>75457.5</v>
      </c>
      <c r="G18" s="23"/>
      <c r="H18" s="27">
        <v>42049</v>
      </c>
      <c r="I18" s="62">
        <v>200</v>
      </c>
      <c r="J18" s="89"/>
      <c r="K18" s="28" t="s">
        <v>54</v>
      </c>
      <c r="L18" s="75">
        <v>0</v>
      </c>
      <c r="M18" s="67" t="s">
        <v>278</v>
      </c>
      <c r="N18" s="75">
        <v>75770.5</v>
      </c>
      <c r="O18" s="80"/>
      <c r="P18" s="143">
        <v>42045</v>
      </c>
      <c r="Q18" s="144">
        <v>11619</v>
      </c>
      <c r="R18" s="156">
        <v>55923.08</v>
      </c>
      <c r="S18" s="104">
        <v>42051</v>
      </c>
      <c r="T18" s="103">
        <f>17100+7420+6482+18978.5+5942.5</f>
        <v>55923</v>
      </c>
      <c r="U18" s="155">
        <f t="shared" si="0"/>
        <v>8.000000000174623E-2</v>
      </c>
      <c r="Y18" s="196"/>
      <c r="Z18" s="121">
        <v>0</v>
      </c>
      <c r="AA18" s="121"/>
      <c r="AB18" s="113"/>
      <c r="AC18" s="121">
        <v>0</v>
      </c>
      <c r="AD18" s="119"/>
    </row>
    <row r="19" spans="1:30" ht="18.75" x14ac:dyDescent="0.3">
      <c r="A19" s="21"/>
      <c r="B19" s="39">
        <v>42050</v>
      </c>
      <c r="C19" s="45">
        <v>376</v>
      </c>
      <c r="D19" s="29" t="s">
        <v>280</v>
      </c>
      <c r="E19" s="26">
        <v>42050</v>
      </c>
      <c r="F19" s="51">
        <v>65684.5</v>
      </c>
      <c r="G19" s="23"/>
      <c r="H19" s="27">
        <v>42050</v>
      </c>
      <c r="I19" s="62">
        <v>200</v>
      </c>
      <c r="J19" s="88"/>
      <c r="K19" s="28" t="s">
        <v>55</v>
      </c>
      <c r="L19" s="75">
        <v>0</v>
      </c>
      <c r="M19" s="67" t="s">
        <v>281</v>
      </c>
      <c r="N19" s="75">
        <v>64260</v>
      </c>
      <c r="O19" s="80"/>
      <c r="P19" s="143">
        <v>42045</v>
      </c>
      <c r="Q19" s="144">
        <v>11657</v>
      </c>
      <c r="R19" s="156">
        <v>3172.2</v>
      </c>
      <c r="S19" s="104">
        <v>42051</v>
      </c>
      <c r="T19" s="103">
        <v>3172</v>
      </c>
      <c r="U19" s="155">
        <f t="shared" si="0"/>
        <v>0.1999999999998181</v>
      </c>
      <c r="Z19" s="131">
        <f>SUM(Z4:Z18)</f>
        <v>187245.16</v>
      </c>
      <c r="AA19" s="131"/>
      <c r="AB19" s="131"/>
      <c r="AC19" s="131">
        <f>SUM(AC4:AC18)</f>
        <v>187245.5</v>
      </c>
    </row>
    <row r="20" spans="1:30" ht="15.75" x14ac:dyDescent="0.25">
      <c r="A20" s="21"/>
      <c r="B20" s="39">
        <v>42051</v>
      </c>
      <c r="C20" s="45">
        <v>0</v>
      </c>
      <c r="D20" s="22"/>
      <c r="E20" s="26">
        <v>42051</v>
      </c>
      <c r="F20" s="51">
        <v>32414</v>
      </c>
      <c r="G20" s="23"/>
      <c r="H20" s="27">
        <v>42051</v>
      </c>
      <c r="I20" s="62">
        <v>200</v>
      </c>
      <c r="J20" s="90"/>
      <c r="K20" s="36" t="s">
        <v>68</v>
      </c>
      <c r="L20" s="55">
        <v>616</v>
      </c>
      <c r="M20" s="67" t="s">
        <v>282</v>
      </c>
      <c r="N20" s="75">
        <v>32295.54</v>
      </c>
      <c r="O20" s="80"/>
      <c r="P20" s="143">
        <v>42046</v>
      </c>
      <c r="Q20" s="144">
        <v>11769</v>
      </c>
      <c r="R20" s="156">
        <v>30271.37</v>
      </c>
      <c r="S20" s="104">
        <v>42051</v>
      </c>
      <c r="T20" s="103">
        <v>30271.5</v>
      </c>
      <c r="U20" s="155">
        <f t="shared" si="0"/>
        <v>-0.13000000000101863</v>
      </c>
      <c r="Y20" s="216"/>
      <c r="Z20" s="88"/>
      <c r="AA20" s="88"/>
      <c r="AB20" s="135"/>
      <c r="AC20" s="88"/>
      <c r="AD20" s="28"/>
    </row>
    <row r="21" spans="1:30" x14ac:dyDescent="0.25">
      <c r="A21" s="21"/>
      <c r="B21" s="39">
        <v>42052</v>
      </c>
      <c r="C21" s="45">
        <v>0</v>
      </c>
      <c r="D21" s="22"/>
      <c r="E21" s="26">
        <v>42052</v>
      </c>
      <c r="F21" s="51">
        <v>34985</v>
      </c>
      <c r="G21" s="23"/>
      <c r="H21" s="27">
        <v>42052</v>
      </c>
      <c r="I21" s="62">
        <v>200</v>
      </c>
      <c r="J21" s="88"/>
      <c r="K21" s="25" t="s">
        <v>99</v>
      </c>
      <c r="L21" s="55">
        <v>0</v>
      </c>
      <c r="M21" s="67" t="s">
        <v>283</v>
      </c>
      <c r="N21" s="75">
        <v>35563</v>
      </c>
      <c r="O21" s="80"/>
      <c r="P21" s="143">
        <v>42047</v>
      </c>
      <c r="Q21" s="144">
        <v>11855</v>
      </c>
      <c r="R21" s="156">
        <v>6293.6</v>
      </c>
      <c r="S21" s="104">
        <v>42051</v>
      </c>
      <c r="T21" s="103">
        <v>6293.5</v>
      </c>
      <c r="U21" s="155">
        <f t="shared" si="0"/>
        <v>0.1000000000003638</v>
      </c>
    </row>
    <row r="22" spans="1:30" x14ac:dyDescent="0.25">
      <c r="A22" s="21"/>
      <c r="B22" s="39">
        <v>42053</v>
      </c>
      <c r="C22" s="45">
        <v>0</v>
      </c>
      <c r="D22" s="22"/>
      <c r="E22" s="26">
        <v>42053</v>
      </c>
      <c r="F22" s="51">
        <v>37987.5</v>
      </c>
      <c r="G22" s="23"/>
      <c r="H22" s="27">
        <v>42053</v>
      </c>
      <c r="I22" s="62">
        <v>200</v>
      </c>
      <c r="J22" s="90"/>
      <c r="K22" s="122" t="s">
        <v>213</v>
      </c>
      <c r="L22" s="55">
        <v>900</v>
      </c>
      <c r="M22" s="67" t="s">
        <v>284</v>
      </c>
      <c r="N22" s="75">
        <v>37649</v>
      </c>
      <c r="O22" s="80"/>
      <c r="P22" s="143">
        <v>42047</v>
      </c>
      <c r="Q22" s="144">
        <v>11862</v>
      </c>
      <c r="R22" s="156">
        <v>41482.370000000003</v>
      </c>
      <c r="S22" s="104">
        <v>42051</v>
      </c>
      <c r="T22" s="103">
        <f>24950+4945.5+5606+5981</f>
        <v>41482.5</v>
      </c>
      <c r="U22" s="155">
        <f t="shared" si="0"/>
        <v>-0.12999999999738066</v>
      </c>
    </row>
    <row r="23" spans="1:30" ht="15.75" x14ac:dyDescent="0.25">
      <c r="A23" s="21"/>
      <c r="B23" s="39">
        <v>42054</v>
      </c>
      <c r="C23" s="45">
        <v>0</v>
      </c>
      <c r="D23" s="22"/>
      <c r="E23" s="26">
        <v>42054</v>
      </c>
      <c r="F23" s="51">
        <v>36842.5</v>
      </c>
      <c r="G23" s="23"/>
      <c r="H23" s="27">
        <v>42054</v>
      </c>
      <c r="I23" s="62">
        <v>1000</v>
      </c>
      <c r="J23" s="88"/>
      <c r="K23" s="11"/>
      <c r="L23" s="55"/>
      <c r="M23" s="67" t="s">
        <v>287</v>
      </c>
      <c r="N23" s="75">
        <v>35726</v>
      </c>
      <c r="O23" s="80"/>
      <c r="P23" s="143">
        <v>42048</v>
      </c>
      <c r="Q23" s="144">
        <v>11985</v>
      </c>
      <c r="R23" s="207">
        <v>78416.350000000006</v>
      </c>
      <c r="S23" s="228" t="s">
        <v>286</v>
      </c>
      <c r="T23" s="103">
        <f>12450+65966.35</f>
        <v>78416.350000000006</v>
      </c>
      <c r="U23" s="155">
        <f t="shared" si="0"/>
        <v>0</v>
      </c>
      <c r="Y23" s="104"/>
      <c r="Z23" s="223">
        <v>42051</v>
      </c>
      <c r="AA23" s="215"/>
      <c r="AB23" s="134" t="s">
        <v>200</v>
      </c>
      <c r="AC23" s="88"/>
    </row>
    <row r="24" spans="1:30" x14ac:dyDescent="0.25">
      <c r="A24" s="21"/>
      <c r="B24" s="39">
        <v>42055</v>
      </c>
      <c r="C24" s="45">
        <v>0</v>
      </c>
      <c r="D24" s="29"/>
      <c r="E24" s="26">
        <v>42055</v>
      </c>
      <c r="F24" s="51">
        <v>51955</v>
      </c>
      <c r="G24" s="23"/>
      <c r="H24" s="27">
        <v>42055</v>
      </c>
      <c r="I24" s="62">
        <v>500</v>
      </c>
      <c r="J24" s="88"/>
      <c r="K24" s="11"/>
      <c r="L24" s="55"/>
      <c r="M24" s="67" t="s">
        <v>288</v>
      </c>
      <c r="N24" s="75">
        <v>49700</v>
      </c>
      <c r="O24" s="80"/>
      <c r="P24" s="143">
        <v>42049</v>
      </c>
      <c r="Q24" s="144">
        <v>12073</v>
      </c>
      <c r="R24" s="156">
        <v>2604.3000000000002</v>
      </c>
      <c r="S24" s="104">
        <v>42056</v>
      </c>
      <c r="T24" s="103">
        <v>2604.3000000000002</v>
      </c>
      <c r="U24" s="155">
        <f t="shared" si="0"/>
        <v>0</v>
      </c>
      <c r="Y24" s="104"/>
      <c r="Z24" s="103"/>
      <c r="AA24" s="103"/>
      <c r="AB24" s="103"/>
      <c r="AC24" s="213"/>
    </row>
    <row r="25" spans="1:30" ht="15.75" x14ac:dyDescent="0.25">
      <c r="A25" s="21"/>
      <c r="B25" s="39">
        <v>42056</v>
      </c>
      <c r="C25" s="45">
        <v>0</v>
      </c>
      <c r="D25" s="22"/>
      <c r="E25" s="26">
        <v>42056</v>
      </c>
      <c r="F25" s="51">
        <v>83408</v>
      </c>
      <c r="G25" s="23"/>
      <c r="H25" s="27">
        <v>42056</v>
      </c>
      <c r="I25" s="62">
        <v>248</v>
      </c>
      <c r="J25" s="88"/>
      <c r="K25" s="11"/>
      <c r="L25" s="55"/>
      <c r="M25" s="67" t="s">
        <v>289</v>
      </c>
      <c r="N25" s="75">
        <v>78850</v>
      </c>
      <c r="O25" s="80"/>
      <c r="P25" s="143">
        <v>42050</v>
      </c>
      <c r="Q25" s="144">
        <v>12142</v>
      </c>
      <c r="R25" s="156">
        <v>6584.4</v>
      </c>
      <c r="S25" s="104">
        <v>42056</v>
      </c>
      <c r="T25" s="103">
        <v>6584.4</v>
      </c>
      <c r="U25" s="155">
        <f t="shared" si="0"/>
        <v>0</v>
      </c>
      <c r="Y25" s="193">
        <v>11317</v>
      </c>
      <c r="Z25" s="130">
        <v>18299.650000000001</v>
      </c>
      <c r="AA25" s="130"/>
      <c r="AB25" s="113" t="s">
        <v>202</v>
      </c>
      <c r="AC25" s="270">
        <v>12600</v>
      </c>
      <c r="AD25" s="221">
        <v>42042</v>
      </c>
    </row>
    <row r="26" spans="1:30" ht="15.75" x14ac:dyDescent="0.25">
      <c r="A26" s="21"/>
      <c r="B26" s="39">
        <v>42057</v>
      </c>
      <c r="C26" s="45">
        <v>0</v>
      </c>
      <c r="D26" s="29"/>
      <c r="E26" s="26">
        <v>42057</v>
      </c>
      <c r="F26" s="51">
        <v>60186</v>
      </c>
      <c r="G26" s="23"/>
      <c r="H26" s="27">
        <v>42057</v>
      </c>
      <c r="I26" s="62">
        <v>200</v>
      </c>
      <c r="J26" s="88"/>
      <c r="K26" s="11"/>
      <c r="L26" s="55"/>
      <c r="M26" s="67" t="s">
        <v>290</v>
      </c>
      <c r="N26" s="75">
        <v>62239.5</v>
      </c>
      <c r="O26" s="80"/>
      <c r="P26" s="143">
        <v>42051</v>
      </c>
      <c r="Q26" s="144">
        <v>12227</v>
      </c>
      <c r="R26" s="156">
        <v>10284.9</v>
      </c>
      <c r="S26" s="104">
        <v>42056</v>
      </c>
      <c r="T26" s="103">
        <v>10284.9</v>
      </c>
      <c r="U26" s="155">
        <f t="shared" si="0"/>
        <v>0</v>
      </c>
      <c r="Y26" s="194">
        <v>11399</v>
      </c>
      <c r="Z26" s="207">
        <v>85674.76</v>
      </c>
      <c r="AA26" s="207"/>
      <c r="AB26" s="127" t="s">
        <v>202</v>
      </c>
      <c r="AC26" s="269">
        <v>47200</v>
      </c>
      <c r="AD26" s="221">
        <v>42042</v>
      </c>
    </row>
    <row r="27" spans="1:30" ht="15.75" x14ac:dyDescent="0.25">
      <c r="A27" s="21"/>
      <c r="B27" s="39">
        <v>42058</v>
      </c>
      <c r="C27" s="45">
        <v>0</v>
      </c>
      <c r="D27" s="29"/>
      <c r="E27" s="26">
        <v>42058</v>
      </c>
      <c r="F27" s="51">
        <v>60127</v>
      </c>
      <c r="G27" s="23"/>
      <c r="H27" s="27">
        <v>42058</v>
      </c>
      <c r="I27" s="62">
        <v>365</v>
      </c>
      <c r="J27" s="88"/>
      <c r="K27" s="11"/>
      <c r="L27" s="55"/>
      <c r="M27" s="201" t="s">
        <v>291</v>
      </c>
      <c r="N27" s="204">
        <v>55868.7</v>
      </c>
      <c r="O27" s="80"/>
      <c r="P27" s="143">
        <v>42051</v>
      </c>
      <c r="Q27" s="144">
        <v>12231</v>
      </c>
      <c r="R27" s="156">
        <v>79037.75</v>
      </c>
      <c r="S27" s="104">
        <v>42056</v>
      </c>
      <c r="T27" s="103">
        <v>79037.75</v>
      </c>
      <c r="U27" s="155">
        <f t="shared" si="0"/>
        <v>0</v>
      </c>
      <c r="Y27" s="193">
        <v>11414</v>
      </c>
      <c r="Z27" s="207">
        <v>500</v>
      </c>
      <c r="AA27" s="207" t="s">
        <v>242</v>
      </c>
      <c r="AB27" s="127" t="s">
        <v>202</v>
      </c>
      <c r="AC27" s="269">
        <v>5699.5</v>
      </c>
      <c r="AD27" s="221">
        <v>42042</v>
      </c>
    </row>
    <row r="28" spans="1:30" ht="15.75" x14ac:dyDescent="0.25">
      <c r="A28" s="21"/>
      <c r="B28" s="39">
        <v>42059</v>
      </c>
      <c r="C28" s="45">
        <v>0</v>
      </c>
      <c r="D28" s="29"/>
      <c r="E28" s="26">
        <v>42059</v>
      </c>
      <c r="F28" s="51">
        <v>32386</v>
      </c>
      <c r="G28" s="23"/>
      <c r="H28" s="27">
        <v>42059</v>
      </c>
      <c r="I28" s="62">
        <v>380</v>
      </c>
      <c r="J28" s="88"/>
      <c r="K28" s="11"/>
      <c r="L28" s="55"/>
      <c r="M28" s="201" t="s">
        <v>292</v>
      </c>
      <c r="N28" s="204">
        <v>36150</v>
      </c>
      <c r="O28" s="80"/>
      <c r="P28" s="143">
        <v>42052</v>
      </c>
      <c r="Q28" s="144">
        <v>12360</v>
      </c>
      <c r="R28" s="156">
        <v>52715.48</v>
      </c>
      <c r="S28" s="104">
        <v>42056</v>
      </c>
      <c r="T28" s="103">
        <v>52715.48</v>
      </c>
      <c r="U28" s="155">
        <f t="shared" si="0"/>
        <v>0</v>
      </c>
      <c r="X28" s="134"/>
      <c r="Y28" s="193">
        <v>11466</v>
      </c>
      <c r="Z28" s="130">
        <v>10189</v>
      </c>
      <c r="AA28" s="130"/>
      <c r="AB28" s="113" t="s">
        <v>202</v>
      </c>
      <c r="AC28" s="269">
        <v>19650</v>
      </c>
      <c r="AD28" s="221">
        <v>42044</v>
      </c>
    </row>
    <row r="29" spans="1:30" ht="15.75" x14ac:dyDescent="0.25">
      <c r="A29" s="21"/>
      <c r="B29" s="39">
        <v>42060</v>
      </c>
      <c r="C29" s="45">
        <v>0</v>
      </c>
      <c r="D29" s="29"/>
      <c r="E29" s="26">
        <v>42060</v>
      </c>
      <c r="F29" s="51">
        <v>27388</v>
      </c>
      <c r="G29" s="23"/>
      <c r="H29" s="27">
        <v>42060</v>
      </c>
      <c r="I29" s="62">
        <v>382.5</v>
      </c>
      <c r="J29" s="88"/>
      <c r="K29" s="11"/>
      <c r="L29" s="20"/>
      <c r="M29" s="67" t="s">
        <v>293</v>
      </c>
      <c r="N29" s="75">
        <v>26469.5</v>
      </c>
      <c r="O29" s="80"/>
      <c r="P29" s="143">
        <v>42054</v>
      </c>
      <c r="Q29" s="144">
        <v>12512</v>
      </c>
      <c r="R29" s="156">
        <v>19715.28</v>
      </c>
      <c r="S29" s="104">
        <v>42056</v>
      </c>
      <c r="T29" s="103">
        <v>19715.28</v>
      </c>
      <c r="U29" s="155">
        <f t="shared" si="0"/>
        <v>0</v>
      </c>
      <c r="X29" s="210"/>
      <c r="Y29" s="193">
        <v>11567</v>
      </c>
      <c r="Z29" s="207">
        <v>4611.8</v>
      </c>
      <c r="AA29" s="207"/>
      <c r="AB29" s="113" t="s">
        <v>202</v>
      </c>
      <c r="AC29" s="270">
        <v>13580.5</v>
      </c>
      <c r="AD29" s="221">
        <v>42044</v>
      </c>
    </row>
    <row r="30" spans="1:30" ht="15.75" x14ac:dyDescent="0.25">
      <c r="A30" s="21"/>
      <c r="B30" s="39">
        <v>42061</v>
      </c>
      <c r="C30" s="45">
        <v>0</v>
      </c>
      <c r="D30" s="22"/>
      <c r="E30" s="26">
        <v>42061</v>
      </c>
      <c r="F30" s="51">
        <v>44852</v>
      </c>
      <c r="G30" s="23"/>
      <c r="H30" s="27">
        <v>42061</v>
      </c>
      <c r="I30" s="62">
        <v>200</v>
      </c>
      <c r="J30" s="88"/>
      <c r="K30" s="11"/>
      <c r="L30" s="20"/>
      <c r="M30" s="201" t="s">
        <v>300</v>
      </c>
      <c r="N30" s="204">
        <v>44730</v>
      </c>
      <c r="O30" s="80"/>
      <c r="P30" s="143">
        <v>42054</v>
      </c>
      <c r="Q30" s="144">
        <v>12515</v>
      </c>
      <c r="R30" s="156">
        <v>11273</v>
      </c>
      <c r="S30" s="104" t="s">
        <v>294</v>
      </c>
      <c r="T30" s="88">
        <f>3967.94+7305.06</f>
        <v>11273</v>
      </c>
      <c r="U30" s="155">
        <f t="shared" si="0"/>
        <v>0</v>
      </c>
      <c r="X30" s="134"/>
      <c r="Y30" s="193">
        <v>11619</v>
      </c>
      <c r="Z30" s="207">
        <v>55923.08</v>
      </c>
      <c r="AA30" s="207"/>
      <c r="AB30" s="113" t="s">
        <v>202</v>
      </c>
      <c r="AC30" s="269">
        <v>10189</v>
      </c>
      <c r="AD30" s="221">
        <v>42044</v>
      </c>
    </row>
    <row r="31" spans="1:30" ht="15.75" x14ac:dyDescent="0.25">
      <c r="A31" s="21"/>
      <c r="B31" s="39">
        <v>42062</v>
      </c>
      <c r="C31" s="45">
        <v>0</v>
      </c>
      <c r="D31" s="22"/>
      <c r="E31" s="26">
        <v>42062</v>
      </c>
      <c r="F31" s="51">
        <v>46052</v>
      </c>
      <c r="G31" s="23"/>
      <c r="H31" s="27">
        <v>42062</v>
      </c>
      <c r="I31" s="62">
        <v>200</v>
      </c>
      <c r="J31" s="88"/>
      <c r="K31" s="11"/>
      <c r="L31" s="20"/>
      <c r="M31" s="201" t="s">
        <v>301</v>
      </c>
      <c r="N31" s="204">
        <v>45570</v>
      </c>
      <c r="O31" s="80"/>
      <c r="P31" s="143">
        <v>42054</v>
      </c>
      <c r="Q31" s="144">
        <v>12531</v>
      </c>
      <c r="R31" s="156">
        <v>43841.84</v>
      </c>
      <c r="S31" s="104">
        <v>42063</v>
      </c>
      <c r="T31" s="103">
        <v>43841.84</v>
      </c>
      <c r="U31" s="155">
        <f t="shared" si="0"/>
        <v>0</v>
      </c>
      <c r="X31" s="134"/>
      <c r="Y31" s="193">
        <v>11657</v>
      </c>
      <c r="Z31" s="207">
        <v>3172.2</v>
      </c>
      <c r="AA31" s="207"/>
      <c r="AB31" s="113" t="s">
        <v>202</v>
      </c>
      <c r="AC31" s="269">
        <v>5244.5</v>
      </c>
      <c r="AD31" s="221">
        <v>42044</v>
      </c>
    </row>
    <row r="32" spans="1:30" ht="15.75" x14ac:dyDescent="0.25">
      <c r="A32" s="21"/>
      <c r="B32" s="39">
        <v>42063</v>
      </c>
      <c r="C32" s="45">
        <v>0</v>
      </c>
      <c r="D32" s="22"/>
      <c r="E32" s="26">
        <v>42063</v>
      </c>
      <c r="F32" s="51">
        <v>106386</v>
      </c>
      <c r="G32" s="23"/>
      <c r="H32" s="27">
        <v>42063</v>
      </c>
      <c r="I32" s="62">
        <v>260</v>
      </c>
      <c r="J32" s="88"/>
      <c r="K32" s="11"/>
      <c r="L32" s="20"/>
      <c r="M32" s="67" t="s">
        <v>302</v>
      </c>
      <c r="N32" s="75">
        <v>105655.5</v>
      </c>
      <c r="O32" s="80"/>
      <c r="P32" s="143">
        <v>42055</v>
      </c>
      <c r="Q32" s="144">
        <v>12581</v>
      </c>
      <c r="R32" s="156">
        <v>50545.72</v>
      </c>
      <c r="S32" s="104">
        <v>42063</v>
      </c>
      <c r="T32" s="103">
        <v>50545.72</v>
      </c>
      <c r="U32" s="155">
        <f t="shared" si="0"/>
        <v>0</v>
      </c>
      <c r="X32" s="134"/>
      <c r="Y32" s="193">
        <v>11769</v>
      </c>
      <c r="Z32" s="207">
        <v>30271.37</v>
      </c>
      <c r="AA32" s="207"/>
      <c r="AB32" s="113" t="s">
        <v>202</v>
      </c>
      <c r="AC32" s="269">
        <v>17100</v>
      </c>
      <c r="AD32" s="221">
        <v>42045</v>
      </c>
    </row>
    <row r="33" spans="1:30" ht="16.5" thickBot="1" x14ac:dyDescent="0.3">
      <c r="A33" s="21"/>
      <c r="B33" s="39"/>
      <c r="C33" s="45"/>
      <c r="D33" s="32"/>
      <c r="E33" s="26"/>
      <c r="F33" s="51"/>
      <c r="G33" s="23"/>
      <c r="H33" s="27"/>
      <c r="I33" s="62"/>
      <c r="J33" s="88"/>
      <c r="K33" s="11"/>
      <c r="L33" s="20"/>
      <c r="M33" s="67"/>
      <c r="N33" s="75">
        <v>0</v>
      </c>
      <c r="O33" s="80"/>
      <c r="P33" s="143">
        <v>42056</v>
      </c>
      <c r="Q33" s="144">
        <v>12721</v>
      </c>
      <c r="R33" s="156">
        <v>11184.7</v>
      </c>
      <c r="S33" s="104">
        <v>42063</v>
      </c>
      <c r="T33" s="88">
        <v>11184.7</v>
      </c>
      <c r="U33" s="155">
        <f t="shared" si="0"/>
        <v>0</v>
      </c>
      <c r="X33" s="134"/>
      <c r="Y33" s="193">
        <v>11855</v>
      </c>
      <c r="Z33" s="207">
        <v>6293.6</v>
      </c>
      <c r="AA33" s="207"/>
      <c r="AB33" s="113" t="s">
        <v>202</v>
      </c>
      <c r="AC33" s="269">
        <v>7420</v>
      </c>
      <c r="AD33" s="221">
        <v>42047</v>
      </c>
    </row>
    <row r="34" spans="1:30" ht="16.5" thickBot="1" x14ac:dyDescent="0.3">
      <c r="A34" s="21"/>
      <c r="B34" s="39"/>
      <c r="C34" s="45"/>
      <c r="D34" s="72"/>
      <c r="E34" s="26"/>
      <c r="F34" s="51"/>
      <c r="G34" s="23"/>
      <c r="H34" s="27"/>
      <c r="I34" s="62"/>
      <c r="J34" s="88"/>
      <c r="K34" s="11"/>
      <c r="L34" s="20"/>
      <c r="M34" s="258"/>
      <c r="N34" s="259">
        <f>SUM(N5:N33)</f>
        <v>1374233.24</v>
      </c>
      <c r="O34" s="80"/>
      <c r="P34" s="143">
        <v>42056</v>
      </c>
      <c r="Q34" s="144">
        <v>12770</v>
      </c>
      <c r="R34" s="157">
        <v>7010.4</v>
      </c>
      <c r="S34" s="104">
        <v>42063</v>
      </c>
      <c r="T34" s="88">
        <v>7010.4</v>
      </c>
      <c r="U34" s="155">
        <f t="shared" si="0"/>
        <v>0</v>
      </c>
      <c r="X34" s="134"/>
      <c r="Y34" s="193">
        <v>11862</v>
      </c>
      <c r="Z34" s="207">
        <v>41482.370000000003</v>
      </c>
      <c r="AA34" s="207"/>
      <c r="AB34" s="113" t="s">
        <v>202</v>
      </c>
      <c r="AC34" s="269">
        <v>4612</v>
      </c>
      <c r="AD34" s="221">
        <v>42045</v>
      </c>
    </row>
    <row r="35" spans="1:30" ht="16.5" thickBot="1" x14ac:dyDescent="0.3">
      <c r="A35" s="21"/>
      <c r="B35" s="39"/>
      <c r="C35" s="45"/>
      <c r="D35" s="22"/>
      <c r="E35" s="26"/>
      <c r="F35" s="51"/>
      <c r="G35" s="23"/>
      <c r="H35" s="27"/>
      <c r="I35" s="62"/>
      <c r="J35" s="88"/>
      <c r="K35" s="11"/>
      <c r="L35" s="20"/>
      <c r="M35" s="71"/>
      <c r="N35" s="74"/>
      <c r="P35" s="143">
        <v>42056</v>
      </c>
      <c r="Q35" s="144">
        <v>12780</v>
      </c>
      <c r="R35" s="156">
        <v>65691.37</v>
      </c>
      <c r="S35" s="104">
        <v>42063</v>
      </c>
      <c r="T35" s="103">
        <v>65691.37</v>
      </c>
      <c r="U35" s="155">
        <f t="shared" si="0"/>
        <v>0</v>
      </c>
      <c r="X35" s="134"/>
      <c r="Y35" s="193">
        <v>11985</v>
      </c>
      <c r="Z35" s="207">
        <v>12450</v>
      </c>
      <c r="AA35" s="207" t="s">
        <v>242</v>
      </c>
      <c r="AB35" s="113" t="s">
        <v>202</v>
      </c>
      <c r="AC35" s="269">
        <v>6482</v>
      </c>
      <c r="AD35" s="221">
        <v>42045</v>
      </c>
    </row>
    <row r="36" spans="1:30" ht="16.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  <c r="P36" s="143">
        <v>42058</v>
      </c>
      <c r="Q36" s="144">
        <v>12884</v>
      </c>
      <c r="R36" s="156">
        <v>32770.199999999997</v>
      </c>
      <c r="S36" s="104">
        <v>42063</v>
      </c>
      <c r="T36" s="103">
        <v>32770.199999999997</v>
      </c>
      <c r="U36" s="155">
        <f t="shared" si="0"/>
        <v>0</v>
      </c>
      <c r="X36" s="134"/>
      <c r="Y36" s="193"/>
      <c r="Z36" s="207"/>
      <c r="AA36" s="207"/>
      <c r="AB36" s="113" t="s">
        <v>202</v>
      </c>
      <c r="AC36" s="269">
        <v>18978.5</v>
      </c>
      <c r="AD36" s="221">
        <v>42046</v>
      </c>
    </row>
    <row r="37" spans="1:30" ht="16.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P37" s="143">
        <v>42059</v>
      </c>
      <c r="Q37" s="144">
        <v>13052</v>
      </c>
      <c r="R37" s="156">
        <v>7299.6</v>
      </c>
      <c r="S37" s="104">
        <v>42063</v>
      </c>
      <c r="T37" s="103">
        <v>7299.6</v>
      </c>
      <c r="U37" s="155">
        <f t="shared" si="0"/>
        <v>0</v>
      </c>
      <c r="X37" s="134"/>
      <c r="Y37" s="193"/>
      <c r="Z37" s="207">
        <v>0</v>
      </c>
      <c r="AA37" s="207"/>
      <c r="AB37" s="113" t="s">
        <v>202</v>
      </c>
      <c r="AC37" s="269">
        <v>6442.5</v>
      </c>
      <c r="AD37" s="221">
        <v>42046</v>
      </c>
    </row>
    <row r="38" spans="1:30" ht="15.75" x14ac:dyDescent="0.25">
      <c r="B38" s="42" t="s">
        <v>1</v>
      </c>
      <c r="C38" s="48">
        <f>SUM(C5:C37)</f>
        <v>1212.5</v>
      </c>
      <c r="E38" s="255" t="s">
        <v>1</v>
      </c>
      <c r="F38" s="54">
        <f>SUM(F6:F37)</f>
        <v>1337655</v>
      </c>
      <c r="H38" s="257" t="s">
        <v>1</v>
      </c>
      <c r="I38" s="58">
        <f>SUM(I5:I37)</f>
        <v>7696.5</v>
      </c>
      <c r="J38" s="58"/>
      <c r="K38" s="17" t="s">
        <v>1</v>
      </c>
      <c r="L38" s="4">
        <f t="shared" ref="L38" si="1">SUM(L5:L37)</f>
        <v>62871.680000000008</v>
      </c>
      <c r="P38" s="143">
        <v>42059</v>
      </c>
      <c r="Q38" s="144">
        <v>13061</v>
      </c>
      <c r="R38" s="156">
        <v>41006.089999999997</v>
      </c>
      <c r="S38" s="104">
        <v>42063</v>
      </c>
      <c r="T38" s="103">
        <v>41006.089999999997</v>
      </c>
      <c r="U38" s="155">
        <f t="shared" si="0"/>
        <v>0</v>
      </c>
      <c r="X38" s="134"/>
      <c r="Y38" s="193"/>
      <c r="Z38" s="207">
        <v>0</v>
      </c>
      <c r="AA38" s="207"/>
      <c r="AB38" s="113"/>
      <c r="AC38" s="269">
        <v>6293.5</v>
      </c>
      <c r="AD38" s="221">
        <v>42047</v>
      </c>
    </row>
    <row r="39" spans="1:30" ht="15.75" x14ac:dyDescent="0.25">
      <c r="P39" s="143">
        <v>42060</v>
      </c>
      <c r="Q39" s="144">
        <v>13131</v>
      </c>
      <c r="R39" s="156">
        <v>2247.6</v>
      </c>
      <c r="S39" s="104">
        <v>42063</v>
      </c>
      <c r="T39" s="103">
        <v>2247.6</v>
      </c>
      <c r="U39" s="155">
        <f t="shared" si="0"/>
        <v>0</v>
      </c>
      <c r="X39" s="134"/>
      <c r="Y39" s="119"/>
      <c r="Z39" s="121"/>
      <c r="AA39" s="121"/>
      <c r="AB39" s="121"/>
      <c r="AC39" s="269">
        <v>24950</v>
      </c>
      <c r="AD39" s="222">
        <v>42047</v>
      </c>
    </row>
    <row r="40" spans="1:30" ht="15.75" customHeight="1" x14ac:dyDescent="0.25">
      <c r="A40" s="5"/>
      <c r="C40" s="49">
        <v>0</v>
      </c>
      <c r="D40" s="13"/>
      <c r="E40" s="13"/>
      <c r="F40" s="55"/>
      <c r="H40" s="373" t="s">
        <v>7</v>
      </c>
      <c r="I40" s="374"/>
      <c r="J40" s="256"/>
      <c r="K40" s="375">
        <f>I38+L38</f>
        <v>70568.180000000008</v>
      </c>
      <c r="L40" s="376"/>
      <c r="P40" s="143">
        <v>42061</v>
      </c>
      <c r="Q40" s="144">
        <v>13222</v>
      </c>
      <c r="R40" s="156">
        <v>44633.09</v>
      </c>
      <c r="S40" s="276" t="s">
        <v>315</v>
      </c>
      <c r="T40" s="184">
        <f>7849.92+36783.17</f>
        <v>44633.09</v>
      </c>
      <c r="U40" s="241">
        <f t="shared" si="0"/>
        <v>0</v>
      </c>
      <c r="X40" s="134"/>
      <c r="Y40" s="119"/>
      <c r="Z40" s="121"/>
      <c r="AA40" s="121"/>
      <c r="AB40" s="121"/>
      <c r="AC40" s="269">
        <v>4945.5</v>
      </c>
      <c r="AD40" s="222">
        <v>42047</v>
      </c>
    </row>
    <row r="41" spans="1:30" ht="15.75" customHeight="1" x14ac:dyDescent="0.25">
      <c r="D41" s="367" t="s">
        <v>8</v>
      </c>
      <c r="E41" s="367"/>
      <c r="F41" s="56">
        <f>F38-K40</f>
        <v>1267086.82</v>
      </c>
      <c r="I41" s="65"/>
      <c r="J41" s="65"/>
      <c r="P41" s="110">
        <v>42062</v>
      </c>
      <c r="Q41" s="239">
        <v>13373</v>
      </c>
      <c r="R41" s="43">
        <v>7102</v>
      </c>
      <c r="S41" s="278">
        <v>42075</v>
      </c>
      <c r="T41" s="277">
        <v>7102</v>
      </c>
      <c r="U41" s="241">
        <f t="shared" si="0"/>
        <v>0</v>
      </c>
      <c r="X41" s="134"/>
      <c r="Y41" s="196"/>
      <c r="Z41" s="121">
        <v>0</v>
      </c>
      <c r="AA41" s="121"/>
      <c r="AB41" s="113"/>
      <c r="AC41" s="269">
        <v>5606</v>
      </c>
      <c r="AD41" s="222">
        <v>42048</v>
      </c>
    </row>
    <row r="42" spans="1:30" x14ac:dyDescent="0.25">
      <c r="D42" s="13"/>
      <c r="E42" s="13" t="s">
        <v>0</v>
      </c>
      <c r="F42" s="55">
        <f>-C38</f>
        <v>-1212.5</v>
      </c>
      <c r="P42" s="159">
        <v>42062</v>
      </c>
      <c r="Q42" s="240">
        <v>13378</v>
      </c>
      <c r="R42" s="150">
        <v>49134.6</v>
      </c>
      <c r="S42" s="278">
        <v>42075</v>
      </c>
      <c r="T42" s="277">
        <v>49134.6</v>
      </c>
      <c r="U42" s="241">
        <f t="shared" si="0"/>
        <v>0</v>
      </c>
      <c r="X42" s="28"/>
      <c r="Y42" s="119"/>
      <c r="Z42" s="121"/>
      <c r="AA42" s="121"/>
      <c r="AB42" s="121"/>
      <c r="AC42" s="269">
        <v>5981</v>
      </c>
      <c r="AD42" s="222">
        <v>42048</v>
      </c>
    </row>
    <row r="43" spans="1:30" ht="16.5" thickBot="1" x14ac:dyDescent="0.3">
      <c r="C43" s="43" t="s">
        <v>12</v>
      </c>
      <c r="D43" t="s">
        <v>303</v>
      </c>
      <c r="F43" s="57">
        <f>-R49</f>
        <v>-1163445.4399999997</v>
      </c>
      <c r="I43" s="377"/>
      <c r="J43" s="377"/>
      <c r="K43" s="377"/>
      <c r="L43" s="2"/>
      <c r="P43" s="159">
        <v>42062</v>
      </c>
      <c r="Q43" s="240">
        <v>13388</v>
      </c>
      <c r="R43" s="150">
        <v>25798.9</v>
      </c>
      <c r="S43" s="278">
        <v>42075</v>
      </c>
      <c r="T43" s="277">
        <v>25798.9</v>
      </c>
      <c r="U43" s="241">
        <f t="shared" si="0"/>
        <v>0</v>
      </c>
      <c r="X43" s="28"/>
      <c r="Y43" s="113"/>
      <c r="Z43" s="207"/>
      <c r="AA43" s="207"/>
      <c r="AB43" s="207"/>
      <c r="AC43" s="269">
        <v>3172</v>
      </c>
      <c r="AD43" s="221">
        <v>42048</v>
      </c>
    </row>
    <row r="44" spans="1:30" ht="16.5" thickTop="1" x14ac:dyDescent="0.25">
      <c r="E44" s="5" t="s">
        <v>10</v>
      </c>
      <c r="F44" s="58">
        <f>SUM(F41:F43)</f>
        <v>102428.88000000035</v>
      </c>
      <c r="I44"/>
      <c r="J44" s="182" t="s">
        <v>251</v>
      </c>
      <c r="K44" s="394">
        <f>F46</f>
        <v>284330.06000000035</v>
      </c>
      <c r="L44" s="395"/>
      <c r="P44" s="159">
        <v>42063</v>
      </c>
      <c r="Q44" s="240">
        <v>13507</v>
      </c>
      <c r="R44" s="150">
        <v>69503.48</v>
      </c>
      <c r="S44" s="279">
        <v>42075</v>
      </c>
      <c r="T44" s="277">
        <v>69503.48</v>
      </c>
      <c r="U44" s="241">
        <f t="shared" si="0"/>
        <v>0</v>
      </c>
      <c r="X44" s="28"/>
      <c r="Y44" s="113"/>
      <c r="Z44" s="207"/>
      <c r="AA44" s="207"/>
      <c r="AB44" s="207"/>
      <c r="AC44" s="269">
        <v>30271.5</v>
      </c>
      <c r="AD44" s="221">
        <v>42048</v>
      </c>
    </row>
    <row r="45" spans="1:30" ht="17.25" customHeight="1" thickBot="1" x14ac:dyDescent="0.3">
      <c r="D45" s="255" t="s">
        <v>9</v>
      </c>
      <c r="E45" s="255"/>
      <c r="F45" s="59">
        <v>181901.18</v>
      </c>
      <c r="I45" s="403" t="s">
        <v>2</v>
      </c>
      <c r="J45" s="403"/>
      <c r="K45" s="396">
        <v>-218235.22</v>
      </c>
      <c r="L45" s="396"/>
      <c r="P45" s="159">
        <v>42063</v>
      </c>
      <c r="Q45" s="240">
        <v>13512</v>
      </c>
      <c r="R45" s="150">
        <v>3864</v>
      </c>
      <c r="S45" s="279">
        <v>42075</v>
      </c>
      <c r="T45" s="277">
        <v>3864</v>
      </c>
      <c r="U45" s="241">
        <f t="shared" si="0"/>
        <v>0</v>
      </c>
      <c r="X45" s="28"/>
      <c r="Y45" s="113"/>
      <c r="Z45" s="217"/>
      <c r="AA45" s="217"/>
      <c r="AB45" s="217"/>
      <c r="AC45" s="271">
        <v>12450</v>
      </c>
      <c r="AD45" s="221">
        <v>42048</v>
      </c>
    </row>
    <row r="46" spans="1:30" ht="19.5" thickBot="1" x14ac:dyDescent="0.35">
      <c r="E46" s="6" t="s">
        <v>11</v>
      </c>
      <c r="F46" s="48">
        <f>F45+F44</f>
        <v>284330.06000000035</v>
      </c>
      <c r="I46"/>
      <c r="J46" s="178"/>
      <c r="K46" s="397">
        <v>0</v>
      </c>
      <c r="L46" s="397"/>
      <c r="P46" s="159"/>
      <c r="Q46" s="240"/>
      <c r="R46" s="150"/>
      <c r="S46" s="55"/>
      <c r="T46" s="56"/>
      <c r="U46" s="241">
        <f t="shared" si="0"/>
        <v>0</v>
      </c>
      <c r="X46" s="28"/>
      <c r="Z46" s="218">
        <f>SUM(Z25:Z41)</f>
        <v>268867.83</v>
      </c>
      <c r="AA46" s="219"/>
      <c r="AB46" s="219"/>
      <c r="AC46" s="220">
        <f>SUM(AC25:AC45)</f>
        <v>268868</v>
      </c>
    </row>
    <row r="47" spans="1:30" ht="19.5" thickBot="1" x14ac:dyDescent="0.3">
      <c r="D47" s="402"/>
      <c r="E47" s="402"/>
      <c r="I47"/>
      <c r="J47" s="304" t="s">
        <v>13</v>
      </c>
      <c r="K47" s="400">
        <f t="shared" ref="K47" si="2">SUM(K44:L46)</f>
        <v>66094.840000000346</v>
      </c>
      <c r="L47" s="401"/>
      <c r="P47" s="159"/>
      <c r="Q47" s="240"/>
      <c r="R47" s="150"/>
      <c r="S47" s="55"/>
      <c r="T47" s="56"/>
      <c r="U47" s="241">
        <f t="shared" si="0"/>
        <v>0</v>
      </c>
      <c r="X47" s="209"/>
      <c r="Y47" s="135"/>
      <c r="Z47" s="88"/>
      <c r="AA47" s="88"/>
      <c r="AB47" s="88"/>
      <c r="AC47" s="88"/>
      <c r="AD47" s="28"/>
    </row>
    <row r="48" spans="1:30" ht="16.5" thickBot="1" x14ac:dyDescent="0.3">
      <c r="P48" s="123"/>
      <c r="Q48" s="124"/>
      <c r="R48" s="57">
        <v>0</v>
      </c>
      <c r="S48" s="57"/>
      <c r="T48" s="125">
        <v>0</v>
      </c>
      <c r="U48" s="242">
        <v>0</v>
      </c>
      <c r="X48" s="28"/>
      <c r="Y48" s="135"/>
      <c r="Z48" s="88"/>
      <c r="AA48" s="88"/>
      <c r="AB48" s="88"/>
      <c r="AC48" s="88"/>
      <c r="AD48" s="209"/>
    </row>
    <row r="49" spans="2:30" ht="16.5" thickTop="1" x14ac:dyDescent="0.25">
      <c r="B49"/>
      <c r="C49"/>
      <c r="F49"/>
      <c r="I49"/>
      <c r="J49"/>
      <c r="M49"/>
      <c r="N49" s="43"/>
      <c r="R49" s="58">
        <f>SUM(R5:R48)</f>
        <v>1163445.4399999997</v>
      </c>
      <c r="S49" s="58"/>
      <c r="T49" s="58">
        <f>SUM(T5:T48)</f>
        <v>1163445.6099999996</v>
      </c>
      <c r="U49" s="43">
        <f>SUM(U5:U48)</f>
        <v>-0.17000000000007276</v>
      </c>
      <c r="X49" s="28"/>
      <c r="Y49" s="104"/>
      <c r="Z49" s="224">
        <v>42056</v>
      </c>
      <c r="AA49" s="215"/>
      <c r="AB49" s="134" t="s">
        <v>200</v>
      </c>
      <c r="AC49" s="88"/>
    </row>
    <row r="50" spans="2:30" x14ac:dyDescent="0.25">
      <c r="B50"/>
      <c r="C50"/>
      <c r="F50"/>
      <c r="I50"/>
      <c r="J50"/>
      <c r="M50"/>
      <c r="N50" s="43"/>
      <c r="P50"/>
      <c r="Q50"/>
      <c r="S50"/>
      <c r="T50" s="43"/>
      <c r="X50" s="28"/>
      <c r="Y50" s="104"/>
      <c r="Z50" s="103"/>
      <c r="AA50" s="103"/>
      <c r="AB50" s="103"/>
      <c r="AC50" s="213"/>
    </row>
    <row r="51" spans="2:30" ht="15.75" x14ac:dyDescent="0.25">
      <c r="B51"/>
      <c r="C51"/>
      <c r="F51"/>
      <c r="I51"/>
      <c r="J51"/>
      <c r="M51"/>
      <c r="N51" s="43"/>
      <c r="P51"/>
      <c r="Q51"/>
      <c r="S51"/>
      <c r="T51" s="43"/>
      <c r="X51" s="28"/>
      <c r="Y51" s="193">
        <v>11414</v>
      </c>
      <c r="Z51" s="130">
        <v>4662.8999999999996</v>
      </c>
      <c r="AA51" s="130"/>
      <c r="AB51" s="225" t="s">
        <v>202</v>
      </c>
      <c r="AC51" s="270">
        <v>2604</v>
      </c>
      <c r="AD51" s="212">
        <v>42049</v>
      </c>
    </row>
    <row r="52" spans="2:30" ht="15.75" x14ac:dyDescent="0.25">
      <c r="B52"/>
      <c r="C52"/>
      <c r="F52"/>
      <c r="I52"/>
      <c r="J52"/>
      <c r="M52"/>
      <c r="X52" s="13"/>
      <c r="Y52" s="194">
        <v>11985</v>
      </c>
      <c r="Z52" s="207">
        <v>65966.350000000006</v>
      </c>
      <c r="AA52" s="207"/>
      <c r="AB52" s="225" t="s">
        <v>202</v>
      </c>
      <c r="AC52" s="269">
        <v>4957</v>
      </c>
      <c r="AD52" s="212">
        <v>42049</v>
      </c>
    </row>
    <row r="53" spans="2:30" ht="15.75" x14ac:dyDescent="0.25">
      <c r="B53"/>
      <c r="C53"/>
      <c r="F53"/>
      <c r="I53"/>
      <c r="J53"/>
      <c r="M53"/>
      <c r="W53" s="28"/>
      <c r="X53" s="28"/>
      <c r="Y53" s="193">
        <v>12073</v>
      </c>
      <c r="Z53" s="207">
        <v>2604.3000000000002</v>
      </c>
      <c r="AA53" s="207"/>
      <c r="AB53" s="225" t="s">
        <v>202</v>
      </c>
      <c r="AC53" s="269">
        <v>61009.5</v>
      </c>
      <c r="AD53" s="212">
        <v>42049</v>
      </c>
    </row>
    <row r="54" spans="2:30" ht="15.75" x14ac:dyDescent="0.25">
      <c r="B54"/>
      <c r="C54"/>
      <c r="F54"/>
      <c r="I54"/>
      <c r="J54"/>
      <c r="M54"/>
      <c r="W54" s="28"/>
      <c r="X54" s="28"/>
      <c r="Y54" s="193">
        <v>12142</v>
      </c>
      <c r="Z54" s="130">
        <v>6584.4</v>
      </c>
      <c r="AA54" s="130"/>
      <c r="AB54" s="225" t="s">
        <v>202</v>
      </c>
      <c r="AC54" s="269">
        <v>7200</v>
      </c>
      <c r="AD54" s="212">
        <v>42051</v>
      </c>
    </row>
    <row r="55" spans="2:30" ht="15.75" x14ac:dyDescent="0.25">
      <c r="B55"/>
      <c r="C55"/>
      <c r="F55"/>
      <c r="I55"/>
      <c r="J55"/>
      <c r="M55"/>
      <c r="N55" s="43"/>
      <c r="P55"/>
      <c r="Q55"/>
      <c r="S55"/>
      <c r="T55" s="43"/>
      <c r="W55" s="28"/>
      <c r="X55" s="102"/>
      <c r="Y55" s="193">
        <v>12227</v>
      </c>
      <c r="Z55" s="207">
        <v>10284.9</v>
      </c>
      <c r="AA55" s="207"/>
      <c r="AB55" s="225" t="s">
        <v>202</v>
      </c>
      <c r="AC55" s="269">
        <v>59816</v>
      </c>
      <c r="AD55" s="212">
        <v>42051</v>
      </c>
    </row>
    <row r="56" spans="2:30" ht="15.75" x14ac:dyDescent="0.25">
      <c r="B56"/>
      <c r="C56"/>
      <c r="F56"/>
      <c r="I56"/>
      <c r="J56"/>
      <c r="M56"/>
      <c r="N56" s="43"/>
      <c r="P56"/>
      <c r="Q56"/>
      <c r="S56"/>
      <c r="T56" s="43"/>
      <c r="W56" s="28"/>
      <c r="X56" s="102"/>
      <c r="Y56" s="193">
        <v>12231</v>
      </c>
      <c r="Z56" s="207">
        <v>79037.75</v>
      </c>
      <c r="AA56" s="207"/>
      <c r="AB56" s="225" t="s">
        <v>202</v>
      </c>
      <c r="AC56" s="269">
        <v>4444</v>
      </c>
      <c r="AD56" s="212">
        <v>42051</v>
      </c>
    </row>
    <row r="57" spans="2:30" ht="15.75" x14ac:dyDescent="0.25">
      <c r="B57"/>
      <c r="C57"/>
      <c r="F57"/>
      <c r="I57"/>
      <c r="J57"/>
      <c r="M57"/>
      <c r="N57" s="43"/>
      <c r="P57"/>
      <c r="Q57"/>
      <c r="S57"/>
      <c r="T57" s="43"/>
      <c r="W57" s="28"/>
      <c r="X57" s="134"/>
      <c r="Y57" s="193">
        <v>12360</v>
      </c>
      <c r="Z57" s="207">
        <v>52715.48</v>
      </c>
      <c r="AA57" s="207"/>
      <c r="AB57" s="225" t="s">
        <v>202</v>
      </c>
      <c r="AC57" s="272">
        <v>5292.5</v>
      </c>
      <c r="AD57" s="273">
        <v>42051</v>
      </c>
    </row>
    <row r="58" spans="2:30" ht="15.75" x14ac:dyDescent="0.25">
      <c r="B58"/>
      <c r="C58"/>
      <c r="F58"/>
      <c r="I58"/>
      <c r="J58"/>
      <c r="M58"/>
      <c r="N58" s="43"/>
      <c r="P58"/>
      <c r="Q58"/>
      <c r="S58"/>
      <c r="T58" s="43"/>
      <c r="W58" s="28"/>
      <c r="X58" s="210"/>
      <c r="Y58" s="193">
        <v>12512</v>
      </c>
      <c r="Z58" s="207">
        <v>19715.28</v>
      </c>
      <c r="AA58" s="207"/>
      <c r="AB58" s="225" t="s">
        <v>202</v>
      </c>
      <c r="AC58" s="272">
        <v>7000</v>
      </c>
      <c r="AD58" s="273">
        <v>42051</v>
      </c>
    </row>
    <row r="59" spans="2:30" ht="15.75" x14ac:dyDescent="0.25">
      <c r="B59"/>
      <c r="C59"/>
      <c r="F59"/>
      <c r="I59"/>
      <c r="J59"/>
      <c r="M59"/>
      <c r="N59" s="43"/>
      <c r="P59"/>
      <c r="Q59"/>
      <c r="S59"/>
      <c r="T59" s="43"/>
      <c r="W59" s="28"/>
      <c r="X59" s="134"/>
      <c r="Y59" s="193">
        <v>12515</v>
      </c>
      <c r="Z59" s="207">
        <v>3967.94</v>
      </c>
      <c r="AA59" s="207" t="s">
        <v>242</v>
      </c>
      <c r="AB59" s="225" t="s">
        <v>202</v>
      </c>
      <c r="AC59" s="269">
        <v>3134</v>
      </c>
      <c r="AD59" s="212">
        <v>42051</v>
      </c>
    </row>
    <row r="60" spans="2:30" ht="15.75" x14ac:dyDescent="0.25">
      <c r="B60"/>
      <c r="C60"/>
      <c r="F60"/>
      <c r="I60"/>
      <c r="J60"/>
      <c r="M60"/>
      <c r="N60" s="43"/>
      <c r="P60"/>
      <c r="Q60"/>
      <c r="S60"/>
      <c r="T60" s="43"/>
      <c r="W60" s="28"/>
      <c r="X60" s="134"/>
      <c r="Y60" s="193"/>
      <c r="Z60" s="207"/>
      <c r="AA60" s="207"/>
      <c r="AB60" s="225" t="s">
        <v>202</v>
      </c>
      <c r="AC60" s="269">
        <v>6584.4</v>
      </c>
      <c r="AD60" s="212">
        <v>42051</v>
      </c>
    </row>
    <row r="61" spans="2:30" ht="15.75" x14ac:dyDescent="0.25">
      <c r="B61"/>
      <c r="C61"/>
      <c r="F61"/>
      <c r="I61"/>
      <c r="J61"/>
      <c r="M61"/>
      <c r="N61" s="43"/>
      <c r="P61"/>
      <c r="Q61"/>
      <c r="S61"/>
      <c r="T61" s="43"/>
      <c r="W61" s="28"/>
      <c r="X61" s="134"/>
      <c r="Y61" s="193"/>
      <c r="Z61" s="207"/>
      <c r="AA61" s="207"/>
      <c r="AB61" s="225" t="s">
        <v>202</v>
      </c>
      <c r="AC61" s="269">
        <v>10284.9</v>
      </c>
      <c r="AD61" s="212">
        <v>42051</v>
      </c>
    </row>
    <row r="62" spans="2:30" ht="15.75" x14ac:dyDescent="0.25">
      <c r="B62"/>
      <c r="C62"/>
      <c r="F62"/>
      <c r="I62"/>
      <c r="J62"/>
      <c r="M62"/>
      <c r="N62" s="43"/>
      <c r="P62"/>
      <c r="Q62"/>
      <c r="S62"/>
      <c r="T62" s="43"/>
      <c r="W62" s="28"/>
      <c r="X62" s="134"/>
      <c r="Y62" s="193"/>
      <c r="Z62" s="207"/>
      <c r="AA62" s="207"/>
      <c r="AB62" s="225" t="s">
        <v>202</v>
      </c>
      <c r="AC62" s="269">
        <v>4663</v>
      </c>
      <c r="AD62" s="212">
        <v>42052</v>
      </c>
    </row>
    <row r="63" spans="2:30" ht="15.75" x14ac:dyDescent="0.25">
      <c r="B63"/>
      <c r="C63"/>
      <c r="F63"/>
      <c r="I63"/>
      <c r="J63"/>
      <c r="M63"/>
      <c r="N63" s="43"/>
      <c r="P63"/>
      <c r="Q63"/>
      <c r="S63"/>
      <c r="T63" s="43"/>
      <c r="W63" s="28"/>
      <c r="X63" s="134"/>
      <c r="Y63" s="193"/>
      <c r="Z63" s="207"/>
      <c r="AA63" s="207"/>
      <c r="AB63" s="225" t="s">
        <v>202</v>
      </c>
      <c r="AC63" s="269">
        <v>25189</v>
      </c>
      <c r="AD63" s="212">
        <v>42052</v>
      </c>
    </row>
    <row r="64" spans="2:30" ht="15.75" x14ac:dyDescent="0.25">
      <c r="B64"/>
      <c r="C64"/>
      <c r="F64"/>
      <c r="I64"/>
      <c r="J64"/>
      <c r="M64"/>
      <c r="N64" s="43"/>
      <c r="P64"/>
      <c r="Q64"/>
      <c r="S64"/>
      <c r="T64" s="43"/>
      <c r="W64" s="28"/>
      <c r="X64" s="134"/>
      <c r="Y64" s="193"/>
      <c r="Z64" s="207">
        <v>0</v>
      </c>
      <c r="AA64" s="207"/>
      <c r="AB64" s="225" t="s">
        <v>202</v>
      </c>
      <c r="AC64" s="269">
        <v>5711</v>
      </c>
      <c r="AD64" s="212">
        <v>42052</v>
      </c>
    </row>
    <row r="65" spans="2:31" ht="15.75" x14ac:dyDescent="0.25">
      <c r="B65"/>
      <c r="C65"/>
      <c r="F65"/>
      <c r="I65"/>
      <c r="J65"/>
      <c r="M65"/>
      <c r="N65" s="43"/>
      <c r="P65"/>
      <c r="Q65"/>
      <c r="S65"/>
      <c r="T65" s="43"/>
      <c r="W65" s="28"/>
      <c r="X65" s="134"/>
      <c r="Y65" s="119"/>
      <c r="Z65" s="121"/>
      <c r="AA65" s="121"/>
      <c r="AB65" s="225" t="s">
        <v>202</v>
      </c>
      <c r="AC65" s="269">
        <v>15834.5</v>
      </c>
      <c r="AD65" s="227">
        <v>42053</v>
      </c>
    </row>
    <row r="66" spans="2:31" ht="15.75" x14ac:dyDescent="0.25">
      <c r="B66"/>
      <c r="C66"/>
      <c r="F66"/>
      <c r="I66"/>
      <c r="J66"/>
      <c r="M66"/>
      <c r="N66" s="43"/>
      <c r="P66"/>
      <c r="Q66"/>
      <c r="S66"/>
      <c r="T66" s="43"/>
      <c r="W66" s="28"/>
      <c r="X66" s="102"/>
      <c r="Y66" s="119"/>
      <c r="Z66" s="121"/>
      <c r="AA66" s="121"/>
      <c r="AB66" s="225" t="s">
        <v>202</v>
      </c>
      <c r="AC66" s="269">
        <v>16882.5</v>
      </c>
      <c r="AD66" s="227">
        <v>42053</v>
      </c>
    </row>
    <row r="67" spans="2:31" ht="15.75" x14ac:dyDescent="0.25">
      <c r="B67"/>
      <c r="C67"/>
      <c r="F67"/>
      <c r="I67"/>
      <c r="J67"/>
      <c r="M67"/>
      <c r="N67" s="43"/>
      <c r="P67"/>
      <c r="Q67"/>
      <c r="S67"/>
      <c r="T67" s="43"/>
      <c r="W67" s="28"/>
      <c r="X67" s="102"/>
      <c r="Y67" s="226"/>
      <c r="Z67" s="130"/>
      <c r="AA67" s="130"/>
      <c r="AB67" s="225" t="s">
        <v>202</v>
      </c>
      <c r="AC67" s="270">
        <v>4933</v>
      </c>
      <c r="AD67" s="227">
        <v>42053</v>
      </c>
    </row>
    <row r="68" spans="2:31" ht="15.75" x14ac:dyDescent="0.25">
      <c r="B68"/>
      <c r="C68"/>
      <c r="F68"/>
      <c r="I68"/>
      <c r="J68"/>
      <c r="M68"/>
      <c r="N68" s="43"/>
      <c r="P68"/>
      <c r="Q68"/>
      <c r="S68"/>
      <c r="T68" s="43"/>
      <c r="W68" s="28"/>
      <c r="X68" s="134"/>
      <c r="Y68" s="196"/>
      <c r="Z68" s="121">
        <v>0</v>
      </c>
      <c r="AA68" s="121"/>
      <c r="AB68" s="113"/>
      <c r="AC68" s="121">
        <v>0</v>
      </c>
      <c r="AD68" s="119"/>
    </row>
    <row r="69" spans="2:31" ht="18.75" x14ac:dyDescent="0.3">
      <c r="B69"/>
      <c r="C69"/>
      <c r="F69"/>
      <c r="I69"/>
      <c r="J69"/>
      <c r="M69"/>
      <c r="N69" s="43"/>
      <c r="P69"/>
      <c r="Q69"/>
      <c r="S69"/>
      <c r="T69" s="43"/>
      <c r="W69" s="28"/>
      <c r="X69" s="210"/>
      <c r="Z69" s="131">
        <f>SUM(Z51:Z68)</f>
        <v>245539.3</v>
      </c>
      <c r="AA69" s="131"/>
      <c r="AB69" s="131"/>
      <c r="AC69" s="131">
        <f>SUM(AC51:AC68)</f>
        <v>245539.3</v>
      </c>
    </row>
    <row r="70" spans="2:31" ht="15.75" x14ac:dyDescent="0.25">
      <c r="B70"/>
      <c r="C70"/>
      <c r="F70"/>
      <c r="I70"/>
      <c r="J70"/>
      <c r="M70"/>
      <c r="N70" s="43"/>
      <c r="P70"/>
      <c r="Q70"/>
      <c r="S70"/>
      <c r="T70" s="43"/>
      <c r="W70" s="28"/>
      <c r="X70" s="134"/>
      <c r="Y70" s="211"/>
      <c r="Z70" s="208"/>
      <c r="AA70" s="208"/>
      <c r="AB70" s="208"/>
      <c r="AC70" s="88"/>
    </row>
    <row r="71" spans="2:31" ht="15.75" x14ac:dyDescent="0.25">
      <c r="B71"/>
      <c r="C71"/>
      <c r="F71"/>
      <c r="I71"/>
      <c r="J71"/>
      <c r="M71"/>
      <c r="N71" s="43"/>
      <c r="P71"/>
      <c r="Q71"/>
      <c r="S71"/>
      <c r="T71" s="43"/>
      <c r="W71" s="28"/>
      <c r="X71" s="134"/>
      <c r="Y71" s="135"/>
      <c r="Z71" s="153"/>
      <c r="AA71" s="153"/>
      <c r="AB71" s="153"/>
      <c r="AC71" s="88"/>
    </row>
    <row r="72" spans="2:31" ht="15.75" x14ac:dyDescent="0.25">
      <c r="B72"/>
      <c r="C72"/>
      <c r="F72"/>
      <c r="I72"/>
      <c r="J72"/>
      <c r="M72"/>
      <c r="N72" s="43"/>
      <c r="P72"/>
      <c r="Q72"/>
      <c r="S72"/>
      <c r="T72" s="43"/>
      <c r="W72" s="28"/>
      <c r="X72" s="134"/>
      <c r="Y72" s="104"/>
      <c r="Z72" s="224">
        <v>42063</v>
      </c>
      <c r="AA72" s="215"/>
      <c r="AB72" s="134" t="s">
        <v>200</v>
      </c>
      <c r="AC72" s="88"/>
    </row>
    <row r="73" spans="2:31" ht="15.75" x14ac:dyDescent="0.25">
      <c r="B73"/>
      <c r="C73"/>
      <c r="F73"/>
      <c r="I73"/>
      <c r="J73"/>
      <c r="M73"/>
      <c r="N73" s="43"/>
      <c r="P73"/>
      <c r="Q73"/>
      <c r="S73"/>
      <c r="T73" s="43"/>
      <c r="W73" s="28"/>
      <c r="X73" s="134"/>
      <c r="Y73" s="104"/>
      <c r="Z73" s="103"/>
      <c r="AA73" s="103"/>
      <c r="AB73" s="103"/>
      <c r="AC73" s="213"/>
    </row>
    <row r="74" spans="2:31" ht="15.75" x14ac:dyDescent="0.25">
      <c r="B74"/>
      <c r="C74"/>
      <c r="F74"/>
      <c r="I74"/>
      <c r="J74"/>
      <c r="M74"/>
      <c r="N74" s="43"/>
      <c r="P74"/>
      <c r="Q74"/>
      <c r="S74"/>
      <c r="T74" s="43"/>
      <c r="W74" s="28"/>
      <c r="X74" s="134"/>
      <c r="Y74" s="193">
        <v>12515</v>
      </c>
      <c r="Z74" s="130">
        <v>7305.06</v>
      </c>
      <c r="AA74" s="130"/>
      <c r="AB74" s="225" t="s">
        <v>202</v>
      </c>
      <c r="AC74" s="270">
        <v>15500</v>
      </c>
      <c r="AD74" s="212">
        <v>42054</v>
      </c>
      <c r="AE74" s="21">
        <v>42054</v>
      </c>
    </row>
    <row r="75" spans="2:31" ht="15.75" x14ac:dyDescent="0.25">
      <c r="B75"/>
      <c r="C75"/>
      <c r="F75"/>
      <c r="I75"/>
      <c r="J75"/>
      <c r="M75"/>
      <c r="W75" s="28"/>
      <c r="X75" s="28"/>
      <c r="Y75" s="194">
        <v>12531</v>
      </c>
      <c r="Z75" s="207">
        <v>43841.84</v>
      </c>
      <c r="AA75" s="207"/>
      <c r="AB75" s="225" t="s">
        <v>202</v>
      </c>
      <c r="AC75" s="269">
        <v>11273</v>
      </c>
      <c r="AD75" s="212">
        <v>42054</v>
      </c>
      <c r="AE75" s="21">
        <v>42054</v>
      </c>
    </row>
    <row r="76" spans="2:31" ht="15.75" x14ac:dyDescent="0.25">
      <c r="B76"/>
      <c r="C76"/>
      <c r="F76"/>
      <c r="I76"/>
      <c r="J76"/>
      <c r="M76"/>
      <c r="Y76" s="193">
        <v>12581</v>
      </c>
      <c r="Z76" s="207">
        <v>50545.72</v>
      </c>
      <c r="AA76" s="207"/>
      <c r="AB76" s="225" t="s">
        <v>202</v>
      </c>
      <c r="AC76" s="269">
        <v>5071.5</v>
      </c>
      <c r="AD76" s="212">
        <v>42054</v>
      </c>
      <c r="AE76" s="21">
        <v>42054</v>
      </c>
    </row>
    <row r="77" spans="2:31" ht="15.75" x14ac:dyDescent="0.25">
      <c r="B77"/>
      <c r="C77"/>
      <c r="F77"/>
      <c r="I77"/>
      <c r="J77"/>
      <c r="M77"/>
      <c r="Y77" s="193">
        <v>12721</v>
      </c>
      <c r="Z77" s="130">
        <v>11184.7</v>
      </c>
      <c r="AA77" s="130"/>
      <c r="AB77" s="225" t="s">
        <v>202</v>
      </c>
      <c r="AC77" s="269">
        <v>3881.5</v>
      </c>
      <c r="AD77" s="212">
        <v>42054</v>
      </c>
      <c r="AE77" s="21">
        <v>42054</v>
      </c>
    </row>
    <row r="78" spans="2:31" ht="15.75" x14ac:dyDescent="0.25">
      <c r="B78"/>
      <c r="C78"/>
      <c r="F78"/>
      <c r="I78"/>
      <c r="J78"/>
      <c r="M78"/>
      <c r="Y78" s="193">
        <v>12770</v>
      </c>
      <c r="Z78" s="207">
        <v>7010.4</v>
      </c>
      <c r="AA78" s="207"/>
      <c r="AB78" s="225" t="s">
        <v>202</v>
      </c>
      <c r="AC78" s="269">
        <v>26429.5</v>
      </c>
      <c r="AD78" s="212">
        <v>42055</v>
      </c>
      <c r="AE78" s="21">
        <v>42055</v>
      </c>
    </row>
    <row r="79" spans="2:31" ht="15.75" x14ac:dyDescent="0.25">
      <c r="B79"/>
      <c r="C79"/>
      <c r="F79"/>
      <c r="I79"/>
      <c r="J79"/>
      <c r="M79"/>
      <c r="Y79" s="193">
        <v>12780</v>
      </c>
      <c r="Z79" s="207">
        <v>65691.37</v>
      </c>
      <c r="AA79" s="207"/>
      <c r="AB79" s="225" t="s">
        <v>202</v>
      </c>
      <c r="AC79" s="269">
        <v>5187.5</v>
      </c>
      <c r="AD79" s="212">
        <v>42055</v>
      </c>
      <c r="AE79" s="21">
        <v>42055</v>
      </c>
    </row>
    <row r="80" spans="2:31" ht="15.75" x14ac:dyDescent="0.25">
      <c r="B80"/>
      <c r="C80"/>
      <c r="F80"/>
      <c r="I80"/>
      <c r="J80"/>
      <c r="M80"/>
      <c r="Y80" s="193">
        <v>12884</v>
      </c>
      <c r="Z80" s="207">
        <v>32770.199999999997</v>
      </c>
      <c r="AA80" s="207"/>
      <c r="AB80" s="225" t="s">
        <v>202</v>
      </c>
      <c r="AC80" s="269">
        <v>18083</v>
      </c>
      <c r="AD80" s="212">
        <v>42055</v>
      </c>
      <c r="AE80" s="21">
        <v>42055</v>
      </c>
    </row>
    <row r="81" spans="2:31" ht="15.75" x14ac:dyDescent="0.25">
      <c r="B81"/>
      <c r="C81"/>
      <c r="F81"/>
      <c r="I81"/>
      <c r="J81"/>
      <c r="M81"/>
      <c r="N81"/>
      <c r="P81"/>
      <c r="Q81"/>
      <c r="R81"/>
      <c r="S81"/>
      <c r="T81"/>
      <c r="U81"/>
      <c r="Y81" s="193">
        <v>13052</v>
      </c>
      <c r="Z81" s="207">
        <v>7299.6</v>
      </c>
      <c r="AA81" s="207"/>
      <c r="AB81" s="225" t="s">
        <v>202</v>
      </c>
      <c r="AC81" s="269">
        <v>4905.5</v>
      </c>
      <c r="AD81" s="212">
        <v>42056</v>
      </c>
      <c r="AE81" s="21">
        <v>42056</v>
      </c>
    </row>
    <row r="82" spans="2:31" ht="15.75" x14ac:dyDescent="0.25">
      <c r="B82"/>
      <c r="C82"/>
      <c r="F82"/>
      <c r="I82"/>
      <c r="J82"/>
      <c r="M82"/>
      <c r="N82"/>
      <c r="P82"/>
      <c r="Q82"/>
      <c r="R82"/>
      <c r="S82"/>
      <c r="T82"/>
      <c r="U82"/>
      <c r="Y82" s="193">
        <v>13061</v>
      </c>
      <c r="Z82" s="207">
        <v>41006.089999999997</v>
      </c>
      <c r="AA82" s="207"/>
      <c r="AB82" s="225" t="s">
        <v>202</v>
      </c>
      <c r="AC82" s="269">
        <v>11185</v>
      </c>
      <c r="AD82" s="212">
        <v>42056</v>
      </c>
      <c r="AE82" s="21">
        <v>42056</v>
      </c>
    </row>
    <row r="83" spans="2:31" ht="15.75" x14ac:dyDescent="0.25">
      <c r="B83"/>
      <c r="C83"/>
      <c r="F83"/>
      <c r="I83"/>
      <c r="J83"/>
      <c r="M83"/>
      <c r="N83"/>
      <c r="P83"/>
      <c r="Q83"/>
      <c r="R83"/>
      <c r="S83"/>
      <c r="T83"/>
      <c r="U83"/>
      <c r="Y83" s="193">
        <v>13131</v>
      </c>
      <c r="Z83" s="207">
        <v>2247.6</v>
      </c>
      <c r="AA83" s="207"/>
      <c r="AB83" s="225" t="s">
        <v>202</v>
      </c>
      <c r="AC83" s="269">
        <v>7010.5</v>
      </c>
      <c r="AD83" s="212">
        <v>42056</v>
      </c>
      <c r="AE83" s="21">
        <v>42056</v>
      </c>
    </row>
    <row r="84" spans="2:31" ht="15.75" x14ac:dyDescent="0.25">
      <c r="B84"/>
      <c r="C84"/>
      <c r="F84"/>
      <c r="I84"/>
      <c r="J84"/>
      <c r="M84"/>
      <c r="N84"/>
      <c r="P84"/>
      <c r="Q84"/>
      <c r="R84"/>
      <c r="S84"/>
      <c r="T84"/>
      <c r="U84"/>
      <c r="Y84" s="193">
        <v>13222</v>
      </c>
      <c r="Z84" s="207">
        <v>7849.92</v>
      </c>
      <c r="AA84" s="207" t="s">
        <v>242</v>
      </c>
      <c r="AB84" s="225" t="s">
        <v>202</v>
      </c>
      <c r="AC84" s="269">
        <v>24116.5</v>
      </c>
      <c r="AD84" s="212">
        <v>42056</v>
      </c>
      <c r="AE84" s="21">
        <v>42056</v>
      </c>
    </row>
    <row r="85" spans="2:31" ht="15.75" x14ac:dyDescent="0.25">
      <c r="B85"/>
      <c r="C85"/>
      <c r="F85"/>
      <c r="I85"/>
      <c r="J85"/>
      <c r="M85"/>
      <c r="N85"/>
      <c r="P85"/>
      <c r="Q85"/>
      <c r="R85"/>
      <c r="S85"/>
      <c r="T85"/>
      <c r="U85"/>
      <c r="Y85" s="193"/>
      <c r="Z85" s="207"/>
      <c r="AA85" s="207"/>
      <c r="AB85" s="225" t="s">
        <v>202</v>
      </c>
      <c r="AC85" s="269">
        <v>31632.5</v>
      </c>
      <c r="AD85" s="212">
        <v>42056</v>
      </c>
      <c r="AE85" s="21">
        <v>42056</v>
      </c>
    </row>
    <row r="86" spans="2:31" ht="15.75" x14ac:dyDescent="0.25">
      <c r="B86"/>
      <c r="C86"/>
      <c r="F86"/>
      <c r="I86"/>
      <c r="J86"/>
      <c r="M86"/>
      <c r="N86"/>
      <c r="P86"/>
      <c r="Q86"/>
      <c r="R86"/>
      <c r="S86"/>
      <c r="T86"/>
      <c r="U86"/>
      <c r="Y86" s="193"/>
      <c r="Z86" s="207"/>
      <c r="AA86" s="207"/>
      <c r="AB86" s="225" t="s">
        <v>202</v>
      </c>
      <c r="AC86" s="269">
        <v>3850</v>
      </c>
      <c r="AD86" s="212">
        <v>42058</v>
      </c>
      <c r="AE86" s="21">
        <v>42056</v>
      </c>
    </row>
    <row r="87" spans="2:31" ht="15.75" x14ac:dyDescent="0.25">
      <c r="B87"/>
      <c r="C87"/>
      <c r="F87"/>
      <c r="I87"/>
      <c r="J87"/>
      <c r="M87"/>
      <c r="N87"/>
      <c r="P87"/>
      <c r="Q87"/>
      <c r="R87"/>
      <c r="S87"/>
      <c r="T87"/>
      <c r="U87"/>
      <c r="Y87" s="193"/>
      <c r="Z87" s="207">
        <v>0</v>
      </c>
      <c r="AA87" s="207"/>
      <c r="AB87" s="225" t="s">
        <v>202</v>
      </c>
      <c r="AC87" s="269">
        <v>17901</v>
      </c>
      <c r="AD87" s="212">
        <v>42058</v>
      </c>
      <c r="AE87" s="21">
        <v>42057</v>
      </c>
    </row>
    <row r="88" spans="2:31" ht="15.75" x14ac:dyDescent="0.25">
      <c r="B88"/>
      <c r="C88"/>
      <c r="F88"/>
      <c r="I88"/>
      <c r="J88"/>
      <c r="M88"/>
      <c r="N88"/>
      <c r="P88"/>
      <c r="Q88"/>
      <c r="R88"/>
      <c r="S88"/>
      <c r="T88"/>
      <c r="U88"/>
      <c r="Y88" s="119"/>
      <c r="Z88" s="121"/>
      <c r="AA88" s="121"/>
      <c r="AB88" s="225" t="s">
        <v>202</v>
      </c>
      <c r="AC88" s="269">
        <v>7402.5</v>
      </c>
      <c r="AD88" s="227">
        <v>42058</v>
      </c>
      <c r="AE88" s="21">
        <v>42057</v>
      </c>
    </row>
    <row r="89" spans="2:31" ht="15.75" x14ac:dyDescent="0.25">
      <c r="B89"/>
      <c r="C89"/>
      <c r="F89"/>
      <c r="I89"/>
      <c r="J89"/>
      <c r="M89"/>
      <c r="N89"/>
      <c r="P89"/>
      <c r="Q89"/>
      <c r="R89"/>
      <c r="S89"/>
      <c r="T89"/>
      <c r="U89"/>
      <c r="Y89" s="119"/>
      <c r="Z89" s="121"/>
      <c r="AA89" s="121"/>
      <c r="AB89" s="225" t="s">
        <v>202</v>
      </c>
      <c r="AC89" s="269">
        <v>32770</v>
      </c>
      <c r="AD89" s="227">
        <v>42058</v>
      </c>
      <c r="AE89" s="21">
        <v>42058</v>
      </c>
    </row>
    <row r="90" spans="2:31" ht="15.75" x14ac:dyDescent="0.25">
      <c r="B90"/>
      <c r="C90"/>
      <c r="F90"/>
      <c r="I90"/>
      <c r="J90"/>
      <c r="M90"/>
      <c r="N90"/>
      <c r="P90"/>
      <c r="Q90"/>
      <c r="R90"/>
      <c r="S90"/>
      <c r="T90"/>
      <c r="U90"/>
      <c r="Y90" s="229"/>
      <c r="Z90" s="230"/>
      <c r="AA90" s="230"/>
      <c r="AB90" s="231" t="s">
        <v>202</v>
      </c>
      <c r="AC90" s="274">
        <v>19858.5</v>
      </c>
      <c r="AD90" s="232">
        <v>42059</v>
      </c>
      <c r="AE90" s="21">
        <v>42059</v>
      </c>
    </row>
    <row r="91" spans="2:31" ht="15.75" x14ac:dyDescent="0.25">
      <c r="B91"/>
      <c r="C91"/>
      <c r="F91"/>
      <c r="I91"/>
      <c r="J91"/>
      <c r="M91"/>
      <c r="N91"/>
      <c r="P91"/>
      <c r="Q91"/>
      <c r="R91"/>
      <c r="S91"/>
      <c r="T91"/>
      <c r="U91"/>
      <c r="Y91" s="119"/>
      <c r="Z91" s="121"/>
      <c r="AA91" s="121"/>
      <c r="AB91" s="231" t="s">
        <v>202</v>
      </c>
      <c r="AC91" s="269">
        <v>8992</v>
      </c>
      <c r="AD91" s="227">
        <v>42059</v>
      </c>
      <c r="AE91" s="21">
        <v>42059</v>
      </c>
    </row>
    <row r="92" spans="2:31" ht="15.75" x14ac:dyDescent="0.25">
      <c r="B92"/>
      <c r="C92"/>
      <c r="F92"/>
      <c r="I92"/>
      <c r="J92"/>
      <c r="M92"/>
      <c r="N92"/>
      <c r="P92"/>
      <c r="Q92"/>
      <c r="R92"/>
      <c r="S92"/>
      <c r="T92"/>
      <c r="U92"/>
      <c r="Y92" s="119"/>
      <c r="Z92" s="121"/>
      <c r="AA92" s="121"/>
      <c r="AB92" s="231" t="s">
        <v>202</v>
      </c>
      <c r="AC92" s="269">
        <v>7299.5</v>
      </c>
      <c r="AD92" s="227">
        <v>42059</v>
      </c>
      <c r="AE92" s="21">
        <v>42059</v>
      </c>
    </row>
    <row r="93" spans="2:31" ht="15.75" x14ac:dyDescent="0.25">
      <c r="B93"/>
      <c r="C93"/>
      <c r="F93"/>
      <c r="I93"/>
      <c r="J93"/>
      <c r="M93"/>
      <c r="N93"/>
      <c r="P93"/>
      <c r="Q93"/>
      <c r="R93"/>
      <c r="S93"/>
      <c r="T93"/>
      <c r="U93"/>
      <c r="Y93" s="237"/>
      <c r="Z93" s="238"/>
      <c r="AA93" s="238"/>
      <c r="AB93" s="231" t="s">
        <v>202</v>
      </c>
      <c r="AC93" s="271">
        <v>7307.5</v>
      </c>
      <c r="AD93" s="232">
        <v>42060</v>
      </c>
      <c r="AE93" s="21">
        <v>42060</v>
      </c>
    </row>
    <row r="94" spans="2:31" ht="15.75" x14ac:dyDescent="0.25">
      <c r="B94"/>
      <c r="C94"/>
      <c r="F94"/>
      <c r="I94"/>
      <c r="J94"/>
      <c r="M94"/>
      <c r="N94"/>
      <c r="P94"/>
      <c r="Q94"/>
      <c r="R94"/>
      <c r="S94"/>
      <c r="T94"/>
      <c r="U94"/>
      <c r="Y94" s="119"/>
      <c r="Z94" s="121"/>
      <c r="AA94" s="121"/>
      <c r="AB94" s="231" t="s">
        <v>202</v>
      </c>
      <c r="AC94" s="269">
        <v>4848</v>
      </c>
      <c r="AD94" s="227">
        <v>42060</v>
      </c>
      <c r="AE94" s="21">
        <v>42060</v>
      </c>
    </row>
    <row r="95" spans="2:31" ht="15.75" x14ac:dyDescent="0.25">
      <c r="B95"/>
      <c r="C95"/>
      <c r="F95"/>
      <c r="I95"/>
      <c r="J95"/>
      <c r="M95"/>
      <c r="N95"/>
      <c r="P95"/>
      <c r="Q95"/>
      <c r="R95"/>
      <c r="S95"/>
      <c r="T95"/>
      <c r="U95"/>
      <c r="Y95" s="119"/>
      <c r="Z95" s="121"/>
      <c r="AA95" s="121"/>
      <c r="AB95" s="231" t="s">
        <v>202</v>
      </c>
      <c r="AC95" s="269">
        <v>2247.5</v>
      </c>
      <c r="AD95" s="227">
        <v>42060</v>
      </c>
      <c r="AE95" s="21">
        <v>42060</v>
      </c>
    </row>
    <row r="96" spans="2:31" ht="15.75" x14ac:dyDescent="0.25">
      <c r="B96"/>
      <c r="C96"/>
      <c r="F96"/>
      <c r="I96"/>
      <c r="J96"/>
      <c r="M96"/>
      <c r="N96"/>
      <c r="P96"/>
      <c r="Q96"/>
      <c r="R96"/>
      <c r="S96"/>
      <c r="T96"/>
      <c r="U96"/>
      <c r="Y96" s="233"/>
      <c r="Z96" s="234">
        <v>0</v>
      </c>
      <c r="AA96" s="234"/>
      <c r="AB96" s="235"/>
      <c r="AC96" s="234">
        <v>0</v>
      </c>
      <c r="AD96" s="236"/>
    </row>
    <row r="97" spans="2:29" ht="18.75" x14ac:dyDescent="0.3">
      <c r="B97"/>
      <c r="C97"/>
      <c r="F97"/>
      <c r="I97"/>
      <c r="J97"/>
      <c r="M97"/>
      <c r="N97"/>
      <c r="P97"/>
      <c r="Q97"/>
      <c r="R97"/>
      <c r="S97"/>
      <c r="T97"/>
      <c r="U97"/>
      <c r="Z97" s="131">
        <f>SUM(Z74:Z96)</f>
        <v>276752.49999999994</v>
      </c>
      <c r="AA97" s="131"/>
      <c r="AB97" s="131"/>
      <c r="AC97" s="131">
        <f>SUM(AC74:AC96)</f>
        <v>276752.5</v>
      </c>
    </row>
  </sheetData>
  <sortState ref="P5:R20">
    <sortCondition ref="Q5:Q20"/>
  </sortState>
  <mergeCells count="14">
    <mergeCell ref="K47:L47"/>
    <mergeCell ref="D47:E47"/>
    <mergeCell ref="C1:K1"/>
    <mergeCell ref="R3:T3"/>
    <mergeCell ref="E4:F4"/>
    <mergeCell ref="I4:L4"/>
    <mergeCell ref="H40:I40"/>
    <mergeCell ref="K40:L40"/>
    <mergeCell ref="D41:E41"/>
    <mergeCell ref="I43:K43"/>
    <mergeCell ref="K44:L44"/>
    <mergeCell ref="I45:J45"/>
    <mergeCell ref="K45:L45"/>
    <mergeCell ref="K46:L46"/>
  </mergeCells>
  <pageMargins left="0.31496062992125984" right="0.19685039370078741" top="0.15748031496062992" bottom="0.15748031496062992" header="0.31496062992125984" footer="0.31496062992125984"/>
  <pageSetup scale="75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O97"/>
  <sheetViews>
    <sheetView topLeftCell="A22" workbookViewId="0">
      <selection activeCell="F44" sqref="F44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10" width="13.7109375" style="43" customWidth="1"/>
    <col min="12" max="12" width="17.85546875" bestFit="1" customWidth="1"/>
    <col min="13" max="13" width="22.5703125" style="68" customWidth="1"/>
    <col min="14" max="14" width="22.5703125" style="202" customWidth="1"/>
  </cols>
  <sheetData>
    <row r="1" spans="1:15" ht="23.25" x14ac:dyDescent="0.35">
      <c r="C1" s="368" t="s">
        <v>304</v>
      </c>
      <c r="D1" s="368"/>
      <c r="E1" s="368"/>
      <c r="F1" s="368"/>
      <c r="G1" s="368"/>
      <c r="H1" s="368"/>
      <c r="I1" s="368"/>
      <c r="J1" s="368"/>
      <c r="K1" s="368"/>
    </row>
    <row r="2" spans="1:15" ht="15.75" thickBot="1" x14ac:dyDescent="0.3">
      <c r="E2" s="257"/>
      <c r="F2" s="50"/>
    </row>
    <row r="3" spans="1:15" ht="15.75" thickBot="1" x14ac:dyDescent="0.3">
      <c r="C3" s="44" t="s">
        <v>0</v>
      </c>
      <c r="D3" s="3"/>
    </row>
    <row r="4" spans="1:15" ht="20.25" thickTop="1" thickBot="1" x14ac:dyDescent="0.35">
      <c r="A4" s="96" t="s">
        <v>2</v>
      </c>
      <c r="B4" s="38"/>
      <c r="C4" s="94">
        <v>181901.18</v>
      </c>
      <c r="D4" s="2"/>
      <c r="E4" s="389" t="s">
        <v>14</v>
      </c>
      <c r="F4" s="390"/>
      <c r="I4" s="371" t="s">
        <v>4</v>
      </c>
      <c r="J4" s="372"/>
      <c r="K4" s="372"/>
      <c r="L4" s="372"/>
      <c r="M4" s="69" t="s">
        <v>18</v>
      </c>
      <c r="N4" s="203" t="s">
        <v>264</v>
      </c>
    </row>
    <row r="5" spans="1:15" ht="15.75" thickTop="1" x14ac:dyDescent="0.25">
      <c r="A5" s="21"/>
      <c r="B5" s="39">
        <v>42064</v>
      </c>
      <c r="C5" s="45">
        <v>0</v>
      </c>
      <c r="D5" s="22"/>
      <c r="E5" s="26">
        <v>42064</v>
      </c>
      <c r="F5" s="51">
        <v>56681</v>
      </c>
      <c r="G5" s="23"/>
      <c r="H5" s="24">
        <v>42064</v>
      </c>
      <c r="I5" s="60">
        <v>200</v>
      </c>
      <c r="J5" s="87"/>
      <c r="K5" s="34"/>
      <c r="L5" s="34"/>
      <c r="M5" s="67" t="s">
        <v>305</v>
      </c>
      <c r="N5" s="75">
        <v>56900</v>
      </c>
      <c r="O5" s="80"/>
    </row>
    <row r="6" spans="1:15" x14ac:dyDescent="0.25">
      <c r="A6" s="21"/>
      <c r="B6" s="39">
        <v>42065</v>
      </c>
      <c r="C6" s="45">
        <v>0</v>
      </c>
      <c r="D6" s="29"/>
      <c r="E6" s="26">
        <v>42065</v>
      </c>
      <c r="F6" s="51">
        <v>45441.5</v>
      </c>
      <c r="G6" s="19"/>
      <c r="H6" s="27">
        <v>42065</v>
      </c>
      <c r="I6" s="61">
        <v>0</v>
      </c>
      <c r="J6" s="88"/>
      <c r="K6" s="13" t="s">
        <v>5</v>
      </c>
      <c r="L6" s="20">
        <v>1095</v>
      </c>
      <c r="M6" s="67" t="s">
        <v>306</v>
      </c>
      <c r="N6" s="75">
        <v>45035</v>
      </c>
      <c r="O6" s="80"/>
    </row>
    <row r="7" spans="1:15" x14ac:dyDescent="0.25">
      <c r="A7" s="21"/>
      <c r="B7" s="39">
        <v>42066</v>
      </c>
      <c r="C7" s="45">
        <v>0</v>
      </c>
      <c r="D7" s="32"/>
      <c r="E7" s="26">
        <v>42066</v>
      </c>
      <c r="F7" s="51">
        <v>31661</v>
      </c>
      <c r="G7" s="23"/>
      <c r="H7" s="27">
        <v>42066</v>
      </c>
      <c r="I7" s="61">
        <v>400</v>
      </c>
      <c r="J7" s="88"/>
      <c r="K7" s="13" t="s">
        <v>3</v>
      </c>
      <c r="L7" s="20">
        <v>11478</v>
      </c>
      <c r="M7" s="67" t="s">
        <v>307</v>
      </c>
      <c r="N7" s="75">
        <v>32160</v>
      </c>
      <c r="O7" s="80"/>
    </row>
    <row r="8" spans="1:15" x14ac:dyDescent="0.25">
      <c r="A8" s="21"/>
      <c r="B8" s="39">
        <v>42067</v>
      </c>
      <c r="C8" s="45">
        <v>0</v>
      </c>
      <c r="D8" s="22"/>
      <c r="E8" s="26">
        <v>42067</v>
      </c>
      <c r="F8" s="51">
        <v>27497.5</v>
      </c>
      <c r="G8" s="23"/>
      <c r="H8" s="27">
        <v>42067</v>
      </c>
      <c r="I8" s="61">
        <v>200</v>
      </c>
      <c r="J8" s="88"/>
      <c r="K8" s="13" t="s">
        <v>6</v>
      </c>
      <c r="L8" s="20">
        <v>28750</v>
      </c>
      <c r="M8" s="201" t="s">
        <v>308</v>
      </c>
      <c r="N8" s="204">
        <v>27409.5</v>
      </c>
      <c r="O8" s="80"/>
    </row>
    <row r="9" spans="1:15" x14ac:dyDescent="0.25">
      <c r="A9" s="21"/>
      <c r="B9" s="39">
        <v>42068</v>
      </c>
      <c r="C9" s="45">
        <v>0</v>
      </c>
      <c r="D9" s="22"/>
      <c r="E9" s="26">
        <v>42068</v>
      </c>
      <c r="F9" s="51">
        <v>49428</v>
      </c>
      <c r="G9" s="23"/>
      <c r="H9" s="27">
        <v>42068</v>
      </c>
      <c r="I9" s="61">
        <v>230</v>
      </c>
      <c r="J9" s="88"/>
      <c r="K9" s="13" t="s">
        <v>316</v>
      </c>
      <c r="L9" s="20">
        <v>6228.25</v>
      </c>
      <c r="M9" s="67" t="s">
        <v>309</v>
      </c>
      <c r="N9" s="75">
        <v>47296.5</v>
      </c>
      <c r="O9" s="80"/>
    </row>
    <row r="10" spans="1:15" x14ac:dyDescent="0.25">
      <c r="A10" s="21"/>
      <c r="B10" s="39">
        <v>42069</v>
      </c>
      <c r="C10" s="45">
        <v>810</v>
      </c>
      <c r="D10" s="32" t="s">
        <v>50</v>
      </c>
      <c r="E10" s="26">
        <v>42069</v>
      </c>
      <c r="F10" s="51">
        <v>55437</v>
      </c>
      <c r="G10" s="23"/>
      <c r="H10" s="27">
        <v>42069</v>
      </c>
      <c r="I10" s="61">
        <v>200</v>
      </c>
      <c r="J10" s="88"/>
      <c r="K10" s="13" t="s">
        <v>317</v>
      </c>
      <c r="L10" s="20">
        <v>7850.81</v>
      </c>
      <c r="M10" s="67" t="s">
        <v>310</v>
      </c>
      <c r="N10" s="75">
        <v>54436</v>
      </c>
      <c r="O10" s="80"/>
    </row>
    <row r="11" spans="1:15" x14ac:dyDescent="0.25">
      <c r="A11" s="21"/>
      <c r="B11" s="39">
        <v>42070</v>
      </c>
      <c r="C11" s="45">
        <v>0</v>
      </c>
      <c r="D11" s="32"/>
      <c r="E11" s="26">
        <v>42070</v>
      </c>
      <c r="F11" s="51">
        <v>76311</v>
      </c>
      <c r="G11" s="23"/>
      <c r="H11" s="27">
        <v>42070</v>
      </c>
      <c r="I11" s="62">
        <v>200</v>
      </c>
      <c r="J11" s="88"/>
      <c r="K11" s="13" t="s">
        <v>318</v>
      </c>
      <c r="L11" s="20">
        <v>7969.87</v>
      </c>
      <c r="M11" s="67" t="s">
        <v>311</v>
      </c>
      <c r="N11" s="75">
        <v>70408</v>
      </c>
      <c r="O11" s="80"/>
    </row>
    <row r="12" spans="1:15" x14ac:dyDescent="0.25">
      <c r="A12" s="21"/>
      <c r="B12" s="39">
        <v>42071</v>
      </c>
      <c r="C12" s="45">
        <v>511.8</v>
      </c>
      <c r="D12" s="32" t="s">
        <v>313</v>
      </c>
      <c r="E12" s="26">
        <v>42071</v>
      </c>
      <c r="F12" s="51">
        <v>60689.5</v>
      </c>
      <c r="G12" s="23"/>
      <c r="H12" s="27">
        <v>42071</v>
      </c>
      <c r="I12" s="62">
        <v>250</v>
      </c>
      <c r="J12" s="88"/>
      <c r="K12" s="13" t="s">
        <v>319</v>
      </c>
      <c r="L12" s="20">
        <f>4967.42+200</f>
        <v>5167.42</v>
      </c>
      <c r="M12" s="67" t="s">
        <v>312</v>
      </c>
      <c r="N12" s="75">
        <v>66230</v>
      </c>
      <c r="O12" s="80"/>
    </row>
    <row r="13" spans="1:15" x14ac:dyDescent="0.25">
      <c r="A13" s="21"/>
      <c r="B13" s="39">
        <v>42072</v>
      </c>
      <c r="C13" s="45">
        <v>0</v>
      </c>
      <c r="D13" s="32"/>
      <c r="E13" s="26">
        <v>42072</v>
      </c>
      <c r="F13" s="51">
        <v>37436.5</v>
      </c>
      <c r="G13" s="23"/>
      <c r="H13" s="27">
        <v>42072</v>
      </c>
      <c r="I13" s="62">
        <v>224</v>
      </c>
      <c r="J13" s="88"/>
      <c r="K13" s="13" t="s">
        <v>344</v>
      </c>
      <c r="L13" s="20">
        <v>0</v>
      </c>
      <c r="M13" s="67" t="s">
        <v>314</v>
      </c>
      <c r="N13" s="75">
        <v>36247.699999999997</v>
      </c>
      <c r="O13" s="80"/>
    </row>
    <row r="14" spans="1:15" x14ac:dyDescent="0.25">
      <c r="A14" s="21"/>
      <c r="B14" s="39">
        <v>42073</v>
      </c>
      <c r="C14" s="45">
        <v>0</v>
      </c>
      <c r="D14" s="29"/>
      <c r="E14" s="26">
        <v>42073</v>
      </c>
      <c r="F14" s="51">
        <v>40372</v>
      </c>
      <c r="G14" s="23"/>
      <c r="H14" s="27">
        <v>42073</v>
      </c>
      <c r="I14" s="62">
        <v>633</v>
      </c>
      <c r="J14" s="88"/>
      <c r="K14" s="35" t="s">
        <v>16</v>
      </c>
      <c r="L14" s="20">
        <v>0</v>
      </c>
      <c r="M14" s="67" t="s">
        <v>322</v>
      </c>
      <c r="N14" s="75">
        <v>37081.5</v>
      </c>
      <c r="O14" s="80"/>
    </row>
    <row r="15" spans="1:15" x14ac:dyDescent="0.25">
      <c r="A15" s="21"/>
      <c r="B15" s="39">
        <v>42074</v>
      </c>
      <c r="C15" s="45">
        <v>0</v>
      </c>
      <c r="D15" s="29"/>
      <c r="E15" s="26">
        <v>42074</v>
      </c>
      <c r="F15" s="51">
        <v>31548</v>
      </c>
      <c r="G15" s="23"/>
      <c r="H15" s="27">
        <v>42074</v>
      </c>
      <c r="I15" s="62">
        <v>200</v>
      </c>
      <c r="J15" s="88"/>
      <c r="K15" s="28" t="s">
        <v>15</v>
      </c>
      <c r="L15" s="20">
        <v>0</v>
      </c>
      <c r="M15" s="67" t="s">
        <v>323</v>
      </c>
      <c r="N15" s="75">
        <v>35070</v>
      </c>
      <c r="O15" s="80"/>
    </row>
    <row r="16" spans="1:15" x14ac:dyDescent="0.25">
      <c r="A16" s="21"/>
      <c r="B16" s="39">
        <v>42075</v>
      </c>
      <c r="C16" s="45">
        <v>0</v>
      </c>
      <c r="D16" s="32"/>
      <c r="E16" s="26">
        <v>42075</v>
      </c>
      <c r="F16" s="51">
        <v>44047</v>
      </c>
      <c r="G16" s="23"/>
      <c r="H16" s="27">
        <v>42075</v>
      </c>
      <c r="I16" s="62">
        <v>200</v>
      </c>
      <c r="J16" s="88"/>
      <c r="K16" s="73" t="s">
        <v>52</v>
      </c>
      <c r="L16" s="74">
        <v>0</v>
      </c>
      <c r="M16" s="67" t="s">
        <v>324</v>
      </c>
      <c r="N16" s="75">
        <v>43860</v>
      </c>
      <c r="O16" s="80"/>
    </row>
    <row r="17" spans="1:15" x14ac:dyDescent="0.25">
      <c r="A17" s="21"/>
      <c r="B17" s="39">
        <v>42076</v>
      </c>
      <c r="C17" s="45">
        <v>0</v>
      </c>
      <c r="D17" s="29"/>
      <c r="E17" s="26">
        <v>42076</v>
      </c>
      <c r="F17" s="51">
        <v>47621</v>
      </c>
      <c r="G17" s="23"/>
      <c r="H17" s="27">
        <v>42076</v>
      </c>
      <c r="I17" s="62">
        <v>200</v>
      </c>
      <c r="J17" s="88"/>
      <c r="K17" s="28" t="s">
        <v>53</v>
      </c>
      <c r="L17" s="74">
        <v>0</v>
      </c>
      <c r="M17" s="67" t="s">
        <v>325</v>
      </c>
      <c r="N17" s="75">
        <v>44670</v>
      </c>
      <c r="O17" s="80"/>
    </row>
    <row r="18" spans="1:15" x14ac:dyDescent="0.25">
      <c r="A18" s="21"/>
      <c r="B18" s="39">
        <v>42077</v>
      </c>
      <c r="C18" s="45">
        <v>0</v>
      </c>
      <c r="D18" s="22"/>
      <c r="E18" s="26">
        <v>42077</v>
      </c>
      <c r="F18" s="51">
        <v>74580.5</v>
      </c>
      <c r="G18" s="23"/>
      <c r="H18" s="27">
        <v>42077</v>
      </c>
      <c r="I18" s="62">
        <v>200</v>
      </c>
      <c r="J18" s="89"/>
      <c r="K18" s="28" t="s">
        <v>54</v>
      </c>
      <c r="L18" s="75">
        <v>0</v>
      </c>
      <c r="M18" s="67" t="s">
        <v>320</v>
      </c>
      <c r="N18" s="75">
        <v>74090</v>
      </c>
      <c r="O18" s="80"/>
    </row>
    <row r="19" spans="1:15" x14ac:dyDescent="0.25">
      <c r="A19" s="21"/>
      <c r="B19" s="39">
        <v>42078</v>
      </c>
      <c r="C19" s="45">
        <v>0</v>
      </c>
      <c r="D19" s="29"/>
      <c r="E19" s="26">
        <v>42078</v>
      </c>
      <c r="F19" s="51">
        <v>68705.5</v>
      </c>
      <c r="G19" s="23"/>
      <c r="H19" s="27">
        <v>42078</v>
      </c>
      <c r="I19" s="62">
        <v>200</v>
      </c>
      <c r="J19" s="88"/>
      <c r="K19" s="28" t="s">
        <v>55</v>
      </c>
      <c r="L19" s="75">
        <v>0</v>
      </c>
      <c r="M19" s="67" t="s">
        <v>321</v>
      </c>
      <c r="N19" s="75">
        <v>71320</v>
      </c>
      <c r="O19" s="80"/>
    </row>
    <row r="20" spans="1:15" x14ac:dyDescent="0.25">
      <c r="A20" s="21"/>
      <c r="B20" s="39">
        <v>42079</v>
      </c>
      <c r="C20" s="45">
        <v>0</v>
      </c>
      <c r="D20" s="22"/>
      <c r="E20" s="26">
        <v>42079</v>
      </c>
      <c r="F20" s="51">
        <v>54477</v>
      </c>
      <c r="G20" s="23"/>
      <c r="H20" s="27">
        <v>42079</v>
      </c>
      <c r="I20" s="62">
        <v>0</v>
      </c>
      <c r="J20" s="90"/>
      <c r="K20" s="36" t="s">
        <v>68</v>
      </c>
      <c r="L20" s="55">
        <v>616</v>
      </c>
      <c r="M20" s="67" t="s">
        <v>326</v>
      </c>
      <c r="N20" s="75">
        <v>53851.5</v>
      </c>
      <c r="O20" s="80"/>
    </row>
    <row r="21" spans="1:15" x14ac:dyDescent="0.25">
      <c r="A21" s="21"/>
      <c r="B21" s="39">
        <v>42080</v>
      </c>
      <c r="C21" s="45">
        <v>0</v>
      </c>
      <c r="D21" s="22"/>
      <c r="E21" s="26">
        <v>42080</v>
      </c>
      <c r="F21" s="51">
        <v>36439</v>
      </c>
      <c r="G21" s="23"/>
      <c r="H21" s="27">
        <v>42080</v>
      </c>
      <c r="I21" s="62">
        <v>400</v>
      </c>
      <c r="J21" s="88"/>
      <c r="K21" s="25" t="s">
        <v>99</v>
      </c>
      <c r="L21" s="55">
        <v>0</v>
      </c>
      <c r="M21" s="67" t="s">
        <v>327</v>
      </c>
      <c r="N21" s="75">
        <v>37000</v>
      </c>
      <c r="O21" s="80"/>
    </row>
    <row r="22" spans="1:15" x14ac:dyDescent="0.25">
      <c r="A22" s="21"/>
      <c r="B22" s="39">
        <v>42081</v>
      </c>
      <c r="C22" s="45">
        <v>0</v>
      </c>
      <c r="D22" s="22"/>
      <c r="E22" s="26">
        <v>42081</v>
      </c>
      <c r="F22" s="51">
        <v>40380.5</v>
      </c>
      <c r="G22" s="23"/>
      <c r="H22" s="27">
        <v>42081</v>
      </c>
      <c r="I22" s="62">
        <v>200</v>
      </c>
      <c r="J22" s="90"/>
      <c r="K22" s="122" t="s">
        <v>213</v>
      </c>
      <c r="L22" s="55">
        <v>900</v>
      </c>
      <c r="M22" s="67" t="s">
        <v>328</v>
      </c>
      <c r="N22" s="75">
        <v>40400</v>
      </c>
      <c r="O22" s="80"/>
    </row>
    <row r="23" spans="1:15" x14ac:dyDescent="0.25">
      <c r="A23" s="21"/>
      <c r="B23" s="39">
        <v>42082</v>
      </c>
      <c r="C23" s="45">
        <v>0</v>
      </c>
      <c r="D23" s="22"/>
      <c r="E23" s="26">
        <v>42082</v>
      </c>
      <c r="F23" s="51">
        <v>43987</v>
      </c>
      <c r="G23" s="23"/>
      <c r="H23" s="27">
        <v>42082</v>
      </c>
      <c r="I23" s="62">
        <v>200</v>
      </c>
      <c r="J23" s="88"/>
      <c r="K23" s="11" t="s">
        <v>332</v>
      </c>
      <c r="L23" s="55">
        <v>800</v>
      </c>
      <c r="M23" s="67" t="s">
        <v>329</v>
      </c>
      <c r="N23" s="75">
        <v>40900</v>
      </c>
      <c r="O23" s="80"/>
    </row>
    <row r="24" spans="1:15" x14ac:dyDescent="0.25">
      <c r="A24" s="21"/>
      <c r="B24" s="39">
        <v>42083</v>
      </c>
      <c r="C24" s="45">
        <v>0</v>
      </c>
      <c r="D24" s="29"/>
      <c r="E24" s="26">
        <v>42083</v>
      </c>
      <c r="F24" s="51">
        <v>36096.5</v>
      </c>
      <c r="G24" s="23"/>
      <c r="H24" s="27">
        <v>42083</v>
      </c>
      <c r="I24" s="62">
        <v>1000</v>
      </c>
      <c r="J24" s="88"/>
      <c r="K24" s="11"/>
      <c r="L24" s="55"/>
      <c r="M24" s="67" t="s">
        <v>330</v>
      </c>
      <c r="N24" s="75">
        <v>34150</v>
      </c>
      <c r="O24" s="80"/>
    </row>
    <row r="25" spans="1:15" x14ac:dyDescent="0.25">
      <c r="A25" s="21"/>
      <c r="B25" s="39">
        <v>42084</v>
      </c>
      <c r="C25" s="45">
        <v>0</v>
      </c>
      <c r="D25" s="22"/>
      <c r="E25" s="26">
        <v>42084</v>
      </c>
      <c r="F25" s="51">
        <v>72502.5</v>
      </c>
      <c r="G25" s="23"/>
      <c r="H25" s="27">
        <v>42084</v>
      </c>
      <c r="I25" s="62">
        <v>200</v>
      </c>
      <c r="J25" s="88"/>
      <c r="K25" s="11"/>
      <c r="L25" s="55"/>
      <c r="M25" s="67" t="s">
        <v>333</v>
      </c>
      <c r="N25" s="75">
        <v>74100</v>
      </c>
      <c r="O25" s="80"/>
    </row>
    <row r="26" spans="1:15" x14ac:dyDescent="0.25">
      <c r="A26" s="21"/>
      <c r="B26" s="39">
        <v>42085</v>
      </c>
      <c r="C26" s="45">
        <v>0</v>
      </c>
      <c r="D26" s="29"/>
      <c r="E26" s="26">
        <v>42085</v>
      </c>
      <c r="F26" s="51">
        <v>59971.5</v>
      </c>
      <c r="G26" s="23"/>
      <c r="H26" s="27">
        <v>42085</v>
      </c>
      <c r="I26" s="62">
        <v>200</v>
      </c>
      <c r="J26" s="88"/>
      <c r="K26" s="11"/>
      <c r="L26" s="55"/>
      <c r="M26" s="67" t="s">
        <v>334</v>
      </c>
      <c r="N26" s="75">
        <v>60000</v>
      </c>
      <c r="O26" s="80"/>
    </row>
    <row r="27" spans="1:15" x14ac:dyDescent="0.25">
      <c r="A27" s="21"/>
      <c r="B27" s="39">
        <v>42086</v>
      </c>
      <c r="C27" s="45">
        <v>0</v>
      </c>
      <c r="D27" s="29"/>
      <c r="E27" s="26">
        <v>42086</v>
      </c>
      <c r="F27" s="51">
        <v>42284</v>
      </c>
      <c r="G27" s="23"/>
      <c r="H27" s="27">
        <v>42086</v>
      </c>
      <c r="I27" s="62">
        <v>200</v>
      </c>
      <c r="J27" s="88"/>
      <c r="K27" s="11"/>
      <c r="L27" s="55"/>
      <c r="M27" s="201" t="s">
        <v>335</v>
      </c>
      <c r="N27" s="204">
        <v>45240.5</v>
      </c>
      <c r="O27" s="80"/>
    </row>
    <row r="28" spans="1:15" x14ac:dyDescent="0.25">
      <c r="A28" s="21"/>
      <c r="B28" s="39">
        <v>42087</v>
      </c>
      <c r="C28" s="45">
        <v>0</v>
      </c>
      <c r="D28" s="29"/>
      <c r="E28" s="26">
        <v>42087</v>
      </c>
      <c r="F28" s="51">
        <v>27168.5</v>
      </c>
      <c r="G28" s="23"/>
      <c r="H28" s="27">
        <v>42087</v>
      </c>
      <c r="I28" s="62">
        <v>200</v>
      </c>
      <c r="J28" s="88"/>
      <c r="K28" s="11"/>
      <c r="L28" s="55"/>
      <c r="M28" s="201" t="s">
        <v>336</v>
      </c>
      <c r="N28" s="204">
        <v>27049.5</v>
      </c>
      <c r="O28" s="80"/>
    </row>
    <row r="29" spans="1:15" x14ac:dyDescent="0.25">
      <c r="A29" s="21"/>
      <c r="B29" s="39">
        <v>42088</v>
      </c>
      <c r="C29" s="45">
        <v>0</v>
      </c>
      <c r="D29" s="29"/>
      <c r="E29" s="26">
        <v>42088</v>
      </c>
      <c r="F29" s="51">
        <v>32500.5</v>
      </c>
      <c r="G29" s="23"/>
      <c r="H29" s="27">
        <v>42088</v>
      </c>
      <c r="I29" s="62">
        <v>200</v>
      </c>
      <c r="J29" s="88"/>
      <c r="K29" s="11"/>
      <c r="L29" s="20"/>
      <c r="M29" s="67" t="s">
        <v>337</v>
      </c>
      <c r="N29" s="75">
        <v>32000.5</v>
      </c>
      <c r="O29" s="80"/>
    </row>
    <row r="30" spans="1:15" x14ac:dyDescent="0.25">
      <c r="A30" s="21"/>
      <c r="B30" s="39">
        <v>42089</v>
      </c>
      <c r="C30" s="45">
        <v>0</v>
      </c>
      <c r="D30" s="22"/>
      <c r="E30" s="26">
        <v>42089</v>
      </c>
      <c r="F30" s="51">
        <v>50346.5</v>
      </c>
      <c r="G30" s="23"/>
      <c r="H30" s="27">
        <v>42089</v>
      </c>
      <c r="I30" s="62">
        <v>1002.2</v>
      </c>
      <c r="J30" s="88"/>
      <c r="K30" s="11"/>
      <c r="L30" s="20"/>
      <c r="M30" s="201" t="s">
        <v>338</v>
      </c>
      <c r="N30" s="204">
        <v>48291.5</v>
      </c>
      <c r="O30" s="80"/>
    </row>
    <row r="31" spans="1:15" x14ac:dyDescent="0.25">
      <c r="A31" s="21"/>
      <c r="B31" s="39">
        <v>42090</v>
      </c>
      <c r="C31" s="45">
        <v>0</v>
      </c>
      <c r="D31" s="22"/>
      <c r="E31" s="26">
        <v>42090</v>
      </c>
      <c r="F31" s="51">
        <v>41857.5</v>
      </c>
      <c r="G31" s="23"/>
      <c r="H31" s="27">
        <v>42090</v>
      </c>
      <c r="I31" s="62">
        <v>200</v>
      </c>
      <c r="J31" s="88"/>
      <c r="K31" s="11"/>
      <c r="L31" s="20"/>
      <c r="M31" s="201" t="s">
        <v>340</v>
      </c>
      <c r="N31" s="204">
        <v>43823.5</v>
      </c>
      <c r="O31" s="80"/>
    </row>
    <row r="32" spans="1:15" x14ac:dyDescent="0.25">
      <c r="A32" s="21"/>
      <c r="B32" s="39">
        <v>42091</v>
      </c>
      <c r="C32" s="45">
        <v>0</v>
      </c>
      <c r="D32" s="22"/>
      <c r="E32" s="26">
        <v>42091</v>
      </c>
      <c r="F32" s="51">
        <v>85236.5</v>
      </c>
      <c r="G32" s="23"/>
      <c r="H32" s="27">
        <v>42091</v>
      </c>
      <c r="I32" s="62">
        <v>200</v>
      </c>
      <c r="J32" s="88"/>
      <c r="K32" s="11"/>
      <c r="L32" s="20"/>
      <c r="M32" s="67" t="s">
        <v>341</v>
      </c>
      <c r="N32" s="75">
        <v>84085</v>
      </c>
      <c r="O32" s="80"/>
    </row>
    <row r="33" spans="1:15" x14ac:dyDescent="0.25">
      <c r="A33" s="21"/>
      <c r="B33" s="39">
        <v>42092</v>
      </c>
      <c r="C33" s="45">
        <v>0</v>
      </c>
      <c r="D33" s="32"/>
      <c r="E33" s="26">
        <v>42092</v>
      </c>
      <c r="F33" s="51">
        <v>54376</v>
      </c>
      <c r="G33" s="23"/>
      <c r="H33" s="27">
        <v>42092</v>
      </c>
      <c r="I33" s="62">
        <v>400</v>
      </c>
      <c r="J33" s="88"/>
      <c r="K33" s="11"/>
      <c r="L33" s="20"/>
      <c r="M33" s="67" t="s">
        <v>342</v>
      </c>
      <c r="N33" s="75">
        <v>53739.9</v>
      </c>
      <c r="O33" s="80"/>
    </row>
    <row r="34" spans="1:15" x14ac:dyDescent="0.25">
      <c r="A34" s="21"/>
      <c r="B34" s="39">
        <v>42093</v>
      </c>
      <c r="C34" s="45">
        <v>0</v>
      </c>
      <c r="D34" s="72"/>
      <c r="E34" s="26">
        <v>42093</v>
      </c>
      <c r="F34" s="51">
        <v>40879.5</v>
      </c>
      <c r="G34" s="23"/>
      <c r="H34" s="27">
        <v>42093</v>
      </c>
      <c r="I34" s="62">
        <v>400</v>
      </c>
      <c r="J34" s="88"/>
      <c r="K34" s="11"/>
      <c r="L34" s="20"/>
      <c r="M34" s="258" t="s">
        <v>343</v>
      </c>
      <c r="N34" s="202">
        <v>40800</v>
      </c>
      <c r="O34" s="80"/>
    </row>
    <row r="35" spans="1:15" ht="15.75" thickBot="1" x14ac:dyDescent="0.3">
      <c r="A35" s="21"/>
      <c r="B35" s="39">
        <v>42094</v>
      </c>
      <c r="C35" s="45">
        <v>0</v>
      </c>
      <c r="D35" s="22"/>
      <c r="E35" s="26">
        <v>42094</v>
      </c>
      <c r="F35" s="51">
        <v>43164</v>
      </c>
      <c r="G35" s="23"/>
      <c r="H35" s="27">
        <v>42094</v>
      </c>
      <c r="I35" s="62">
        <v>200</v>
      </c>
      <c r="J35" s="88"/>
      <c r="K35" s="11" t="s">
        <v>345</v>
      </c>
      <c r="L35" s="20"/>
      <c r="M35" s="71"/>
      <c r="N35" s="74"/>
    </row>
    <row r="36" spans="1:15" ht="15.7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</row>
    <row r="37" spans="1:15" ht="15.7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N37" s="259">
        <f>SUM(N5:N34)</f>
        <v>1457646.0999999999</v>
      </c>
    </row>
    <row r="38" spans="1:15" x14ac:dyDescent="0.25">
      <c r="B38" s="42" t="s">
        <v>1</v>
      </c>
      <c r="C38" s="48">
        <f>SUM(C5:C37)</f>
        <v>1321.8</v>
      </c>
      <c r="E38" s="255" t="s">
        <v>1</v>
      </c>
      <c r="F38" s="54">
        <f>SUM(F6:F37)</f>
        <v>1452443</v>
      </c>
      <c r="H38" s="257" t="s">
        <v>1</v>
      </c>
      <c r="I38" s="58">
        <f>SUM(I5:I37)</f>
        <v>8739.2000000000007</v>
      </c>
      <c r="J38" s="58"/>
      <c r="K38" s="17" t="s">
        <v>1</v>
      </c>
      <c r="L38" s="4">
        <f t="shared" ref="L38" si="0">SUM(L5:L37)</f>
        <v>70855.350000000006</v>
      </c>
    </row>
    <row r="40" spans="1:15" ht="15.75" customHeight="1" x14ac:dyDescent="0.25">
      <c r="A40" s="5"/>
      <c r="C40" s="49">
        <v>0</v>
      </c>
      <c r="D40" s="13"/>
      <c r="E40" s="13"/>
      <c r="F40" s="55"/>
      <c r="H40" s="373" t="s">
        <v>7</v>
      </c>
      <c r="I40" s="374"/>
      <c r="J40" s="256"/>
      <c r="K40" s="375">
        <f>I38+L38</f>
        <v>79594.55</v>
      </c>
      <c r="L40" s="376"/>
    </row>
    <row r="41" spans="1:15" ht="15.75" customHeight="1" x14ac:dyDescent="0.25">
      <c r="D41" s="367" t="s">
        <v>8</v>
      </c>
      <c r="E41" s="367"/>
      <c r="F41" s="56">
        <f>F38-K40</f>
        <v>1372848.45</v>
      </c>
      <c r="I41" s="65"/>
      <c r="J41" s="65"/>
    </row>
    <row r="42" spans="1:15" x14ac:dyDescent="0.25">
      <c r="D42" s="13"/>
      <c r="E42" s="13" t="s">
        <v>0</v>
      </c>
      <c r="F42" s="55">
        <f>-C38</f>
        <v>-1321.8</v>
      </c>
    </row>
    <row r="43" spans="1:15" ht="15.75" thickBot="1" x14ac:dyDescent="0.3">
      <c r="C43" s="43" t="s">
        <v>12</v>
      </c>
      <c r="D43" t="s">
        <v>303</v>
      </c>
      <c r="F43" s="57">
        <v>-1289618.5900000001</v>
      </c>
      <c r="I43" s="377"/>
      <c r="J43" s="377"/>
      <c r="K43" s="377"/>
      <c r="L43" s="2"/>
    </row>
    <row r="44" spans="1:15" ht="16.5" thickTop="1" x14ac:dyDescent="0.25">
      <c r="E44" s="5" t="s">
        <v>10</v>
      </c>
      <c r="F44" s="58">
        <f>SUM(F41:F43)</f>
        <v>81908.059999999823</v>
      </c>
      <c r="I44"/>
      <c r="J44" s="182" t="s">
        <v>251</v>
      </c>
      <c r="K44" s="394">
        <f>F48</f>
        <v>226327.02999999982</v>
      </c>
      <c r="L44" s="395"/>
    </row>
    <row r="45" spans="1:15" ht="15.75" customHeight="1" thickBot="1" x14ac:dyDescent="0.3">
      <c r="D45" s="301" t="s">
        <v>9</v>
      </c>
      <c r="E45" s="301"/>
      <c r="F45" s="59">
        <v>141644.97</v>
      </c>
      <c r="I45" s="403" t="s">
        <v>2</v>
      </c>
      <c r="J45" s="403"/>
      <c r="K45" s="396">
        <v>-181901.18</v>
      </c>
      <c r="L45" s="396"/>
    </row>
    <row r="46" spans="1:15" ht="15.75" customHeight="1" thickBot="1" x14ac:dyDescent="0.3">
      <c r="E46" s="6" t="s">
        <v>347</v>
      </c>
      <c r="F46" s="48">
        <f>F45+F44</f>
        <v>223553.02999999982</v>
      </c>
      <c r="I46"/>
      <c r="J46" s="178"/>
      <c r="K46" s="397">
        <v>0</v>
      </c>
      <c r="L46" s="397"/>
    </row>
    <row r="47" spans="1:15" ht="19.5" thickBot="1" x14ac:dyDescent="0.3">
      <c r="E47" s="5" t="s">
        <v>346</v>
      </c>
      <c r="F47" s="125">
        <v>2774</v>
      </c>
      <c r="I47"/>
      <c r="J47" s="304" t="s">
        <v>13</v>
      </c>
      <c r="K47" s="400">
        <f t="shared" ref="K47" si="1">SUM(K44:L46)</f>
        <v>44425.849999999831</v>
      </c>
      <c r="L47" s="401"/>
    </row>
    <row r="48" spans="1:15" ht="15.75" thickTop="1" x14ac:dyDescent="0.25">
      <c r="D48" s="377" t="s">
        <v>251</v>
      </c>
      <c r="E48" s="377"/>
      <c r="F48" s="58">
        <f>F47+F46</f>
        <v>226327.02999999982</v>
      </c>
    </row>
    <row r="49" spans="2:14" x14ac:dyDescent="0.25">
      <c r="B49"/>
      <c r="C49"/>
      <c r="F49"/>
      <c r="I49"/>
      <c r="J49"/>
      <c r="M49"/>
      <c r="N49" s="43"/>
    </row>
    <row r="50" spans="2:14" x14ac:dyDescent="0.25">
      <c r="B50"/>
      <c r="C50"/>
      <c r="F50"/>
      <c r="I50"/>
      <c r="J50"/>
      <c r="M50"/>
      <c r="N50" s="43"/>
    </row>
    <row r="51" spans="2:14" x14ac:dyDescent="0.25">
      <c r="B51"/>
      <c r="C51"/>
      <c r="F51"/>
      <c r="I51"/>
      <c r="J51"/>
      <c r="M51"/>
      <c r="N51" s="43"/>
    </row>
    <row r="52" spans="2:14" x14ac:dyDescent="0.25">
      <c r="B52"/>
      <c r="C52"/>
      <c r="F52"/>
      <c r="I52"/>
      <c r="J52"/>
      <c r="M52"/>
    </row>
    <row r="53" spans="2:14" x14ac:dyDescent="0.25">
      <c r="B53"/>
      <c r="C53"/>
      <c r="F53"/>
      <c r="I53"/>
      <c r="J53"/>
      <c r="M53"/>
    </row>
    <row r="54" spans="2:14" x14ac:dyDescent="0.25">
      <c r="B54"/>
      <c r="C54"/>
      <c r="F54"/>
      <c r="I54"/>
      <c r="J54"/>
      <c r="M54"/>
    </row>
    <row r="55" spans="2:14" x14ac:dyDescent="0.25">
      <c r="B55"/>
      <c r="C55"/>
      <c r="F55"/>
      <c r="I55"/>
      <c r="J55"/>
      <c r="M55"/>
      <c r="N55" s="43"/>
    </row>
    <row r="56" spans="2:14" x14ac:dyDescent="0.25">
      <c r="B56"/>
      <c r="C56"/>
      <c r="F56"/>
      <c r="I56"/>
      <c r="J56"/>
      <c r="M56"/>
      <c r="N56" s="43"/>
    </row>
    <row r="57" spans="2:14" x14ac:dyDescent="0.25">
      <c r="B57"/>
      <c r="C57"/>
      <c r="F57"/>
      <c r="I57"/>
      <c r="J57"/>
      <c r="M57"/>
      <c r="N57" s="43"/>
    </row>
    <row r="58" spans="2:14" x14ac:dyDescent="0.25">
      <c r="B58"/>
      <c r="C58"/>
      <c r="F58"/>
      <c r="I58"/>
      <c r="J58"/>
      <c r="M58"/>
      <c r="N58" s="43"/>
    </row>
    <row r="59" spans="2:14" x14ac:dyDescent="0.25">
      <c r="B59"/>
      <c r="C59"/>
      <c r="F59"/>
      <c r="I59"/>
      <c r="J59"/>
      <c r="M59"/>
      <c r="N59" s="43"/>
    </row>
    <row r="60" spans="2:14" x14ac:dyDescent="0.25">
      <c r="B60"/>
      <c r="C60"/>
      <c r="F60"/>
      <c r="I60"/>
      <c r="J60"/>
      <c r="M60"/>
      <c r="N60" s="43"/>
    </row>
    <row r="61" spans="2:14" x14ac:dyDescent="0.25">
      <c r="B61"/>
      <c r="C61"/>
      <c r="F61"/>
      <c r="I61"/>
      <c r="J61"/>
      <c r="M61"/>
      <c r="N61" s="43"/>
    </row>
    <row r="62" spans="2:14" x14ac:dyDescent="0.25">
      <c r="B62"/>
      <c r="C62"/>
      <c r="F62"/>
      <c r="I62"/>
      <c r="J62"/>
      <c r="M62"/>
      <c r="N62" s="43"/>
    </row>
    <row r="63" spans="2:14" x14ac:dyDescent="0.25">
      <c r="B63"/>
      <c r="C63"/>
      <c r="F63"/>
      <c r="I63"/>
      <c r="J63"/>
      <c r="M63"/>
      <c r="N63" s="43"/>
    </row>
    <row r="64" spans="2:14" x14ac:dyDescent="0.25">
      <c r="B64"/>
      <c r="C64"/>
      <c r="F64"/>
      <c r="I64"/>
      <c r="J64"/>
      <c r="M64"/>
      <c r="N64" s="43"/>
    </row>
    <row r="65" spans="2:14" x14ac:dyDescent="0.25">
      <c r="B65"/>
      <c r="C65"/>
      <c r="F65"/>
      <c r="I65"/>
      <c r="J65"/>
      <c r="M65"/>
      <c r="N65" s="43"/>
    </row>
    <row r="66" spans="2:14" x14ac:dyDescent="0.25">
      <c r="B66"/>
      <c r="C66"/>
      <c r="F66"/>
      <c r="I66"/>
      <c r="J66"/>
      <c r="M66"/>
      <c r="N66" s="43"/>
    </row>
    <row r="67" spans="2:14" x14ac:dyDescent="0.25">
      <c r="B67"/>
      <c r="C67"/>
      <c r="F67"/>
      <c r="I67"/>
      <c r="J67"/>
      <c r="M67"/>
      <c r="N67" s="43"/>
    </row>
    <row r="68" spans="2:14" x14ac:dyDescent="0.25">
      <c r="B68"/>
      <c r="C68"/>
      <c r="F68"/>
      <c r="I68"/>
      <c r="J68"/>
      <c r="M68"/>
      <c r="N68" s="43"/>
    </row>
    <row r="69" spans="2:14" x14ac:dyDescent="0.25">
      <c r="B69"/>
      <c r="C69"/>
      <c r="F69"/>
      <c r="I69"/>
      <c r="J69"/>
      <c r="M69"/>
      <c r="N69" s="43"/>
    </row>
    <row r="70" spans="2:14" x14ac:dyDescent="0.25">
      <c r="B70"/>
      <c r="C70"/>
      <c r="F70"/>
      <c r="I70"/>
      <c r="J70"/>
      <c r="M70"/>
      <c r="N70" s="43"/>
    </row>
    <row r="71" spans="2:14" x14ac:dyDescent="0.25">
      <c r="B71"/>
      <c r="C71"/>
      <c r="F71"/>
      <c r="I71"/>
      <c r="J71"/>
      <c r="M71"/>
      <c r="N71" s="43"/>
    </row>
    <row r="72" spans="2:14" x14ac:dyDescent="0.25">
      <c r="B72"/>
      <c r="C72"/>
      <c r="F72"/>
      <c r="I72"/>
      <c r="J72"/>
      <c r="M72"/>
      <c r="N72" s="43"/>
    </row>
    <row r="73" spans="2:14" x14ac:dyDescent="0.25">
      <c r="B73"/>
      <c r="C73"/>
      <c r="F73"/>
      <c r="I73"/>
      <c r="J73"/>
      <c r="M73"/>
      <c r="N73" s="43"/>
    </row>
    <row r="74" spans="2:14" x14ac:dyDescent="0.25">
      <c r="B74"/>
      <c r="C74"/>
      <c r="F74"/>
      <c r="I74"/>
      <c r="J74"/>
      <c r="M74"/>
      <c r="N74" s="43"/>
    </row>
    <row r="75" spans="2:14" x14ac:dyDescent="0.25">
      <c r="B75"/>
      <c r="C75"/>
      <c r="F75"/>
      <c r="I75"/>
      <c r="J75"/>
      <c r="M75"/>
    </row>
    <row r="76" spans="2:14" x14ac:dyDescent="0.25">
      <c r="B76"/>
      <c r="C76"/>
      <c r="F76"/>
      <c r="I76"/>
      <c r="J76"/>
      <c r="M76"/>
    </row>
    <row r="77" spans="2:14" x14ac:dyDescent="0.25">
      <c r="B77"/>
      <c r="C77"/>
      <c r="F77"/>
      <c r="I77"/>
      <c r="J77"/>
      <c r="M77"/>
    </row>
    <row r="78" spans="2:14" x14ac:dyDescent="0.25">
      <c r="B78"/>
      <c r="C78"/>
      <c r="F78"/>
      <c r="I78"/>
      <c r="J78"/>
      <c r="M78"/>
    </row>
    <row r="79" spans="2:14" x14ac:dyDescent="0.25">
      <c r="B79"/>
      <c r="C79"/>
      <c r="F79"/>
      <c r="I79"/>
      <c r="J79"/>
      <c r="M79"/>
    </row>
    <row r="80" spans="2:14" x14ac:dyDescent="0.25">
      <c r="B80"/>
      <c r="C80"/>
      <c r="F80"/>
      <c r="I80"/>
      <c r="J80"/>
      <c r="M80"/>
    </row>
    <row r="81" spans="2:14" x14ac:dyDescent="0.25">
      <c r="B81"/>
      <c r="C81"/>
      <c r="F81"/>
      <c r="I81"/>
      <c r="J81"/>
      <c r="M81"/>
      <c r="N81"/>
    </row>
    <row r="82" spans="2:14" x14ac:dyDescent="0.25">
      <c r="B82"/>
      <c r="C82"/>
      <c r="F82"/>
      <c r="I82"/>
      <c r="J82"/>
      <c r="M82"/>
      <c r="N82"/>
    </row>
    <row r="83" spans="2:14" x14ac:dyDescent="0.25">
      <c r="B83"/>
      <c r="C83"/>
      <c r="F83"/>
      <c r="I83"/>
      <c r="J83"/>
      <c r="M83"/>
      <c r="N83"/>
    </row>
    <row r="84" spans="2:14" x14ac:dyDescent="0.25">
      <c r="B84"/>
      <c r="C84"/>
      <c r="F84"/>
      <c r="I84"/>
      <c r="J84"/>
      <c r="M84"/>
      <c r="N84"/>
    </row>
    <row r="85" spans="2:14" x14ac:dyDescent="0.25">
      <c r="B85"/>
      <c r="C85"/>
      <c r="F85"/>
      <c r="I85"/>
      <c r="J85"/>
      <c r="M85"/>
      <c r="N85"/>
    </row>
    <row r="86" spans="2:14" x14ac:dyDescent="0.25">
      <c r="B86"/>
      <c r="C86"/>
      <c r="F86"/>
      <c r="I86"/>
      <c r="J86"/>
      <c r="M86"/>
      <c r="N86"/>
    </row>
    <row r="87" spans="2:14" x14ac:dyDescent="0.25">
      <c r="B87"/>
      <c r="C87"/>
      <c r="F87"/>
      <c r="I87"/>
      <c r="J87"/>
      <c r="M87"/>
      <c r="N87"/>
    </row>
    <row r="88" spans="2:14" x14ac:dyDescent="0.25">
      <c r="B88"/>
      <c r="C88"/>
      <c r="F88"/>
      <c r="I88"/>
      <c r="J88"/>
      <c r="M88"/>
      <c r="N88"/>
    </row>
    <row r="89" spans="2:14" x14ac:dyDescent="0.25">
      <c r="B89"/>
      <c r="C89"/>
      <c r="F89"/>
      <c r="I89"/>
      <c r="J89"/>
      <c r="M89"/>
      <c r="N89"/>
    </row>
    <row r="90" spans="2:14" x14ac:dyDescent="0.25">
      <c r="B90"/>
      <c r="C90"/>
      <c r="F90"/>
      <c r="I90"/>
      <c r="J90"/>
      <c r="M90"/>
      <c r="N90"/>
    </row>
    <row r="91" spans="2:14" x14ac:dyDescent="0.25">
      <c r="B91"/>
      <c r="C91"/>
      <c r="F91"/>
      <c r="I91"/>
      <c r="J91"/>
      <c r="M91"/>
      <c r="N91"/>
    </row>
    <row r="92" spans="2:14" x14ac:dyDescent="0.25">
      <c r="B92"/>
      <c r="C92"/>
      <c r="F92"/>
      <c r="I92"/>
      <c r="J92"/>
      <c r="M92"/>
      <c r="N92"/>
    </row>
    <row r="93" spans="2:14" x14ac:dyDescent="0.25">
      <c r="B93"/>
      <c r="C93"/>
      <c r="F93"/>
      <c r="I93"/>
      <c r="J93"/>
      <c r="M93"/>
      <c r="N93"/>
    </row>
    <row r="94" spans="2:14" x14ac:dyDescent="0.25">
      <c r="B94"/>
      <c r="C94"/>
      <c r="F94"/>
      <c r="I94"/>
      <c r="J94"/>
      <c r="M94"/>
      <c r="N94"/>
    </row>
    <row r="95" spans="2:14" x14ac:dyDescent="0.25">
      <c r="B95"/>
      <c r="C95"/>
      <c r="F95"/>
      <c r="I95"/>
      <c r="J95"/>
      <c r="M95"/>
      <c r="N95"/>
    </row>
    <row r="96" spans="2:14" x14ac:dyDescent="0.25">
      <c r="B96"/>
      <c r="C96"/>
      <c r="F96"/>
      <c r="I96"/>
      <c r="J96"/>
      <c r="M96"/>
      <c r="N96"/>
    </row>
    <row r="97" spans="2:14" x14ac:dyDescent="0.25">
      <c r="B97"/>
      <c r="C97"/>
      <c r="F97"/>
      <c r="I97"/>
      <c r="J97"/>
      <c r="M97"/>
      <c r="N97"/>
    </row>
  </sheetData>
  <mergeCells count="13">
    <mergeCell ref="K47:L47"/>
    <mergeCell ref="D48:E48"/>
    <mergeCell ref="C1:K1"/>
    <mergeCell ref="E4:F4"/>
    <mergeCell ref="I4:L4"/>
    <mergeCell ref="H40:I40"/>
    <mergeCell ref="K40:L40"/>
    <mergeCell ref="D41:E41"/>
    <mergeCell ref="I43:K43"/>
    <mergeCell ref="K44:L44"/>
    <mergeCell ref="I45:J45"/>
    <mergeCell ref="K45:L45"/>
    <mergeCell ref="K46:L4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2:P109"/>
  <sheetViews>
    <sheetView topLeftCell="A40" workbookViewId="0">
      <selection activeCell="E50" sqref="E50"/>
    </sheetView>
  </sheetViews>
  <sheetFormatPr baseColWidth="10" defaultRowHeight="15" x14ac:dyDescent="0.25"/>
  <cols>
    <col min="1" max="1" width="11.42578125" style="284"/>
    <col min="2" max="2" width="11.42578125" style="111"/>
    <col min="3" max="4" width="14.140625" style="43" bestFit="1" customWidth="1"/>
    <col min="5" max="5" width="17.28515625" style="58" customWidth="1"/>
    <col min="6" max="6" width="12.5703125" style="43" bestFit="1" customWidth="1"/>
    <col min="9" max="9" width="12.5703125" style="43" bestFit="1" customWidth="1"/>
    <col min="11" max="11" width="17.42578125" style="58" bestFit="1" customWidth="1"/>
    <col min="12" max="12" width="9.5703125" style="58" customWidth="1"/>
    <col min="13" max="13" width="10.7109375" style="58" customWidth="1"/>
    <col min="14" max="14" width="17.42578125" style="58" bestFit="1" customWidth="1"/>
  </cols>
  <sheetData>
    <row r="2" spans="1:16" ht="16.5" thickBot="1" x14ac:dyDescent="0.3">
      <c r="J2" s="104"/>
      <c r="K2" s="224">
        <v>42075</v>
      </c>
      <c r="L2" s="215"/>
      <c r="M2" s="134" t="s">
        <v>200</v>
      </c>
      <c r="N2" s="88"/>
    </row>
    <row r="3" spans="1:16" ht="16.5" thickBot="1" x14ac:dyDescent="0.3">
      <c r="C3" s="404" t="s">
        <v>240</v>
      </c>
      <c r="D3" s="405"/>
      <c r="E3" s="406"/>
      <c r="I3" s="103"/>
      <c r="J3" s="104"/>
      <c r="K3" s="103"/>
      <c r="L3" s="103"/>
      <c r="M3" s="103"/>
      <c r="N3" s="213"/>
    </row>
    <row r="4" spans="1:16" ht="16.5" thickBot="1" x14ac:dyDescent="0.3">
      <c r="A4" s="247" t="s">
        <v>295</v>
      </c>
      <c r="B4" s="248" t="s">
        <v>296</v>
      </c>
      <c r="C4" s="253" t="s">
        <v>297</v>
      </c>
      <c r="D4" s="253"/>
      <c r="E4" s="253" t="s">
        <v>298</v>
      </c>
      <c r="F4" s="254" t="s">
        <v>299</v>
      </c>
      <c r="I4" s="43">
        <f>5383.5+39249.5</f>
        <v>44633</v>
      </c>
      <c r="J4" s="265">
        <v>13222</v>
      </c>
      <c r="K4" s="130">
        <v>36783.17</v>
      </c>
      <c r="L4" s="130"/>
      <c r="M4" s="113" t="s">
        <v>202</v>
      </c>
      <c r="N4" s="270">
        <v>5383.5</v>
      </c>
      <c r="O4" s="221">
        <v>42061</v>
      </c>
      <c r="P4" s="21">
        <v>42061</v>
      </c>
    </row>
    <row r="5" spans="1:16" ht="15.75" x14ac:dyDescent="0.25">
      <c r="A5" s="243">
        <v>42064</v>
      </c>
      <c r="B5" s="244">
        <v>13534</v>
      </c>
      <c r="C5" s="245">
        <v>30688.799999999999</v>
      </c>
      <c r="D5" s="104">
        <v>42075</v>
      </c>
      <c r="E5" s="103">
        <v>30688.799999999999</v>
      </c>
      <c r="F5" s="246">
        <f t="shared" ref="F5:F48" si="0">C5-E5</f>
        <v>0</v>
      </c>
      <c r="G5" s="105"/>
      <c r="H5" s="106"/>
      <c r="I5" s="43">
        <v>7102</v>
      </c>
      <c r="J5" s="266">
        <v>13373</v>
      </c>
      <c r="K5" s="207">
        <v>7102</v>
      </c>
      <c r="L5" s="207"/>
      <c r="M5" s="127" t="s">
        <v>202</v>
      </c>
      <c r="N5" s="269">
        <v>39249.5</v>
      </c>
      <c r="O5" s="221">
        <v>42061</v>
      </c>
      <c r="P5" s="21">
        <v>42061</v>
      </c>
    </row>
    <row r="6" spans="1:16" ht="15.75" x14ac:dyDescent="0.25">
      <c r="A6" s="143">
        <v>42065</v>
      </c>
      <c r="B6" s="144">
        <v>13630</v>
      </c>
      <c r="C6" s="156">
        <v>12705</v>
      </c>
      <c r="D6" s="104">
        <v>42075</v>
      </c>
      <c r="E6" s="103">
        <v>12705</v>
      </c>
      <c r="F6" s="154">
        <f t="shared" si="0"/>
        <v>0</v>
      </c>
      <c r="G6" s="105"/>
      <c r="H6" s="108"/>
      <c r="I6" s="43">
        <f>5305.5+40264.5+3564.5</f>
        <v>49134.5</v>
      </c>
      <c r="J6" s="265">
        <v>13378</v>
      </c>
      <c r="K6" s="207">
        <v>49134.6</v>
      </c>
      <c r="L6" s="207"/>
      <c r="M6" s="127" t="s">
        <v>202</v>
      </c>
      <c r="N6" s="269">
        <v>5305.5</v>
      </c>
      <c r="O6" s="221">
        <v>42062</v>
      </c>
      <c r="P6" s="21">
        <v>42062</v>
      </c>
    </row>
    <row r="7" spans="1:16" ht="15.75" x14ac:dyDescent="0.25">
      <c r="A7" s="143">
        <v>42066</v>
      </c>
      <c r="B7" s="144">
        <v>13712</v>
      </c>
      <c r="C7" s="156">
        <v>8287</v>
      </c>
      <c r="D7" s="104">
        <v>42075</v>
      </c>
      <c r="E7" s="103">
        <v>8287</v>
      </c>
      <c r="F7" s="155">
        <f t="shared" si="0"/>
        <v>0</v>
      </c>
      <c r="G7" s="105"/>
      <c r="H7" s="108"/>
      <c r="I7" s="43">
        <f>25799</f>
        <v>25799</v>
      </c>
      <c r="J7" s="265">
        <v>13388</v>
      </c>
      <c r="K7" s="130">
        <v>25798.9</v>
      </c>
      <c r="L7" s="130"/>
      <c r="M7" s="113" t="s">
        <v>202</v>
      </c>
      <c r="N7" s="269">
        <v>40264.5</v>
      </c>
      <c r="O7" s="221">
        <v>42062</v>
      </c>
      <c r="P7" s="21">
        <v>42062</v>
      </c>
    </row>
    <row r="8" spans="1:16" ht="15.75" x14ac:dyDescent="0.25">
      <c r="A8" s="143">
        <v>42066</v>
      </c>
      <c r="B8" s="144">
        <v>13749</v>
      </c>
      <c r="C8" s="156">
        <v>2812.12</v>
      </c>
      <c r="D8" s="104">
        <v>42075</v>
      </c>
      <c r="E8" s="103">
        <v>2812.12</v>
      </c>
      <c r="F8" s="155">
        <f t="shared" si="0"/>
        <v>0</v>
      </c>
      <c r="G8" s="105"/>
      <c r="H8" s="106"/>
      <c r="I8" s="43">
        <f>23500+7122.5+5587.5+29116+4177.5</f>
        <v>69503.5</v>
      </c>
      <c r="J8" s="265">
        <v>13507</v>
      </c>
      <c r="K8" s="207">
        <v>69503.48</v>
      </c>
      <c r="L8" s="207"/>
      <c r="M8" s="113" t="s">
        <v>202</v>
      </c>
      <c r="N8" s="269">
        <v>25799</v>
      </c>
      <c r="O8" s="221">
        <v>42063</v>
      </c>
      <c r="P8" s="21">
        <v>42063</v>
      </c>
    </row>
    <row r="9" spans="1:16" ht="15.75" x14ac:dyDescent="0.25">
      <c r="A9" s="143">
        <v>42066</v>
      </c>
      <c r="B9" s="144">
        <v>13773</v>
      </c>
      <c r="C9" s="156">
        <v>46640</v>
      </c>
      <c r="D9" s="104">
        <v>42075</v>
      </c>
      <c r="E9" s="103">
        <v>46640</v>
      </c>
      <c r="F9" s="155">
        <f t="shared" si="0"/>
        <v>0</v>
      </c>
      <c r="I9" s="43">
        <v>3864</v>
      </c>
      <c r="J9" s="265">
        <v>13512</v>
      </c>
      <c r="K9" s="207">
        <v>3864</v>
      </c>
      <c r="L9" s="207"/>
      <c r="M9" s="113" t="s">
        <v>202</v>
      </c>
      <c r="N9" s="269">
        <v>23500</v>
      </c>
      <c r="O9" s="221">
        <v>42063</v>
      </c>
      <c r="P9" s="21">
        <v>42063</v>
      </c>
    </row>
    <row r="10" spans="1:16" ht="15.75" x14ac:dyDescent="0.25">
      <c r="A10" s="143">
        <v>42067</v>
      </c>
      <c r="B10" s="144">
        <v>13882</v>
      </c>
      <c r="C10" s="156">
        <v>37762</v>
      </c>
      <c r="D10" s="104">
        <v>42075</v>
      </c>
      <c r="E10" s="103">
        <v>37762</v>
      </c>
      <c r="F10" s="155">
        <f t="shared" si="0"/>
        <v>0</v>
      </c>
      <c r="I10" s="43">
        <f>24631+6058</f>
        <v>30689</v>
      </c>
      <c r="J10" s="265">
        <v>13534</v>
      </c>
      <c r="K10" s="207">
        <v>30688.799999999999</v>
      </c>
      <c r="L10" s="207"/>
      <c r="M10" s="113" t="s">
        <v>202</v>
      </c>
      <c r="N10" s="269">
        <v>7122.5</v>
      </c>
      <c r="O10" s="221">
        <v>42063</v>
      </c>
      <c r="P10" s="21">
        <v>42063</v>
      </c>
    </row>
    <row r="11" spans="1:16" ht="15.75" x14ac:dyDescent="0.25">
      <c r="A11" s="143">
        <v>42068</v>
      </c>
      <c r="B11" s="144">
        <v>13937</v>
      </c>
      <c r="C11" s="156">
        <v>81946.62</v>
      </c>
      <c r="D11" s="104">
        <v>42075</v>
      </c>
      <c r="E11" s="103">
        <v>81946.62</v>
      </c>
      <c r="F11" s="155">
        <f t="shared" si="0"/>
        <v>0</v>
      </c>
      <c r="I11" s="43">
        <v>12705</v>
      </c>
      <c r="J11" s="265">
        <v>13630</v>
      </c>
      <c r="K11" s="207">
        <v>12705</v>
      </c>
      <c r="L11" s="207"/>
      <c r="M11" s="113" t="s">
        <v>202</v>
      </c>
      <c r="N11" s="269">
        <v>5587.5</v>
      </c>
      <c r="O11" s="221">
        <v>42063</v>
      </c>
      <c r="P11" s="21">
        <v>42063</v>
      </c>
    </row>
    <row r="12" spans="1:16" ht="15.75" x14ac:dyDescent="0.25">
      <c r="A12" s="143">
        <v>42069</v>
      </c>
      <c r="B12" s="144">
        <v>13980</v>
      </c>
      <c r="C12" s="156">
        <v>5525.8</v>
      </c>
      <c r="D12" s="104">
        <v>42087</v>
      </c>
      <c r="E12" s="103">
        <v>5525.8</v>
      </c>
      <c r="F12" s="155">
        <f t="shared" si="0"/>
        <v>0</v>
      </c>
      <c r="I12" s="43">
        <v>8287</v>
      </c>
      <c r="J12" s="265">
        <v>13712</v>
      </c>
      <c r="K12" s="207">
        <v>8287</v>
      </c>
      <c r="L12" s="207"/>
      <c r="M12" s="113" t="s">
        <v>202</v>
      </c>
      <c r="N12" s="269">
        <v>7102</v>
      </c>
      <c r="O12" s="221">
        <v>42063</v>
      </c>
      <c r="P12" s="21">
        <v>42063</v>
      </c>
    </row>
    <row r="13" spans="1:16" ht="15.75" x14ac:dyDescent="0.25">
      <c r="A13" s="143">
        <v>42069</v>
      </c>
      <c r="B13" s="144">
        <v>14085</v>
      </c>
      <c r="C13" s="156">
        <v>25062.3</v>
      </c>
      <c r="D13" s="104">
        <v>42075</v>
      </c>
      <c r="E13" s="103">
        <v>25062.3</v>
      </c>
      <c r="F13" s="155">
        <f t="shared" si="0"/>
        <v>0</v>
      </c>
      <c r="I13" s="43">
        <v>2812</v>
      </c>
      <c r="J13" s="265">
        <v>13749</v>
      </c>
      <c r="K13" s="207">
        <v>2812.12</v>
      </c>
      <c r="L13" s="207"/>
      <c r="M13" s="113" t="s">
        <v>202</v>
      </c>
      <c r="N13" s="269">
        <v>3564.5</v>
      </c>
      <c r="O13" s="221">
        <v>42063</v>
      </c>
      <c r="P13" s="21">
        <v>42063</v>
      </c>
    </row>
    <row r="14" spans="1:16" ht="15.75" x14ac:dyDescent="0.25">
      <c r="A14" s="143">
        <v>42069</v>
      </c>
      <c r="B14" s="144">
        <v>14086</v>
      </c>
      <c r="C14" s="156">
        <v>972</v>
      </c>
      <c r="D14" s="104">
        <v>42075</v>
      </c>
      <c r="E14" s="103">
        <v>972</v>
      </c>
      <c r="F14" s="155">
        <f t="shared" si="0"/>
        <v>0</v>
      </c>
      <c r="I14" s="43">
        <f>15015.5+6045.5+5646.5+19932.5</f>
        <v>46640</v>
      </c>
      <c r="J14" s="265">
        <v>13773</v>
      </c>
      <c r="K14" s="207">
        <v>46640</v>
      </c>
      <c r="L14" s="207"/>
      <c r="M14" s="113" t="s">
        <v>202</v>
      </c>
      <c r="N14" s="269">
        <v>29116</v>
      </c>
      <c r="O14" s="221">
        <v>42065</v>
      </c>
      <c r="P14" s="21">
        <v>42063</v>
      </c>
    </row>
    <row r="15" spans="1:16" ht="15.75" x14ac:dyDescent="0.25">
      <c r="A15" s="143">
        <v>42070</v>
      </c>
      <c r="B15" s="144">
        <v>14166</v>
      </c>
      <c r="C15" s="156">
        <v>83166</v>
      </c>
      <c r="D15" s="104">
        <v>42075</v>
      </c>
      <c r="E15" s="103">
        <v>83166</v>
      </c>
      <c r="F15" s="155">
        <f t="shared" si="0"/>
        <v>0</v>
      </c>
      <c r="I15" s="43">
        <v>37762</v>
      </c>
      <c r="J15" s="265">
        <v>13882</v>
      </c>
      <c r="K15" s="207">
        <v>37762</v>
      </c>
      <c r="L15" s="207"/>
      <c r="M15" s="113" t="s">
        <v>202</v>
      </c>
      <c r="N15" s="269">
        <v>3864</v>
      </c>
      <c r="O15" s="221">
        <v>42065</v>
      </c>
      <c r="P15" s="21">
        <v>42063</v>
      </c>
    </row>
    <row r="16" spans="1:16" ht="15.75" x14ac:dyDescent="0.25">
      <c r="A16" s="143">
        <v>42071</v>
      </c>
      <c r="B16" s="144">
        <v>14246</v>
      </c>
      <c r="C16" s="156">
        <v>40816.800000000003</v>
      </c>
      <c r="D16" s="145" t="s">
        <v>331</v>
      </c>
      <c r="E16" s="103">
        <f>33161.71+7655.09</f>
        <v>40816.800000000003</v>
      </c>
      <c r="F16" s="155">
        <f t="shared" si="0"/>
        <v>0</v>
      </c>
      <c r="I16" s="43">
        <f>4000+4700+42300+30946.5</f>
        <v>81946.5</v>
      </c>
      <c r="J16" s="265">
        <v>13937</v>
      </c>
      <c r="K16" s="207">
        <v>81946.62</v>
      </c>
      <c r="L16" s="207"/>
      <c r="M16" s="113" t="s">
        <v>202</v>
      </c>
      <c r="N16" s="207">
        <v>4177.5</v>
      </c>
      <c r="O16" s="221">
        <v>42064</v>
      </c>
      <c r="P16" s="21">
        <v>42064</v>
      </c>
    </row>
    <row r="17" spans="1:16" ht="15.75" x14ac:dyDescent="0.25">
      <c r="A17" s="143">
        <v>42072</v>
      </c>
      <c r="B17" s="144">
        <v>14322</v>
      </c>
      <c r="C17" s="156">
        <v>9189.5</v>
      </c>
      <c r="D17" s="104">
        <v>42087</v>
      </c>
      <c r="E17" s="88">
        <v>9189.5</v>
      </c>
      <c r="F17" s="155">
        <f t="shared" si="0"/>
        <v>0</v>
      </c>
      <c r="I17" s="43">
        <v>0</v>
      </c>
      <c r="J17" s="193">
        <v>13980</v>
      </c>
      <c r="K17" s="207">
        <v>0</v>
      </c>
      <c r="L17" s="207"/>
      <c r="M17" s="113" t="s">
        <v>202</v>
      </c>
      <c r="N17" s="207">
        <v>24631</v>
      </c>
      <c r="O17" s="221">
        <v>42065</v>
      </c>
      <c r="P17" s="21">
        <v>42064</v>
      </c>
    </row>
    <row r="18" spans="1:16" ht="15.75" x14ac:dyDescent="0.25">
      <c r="A18" s="143">
        <v>42073</v>
      </c>
      <c r="B18" s="144">
        <v>14422</v>
      </c>
      <c r="C18" s="156">
        <v>10440.5</v>
      </c>
      <c r="D18" s="104">
        <v>42087</v>
      </c>
      <c r="E18" s="103">
        <v>10440.5</v>
      </c>
      <c r="F18" s="155">
        <f t="shared" si="0"/>
        <v>0</v>
      </c>
      <c r="I18" s="43">
        <f>10000+15062.5</f>
        <v>25062.5</v>
      </c>
      <c r="J18" s="267">
        <v>14085</v>
      </c>
      <c r="K18" s="121">
        <v>25062.3</v>
      </c>
      <c r="L18" s="121"/>
      <c r="M18" s="113" t="s">
        <v>202</v>
      </c>
      <c r="N18" s="121">
        <v>6058</v>
      </c>
      <c r="O18" s="222">
        <v>42065</v>
      </c>
      <c r="P18" s="21">
        <v>42064</v>
      </c>
    </row>
    <row r="19" spans="1:16" ht="15.75" x14ac:dyDescent="0.25">
      <c r="A19" s="143">
        <v>42073</v>
      </c>
      <c r="B19" s="144">
        <v>14423</v>
      </c>
      <c r="C19" s="156">
        <v>1446.4</v>
      </c>
      <c r="D19" s="104">
        <v>42087</v>
      </c>
      <c r="E19" s="103">
        <v>1446.4</v>
      </c>
      <c r="F19" s="155">
        <f t="shared" si="0"/>
        <v>0</v>
      </c>
      <c r="I19" s="43">
        <v>972</v>
      </c>
      <c r="J19" s="267">
        <v>14086</v>
      </c>
      <c r="K19" s="121">
        <v>972</v>
      </c>
      <c r="L19" s="121"/>
      <c r="M19" s="113" t="s">
        <v>202</v>
      </c>
      <c r="N19" s="121">
        <v>12705</v>
      </c>
      <c r="O19" s="222">
        <v>42065</v>
      </c>
      <c r="P19" s="21">
        <v>42065</v>
      </c>
    </row>
    <row r="20" spans="1:16" ht="15.75" x14ac:dyDescent="0.25">
      <c r="A20" s="143">
        <v>42074</v>
      </c>
      <c r="B20" s="144">
        <v>14543</v>
      </c>
      <c r="C20" s="156">
        <v>49899.29</v>
      </c>
      <c r="D20" s="104">
        <v>42087</v>
      </c>
      <c r="E20" s="103">
        <v>49899.29</v>
      </c>
      <c r="F20" s="155">
        <f t="shared" si="0"/>
        <v>0</v>
      </c>
      <c r="I20" s="43">
        <f>6000+12230+54000+10936</f>
        <v>83166</v>
      </c>
      <c r="J20" s="268">
        <v>14166</v>
      </c>
      <c r="K20" s="207">
        <v>83166</v>
      </c>
      <c r="L20" s="207"/>
      <c r="M20" s="113" t="s">
        <v>202</v>
      </c>
      <c r="N20" s="207">
        <v>15015.5</v>
      </c>
      <c r="O20" s="221">
        <v>42066</v>
      </c>
      <c r="P20" s="21">
        <v>42066</v>
      </c>
    </row>
    <row r="21" spans="1:16" ht="15.75" x14ac:dyDescent="0.25">
      <c r="A21" s="143">
        <v>42075</v>
      </c>
      <c r="B21" s="144">
        <v>14601</v>
      </c>
      <c r="C21" s="156">
        <v>62772</v>
      </c>
      <c r="D21" s="104">
        <v>42087</v>
      </c>
      <c r="E21" s="103">
        <v>62772</v>
      </c>
      <c r="F21" s="155">
        <f t="shared" si="0"/>
        <v>0</v>
      </c>
      <c r="I21" s="43">
        <f>20000+5311.7</f>
        <v>25311.7</v>
      </c>
      <c r="J21" s="267">
        <v>14246</v>
      </c>
      <c r="K21" s="207">
        <v>33161.71</v>
      </c>
      <c r="L21" s="207"/>
      <c r="M21" s="113" t="s">
        <v>202</v>
      </c>
      <c r="N21" s="207">
        <v>2812</v>
      </c>
      <c r="O21" s="221">
        <v>42066</v>
      </c>
      <c r="P21" s="252">
        <v>42066</v>
      </c>
    </row>
    <row r="22" spans="1:16" ht="16.5" thickBot="1" x14ac:dyDescent="0.3">
      <c r="A22" s="143">
        <v>42075</v>
      </c>
      <c r="B22" s="144">
        <v>14606</v>
      </c>
      <c r="C22" s="156">
        <v>6052</v>
      </c>
      <c r="D22" s="104">
        <v>42087</v>
      </c>
      <c r="E22" s="103">
        <v>6052</v>
      </c>
      <c r="F22" s="155">
        <f t="shared" si="0"/>
        <v>0</v>
      </c>
      <c r="I22" s="275">
        <v>0</v>
      </c>
      <c r="J22" s="262"/>
      <c r="K22" s="207"/>
      <c r="L22" s="207"/>
      <c r="M22" s="113" t="s">
        <v>202</v>
      </c>
      <c r="N22" s="207">
        <v>8287</v>
      </c>
      <c r="O22" s="221">
        <v>42066</v>
      </c>
      <c r="P22" s="252">
        <v>42066</v>
      </c>
    </row>
    <row r="23" spans="1:16" ht="16.5" thickTop="1" x14ac:dyDescent="0.25">
      <c r="A23" s="143">
        <v>42076</v>
      </c>
      <c r="B23" s="144">
        <v>14740</v>
      </c>
      <c r="C23" s="207">
        <v>3427.2</v>
      </c>
      <c r="D23" s="283">
        <v>42087</v>
      </c>
      <c r="E23" s="103">
        <v>3427.2</v>
      </c>
      <c r="F23" s="155">
        <f t="shared" si="0"/>
        <v>0</v>
      </c>
      <c r="I23" s="43">
        <f>SUM(I4:I22)</f>
        <v>555389.69999999995</v>
      </c>
      <c r="J23" s="263"/>
      <c r="K23" s="260"/>
      <c r="L23" s="260"/>
      <c r="M23" s="113" t="s">
        <v>202</v>
      </c>
      <c r="N23" s="207">
        <v>6045.5</v>
      </c>
      <c r="O23" s="221">
        <v>42066</v>
      </c>
      <c r="P23" s="252">
        <v>42066</v>
      </c>
    </row>
    <row r="24" spans="1:16" ht="15.75" x14ac:dyDescent="0.25">
      <c r="A24" s="143">
        <v>42077</v>
      </c>
      <c r="B24" s="144">
        <v>14795</v>
      </c>
      <c r="C24" s="156">
        <v>81096.25</v>
      </c>
      <c r="D24" s="104">
        <v>42087</v>
      </c>
      <c r="E24" s="103">
        <v>81096.25</v>
      </c>
      <c r="F24" s="155">
        <f t="shared" si="0"/>
        <v>0</v>
      </c>
      <c r="J24" s="263"/>
      <c r="K24" s="130"/>
      <c r="L24" s="130"/>
      <c r="M24" s="113" t="s">
        <v>202</v>
      </c>
      <c r="N24" s="214">
        <v>5646.5</v>
      </c>
      <c r="O24" s="221">
        <v>42067</v>
      </c>
      <c r="P24" s="252">
        <v>42067</v>
      </c>
    </row>
    <row r="25" spans="1:16" ht="15.75" x14ac:dyDescent="0.25">
      <c r="A25" s="143">
        <v>42078</v>
      </c>
      <c r="B25" s="144">
        <v>14929</v>
      </c>
      <c r="C25" s="156">
        <v>31178.9</v>
      </c>
      <c r="D25" s="104">
        <v>42087</v>
      </c>
      <c r="E25" s="103">
        <v>31178.9</v>
      </c>
      <c r="F25" s="155">
        <f t="shared" si="0"/>
        <v>0</v>
      </c>
      <c r="J25" s="261"/>
      <c r="K25" s="121"/>
      <c r="L25" s="121"/>
      <c r="M25" s="113" t="s">
        <v>202</v>
      </c>
      <c r="N25" s="121">
        <v>19932.5</v>
      </c>
      <c r="O25" s="222">
        <v>42067</v>
      </c>
      <c r="P25" s="252">
        <v>42067</v>
      </c>
    </row>
    <row r="26" spans="1:16" ht="15.75" x14ac:dyDescent="0.25">
      <c r="A26" s="143">
        <v>42079</v>
      </c>
      <c r="B26" s="144">
        <v>15001</v>
      </c>
      <c r="C26" s="156">
        <v>43925.45</v>
      </c>
      <c r="D26" s="104">
        <v>42087</v>
      </c>
      <c r="E26" s="103">
        <v>43925.45</v>
      </c>
      <c r="F26" s="155">
        <f t="shared" si="0"/>
        <v>0</v>
      </c>
      <c r="J26" s="261"/>
      <c r="K26" s="121"/>
      <c r="L26" s="121"/>
      <c r="M26" s="113" t="s">
        <v>202</v>
      </c>
      <c r="N26" s="121">
        <v>4000</v>
      </c>
      <c r="O26" s="222">
        <v>42068</v>
      </c>
      <c r="P26" s="252">
        <v>42068</v>
      </c>
    </row>
    <row r="27" spans="1:16" ht="15.75" x14ac:dyDescent="0.25">
      <c r="A27" s="143">
        <v>42080</v>
      </c>
      <c r="B27" s="144">
        <v>15086</v>
      </c>
      <c r="C27" s="156">
        <v>9086.6</v>
      </c>
      <c r="D27" s="104">
        <v>42087</v>
      </c>
      <c r="E27" s="103">
        <v>9086.6</v>
      </c>
      <c r="F27" s="155">
        <f t="shared" si="0"/>
        <v>0</v>
      </c>
      <c r="J27" s="264"/>
      <c r="K27" s="207"/>
      <c r="L27" s="207"/>
      <c r="M27" s="113" t="s">
        <v>202</v>
      </c>
      <c r="N27" s="207">
        <v>37762</v>
      </c>
      <c r="O27" s="221">
        <v>42068</v>
      </c>
      <c r="P27" s="252">
        <v>42068</v>
      </c>
    </row>
    <row r="28" spans="1:16" ht="15.75" x14ac:dyDescent="0.25">
      <c r="A28" s="143">
        <v>42080</v>
      </c>
      <c r="B28" s="144">
        <v>15098</v>
      </c>
      <c r="C28" s="156">
        <v>40644.75</v>
      </c>
      <c r="D28" s="104">
        <v>42087</v>
      </c>
      <c r="E28" s="103">
        <v>40644.75</v>
      </c>
      <c r="F28" s="155">
        <f t="shared" si="0"/>
        <v>0</v>
      </c>
      <c r="I28" s="153"/>
      <c r="J28" s="264"/>
      <c r="K28" s="130"/>
      <c r="L28" s="130"/>
      <c r="M28" s="113" t="s">
        <v>202</v>
      </c>
      <c r="N28" s="207">
        <v>4700</v>
      </c>
      <c r="O28" s="221">
        <v>42069</v>
      </c>
      <c r="P28" s="252">
        <v>42069</v>
      </c>
    </row>
    <row r="29" spans="1:16" ht="15.75" x14ac:dyDescent="0.25">
      <c r="A29" s="143">
        <v>42081</v>
      </c>
      <c r="B29" s="144">
        <v>15198</v>
      </c>
      <c r="C29" s="156">
        <v>7640.4</v>
      </c>
      <c r="D29" s="104">
        <v>42087</v>
      </c>
      <c r="E29" s="103">
        <v>7640.4</v>
      </c>
      <c r="F29" s="155">
        <f t="shared" si="0"/>
        <v>0</v>
      </c>
      <c r="I29" s="208"/>
      <c r="J29" s="193"/>
      <c r="K29" s="207"/>
      <c r="L29" s="207"/>
      <c r="M29" s="113" t="s">
        <v>202</v>
      </c>
      <c r="N29" s="214">
        <v>42300</v>
      </c>
      <c r="O29" s="221">
        <v>42069</v>
      </c>
      <c r="P29" s="252">
        <v>42069</v>
      </c>
    </row>
    <row r="30" spans="1:16" ht="15.75" x14ac:dyDescent="0.25">
      <c r="A30" s="143">
        <v>42081</v>
      </c>
      <c r="B30" s="144">
        <v>15257</v>
      </c>
      <c r="C30" s="156">
        <v>47700.75</v>
      </c>
      <c r="D30" s="104">
        <v>42087</v>
      </c>
      <c r="E30" s="88">
        <v>47700.75</v>
      </c>
      <c r="F30" s="155">
        <f t="shared" si="0"/>
        <v>0</v>
      </c>
      <c r="I30" s="153"/>
      <c r="J30" s="193"/>
      <c r="K30" s="207"/>
      <c r="L30" s="207"/>
      <c r="M30" s="113" t="s">
        <v>202</v>
      </c>
      <c r="N30" s="207">
        <v>30946.5</v>
      </c>
      <c r="O30" s="221">
        <v>42070</v>
      </c>
      <c r="P30" s="252">
        <v>42070</v>
      </c>
    </row>
    <row r="31" spans="1:16" ht="15.75" x14ac:dyDescent="0.25">
      <c r="A31" s="143">
        <v>42082</v>
      </c>
      <c r="B31" s="144">
        <v>15323</v>
      </c>
      <c r="C31" s="156">
        <v>91808.6</v>
      </c>
      <c r="D31" s="104" t="s">
        <v>339</v>
      </c>
      <c r="E31" s="103">
        <f>60784.12+31024.48</f>
        <v>91808.6</v>
      </c>
      <c r="F31" s="155">
        <f t="shared" si="0"/>
        <v>0</v>
      </c>
      <c r="I31" s="153"/>
      <c r="J31" s="193"/>
      <c r="K31" s="207"/>
      <c r="L31" s="207"/>
      <c r="M31" s="113" t="s">
        <v>202</v>
      </c>
      <c r="N31" s="207">
        <v>10000</v>
      </c>
      <c r="O31" s="221">
        <v>42070</v>
      </c>
      <c r="P31" s="252">
        <v>42070</v>
      </c>
    </row>
    <row r="32" spans="1:16" ht="15.75" x14ac:dyDescent="0.25">
      <c r="A32" s="143">
        <v>42084</v>
      </c>
      <c r="B32" s="144">
        <v>15531</v>
      </c>
      <c r="C32" s="156">
        <v>35928.5</v>
      </c>
      <c r="D32" s="104">
        <v>42093</v>
      </c>
      <c r="E32" s="103">
        <v>35928.5</v>
      </c>
      <c r="F32" s="155">
        <f t="shared" si="0"/>
        <v>0</v>
      </c>
      <c r="I32" s="153"/>
      <c r="J32" s="193"/>
      <c r="K32" s="207"/>
      <c r="L32" s="207"/>
      <c r="M32" s="113" t="s">
        <v>202</v>
      </c>
      <c r="N32" s="207">
        <v>15062.5</v>
      </c>
      <c r="O32" s="221">
        <v>42070</v>
      </c>
      <c r="P32" s="252">
        <v>42070</v>
      </c>
    </row>
    <row r="33" spans="1:16" ht="15.75" x14ac:dyDescent="0.25">
      <c r="A33" s="143">
        <v>42084</v>
      </c>
      <c r="B33" s="144">
        <v>15560</v>
      </c>
      <c r="C33" s="156">
        <v>12471.2</v>
      </c>
      <c r="D33" s="104">
        <v>42093</v>
      </c>
      <c r="E33" s="88">
        <v>12471.2</v>
      </c>
      <c r="F33" s="155">
        <f t="shared" si="0"/>
        <v>0</v>
      </c>
      <c r="I33" s="153"/>
      <c r="J33" s="193"/>
      <c r="K33" s="207"/>
      <c r="L33" s="207"/>
      <c r="M33" s="113" t="s">
        <v>202</v>
      </c>
      <c r="N33" s="207">
        <v>972</v>
      </c>
      <c r="O33" s="221">
        <v>42070</v>
      </c>
      <c r="P33" s="252">
        <v>42070</v>
      </c>
    </row>
    <row r="34" spans="1:16" ht="15.75" x14ac:dyDescent="0.25">
      <c r="A34" s="143">
        <v>42084</v>
      </c>
      <c r="B34" s="144">
        <v>15574</v>
      </c>
      <c r="C34" s="156">
        <v>43860.4</v>
      </c>
      <c r="D34" s="104">
        <v>42093</v>
      </c>
      <c r="E34" s="88">
        <v>43860.4</v>
      </c>
      <c r="F34" s="155">
        <f t="shared" si="0"/>
        <v>0</v>
      </c>
      <c r="I34" s="153"/>
      <c r="J34" s="119"/>
      <c r="K34" s="121"/>
      <c r="L34" s="121"/>
      <c r="M34" s="113" t="s">
        <v>202</v>
      </c>
      <c r="N34" s="121">
        <v>6000</v>
      </c>
      <c r="O34" s="222">
        <v>42072</v>
      </c>
      <c r="P34" s="252">
        <v>42070</v>
      </c>
    </row>
    <row r="35" spans="1:16" ht="15.75" x14ac:dyDescent="0.25">
      <c r="A35" s="143">
        <v>42086</v>
      </c>
      <c r="B35" s="144">
        <v>15658</v>
      </c>
      <c r="C35" s="156">
        <v>7861.4</v>
      </c>
      <c r="D35" s="104">
        <v>42093</v>
      </c>
      <c r="E35" s="103">
        <v>7861.4</v>
      </c>
      <c r="F35" s="155">
        <f t="shared" si="0"/>
        <v>0</v>
      </c>
      <c r="I35" s="153"/>
      <c r="J35" s="119"/>
      <c r="K35" s="121"/>
      <c r="L35" s="121"/>
      <c r="M35" s="113" t="s">
        <v>202</v>
      </c>
      <c r="N35" s="121">
        <v>12230</v>
      </c>
      <c r="O35" s="222">
        <v>42072</v>
      </c>
      <c r="P35" s="252">
        <v>42071</v>
      </c>
    </row>
    <row r="36" spans="1:16" ht="15.75" x14ac:dyDescent="0.25">
      <c r="A36" s="143">
        <v>42086</v>
      </c>
      <c r="B36" s="144">
        <v>15765</v>
      </c>
      <c r="C36" s="156">
        <v>1000</v>
      </c>
      <c r="D36" s="104">
        <v>42093</v>
      </c>
      <c r="E36" s="103">
        <v>1000</v>
      </c>
      <c r="F36" s="155">
        <f t="shared" si="0"/>
        <v>0</v>
      </c>
      <c r="I36" s="153"/>
      <c r="J36" s="193"/>
      <c r="K36" s="207"/>
      <c r="L36" s="207"/>
      <c r="M36" s="113" t="s">
        <v>202</v>
      </c>
      <c r="N36" s="207">
        <v>54000</v>
      </c>
      <c r="O36" s="221">
        <v>42072</v>
      </c>
      <c r="P36" s="252">
        <v>42071</v>
      </c>
    </row>
    <row r="37" spans="1:16" ht="15.75" x14ac:dyDescent="0.25">
      <c r="A37" s="143">
        <v>42086</v>
      </c>
      <c r="B37" s="292">
        <v>15773</v>
      </c>
      <c r="C37" s="157">
        <v>43308.15</v>
      </c>
      <c r="D37" s="104">
        <v>42093</v>
      </c>
      <c r="E37" s="103">
        <v>43308.15</v>
      </c>
      <c r="F37" s="155">
        <f t="shared" si="0"/>
        <v>0</v>
      </c>
      <c r="I37" s="153"/>
      <c r="J37" s="193"/>
      <c r="K37" s="207"/>
      <c r="L37" s="207"/>
      <c r="M37" s="113" t="s">
        <v>202</v>
      </c>
      <c r="N37" s="207">
        <v>10936</v>
      </c>
      <c r="O37" s="221">
        <v>42072</v>
      </c>
      <c r="P37" s="252">
        <v>42072</v>
      </c>
    </row>
    <row r="38" spans="1:16" ht="15.75" x14ac:dyDescent="0.25">
      <c r="A38" s="143">
        <v>42087</v>
      </c>
      <c r="B38" s="292">
        <v>15849</v>
      </c>
      <c r="C38" s="157">
        <v>6698</v>
      </c>
      <c r="D38" s="298">
        <v>42093</v>
      </c>
      <c r="E38" s="88">
        <v>6698</v>
      </c>
      <c r="F38" s="155">
        <f t="shared" si="0"/>
        <v>0</v>
      </c>
      <c r="I38" s="153"/>
      <c r="J38" s="193"/>
      <c r="K38" s="207"/>
      <c r="L38" s="207"/>
      <c r="M38" s="113" t="s">
        <v>202</v>
      </c>
      <c r="N38" s="207">
        <v>20000</v>
      </c>
      <c r="O38" s="221">
        <v>42072</v>
      </c>
      <c r="P38" s="252">
        <v>42072</v>
      </c>
    </row>
    <row r="39" spans="1:16" ht="15.75" x14ac:dyDescent="0.25">
      <c r="A39" s="143">
        <v>42088</v>
      </c>
      <c r="B39" s="292">
        <v>15933</v>
      </c>
      <c r="C39" s="157">
        <v>53801.83</v>
      </c>
      <c r="D39" s="298">
        <v>42093</v>
      </c>
      <c r="E39" s="88">
        <v>53801.83</v>
      </c>
      <c r="F39" s="155">
        <f t="shared" si="0"/>
        <v>0</v>
      </c>
      <c r="I39" s="153"/>
      <c r="J39" s="206"/>
      <c r="K39" s="207"/>
      <c r="L39" s="207"/>
      <c r="M39" s="113" t="s">
        <v>202</v>
      </c>
      <c r="N39" s="207">
        <v>5311.7</v>
      </c>
      <c r="O39" s="221">
        <v>42072</v>
      </c>
      <c r="P39" s="252">
        <v>42072</v>
      </c>
    </row>
    <row r="40" spans="1:16" ht="15.75" customHeight="1" x14ac:dyDescent="0.25">
      <c r="A40" s="143">
        <v>42089</v>
      </c>
      <c r="B40" s="292">
        <v>16025</v>
      </c>
      <c r="C40" s="157">
        <v>56453.91</v>
      </c>
      <c r="D40" s="316" t="s">
        <v>377</v>
      </c>
      <c r="E40" s="318">
        <f>20609.54+29964.5+5879.87</f>
        <v>56453.91</v>
      </c>
      <c r="F40" s="241">
        <f t="shared" si="0"/>
        <v>0</v>
      </c>
      <c r="I40" s="153"/>
      <c r="J40" s="196"/>
      <c r="K40" s="121">
        <v>0</v>
      </c>
      <c r="L40" s="121"/>
      <c r="M40" s="113"/>
      <c r="N40" s="121">
        <v>0</v>
      </c>
      <c r="O40" s="119"/>
      <c r="P40" s="28"/>
    </row>
    <row r="41" spans="1:16" ht="15.75" customHeight="1" x14ac:dyDescent="0.3">
      <c r="A41" s="294">
        <v>42090</v>
      </c>
      <c r="B41" s="296">
        <v>16091</v>
      </c>
      <c r="C41" s="56">
        <v>48340.9</v>
      </c>
      <c r="D41" s="317">
        <v>42103</v>
      </c>
      <c r="E41" s="318">
        <v>48340.9</v>
      </c>
      <c r="F41" s="241">
        <f t="shared" si="0"/>
        <v>0</v>
      </c>
      <c r="I41" s="153"/>
      <c r="K41" s="131">
        <f>SUM(K4:K40)</f>
        <v>555389.69999999995</v>
      </c>
      <c r="L41" s="131"/>
      <c r="M41" s="131"/>
      <c r="N41" s="131">
        <f>SUM(N4:N40)</f>
        <v>555389.69999999995</v>
      </c>
      <c r="P41" s="28"/>
    </row>
    <row r="42" spans="1:16" x14ac:dyDescent="0.25">
      <c r="A42" s="285">
        <v>42090</v>
      </c>
      <c r="B42" s="240">
        <v>16094</v>
      </c>
      <c r="C42" s="121">
        <v>565</v>
      </c>
      <c r="D42" s="319">
        <v>42103</v>
      </c>
      <c r="E42" s="277">
        <v>565</v>
      </c>
      <c r="F42" s="241">
        <f t="shared" si="0"/>
        <v>0</v>
      </c>
      <c r="I42" s="49"/>
      <c r="J42" s="28"/>
      <c r="K42" s="88"/>
      <c r="L42" s="88"/>
      <c r="M42" s="88"/>
      <c r="N42" s="88"/>
      <c r="O42" s="250"/>
      <c r="P42" s="28"/>
    </row>
    <row r="43" spans="1:16" ht="15.75" x14ac:dyDescent="0.25">
      <c r="A43" s="285">
        <v>42091</v>
      </c>
      <c r="B43" s="240">
        <v>16197</v>
      </c>
      <c r="C43" s="121">
        <v>52754.85</v>
      </c>
      <c r="D43" s="327" t="s">
        <v>378</v>
      </c>
      <c r="E43" s="318">
        <f>51631.5+1123.35</f>
        <v>52754.85</v>
      </c>
      <c r="F43" s="241">
        <f t="shared" si="0"/>
        <v>0</v>
      </c>
      <c r="I43" s="49"/>
      <c r="J43" s="135"/>
      <c r="K43" s="88"/>
      <c r="L43" s="88"/>
      <c r="M43" s="88"/>
      <c r="N43" s="88"/>
      <c r="O43" s="250"/>
      <c r="P43" s="28"/>
    </row>
    <row r="44" spans="1:16" ht="15.75" x14ac:dyDescent="0.25">
      <c r="A44" s="285">
        <v>42091</v>
      </c>
      <c r="B44" s="290">
        <v>16219</v>
      </c>
      <c r="C44" s="121">
        <v>8076.4</v>
      </c>
      <c r="D44" s="319">
        <v>42103</v>
      </c>
      <c r="E44" s="277">
        <v>8076.4</v>
      </c>
      <c r="F44" s="241">
        <f t="shared" si="0"/>
        <v>0</v>
      </c>
      <c r="J44" s="104"/>
      <c r="K44" s="280">
        <v>42087</v>
      </c>
      <c r="L44" s="215"/>
      <c r="M44" s="134" t="s">
        <v>200</v>
      </c>
      <c r="N44" s="88"/>
    </row>
    <row r="45" spans="1:16" ht="16.5" customHeight="1" x14ac:dyDescent="0.25">
      <c r="A45" s="143">
        <v>42094</v>
      </c>
      <c r="B45" s="293">
        <v>16496</v>
      </c>
      <c r="C45" s="130">
        <v>3507.2</v>
      </c>
      <c r="D45" s="320">
        <v>42103</v>
      </c>
      <c r="E45" s="184">
        <v>3507.2</v>
      </c>
      <c r="F45" s="241">
        <f t="shared" si="0"/>
        <v>0</v>
      </c>
      <c r="I45" s="103"/>
      <c r="J45" s="104"/>
      <c r="K45" s="103"/>
      <c r="L45" s="103"/>
      <c r="M45" s="103"/>
      <c r="N45" s="213"/>
    </row>
    <row r="46" spans="1:16" ht="15.75" x14ac:dyDescent="0.25">
      <c r="A46" s="143">
        <v>42094</v>
      </c>
      <c r="B46" s="293">
        <v>16522</v>
      </c>
      <c r="C46" s="130">
        <v>42297.82</v>
      </c>
      <c r="D46" s="320">
        <v>42103</v>
      </c>
      <c r="E46" s="184">
        <v>42297.82</v>
      </c>
      <c r="F46" s="241">
        <f t="shared" si="0"/>
        <v>0</v>
      </c>
      <c r="I46" s="43">
        <v>5526</v>
      </c>
      <c r="J46" s="193">
        <v>13980</v>
      </c>
      <c r="K46" s="130">
        <v>5525.8</v>
      </c>
      <c r="L46" s="130"/>
      <c r="M46" s="113" t="s">
        <v>202</v>
      </c>
      <c r="N46" s="214">
        <v>9189.5</v>
      </c>
      <c r="O46" s="221">
        <v>42073</v>
      </c>
      <c r="P46" s="281">
        <v>42073</v>
      </c>
    </row>
    <row r="47" spans="1:16" ht="15.75" x14ac:dyDescent="0.25">
      <c r="A47" s="295"/>
      <c r="B47" s="297"/>
      <c r="C47" s="230"/>
      <c r="D47" s="104"/>
      <c r="E47" s="103"/>
      <c r="F47" s="241">
        <f t="shared" si="0"/>
        <v>0</v>
      </c>
      <c r="I47" s="43">
        <f>9228.5+6276.5</f>
        <v>15505</v>
      </c>
      <c r="J47" s="194">
        <v>14246</v>
      </c>
      <c r="K47" s="207">
        <v>7655.09</v>
      </c>
      <c r="L47" s="207"/>
      <c r="M47" s="113" t="s">
        <v>202</v>
      </c>
      <c r="N47" s="207">
        <v>10440.5</v>
      </c>
      <c r="O47" s="221">
        <v>42073</v>
      </c>
      <c r="P47" s="281">
        <v>42073</v>
      </c>
    </row>
    <row r="48" spans="1:16" ht="15.75" x14ac:dyDescent="0.25">
      <c r="A48" s="143"/>
      <c r="B48" s="293"/>
      <c r="C48" s="207"/>
      <c r="D48" s="300"/>
      <c r="E48" s="121"/>
      <c r="F48" s="150">
        <f t="shared" si="0"/>
        <v>0</v>
      </c>
      <c r="I48" s="43">
        <f>9189.5</f>
        <v>9189.5</v>
      </c>
      <c r="J48" s="193">
        <v>14322</v>
      </c>
      <c r="K48" s="207">
        <v>9189.5</v>
      </c>
      <c r="L48" s="207"/>
      <c r="M48" s="113" t="s">
        <v>202</v>
      </c>
      <c r="N48" s="207">
        <v>9228.5</v>
      </c>
      <c r="O48" s="221">
        <v>42073</v>
      </c>
      <c r="P48" s="281">
        <v>42073</v>
      </c>
    </row>
    <row r="49" spans="1:16" ht="15.75" x14ac:dyDescent="0.25">
      <c r="A49" s="285"/>
      <c r="B49" s="290"/>
      <c r="C49" s="150"/>
      <c r="D49" s="300"/>
      <c r="E49" s="121"/>
      <c r="F49" s="150"/>
      <c r="I49" s="43">
        <f>10440.5</f>
        <v>10440.5</v>
      </c>
      <c r="J49" s="193">
        <v>14422</v>
      </c>
      <c r="K49" s="130">
        <v>10440.5</v>
      </c>
      <c r="L49" s="130"/>
      <c r="M49" s="113" t="s">
        <v>202</v>
      </c>
      <c r="N49" s="207">
        <v>6276.5</v>
      </c>
      <c r="O49" s="221">
        <v>42073</v>
      </c>
      <c r="P49" s="281">
        <v>42073</v>
      </c>
    </row>
    <row r="50" spans="1:16" ht="15.75" x14ac:dyDescent="0.25">
      <c r="A50" s="286"/>
      <c r="B50" s="291"/>
      <c r="C50" s="150"/>
      <c r="D50" s="159"/>
      <c r="E50" s="150"/>
      <c r="F50" s="150"/>
      <c r="I50" s="43">
        <f>1446.5</f>
        <v>1446.5</v>
      </c>
      <c r="J50" s="193">
        <v>14423</v>
      </c>
      <c r="K50" s="207">
        <v>1446.4</v>
      </c>
      <c r="L50" s="207"/>
      <c r="M50" s="113" t="s">
        <v>202</v>
      </c>
      <c r="N50" s="207">
        <v>1464.5</v>
      </c>
      <c r="O50" s="221">
        <v>42073</v>
      </c>
      <c r="P50" s="281">
        <v>42073</v>
      </c>
    </row>
    <row r="51" spans="1:16" ht="15.75" x14ac:dyDescent="0.25">
      <c r="A51" s="286"/>
      <c r="B51" s="291"/>
      <c r="C51" s="150"/>
      <c r="D51" s="159"/>
      <c r="E51" s="150"/>
      <c r="F51" s="150"/>
      <c r="I51" s="43">
        <f>18+8934+26136+5212+9599</f>
        <v>49899</v>
      </c>
      <c r="J51" s="193">
        <v>14543</v>
      </c>
      <c r="K51" s="207">
        <v>49899.29</v>
      </c>
      <c r="L51" s="207"/>
      <c r="M51" s="113" t="s">
        <v>202</v>
      </c>
      <c r="N51" s="207">
        <v>8934</v>
      </c>
      <c r="O51" s="221">
        <v>42074</v>
      </c>
      <c r="P51" s="281">
        <v>42074</v>
      </c>
    </row>
    <row r="52" spans="1:16" ht="15.75" x14ac:dyDescent="0.25">
      <c r="A52" s="285"/>
      <c r="B52" s="290"/>
      <c r="C52" s="150"/>
      <c r="D52" s="300"/>
      <c r="E52" s="121"/>
      <c r="F52" s="150"/>
      <c r="I52" s="43">
        <f>22997+5199+26726</f>
        <v>54922</v>
      </c>
      <c r="J52" s="193">
        <v>14601</v>
      </c>
      <c r="K52" s="207">
        <v>62772</v>
      </c>
      <c r="L52" s="207"/>
      <c r="M52" s="113" t="s">
        <v>202</v>
      </c>
      <c r="N52" s="207">
        <v>26136</v>
      </c>
      <c r="O52" s="221">
        <v>42074</v>
      </c>
      <c r="P52" s="281">
        <v>42074</v>
      </c>
    </row>
    <row r="53" spans="1:16" ht="15.75" x14ac:dyDescent="0.25">
      <c r="A53" s="285"/>
      <c r="B53" s="290"/>
      <c r="C53" s="150"/>
      <c r="D53" s="150"/>
      <c r="E53" s="121"/>
      <c r="F53" s="150"/>
      <c r="H53" s="28"/>
      <c r="I53" s="43">
        <f>6052</f>
        <v>6052</v>
      </c>
      <c r="J53" s="193">
        <v>14606</v>
      </c>
      <c r="K53" s="207">
        <v>6052</v>
      </c>
      <c r="L53" s="207"/>
      <c r="M53" s="113" t="s">
        <v>202</v>
      </c>
      <c r="N53" s="207">
        <v>5212</v>
      </c>
      <c r="O53" s="221">
        <v>42075</v>
      </c>
      <c r="P53" s="281">
        <v>42075</v>
      </c>
    </row>
    <row r="54" spans="1:16" ht="15.75" x14ac:dyDescent="0.25">
      <c r="A54" s="285"/>
      <c r="B54" s="290"/>
      <c r="C54" s="150"/>
      <c r="D54" s="150"/>
      <c r="E54" s="121"/>
      <c r="F54" s="150"/>
      <c r="H54" s="28"/>
      <c r="I54" s="43">
        <v>3427</v>
      </c>
      <c r="J54" s="193">
        <v>14740</v>
      </c>
      <c r="K54" s="207">
        <v>3427.2</v>
      </c>
      <c r="L54" s="207"/>
      <c r="M54" s="113" t="s">
        <v>202</v>
      </c>
      <c r="N54" s="207">
        <v>6052</v>
      </c>
      <c r="O54" s="221">
        <v>42075</v>
      </c>
      <c r="P54" s="281">
        <v>42075</v>
      </c>
    </row>
    <row r="55" spans="1:16" ht="15.75" x14ac:dyDescent="0.25">
      <c r="A55" s="286"/>
      <c r="B55" s="291"/>
      <c r="C55" s="150"/>
      <c r="D55" s="119"/>
      <c r="E55" s="150"/>
      <c r="F55" s="150"/>
      <c r="H55" s="28"/>
      <c r="I55" s="43">
        <f>14420+5985+53685+7006</f>
        <v>81096</v>
      </c>
      <c r="J55" s="193">
        <v>14795</v>
      </c>
      <c r="K55" s="207">
        <v>81096.25</v>
      </c>
      <c r="L55" s="207"/>
      <c r="M55" s="113" t="s">
        <v>202</v>
      </c>
      <c r="N55" s="207">
        <v>9599</v>
      </c>
      <c r="O55" s="221">
        <v>42075</v>
      </c>
      <c r="P55" s="281">
        <v>42075</v>
      </c>
    </row>
    <row r="56" spans="1:16" ht="15.75" x14ac:dyDescent="0.25">
      <c r="A56" s="286"/>
      <c r="B56" s="291"/>
      <c r="C56" s="150"/>
      <c r="D56" s="119"/>
      <c r="E56" s="150"/>
      <c r="F56" s="150"/>
      <c r="H56" s="28"/>
      <c r="I56" s="43">
        <f>22938.3+8240.5</f>
        <v>31178.799999999999</v>
      </c>
      <c r="J56" s="193">
        <v>14929</v>
      </c>
      <c r="K56" s="207">
        <v>31178.9</v>
      </c>
      <c r="L56" s="207"/>
      <c r="M56" s="113" t="s">
        <v>202</v>
      </c>
      <c r="N56" s="207">
        <v>22997</v>
      </c>
      <c r="O56" s="221">
        <v>42075</v>
      </c>
      <c r="P56" s="281">
        <v>42075</v>
      </c>
    </row>
    <row r="57" spans="1:16" ht="15.75" x14ac:dyDescent="0.25">
      <c r="A57" s="286"/>
      <c r="B57" s="291"/>
      <c r="C57" s="150"/>
      <c r="D57" s="119"/>
      <c r="E57" s="150"/>
      <c r="F57" s="150"/>
      <c r="H57" s="28"/>
      <c r="I57" s="43">
        <v>43925.5</v>
      </c>
      <c r="J57" s="193">
        <v>15001</v>
      </c>
      <c r="K57" s="207">
        <v>43925.45</v>
      </c>
      <c r="L57" s="207"/>
      <c r="M57" s="113" t="s">
        <v>202</v>
      </c>
      <c r="N57" s="207">
        <v>5199</v>
      </c>
      <c r="O57" s="221">
        <v>42076</v>
      </c>
      <c r="P57" s="281">
        <v>42076</v>
      </c>
    </row>
    <row r="58" spans="1:16" ht="15.75" x14ac:dyDescent="0.25">
      <c r="A58" s="286"/>
      <c r="B58" s="291"/>
      <c r="C58" s="150"/>
      <c r="D58" s="119"/>
      <c r="E58" s="150"/>
      <c r="F58" s="150"/>
      <c r="H58" s="28"/>
      <c r="I58" s="43">
        <f>6051.5+3035</f>
        <v>9086.5</v>
      </c>
      <c r="J58" s="193">
        <v>15086</v>
      </c>
      <c r="K58" s="207">
        <v>9086.6</v>
      </c>
      <c r="L58" s="207"/>
      <c r="M58" s="113" t="s">
        <v>202</v>
      </c>
      <c r="N58" s="207">
        <v>26726</v>
      </c>
      <c r="O58" s="221">
        <v>42076</v>
      </c>
      <c r="P58" s="281">
        <v>42076</v>
      </c>
    </row>
    <row r="59" spans="1:16" ht="15.75" x14ac:dyDescent="0.25">
      <c r="A59" s="286"/>
      <c r="B59" s="289"/>
      <c r="C59" s="150"/>
      <c r="D59" s="119"/>
      <c r="E59" s="150"/>
      <c r="F59" s="150"/>
      <c r="H59" s="28"/>
      <c r="I59" s="43">
        <f>22387.5+13167+5090.5</f>
        <v>40645</v>
      </c>
      <c r="J59" s="193">
        <v>15098</v>
      </c>
      <c r="K59" s="207">
        <v>40644.75</v>
      </c>
      <c r="L59" s="207"/>
      <c r="M59" s="113" t="s">
        <v>202</v>
      </c>
      <c r="N59" s="207">
        <v>3427</v>
      </c>
      <c r="O59" s="221">
        <v>42076</v>
      </c>
      <c r="P59" s="281">
        <v>42076</v>
      </c>
    </row>
    <row r="60" spans="1:16" ht="16.5" thickBot="1" x14ac:dyDescent="0.3">
      <c r="A60" s="287"/>
      <c r="B60" s="124"/>
      <c r="C60" s="57">
        <v>0</v>
      </c>
      <c r="D60" s="57"/>
      <c r="E60" s="125">
        <v>0</v>
      </c>
      <c r="F60" s="242">
        <v>0</v>
      </c>
      <c r="H60" s="28"/>
      <c r="I60" s="43">
        <f>7640.5</f>
        <v>7640.5</v>
      </c>
      <c r="J60" s="262">
        <v>15198</v>
      </c>
      <c r="K60" s="207">
        <v>7640.4</v>
      </c>
      <c r="L60" s="207"/>
      <c r="M60" s="113" t="s">
        <v>202</v>
      </c>
      <c r="N60" s="207">
        <v>14420</v>
      </c>
      <c r="O60" s="221">
        <v>42080</v>
      </c>
      <c r="P60" s="281">
        <v>42077</v>
      </c>
    </row>
    <row r="61" spans="1:16" ht="16.5" thickTop="1" x14ac:dyDescent="0.25">
      <c r="C61" s="58">
        <f>SUM(C5:C60)</f>
        <v>1289618.5899999999</v>
      </c>
      <c r="D61" s="58"/>
      <c r="E61" s="58">
        <f>SUM(E5:E60)</f>
        <v>1289618.5899999999</v>
      </c>
      <c r="F61" s="43">
        <f>SUM(F5:F60)</f>
        <v>0</v>
      </c>
      <c r="H61" s="28"/>
      <c r="I61" s="43">
        <f>36028.5+5171.5+6501</f>
        <v>47701</v>
      </c>
      <c r="J61" s="262">
        <v>15257</v>
      </c>
      <c r="K61" s="207">
        <v>47700.75</v>
      </c>
      <c r="L61" s="207"/>
      <c r="M61" s="113" t="s">
        <v>202</v>
      </c>
      <c r="N61" s="207">
        <v>5985</v>
      </c>
      <c r="O61" s="221">
        <v>42077</v>
      </c>
      <c r="P61" s="281">
        <v>42077</v>
      </c>
    </row>
    <row r="62" spans="1:16" ht="15.75" x14ac:dyDescent="0.25">
      <c r="A62" s="68"/>
      <c r="B62"/>
      <c r="D62"/>
      <c r="E62" s="43"/>
      <c r="H62" s="28"/>
      <c r="I62" s="43">
        <f>19890.5+7758.5+33135</f>
        <v>60784</v>
      </c>
      <c r="J62" s="282">
        <v>15323</v>
      </c>
      <c r="K62" s="207">
        <v>60784.12</v>
      </c>
      <c r="L62" s="207" t="s">
        <v>242</v>
      </c>
      <c r="M62" s="113" t="s">
        <v>202</v>
      </c>
      <c r="N62" s="207">
        <v>53685</v>
      </c>
      <c r="O62" s="221">
        <v>42077</v>
      </c>
      <c r="P62" s="252">
        <v>42077</v>
      </c>
    </row>
    <row r="63" spans="1:16" ht="15.75" x14ac:dyDescent="0.25">
      <c r="A63" s="68"/>
      <c r="B63"/>
      <c r="D63"/>
      <c r="E63" s="43"/>
      <c r="H63" s="28"/>
      <c r="I63" s="43">
        <v>0</v>
      </c>
      <c r="J63" s="262"/>
      <c r="K63" s="207"/>
      <c r="L63" s="207"/>
      <c r="M63" s="113" t="s">
        <v>202</v>
      </c>
      <c r="N63" s="207">
        <v>71320</v>
      </c>
      <c r="O63" s="221">
        <v>42080</v>
      </c>
      <c r="P63" s="252">
        <v>42078</v>
      </c>
    </row>
    <row r="64" spans="1:16" ht="16.5" thickBot="1" x14ac:dyDescent="0.3">
      <c r="A64" s="68"/>
      <c r="B64"/>
      <c r="D64"/>
      <c r="E64" s="43"/>
      <c r="H64" s="28"/>
      <c r="I64" s="275">
        <f>SUM(I46:I63)</f>
        <v>478464.8</v>
      </c>
      <c r="J64" s="262"/>
      <c r="K64" s="207"/>
      <c r="L64" s="207"/>
      <c r="M64" s="113" t="s">
        <v>202</v>
      </c>
      <c r="N64" s="207">
        <v>43925.5</v>
      </c>
      <c r="O64" s="221">
        <v>42080</v>
      </c>
      <c r="P64" s="252">
        <v>42079</v>
      </c>
    </row>
    <row r="65" spans="1:16" ht="16.5" thickTop="1" x14ac:dyDescent="0.25">
      <c r="A65" s="68"/>
      <c r="B65"/>
      <c r="D65"/>
      <c r="E65" s="43"/>
      <c r="H65" s="28"/>
      <c r="J65" s="263"/>
      <c r="K65" s="260"/>
      <c r="L65" s="260"/>
      <c r="M65" s="113" t="s">
        <v>202</v>
      </c>
      <c r="N65" s="214">
        <v>22387.5</v>
      </c>
      <c r="O65" s="221">
        <v>42080</v>
      </c>
      <c r="P65" s="252">
        <v>42080</v>
      </c>
    </row>
    <row r="66" spans="1:16" ht="15.75" x14ac:dyDescent="0.25">
      <c r="A66" s="68"/>
      <c r="B66"/>
      <c r="D66"/>
      <c r="E66" s="43"/>
      <c r="H66" s="28"/>
      <c r="J66" s="263"/>
      <c r="K66" s="130"/>
      <c r="L66" s="130"/>
      <c r="M66" s="113" t="s">
        <v>202</v>
      </c>
      <c r="N66" s="207">
        <v>6051.5</v>
      </c>
      <c r="O66" s="221">
        <v>42080</v>
      </c>
      <c r="P66" s="252">
        <v>42080</v>
      </c>
    </row>
    <row r="67" spans="1:16" ht="15.75" x14ac:dyDescent="0.25">
      <c r="A67" s="68"/>
      <c r="B67"/>
      <c r="D67"/>
      <c r="E67" s="43"/>
      <c r="H67" s="28"/>
      <c r="J67" s="262"/>
      <c r="K67" s="207"/>
      <c r="L67" s="207"/>
      <c r="M67" s="113" t="s">
        <v>202</v>
      </c>
      <c r="N67" s="207">
        <v>3035</v>
      </c>
      <c r="O67" s="221">
        <v>42080</v>
      </c>
      <c r="P67" s="252">
        <v>42080</v>
      </c>
    </row>
    <row r="68" spans="1:16" ht="15.75" x14ac:dyDescent="0.25">
      <c r="A68" s="68"/>
      <c r="B68"/>
      <c r="D68"/>
      <c r="E68" s="43"/>
      <c r="H68" s="28"/>
      <c r="J68" s="262"/>
      <c r="K68" s="207"/>
      <c r="L68" s="207"/>
      <c r="M68" s="113" t="s">
        <v>202</v>
      </c>
      <c r="N68" s="207">
        <v>5526</v>
      </c>
      <c r="O68" s="221">
        <v>42080</v>
      </c>
      <c r="P68" s="252">
        <v>42080</v>
      </c>
    </row>
    <row r="69" spans="1:16" ht="15.75" x14ac:dyDescent="0.25">
      <c r="A69" s="68"/>
      <c r="B69"/>
      <c r="D69"/>
      <c r="E69" s="43"/>
      <c r="H69" s="28"/>
      <c r="J69" s="264"/>
      <c r="K69" s="207"/>
      <c r="L69" s="207"/>
      <c r="M69" s="113" t="s">
        <v>202</v>
      </c>
      <c r="N69" s="207">
        <v>13167</v>
      </c>
      <c r="O69" s="221">
        <v>42081</v>
      </c>
      <c r="P69" s="252">
        <v>42081</v>
      </c>
    </row>
    <row r="70" spans="1:16" ht="15.75" x14ac:dyDescent="0.25">
      <c r="A70" s="68"/>
      <c r="B70"/>
      <c r="D70"/>
      <c r="E70" s="43"/>
      <c r="H70" s="28"/>
      <c r="I70" s="153"/>
      <c r="J70" s="264"/>
      <c r="K70" s="130"/>
      <c r="L70" s="130"/>
      <c r="M70" s="113" t="s">
        <v>202</v>
      </c>
      <c r="N70" s="214">
        <v>7640.5</v>
      </c>
      <c r="O70" s="221">
        <v>42081</v>
      </c>
      <c r="P70" s="252">
        <v>42081</v>
      </c>
    </row>
    <row r="71" spans="1:16" ht="15.75" x14ac:dyDescent="0.25">
      <c r="A71" s="68"/>
      <c r="B71"/>
      <c r="D71"/>
      <c r="E71" s="43"/>
      <c r="H71" s="28"/>
      <c r="I71" s="208"/>
      <c r="J71" s="193"/>
      <c r="K71" s="207"/>
      <c r="L71" s="207"/>
      <c r="M71" s="113" t="s">
        <v>202</v>
      </c>
      <c r="N71" s="207">
        <v>5090.5</v>
      </c>
      <c r="O71" s="221">
        <v>42081</v>
      </c>
      <c r="P71" s="252">
        <v>42081</v>
      </c>
    </row>
    <row r="72" spans="1:16" ht="15.75" x14ac:dyDescent="0.25">
      <c r="A72" s="68"/>
      <c r="B72"/>
      <c r="D72"/>
      <c r="E72" s="43"/>
      <c r="H72" s="28"/>
      <c r="I72" s="153"/>
      <c r="J72" s="193"/>
      <c r="K72" s="207"/>
      <c r="L72" s="207"/>
      <c r="M72" s="113" t="s">
        <v>202</v>
      </c>
      <c r="N72" s="207">
        <v>36028.5</v>
      </c>
      <c r="O72" s="221">
        <v>42082</v>
      </c>
      <c r="P72" s="252">
        <v>42082</v>
      </c>
    </row>
    <row r="73" spans="1:16" ht="15.75" x14ac:dyDescent="0.25">
      <c r="A73" s="68"/>
      <c r="B73"/>
      <c r="D73"/>
      <c r="E73" s="43"/>
      <c r="H73" s="28"/>
      <c r="I73" s="153"/>
      <c r="J73" s="193"/>
      <c r="K73" s="207"/>
      <c r="L73" s="207"/>
      <c r="M73" s="113" t="s">
        <v>202</v>
      </c>
      <c r="N73" s="207">
        <v>5171.5</v>
      </c>
      <c r="O73" s="221">
        <v>42082</v>
      </c>
      <c r="P73" s="252">
        <v>42082</v>
      </c>
    </row>
    <row r="74" spans="1:16" ht="15.75" x14ac:dyDescent="0.25">
      <c r="A74" s="68"/>
      <c r="B74"/>
      <c r="D74"/>
      <c r="E74" s="43"/>
      <c r="H74" s="28"/>
      <c r="I74" s="153"/>
      <c r="J74" s="193"/>
      <c r="K74" s="207"/>
      <c r="L74" s="207"/>
      <c r="M74" s="113" t="s">
        <v>202</v>
      </c>
      <c r="N74" s="207">
        <v>6501</v>
      </c>
      <c r="O74" s="221">
        <v>42083</v>
      </c>
      <c r="P74" s="252">
        <v>42083</v>
      </c>
    </row>
    <row r="75" spans="1:16" ht="15.75" x14ac:dyDescent="0.25">
      <c r="H75" s="28"/>
      <c r="I75" s="153"/>
      <c r="J75" s="193"/>
      <c r="K75" s="207"/>
      <c r="L75" s="207"/>
      <c r="M75" s="113" t="s">
        <v>202</v>
      </c>
      <c r="N75" s="207">
        <v>19890.5</v>
      </c>
      <c r="O75" s="221">
        <v>42083</v>
      </c>
      <c r="P75" s="252">
        <v>42083</v>
      </c>
    </row>
    <row r="76" spans="1:16" ht="15.75" x14ac:dyDescent="0.25">
      <c r="I76" s="153"/>
      <c r="J76" s="206"/>
      <c r="K76" s="207"/>
      <c r="L76" s="207"/>
      <c r="M76" s="113" t="s">
        <v>202</v>
      </c>
      <c r="N76" s="207">
        <v>7758.5</v>
      </c>
      <c r="O76" s="221">
        <v>42083</v>
      </c>
      <c r="P76" s="252">
        <v>42083</v>
      </c>
    </row>
    <row r="77" spans="1:16" ht="15.75" x14ac:dyDescent="0.25">
      <c r="I77" s="153"/>
      <c r="J77" s="206"/>
      <c r="K77" s="207"/>
      <c r="L77" s="207"/>
      <c r="M77" s="113" t="s">
        <v>202</v>
      </c>
      <c r="N77" s="207"/>
      <c r="O77" s="221"/>
      <c r="P77" s="252"/>
    </row>
    <row r="78" spans="1:16" ht="15.75" x14ac:dyDescent="0.25">
      <c r="I78" s="153"/>
      <c r="J78" s="193"/>
      <c r="K78" s="207"/>
      <c r="L78" s="207"/>
      <c r="M78" s="113" t="s">
        <v>202</v>
      </c>
      <c r="N78" s="207"/>
      <c r="O78" s="221"/>
      <c r="P78" s="252"/>
    </row>
    <row r="79" spans="1:16" ht="15.75" x14ac:dyDescent="0.25">
      <c r="I79" s="153"/>
      <c r="J79" s="193"/>
      <c r="K79" s="207"/>
      <c r="L79" s="207"/>
      <c r="M79" s="113" t="s">
        <v>202</v>
      </c>
      <c r="N79" s="207"/>
      <c r="O79" s="221"/>
      <c r="P79" s="252"/>
    </row>
    <row r="80" spans="1:16" ht="15.75" x14ac:dyDescent="0.25">
      <c r="I80" s="153"/>
      <c r="J80" s="193"/>
      <c r="K80" s="207"/>
      <c r="L80" s="207"/>
      <c r="M80" s="113"/>
      <c r="N80" s="207"/>
      <c r="O80" s="221"/>
      <c r="P80" s="252"/>
    </row>
    <row r="81" spans="1:16" ht="15.75" x14ac:dyDescent="0.25">
      <c r="A81" s="68"/>
      <c r="B81"/>
      <c r="C81"/>
      <c r="D81"/>
      <c r="E81"/>
      <c r="F81"/>
      <c r="I81" s="153"/>
      <c r="J81" s="206"/>
      <c r="K81" s="207"/>
      <c r="L81" s="207"/>
      <c r="M81" s="113"/>
      <c r="N81" s="207"/>
      <c r="O81" s="221"/>
      <c r="P81" s="252"/>
    </row>
    <row r="82" spans="1:16" ht="15.75" x14ac:dyDescent="0.25">
      <c r="A82" s="68"/>
      <c r="B82"/>
      <c r="C82"/>
      <c r="D82"/>
      <c r="E82"/>
      <c r="F82"/>
      <c r="I82" s="153"/>
      <c r="J82" s="196"/>
      <c r="K82" s="121">
        <v>0</v>
      </c>
      <c r="L82" s="121"/>
      <c r="M82" s="113"/>
      <c r="N82" s="121">
        <v>0</v>
      </c>
      <c r="O82" s="119"/>
      <c r="P82" s="28"/>
    </row>
    <row r="83" spans="1:16" ht="18.75" x14ac:dyDescent="0.3">
      <c r="A83" s="68"/>
      <c r="B83"/>
      <c r="C83"/>
      <c r="D83"/>
      <c r="E83"/>
      <c r="F83"/>
      <c r="I83" s="153"/>
      <c r="K83" s="131">
        <f>SUM(K46:K82)</f>
        <v>478465.00000000006</v>
      </c>
      <c r="L83" s="131"/>
      <c r="M83" s="131"/>
      <c r="N83" s="131">
        <f>SUM(N46:N82)</f>
        <v>478465</v>
      </c>
      <c r="P83" s="28"/>
    </row>
    <row r="84" spans="1:16" ht="15.75" x14ac:dyDescent="0.25">
      <c r="A84" s="68"/>
      <c r="B84"/>
      <c r="C84"/>
      <c r="D84"/>
      <c r="E84"/>
      <c r="F84"/>
      <c r="J84" s="249"/>
      <c r="K84" s="88"/>
      <c r="L84" s="88"/>
      <c r="M84" s="251"/>
      <c r="N84" s="88"/>
      <c r="O84" s="252"/>
      <c r="P84" s="252"/>
    </row>
    <row r="85" spans="1:16" ht="15.75" x14ac:dyDescent="0.25">
      <c r="A85" s="68"/>
      <c r="B85"/>
      <c r="C85"/>
      <c r="D85"/>
      <c r="E85"/>
      <c r="F85"/>
      <c r="J85" s="249"/>
      <c r="K85" s="88"/>
      <c r="L85" s="88"/>
      <c r="M85" s="251"/>
      <c r="N85" s="88"/>
      <c r="O85" s="252"/>
      <c r="P85" s="252"/>
    </row>
    <row r="86" spans="1:16" ht="15.75" x14ac:dyDescent="0.25">
      <c r="A86" s="68"/>
      <c r="B86"/>
      <c r="C86"/>
      <c r="D86"/>
      <c r="E86"/>
      <c r="F86"/>
      <c r="J86" s="104"/>
      <c r="K86" s="288">
        <v>42093</v>
      </c>
      <c r="L86" s="215"/>
      <c r="M86" s="134" t="s">
        <v>200</v>
      </c>
      <c r="N86" s="88"/>
      <c r="P86" s="252"/>
    </row>
    <row r="87" spans="1:16" x14ac:dyDescent="0.25">
      <c r="A87" s="68"/>
      <c r="B87"/>
      <c r="C87"/>
      <c r="D87"/>
      <c r="E87"/>
      <c r="F87"/>
      <c r="I87" s="103"/>
      <c r="J87" s="104"/>
      <c r="K87" s="103"/>
      <c r="L87" s="103"/>
      <c r="M87" s="103"/>
      <c r="N87" s="213"/>
      <c r="P87" s="252"/>
    </row>
    <row r="88" spans="1:16" ht="15.75" x14ac:dyDescent="0.25">
      <c r="A88" s="68"/>
      <c r="B88"/>
      <c r="C88"/>
      <c r="D88"/>
      <c r="E88"/>
      <c r="F88"/>
      <c r="I88" s="43">
        <f>8705+22319</f>
        <v>31024</v>
      </c>
      <c r="J88" s="193">
        <v>15323</v>
      </c>
      <c r="K88" s="130">
        <v>31024.48</v>
      </c>
      <c r="L88" s="130"/>
      <c r="M88" s="113" t="s">
        <v>202</v>
      </c>
      <c r="N88" s="214">
        <v>8705</v>
      </c>
      <c r="O88" s="221">
        <v>42084</v>
      </c>
      <c r="P88" s="252">
        <v>42084</v>
      </c>
    </row>
    <row r="89" spans="1:16" ht="15.75" x14ac:dyDescent="0.25">
      <c r="A89" s="68"/>
      <c r="B89"/>
      <c r="C89"/>
      <c r="D89"/>
      <c r="E89"/>
      <c r="F89"/>
      <c r="I89" s="43">
        <f>30605+5323</f>
        <v>35928</v>
      </c>
      <c r="J89" s="194">
        <v>15531</v>
      </c>
      <c r="K89" s="207">
        <v>35928.5</v>
      </c>
      <c r="L89" s="207"/>
      <c r="M89" s="113" t="s">
        <v>202</v>
      </c>
      <c r="N89" s="207">
        <v>12471</v>
      </c>
      <c r="O89" s="221">
        <v>42084</v>
      </c>
      <c r="P89" s="252">
        <v>42084</v>
      </c>
    </row>
    <row r="90" spans="1:16" ht="15.75" x14ac:dyDescent="0.25">
      <c r="A90" s="68"/>
      <c r="B90"/>
      <c r="C90"/>
      <c r="D90"/>
      <c r="E90"/>
      <c r="F90"/>
      <c r="I90" s="43">
        <v>12471</v>
      </c>
      <c r="J90" s="193">
        <v>15560</v>
      </c>
      <c r="K90" s="207">
        <v>12471.2</v>
      </c>
      <c r="L90" s="207"/>
      <c r="M90" s="113" t="s">
        <v>202</v>
      </c>
      <c r="N90" s="207">
        <v>22319</v>
      </c>
      <c r="O90" s="221">
        <v>42084</v>
      </c>
      <c r="P90" s="252">
        <v>42084</v>
      </c>
    </row>
    <row r="91" spans="1:16" ht="15.75" x14ac:dyDescent="0.25">
      <c r="A91" s="68"/>
      <c r="B91"/>
      <c r="C91"/>
      <c r="D91"/>
      <c r="E91"/>
      <c r="F91"/>
      <c r="I91" s="43">
        <f>37753+6107.5</f>
        <v>43860.5</v>
      </c>
      <c r="J91" s="193">
        <v>15574</v>
      </c>
      <c r="K91" s="130">
        <v>43860.4</v>
      </c>
      <c r="L91" s="130"/>
      <c r="M91" s="113" t="s">
        <v>202</v>
      </c>
      <c r="N91" s="207">
        <v>30605</v>
      </c>
      <c r="O91" s="221">
        <v>42084</v>
      </c>
      <c r="P91" s="252">
        <v>42084</v>
      </c>
    </row>
    <row r="92" spans="1:16" ht="15.75" x14ac:dyDescent="0.25">
      <c r="A92" s="68"/>
      <c r="B92"/>
      <c r="C92"/>
      <c r="D92"/>
      <c r="E92"/>
      <c r="F92"/>
      <c r="I92" s="43">
        <v>7861.5</v>
      </c>
      <c r="J92" s="193">
        <v>15658</v>
      </c>
      <c r="K92" s="207">
        <v>7861.4</v>
      </c>
      <c r="L92" s="207"/>
      <c r="M92" s="113" t="s">
        <v>202</v>
      </c>
      <c r="N92" s="207">
        <v>5323</v>
      </c>
      <c r="O92" s="221">
        <v>42086</v>
      </c>
      <c r="P92" s="252">
        <v>42085</v>
      </c>
    </row>
    <row r="93" spans="1:16" ht="15.75" x14ac:dyDescent="0.25">
      <c r="A93" s="68"/>
      <c r="B93"/>
      <c r="C93"/>
      <c r="D93"/>
      <c r="E93"/>
      <c r="F93"/>
      <c r="I93" s="43">
        <v>1000</v>
      </c>
      <c r="J93" s="193">
        <v>15765</v>
      </c>
      <c r="K93" s="207">
        <v>1000</v>
      </c>
      <c r="L93" s="207"/>
      <c r="M93" s="113" t="s">
        <v>202</v>
      </c>
      <c r="N93" s="207">
        <v>37753</v>
      </c>
      <c r="O93" s="221">
        <v>42086</v>
      </c>
      <c r="P93" s="252">
        <v>42085</v>
      </c>
    </row>
    <row r="94" spans="1:16" ht="15.75" x14ac:dyDescent="0.25">
      <c r="A94" s="68"/>
      <c r="B94"/>
      <c r="C94"/>
      <c r="D94"/>
      <c r="E94"/>
      <c r="F94"/>
      <c r="I94" s="43">
        <f>30500+2650+4279+5880.13</f>
        <v>43309.13</v>
      </c>
      <c r="J94" s="193">
        <v>15773</v>
      </c>
      <c r="K94" s="207">
        <v>43308.15</v>
      </c>
      <c r="L94" s="207"/>
      <c r="M94" s="113" t="s">
        <v>202</v>
      </c>
      <c r="N94" s="207">
        <v>6107.5</v>
      </c>
      <c r="O94" s="221">
        <v>42086</v>
      </c>
      <c r="P94" s="252">
        <v>42085</v>
      </c>
    </row>
    <row r="95" spans="1:16" ht="15.75" x14ac:dyDescent="0.25">
      <c r="A95" s="68"/>
      <c r="B95"/>
      <c r="C95"/>
      <c r="D95"/>
      <c r="E95"/>
      <c r="F95"/>
      <c r="I95" s="43">
        <v>6698</v>
      </c>
      <c r="J95" s="193">
        <v>15849</v>
      </c>
      <c r="K95" s="207">
        <v>6698</v>
      </c>
      <c r="L95" s="207"/>
      <c r="M95" s="113" t="s">
        <v>202</v>
      </c>
      <c r="N95" s="207">
        <v>30500</v>
      </c>
      <c r="O95" s="221">
        <v>42086</v>
      </c>
      <c r="P95" s="252">
        <v>42086</v>
      </c>
    </row>
    <row r="96" spans="1:16" ht="15.75" x14ac:dyDescent="0.25">
      <c r="A96" s="68"/>
      <c r="B96"/>
      <c r="C96"/>
      <c r="D96"/>
      <c r="E96"/>
      <c r="F96"/>
      <c r="I96" s="43">
        <f>5991+26009+21801.83</f>
        <v>53801.83</v>
      </c>
      <c r="J96" s="193">
        <v>15933</v>
      </c>
      <c r="K96" s="207">
        <v>53801.83</v>
      </c>
      <c r="L96" s="207"/>
      <c r="M96" s="113" t="s">
        <v>202</v>
      </c>
      <c r="N96" s="207">
        <v>1000</v>
      </c>
      <c r="O96" s="221">
        <v>42086</v>
      </c>
      <c r="P96" s="252">
        <v>42086</v>
      </c>
    </row>
    <row r="97" spans="1:16" ht="15.75" x14ac:dyDescent="0.25">
      <c r="A97" s="68"/>
      <c r="B97"/>
      <c r="C97"/>
      <c r="D97"/>
      <c r="E97"/>
      <c r="F97"/>
      <c r="I97" s="43">
        <f>20198.17+411.37</f>
        <v>20609.539999999997</v>
      </c>
      <c r="J97" s="193">
        <v>16025</v>
      </c>
      <c r="K97" s="207">
        <v>20609.54</v>
      </c>
      <c r="L97" s="207" t="s">
        <v>242</v>
      </c>
      <c r="M97" s="113" t="s">
        <v>202</v>
      </c>
      <c r="N97" s="207">
        <v>7861.5</v>
      </c>
      <c r="O97" s="221">
        <v>42086</v>
      </c>
      <c r="P97" s="252">
        <v>42086</v>
      </c>
    </row>
    <row r="98" spans="1:16" ht="15.75" x14ac:dyDescent="0.25">
      <c r="A98" s="68"/>
      <c r="B98"/>
      <c r="C98"/>
      <c r="D98"/>
      <c r="E98"/>
      <c r="F98"/>
      <c r="J98" s="193"/>
      <c r="K98" s="207"/>
      <c r="L98" s="207"/>
      <c r="M98" s="113" t="s">
        <v>202</v>
      </c>
      <c r="N98" s="207">
        <v>2650</v>
      </c>
      <c r="O98" s="221">
        <v>42087</v>
      </c>
      <c r="P98" s="252">
        <v>42086</v>
      </c>
    </row>
    <row r="99" spans="1:16" ht="15.75" x14ac:dyDescent="0.25">
      <c r="A99" s="68"/>
      <c r="B99"/>
      <c r="C99"/>
      <c r="D99"/>
      <c r="E99"/>
      <c r="F99"/>
      <c r="J99" s="193"/>
      <c r="K99" s="207"/>
      <c r="L99" s="207"/>
      <c r="M99" s="113" t="s">
        <v>202</v>
      </c>
      <c r="N99" s="207">
        <v>6698</v>
      </c>
      <c r="O99" s="221">
        <v>42087</v>
      </c>
      <c r="P99" s="252">
        <v>42087</v>
      </c>
    </row>
    <row r="100" spans="1:16" ht="15.75" x14ac:dyDescent="0.25">
      <c r="A100" s="68"/>
      <c r="B100"/>
      <c r="C100"/>
      <c r="D100"/>
      <c r="E100"/>
      <c r="F100"/>
      <c r="J100" s="193"/>
      <c r="K100" s="207"/>
      <c r="L100" s="207"/>
      <c r="M100" s="113" t="s">
        <v>202</v>
      </c>
      <c r="N100" s="207">
        <v>4279</v>
      </c>
      <c r="O100" s="221">
        <v>42087</v>
      </c>
      <c r="P100" s="252">
        <v>42087</v>
      </c>
    </row>
    <row r="101" spans="1:16" ht="15.75" x14ac:dyDescent="0.25">
      <c r="J101" s="193"/>
      <c r="K101" s="207"/>
      <c r="L101" s="207"/>
      <c r="M101" s="113" t="s">
        <v>202</v>
      </c>
      <c r="N101" s="207">
        <v>5991</v>
      </c>
      <c r="O101" s="221">
        <v>42088</v>
      </c>
      <c r="P101" s="21">
        <v>42088</v>
      </c>
    </row>
    <row r="102" spans="1:16" ht="15.75" x14ac:dyDescent="0.25">
      <c r="J102" s="262"/>
      <c r="K102" s="207"/>
      <c r="L102" s="207"/>
      <c r="M102" s="113" t="s">
        <v>202</v>
      </c>
      <c r="N102" s="207">
        <v>26009</v>
      </c>
      <c r="O102" s="221">
        <v>42088</v>
      </c>
      <c r="P102" s="21">
        <v>42088</v>
      </c>
    </row>
    <row r="103" spans="1:16" ht="15.75" x14ac:dyDescent="0.25">
      <c r="J103" s="262"/>
      <c r="K103" s="207"/>
      <c r="L103" s="207"/>
      <c r="M103" s="113" t="s">
        <v>202</v>
      </c>
      <c r="N103" s="207">
        <v>6291.5</v>
      </c>
      <c r="O103" s="221">
        <v>42089</v>
      </c>
      <c r="P103" s="21">
        <v>42089</v>
      </c>
    </row>
    <row r="104" spans="1:16" ht="15.75" x14ac:dyDescent="0.25">
      <c r="J104" s="282"/>
      <c r="K104" s="207"/>
      <c r="L104" s="207"/>
      <c r="M104" s="113" t="s">
        <v>202</v>
      </c>
      <c r="N104" s="207">
        <v>20198.169999999998</v>
      </c>
      <c r="O104" s="221">
        <v>42089</v>
      </c>
      <c r="P104" s="21">
        <v>42089</v>
      </c>
    </row>
    <row r="105" spans="1:16" ht="15.75" x14ac:dyDescent="0.25">
      <c r="I105" s="43">
        <v>0</v>
      </c>
      <c r="J105" s="262"/>
      <c r="K105" s="207"/>
      <c r="L105" s="207"/>
      <c r="M105" s="113" t="s">
        <v>202</v>
      </c>
      <c r="N105" s="207">
        <v>21801.83</v>
      </c>
      <c r="O105" s="221">
        <v>42089</v>
      </c>
      <c r="P105" s="21">
        <v>42089</v>
      </c>
    </row>
    <row r="106" spans="1:16" ht="16.5" thickBot="1" x14ac:dyDescent="0.3">
      <c r="I106" s="275">
        <f>SUM(I88:I105)</f>
        <v>256563.50000000003</v>
      </c>
      <c r="J106" s="262"/>
      <c r="K106" s="207"/>
      <c r="L106" s="207"/>
      <c r="M106" s="113" t="s">
        <v>202</v>
      </c>
      <c r="N106" s="207">
        <v>0</v>
      </c>
      <c r="O106" s="221"/>
    </row>
    <row r="107" spans="1:16" ht="16.5" thickTop="1" x14ac:dyDescent="0.25">
      <c r="J107" s="263"/>
      <c r="K107" s="260"/>
      <c r="L107" s="260"/>
      <c r="M107" s="113" t="s">
        <v>202</v>
      </c>
      <c r="N107" s="214">
        <v>0</v>
      </c>
      <c r="O107" s="221"/>
    </row>
    <row r="108" spans="1:16" ht="15.75" x14ac:dyDescent="0.25">
      <c r="I108" s="153"/>
      <c r="J108" s="196"/>
      <c r="K108" s="121">
        <v>0</v>
      </c>
      <c r="L108" s="121"/>
      <c r="M108" s="113"/>
      <c r="N108" s="121">
        <v>0</v>
      </c>
      <c r="O108" s="119"/>
    </row>
    <row r="109" spans="1:16" ht="18.75" x14ac:dyDescent="0.3">
      <c r="I109" s="153"/>
      <c r="K109" s="131">
        <f>SUM(K88:K108)</f>
        <v>256563.49999999997</v>
      </c>
      <c r="L109" s="131"/>
      <c r="M109" s="131"/>
      <c r="N109" s="131">
        <f>SUM(N88:N108)</f>
        <v>256563.5</v>
      </c>
    </row>
  </sheetData>
  <sortState ref="A42:D46">
    <sortCondition ref="B42:B46"/>
  </sortState>
  <mergeCells count="1">
    <mergeCell ref="C3:E3"/>
  </mergeCells>
  <pageMargins left="0.70866141732283472" right="0.70866141732283472" top="0.15748031496062992" bottom="0.15748031496062992" header="0.31496062992125984" footer="0.31496062992125984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97"/>
  <sheetViews>
    <sheetView topLeftCell="A25" workbookViewId="0">
      <selection activeCell="F49" sqref="F49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9" width="13.7109375" style="43" customWidth="1"/>
    <col min="10" max="10" width="6.28515625" style="43" customWidth="1"/>
    <col min="12" max="12" width="14.85546875" customWidth="1"/>
    <col min="13" max="13" width="22.5703125" style="68" customWidth="1"/>
    <col min="14" max="14" width="16.28515625" style="202" customWidth="1"/>
  </cols>
  <sheetData>
    <row r="1" spans="1:15" ht="23.25" x14ac:dyDescent="0.35">
      <c r="C1" s="368" t="s">
        <v>348</v>
      </c>
      <c r="D1" s="368"/>
      <c r="E1" s="368"/>
      <c r="F1" s="368"/>
      <c r="G1" s="368"/>
      <c r="H1" s="368"/>
      <c r="I1" s="368"/>
      <c r="J1" s="368"/>
      <c r="K1" s="368"/>
    </row>
    <row r="2" spans="1:15" ht="15.75" thickBot="1" x14ac:dyDescent="0.3">
      <c r="E2" s="303"/>
      <c r="F2" s="50"/>
    </row>
    <row r="3" spans="1:15" ht="15.75" thickBot="1" x14ac:dyDescent="0.3">
      <c r="C3" s="44" t="s">
        <v>0</v>
      </c>
      <c r="D3" s="3"/>
    </row>
    <row r="4" spans="1:15" ht="20.25" thickTop="1" thickBot="1" x14ac:dyDescent="0.35">
      <c r="A4" s="96" t="s">
        <v>2</v>
      </c>
      <c r="B4" s="38"/>
      <c r="C4" s="94">
        <v>181901.18</v>
      </c>
      <c r="D4" s="2"/>
      <c r="E4" s="389" t="s">
        <v>14</v>
      </c>
      <c r="F4" s="390"/>
      <c r="I4" s="371" t="s">
        <v>4</v>
      </c>
      <c r="J4" s="372"/>
      <c r="K4" s="372"/>
      <c r="L4" s="372"/>
      <c r="M4" s="69" t="s">
        <v>18</v>
      </c>
      <c r="N4" s="350" t="s">
        <v>264</v>
      </c>
    </row>
    <row r="5" spans="1:15" ht="15.75" thickTop="1" x14ac:dyDescent="0.25">
      <c r="A5" s="21"/>
      <c r="B5" s="39">
        <v>42095</v>
      </c>
      <c r="C5" s="45">
        <v>0</v>
      </c>
      <c r="D5" s="22"/>
      <c r="E5" s="26">
        <v>42095</v>
      </c>
      <c r="F5" s="51">
        <v>20411.5</v>
      </c>
      <c r="G5" s="23"/>
      <c r="H5" s="24">
        <v>42095</v>
      </c>
      <c r="I5" s="60">
        <v>200</v>
      </c>
      <c r="J5" s="87"/>
      <c r="K5" s="34"/>
      <c r="L5" s="34"/>
      <c r="M5" s="67" t="s">
        <v>354</v>
      </c>
      <c r="N5" s="75">
        <v>21050</v>
      </c>
      <c r="O5" s="80"/>
    </row>
    <row r="6" spans="1:15" x14ac:dyDescent="0.25">
      <c r="A6" s="21"/>
      <c r="B6" s="39">
        <v>42096</v>
      </c>
      <c r="C6" s="45">
        <v>405</v>
      </c>
      <c r="D6" s="29" t="s">
        <v>50</v>
      </c>
      <c r="E6" s="26">
        <v>42096</v>
      </c>
      <c r="F6" s="51">
        <v>40536</v>
      </c>
      <c r="G6" s="19"/>
      <c r="H6" s="27">
        <v>42096</v>
      </c>
      <c r="I6" s="61">
        <v>226</v>
      </c>
      <c r="J6" s="88"/>
      <c r="K6" s="13" t="s">
        <v>5</v>
      </c>
      <c r="L6" s="20">
        <v>889</v>
      </c>
      <c r="M6" s="67" t="s">
        <v>355</v>
      </c>
      <c r="N6" s="75">
        <v>39450</v>
      </c>
      <c r="O6" s="80"/>
    </row>
    <row r="7" spans="1:15" x14ac:dyDescent="0.25">
      <c r="A7" s="21"/>
      <c r="B7" s="39">
        <v>42097</v>
      </c>
      <c r="C7" s="91">
        <v>0</v>
      </c>
      <c r="D7" s="309"/>
      <c r="E7" s="310">
        <v>42097</v>
      </c>
      <c r="F7" s="92">
        <v>0</v>
      </c>
      <c r="G7" s="311"/>
      <c r="H7" s="312">
        <v>42097</v>
      </c>
      <c r="I7" s="313">
        <v>0</v>
      </c>
      <c r="J7" s="88"/>
      <c r="K7" s="13" t="s">
        <v>3</v>
      </c>
      <c r="L7" s="20">
        <v>0</v>
      </c>
      <c r="M7" s="67"/>
      <c r="N7" s="75">
        <v>0</v>
      </c>
      <c r="O7" s="80"/>
    </row>
    <row r="8" spans="1:15" x14ac:dyDescent="0.25">
      <c r="A8" s="21"/>
      <c r="B8" s="39">
        <v>42098</v>
      </c>
      <c r="C8" s="45">
        <v>300.95999999999998</v>
      </c>
      <c r="D8" s="22" t="s">
        <v>31</v>
      </c>
      <c r="E8" s="26">
        <v>42098</v>
      </c>
      <c r="F8" s="51">
        <v>61591</v>
      </c>
      <c r="G8" s="23"/>
      <c r="H8" s="27">
        <v>42098</v>
      </c>
      <c r="I8" s="61">
        <v>200</v>
      </c>
      <c r="J8" s="88"/>
      <c r="K8" s="13" t="s">
        <v>6</v>
      </c>
      <c r="L8" s="20">
        <v>28750</v>
      </c>
      <c r="M8" s="201" t="s">
        <v>356</v>
      </c>
      <c r="N8" s="204">
        <v>61900.5</v>
      </c>
      <c r="O8" s="80"/>
    </row>
    <row r="9" spans="1:15" x14ac:dyDescent="0.25">
      <c r="A9" s="21"/>
      <c r="B9" s="39">
        <v>42099</v>
      </c>
      <c r="C9" s="45">
        <v>0</v>
      </c>
      <c r="D9" s="22"/>
      <c r="E9" s="26">
        <v>42099</v>
      </c>
      <c r="F9" s="51">
        <v>52028</v>
      </c>
      <c r="G9" s="23"/>
      <c r="H9" s="27">
        <v>42099</v>
      </c>
      <c r="I9" s="61">
        <v>200</v>
      </c>
      <c r="J9" s="88"/>
      <c r="K9" s="13" t="s">
        <v>349</v>
      </c>
      <c r="L9" s="20">
        <v>7924.62</v>
      </c>
      <c r="M9" s="67" t="s">
        <v>358</v>
      </c>
      <c r="N9" s="75">
        <v>50400</v>
      </c>
      <c r="O9" s="80"/>
    </row>
    <row r="10" spans="1:15" x14ac:dyDescent="0.25">
      <c r="A10" s="21"/>
      <c r="B10" s="39">
        <v>42100</v>
      </c>
      <c r="C10" s="45">
        <v>0</v>
      </c>
      <c r="D10" s="32"/>
      <c r="E10" s="26">
        <v>42100</v>
      </c>
      <c r="F10" s="51">
        <v>53527.5</v>
      </c>
      <c r="G10" s="23"/>
      <c r="H10" s="27">
        <v>42100</v>
      </c>
      <c r="I10" s="61">
        <v>200</v>
      </c>
      <c r="J10" s="88"/>
      <c r="K10" s="13" t="s">
        <v>350</v>
      </c>
      <c r="L10" s="20">
        <v>7662.72</v>
      </c>
      <c r="M10" s="67" t="s">
        <v>359</v>
      </c>
      <c r="N10" s="75">
        <v>52283.5</v>
      </c>
      <c r="O10" s="80"/>
    </row>
    <row r="11" spans="1:15" x14ac:dyDescent="0.25">
      <c r="A11" s="21"/>
      <c r="B11" s="39">
        <v>42101</v>
      </c>
      <c r="C11" s="45">
        <v>0</v>
      </c>
      <c r="D11" s="32"/>
      <c r="E11" s="26">
        <v>42101</v>
      </c>
      <c r="F11" s="51">
        <v>32476.5</v>
      </c>
      <c r="G11" s="23"/>
      <c r="H11" s="27">
        <v>42101</v>
      </c>
      <c r="I11" s="62">
        <v>200</v>
      </c>
      <c r="J11" s="88"/>
      <c r="K11" s="13" t="s">
        <v>351</v>
      </c>
      <c r="L11" s="20">
        <v>8038.91</v>
      </c>
      <c r="M11" s="67" t="s">
        <v>360</v>
      </c>
      <c r="N11" s="75">
        <v>32870</v>
      </c>
      <c r="O11" s="80"/>
    </row>
    <row r="12" spans="1:15" x14ac:dyDescent="0.25">
      <c r="A12" s="21"/>
      <c r="B12" s="39">
        <v>42102</v>
      </c>
      <c r="C12" s="45">
        <v>0</v>
      </c>
      <c r="D12" s="32"/>
      <c r="E12" s="26">
        <v>42102</v>
      </c>
      <c r="F12" s="51">
        <v>28093</v>
      </c>
      <c r="G12" s="23"/>
      <c r="H12" s="27">
        <v>42102</v>
      </c>
      <c r="I12" s="62">
        <v>200</v>
      </c>
      <c r="J12" s="88"/>
      <c r="K12" s="13" t="s">
        <v>352</v>
      </c>
      <c r="L12" s="20">
        <v>7662.72</v>
      </c>
      <c r="M12" s="67" t="s">
        <v>362</v>
      </c>
      <c r="N12" s="75">
        <v>28600</v>
      </c>
      <c r="O12" s="80"/>
    </row>
    <row r="13" spans="1:15" x14ac:dyDescent="0.25">
      <c r="A13" s="21"/>
      <c r="B13" s="39">
        <v>42103</v>
      </c>
      <c r="C13" s="45">
        <v>0</v>
      </c>
      <c r="D13" s="32"/>
      <c r="E13" s="26">
        <v>42103</v>
      </c>
      <c r="F13" s="51">
        <v>40145.5</v>
      </c>
      <c r="G13" s="23"/>
      <c r="H13" s="27">
        <v>42103</v>
      </c>
      <c r="I13" s="62">
        <v>1582</v>
      </c>
      <c r="J13" s="88"/>
      <c r="K13" s="13" t="s">
        <v>353</v>
      </c>
      <c r="L13" s="20">
        <v>8562.7199999999993</v>
      </c>
      <c r="M13" s="67" t="s">
        <v>363</v>
      </c>
      <c r="N13" s="75">
        <v>39590</v>
      </c>
      <c r="O13" s="80"/>
    </row>
    <row r="14" spans="1:15" x14ac:dyDescent="0.25">
      <c r="A14" s="21"/>
      <c r="B14" s="39">
        <v>42104</v>
      </c>
      <c r="C14" s="45">
        <v>0</v>
      </c>
      <c r="D14" s="29"/>
      <c r="E14" s="26">
        <v>42104</v>
      </c>
      <c r="F14" s="51">
        <v>57362.5</v>
      </c>
      <c r="G14" s="23"/>
      <c r="H14" s="27">
        <v>42104</v>
      </c>
      <c r="I14" s="62">
        <v>200</v>
      </c>
      <c r="J14" s="88"/>
      <c r="K14" s="35" t="s">
        <v>16</v>
      </c>
      <c r="L14" s="20">
        <v>0</v>
      </c>
      <c r="M14" s="67" t="s">
        <v>364</v>
      </c>
      <c r="N14" s="75">
        <v>54800</v>
      </c>
      <c r="O14" s="80"/>
    </row>
    <row r="15" spans="1:15" x14ac:dyDescent="0.25">
      <c r="A15" s="21"/>
      <c r="B15" s="39">
        <v>42105</v>
      </c>
      <c r="C15" s="45">
        <v>0</v>
      </c>
      <c r="D15" s="29"/>
      <c r="E15" s="26">
        <v>42105</v>
      </c>
      <c r="F15" s="51">
        <v>58411.5</v>
      </c>
      <c r="G15" s="23"/>
      <c r="H15" s="27">
        <v>42105</v>
      </c>
      <c r="I15" s="62">
        <v>200</v>
      </c>
      <c r="J15" s="88"/>
      <c r="K15" s="28" t="s">
        <v>15</v>
      </c>
      <c r="L15" s="20">
        <v>0</v>
      </c>
      <c r="M15" s="67" t="s">
        <v>365</v>
      </c>
      <c r="N15" s="75">
        <v>58500</v>
      </c>
      <c r="O15" s="80"/>
    </row>
    <row r="16" spans="1:15" x14ac:dyDescent="0.25">
      <c r="A16" s="21"/>
      <c r="B16" s="39">
        <v>42106</v>
      </c>
      <c r="C16" s="45">
        <v>0</v>
      </c>
      <c r="D16" s="32"/>
      <c r="E16" s="26">
        <v>42106</v>
      </c>
      <c r="F16" s="51">
        <v>63296</v>
      </c>
      <c r="G16" s="23"/>
      <c r="H16" s="27">
        <v>42106</v>
      </c>
      <c r="I16" s="62">
        <v>200</v>
      </c>
      <c r="J16" s="88"/>
      <c r="K16" s="73" t="s">
        <v>52</v>
      </c>
      <c r="L16" s="74">
        <v>0</v>
      </c>
      <c r="M16" s="67" t="s">
        <v>366</v>
      </c>
      <c r="N16" s="75">
        <v>62900</v>
      </c>
      <c r="O16" s="80"/>
    </row>
    <row r="17" spans="1:15" x14ac:dyDescent="0.25">
      <c r="A17" s="21"/>
      <c r="B17" s="39">
        <v>42107</v>
      </c>
      <c r="C17" s="45">
        <v>0</v>
      </c>
      <c r="D17" s="29"/>
      <c r="E17" s="26">
        <v>42107</v>
      </c>
      <c r="F17" s="51">
        <v>46229.5</v>
      </c>
      <c r="G17" s="23"/>
      <c r="H17" s="27">
        <v>42107</v>
      </c>
      <c r="I17" s="62">
        <v>230</v>
      </c>
      <c r="J17" s="88"/>
      <c r="K17" s="28" t="s">
        <v>53</v>
      </c>
      <c r="L17" s="74">
        <v>0</v>
      </c>
      <c r="M17" s="67" t="s">
        <v>367</v>
      </c>
      <c r="N17" s="75">
        <v>45686</v>
      </c>
      <c r="O17" s="80"/>
    </row>
    <row r="18" spans="1:15" x14ac:dyDescent="0.25">
      <c r="A18" s="21"/>
      <c r="B18" s="39">
        <v>42108</v>
      </c>
      <c r="C18" s="45">
        <v>0</v>
      </c>
      <c r="D18" s="22"/>
      <c r="E18" s="26">
        <v>42108</v>
      </c>
      <c r="F18" s="51">
        <v>33891</v>
      </c>
      <c r="G18" s="23"/>
      <c r="H18" s="27">
        <v>42108</v>
      </c>
      <c r="I18" s="62">
        <v>200</v>
      </c>
      <c r="J18" s="89"/>
      <c r="K18" s="28" t="s">
        <v>54</v>
      </c>
      <c r="L18" s="75">
        <v>0</v>
      </c>
      <c r="M18" s="67" t="s">
        <v>368</v>
      </c>
      <c r="N18" s="75">
        <v>35250</v>
      </c>
      <c r="O18" s="80"/>
    </row>
    <row r="19" spans="1:15" x14ac:dyDescent="0.25">
      <c r="A19" s="21"/>
      <c r="B19" s="39">
        <v>42109</v>
      </c>
      <c r="C19" s="45">
        <v>0</v>
      </c>
      <c r="D19" s="29"/>
      <c r="E19" s="26">
        <v>42109</v>
      </c>
      <c r="F19" s="51">
        <v>46155.5</v>
      </c>
      <c r="G19" s="23"/>
      <c r="H19" s="27">
        <v>42109</v>
      </c>
      <c r="I19" s="62">
        <v>200</v>
      </c>
      <c r="J19" s="88"/>
      <c r="K19" s="28" t="s">
        <v>55</v>
      </c>
      <c r="L19" s="75">
        <v>0</v>
      </c>
      <c r="M19" s="67" t="s">
        <v>369</v>
      </c>
      <c r="N19" s="75">
        <v>45767</v>
      </c>
      <c r="O19" s="80"/>
    </row>
    <row r="20" spans="1:15" x14ac:dyDescent="0.25">
      <c r="A20" s="21"/>
      <c r="B20" s="39">
        <v>42110</v>
      </c>
      <c r="C20" s="45">
        <v>0</v>
      </c>
      <c r="D20" s="22"/>
      <c r="E20" s="26">
        <v>42110</v>
      </c>
      <c r="F20" s="51">
        <v>52907</v>
      </c>
      <c r="G20" s="23"/>
      <c r="H20" s="27">
        <v>42110</v>
      </c>
      <c r="I20" s="62">
        <v>200</v>
      </c>
      <c r="J20" s="90"/>
      <c r="K20" s="314" t="s">
        <v>357</v>
      </c>
      <c r="L20" s="55">
        <v>616</v>
      </c>
      <c r="M20" s="67" t="s">
        <v>380</v>
      </c>
      <c r="N20" s="75">
        <v>53000</v>
      </c>
      <c r="O20" s="80"/>
    </row>
    <row r="21" spans="1:15" x14ac:dyDescent="0.25">
      <c r="A21" s="21"/>
      <c r="B21" s="39">
        <v>42111</v>
      </c>
      <c r="C21" s="45">
        <v>0</v>
      </c>
      <c r="D21" s="22"/>
      <c r="E21" s="26">
        <v>42111</v>
      </c>
      <c r="F21" s="51">
        <v>50852</v>
      </c>
      <c r="G21" s="23"/>
      <c r="H21" s="27">
        <v>42111</v>
      </c>
      <c r="I21" s="62">
        <v>200</v>
      </c>
      <c r="J21" s="88"/>
      <c r="K21" s="25" t="s">
        <v>99</v>
      </c>
      <c r="L21" s="55">
        <v>0</v>
      </c>
      <c r="M21" s="67" t="s">
        <v>381</v>
      </c>
      <c r="N21" s="75">
        <v>49500</v>
      </c>
      <c r="O21" s="80"/>
    </row>
    <row r="22" spans="1:15" x14ac:dyDescent="0.25">
      <c r="A22" s="21"/>
      <c r="B22" s="39">
        <v>42112</v>
      </c>
      <c r="C22" s="45">
        <v>0</v>
      </c>
      <c r="D22" s="22"/>
      <c r="E22" s="26">
        <v>42112</v>
      </c>
      <c r="F22" s="51">
        <v>62711</v>
      </c>
      <c r="G22" s="23"/>
      <c r="H22" s="27">
        <v>42112</v>
      </c>
      <c r="I22" s="62">
        <v>490</v>
      </c>
      <c r="J22" s="90"/>
      <c r="K22" s="122" t="s">
        <v>213</v>
      </c>
      <c r="L22" s="55">
        <v>900</v>
      </c>
      <c r="M22" s="67" t="s">
        <v>382</v>
      </c>
      <c r="N22" s="75">
        <v>61700</v>
      </c>
      <c r="O22" s="80"/>
    </row>
    <row r="23" spans="1:15" x14ac:dyDescent="0.25">
      <c r="A23" s="21"/>
      <c r="B23" s="39">
        <v>42113</v>
      </c>
      <c r="C23" s="45">
        <v>0</v>
      </c>
      <c r="D23" s="22"/>
      <c r="E23" s="26">
        <v>42113</v>
      </c>
      <c r="F23" s="51">
        <v>68283.5</v>
      </c>
      <c r="G23" s="23"/>
      <c r="H23" s="27">
        <v>42113</v>
      </c>
      <c r="I23" s="62">
        <v>200</v>
      </c>
      <c r="J23" s="88"/>
      <c r="K23" s="11" t="s">
        <v>332</v>
      </c>
      <c r="L23" s="55">
        <v>800</v>
      </c>
      <c r="M23" s="67" t="s">
        <v>383</v>
      </c>
      <c r="N23" s="75">
        <v>68150</v>
      </c>
      <c r="O23" s="80"/>
    </row>
    <row r="24" spans="1:15" x14ac:dyDescent="0.25">
      <c r="A24" s="21"/>
      <c r="B24" s="39">
        <v>42114</v>
      </c>
      <c r="C24" s="45">
        <v>0</v>
      </c>
      <c r="D24" s="29"/>
      <c r="E24" s="26">
        <v>42114</v>
      </c>
      <c r="F24" s="51">
        <v>35623.5</v>
      </c>
      <c r="G24" s="23"/>
      <c r="H24" s="27">
        <v>42114</v>
      </c>
      <c r="I24" s="62">
        <v>232</v>
      </c>
      <c r="J24" s="88"/>
      <c r="K24" s="25">
        <v>42111</v>
      </c>
      <c r="L24" s="55"/>
      <c r="M24" s="67" t="s">
        <v>384</v>
      </c>
      <c r="N24" s="75">
        <v>33900</v>
      </c>
      <c r="O24" s="80"/>
    </row>
    <row r="25" spans="1:15" x14ac:dyDescent="0.25">
      <c r="A25" s="21"/>
      <c r="B25" s="39">
        <v>42115</v>
      </c>
      <c r="C25" s="45">
        <v>0</v>
      </c>
      <c r="D25" s="22"/>
      <c r="E25" s="26">
        <v>42115</v>
      </c>
      <c r="F25" s="51">
        <v>31524</v>
      </c>
      <c r="G25" s="23"/>
      <c r="H25" s="27">
        <v>42115</v>
      </c>
      <c r="I25" s="62">
        <v>200</v>
      </c>
      <c r="J25" s="88"/>
      <c r="K25" s="11"/>
      <c r="L25" s="55"/>
      <c r="M25" s="67" t="s">
        <v>385</v>
      </c>
      <c r="N25" s="75">
        <v>31590</v>
      </c>
      <c r="O25" s="80"/>
    </row>
    <row r="26" spans="1:15" x14ac:dyDescent="0.25">
      <c r="A26" s="21"/>
      <c r="B26" s="39">
        <v>42116</v>
      </c>
      <c r="C26" s="45">
        <v>0</v>
      </c>
      <c r="D26" s="29"/>
      <c r="E26" s="26">
        <v>42116</v>
      </c>
      <c r="F26" s="51">
        <v>36676</v>
      </c>
      <c r="G26" s="23"/>
      <c r="H26" s="27">
        <v>42116</v>
      </c>
      <c r="I26" s="62">
        <v>200</v>
      </c>
      <c r="J26" s="88"/>
      <c r="K26" s="11"/>
      <c r="L26" s="55"/>
      <c r="M26" s="67" t="s">
        <v>386</v>
      </c>
      <c r="N26" s="75">
        <v>38290</v>
      </c>
      <c r="O26" s="80"/>
    </row>
    <row r="27" spans="1:15" x14ac:dyDescent="0.25">
      <c r="A27" s="21"/>
      <c r="B27" s="39">
        <v>42117</v>
      </c>
      <c r="C27" s="45">
        <v>0</v>
      </c>
      <c r="D27" s="29"/>
      <c r="E27" s="26">
        <v>42117</v>
      </c>
      <c r="F27" s="51">
        <v>42331.5</v>
      </c>
      <c r="G27" s="23"/>
      <c r="H27" s="27">
        <v>42117</v>
      </c>
      <c r="I27" s="62">
        <v>200</v>
      </c>
      <c r="J27" s="88"/>
      <c r="K27" s="11"/>
      <c r="L27" s="55"/>
      <c r="M27" s="201" t="s">
        <v>387</v>
      </c>
      <c r="N27" s="204">
        <v>42099.5</v>
      </c>
      <c r="O27" s="80"/>
    </row>
    <row r="28" spans="1:15" x14ac:dyDescent="0.25">
      <c r="A28" s="21"/>
      <c r="B28" s="39">
        <v>42118</v>
      </c>
      <c r="C28" s="45">
        <v>0</v>
      </c>
      <c r="D28" s="29"/>
      <c r="E28" s="26">
        <v>42118</v>
      </c>
      <c r="F28" s="51">
        <v>61135</v>
      </c>
      <c r="G28" s="23"/>
      <c r="H28" s="27">
        <v>42118</v>
      </c>
      <c r="I28" s="62">
        <v>200</v>
      </c>
      <c r="J28" s="88"/>
      <c r="K28" s="11"/>
      <c r="L28" s="55"/>
      <c r="M28" s="201" t="s">
        <v>388</v>
      </c>
      <c r="N28" s="204">
        <v>61650</v>
      </c>
      <c r="O28" s="80"/>
    </row>
    <row r="29" spans="1:15" x14ac:dyDescent="0.25">
      <c r="A29" s="21"/>
      <c r="B29" s="39">
        <v>42119</v>
      </c>
      <c r="C29" s="45">
        <v>3960</v>
      </c>
      <c r="D29" s="29" t="s">
        <v>389</v>
      </c>
      <c r="E29" s="26">
        <v>42119</v>
      </c>
      <c r="F29" s="51">
        <v>79125</v>
      </c>
      <c r="G29" s="23"/>
      <c r="H29" s="27">
        <v>42119</v>
      </c>
      <c r="I29" s="62">
        <v>200</v>
      </c>
      <c r="J29" s="88"/>
      <c r="K29" s="11"/>
      <c r="L29" s="20"/>
      <c r="M29" s="67" t="s">
        <v>390</v>
      </c>
      <c r="N29" s="75">
        <v>74400</v>
      </c>
      <c r="O29" s="80"/>
    </row>
    <row r="30" spans="1:15" x14ac:dyDescent="0.25">
      <c r="A30" s="21"/>
      <c r="B30" s="39">
        <v>42120</v>
      </c>
      <c r="C30" s="45">
        <v>0</v>
      </c>
      <c r="D30" s="22"/>
      <c r="E30" s="26">
        <v>42120</v>
      </c>
      <c r="F30" s="51">
        <v>68920.5</v>
      </c>
      <c r="G30" s="23"/>
      <c r="H30" s="27">
        <v>42120</v>
      </c>
      <c r="I30" s="62">
        <v>200</v>
      </c>
      <c r="J30" s="88"/>
      <c r="K30" s="11"/>
      <c r="L30" s="20"/>
      <c r="M30" s="201" t="s">
        <v>391</v>
      </c>
      <c r="N30" s="204">
        <v>67349.5</v>
      </c>
      <c r="O30" s="80"/>
    </row>
    <row r="31" spans="1:15" x14ac:dyDescent="0.25">
      <c r="A31" s="21"/>
      <c r="B31" s="39">
        <v>42121</v>
      </c>
      <c r="C31" s="45">
        <v>0</v>
      </c>
      <c r="D31" s="22"/>
      <c r="E31" s="26">
        <v>42121</v>
      </c>
      <c r="F31" s="51">
        <v>43995</v>
      </c>
      <c r="G31" s="23"/>
      <c r="H31" s="27">
        <v>42121</v>
      </c>
      <c r="I31" s="62">
        <v>200</v>
      </c>
      <c r="J31" s="88"/>
      <c r="K31" s="11"/>
      <c r="L31" s="20"/>
      <c r="M31" s="201" t="s">
        <v>392</v>
      </c>
      <c r="N31" s="204">
        <v>44010</v>
      </c>
      <c r="O31" s="80"/>
    </row>
    <row r="32" spans="1:15" x14ac:dyDescent="0.25">
      <c r="A32" s="21"/>
      <c r="B32" s="39">
        <v>42122</v>
      </c>
      <c r="C32" s="45">
        <v>0</v>
      </c>
      <c r="D32" s="22"/>
      <c r="E32" s="26">
        <v>42122</v>
      </c>
      <c r="F32" s="51">
        <v>31389</v>
      </c>
      <c r="G32" s="23"/>
      <c r="H32" s="27">
        <v>42122</v>
      </c>
      <c r="I32" s="62">
        <v>200</v>
      </c>
      <c r="J32" s="88"/>
      <c r="K32" s="11"/>
      <c r="L32" s="20"/>
      <c r="M32" s="67" t="s">
        <v>393</v>
      </c>
      <c r="N32" s="75">
        <v>31400</v>
      </c>
      <c r="O32" s="80"/>
    </row>
    <row r="33" spans="1:15" x14ac:dyDescent="0.25">
      <c r="A33" s="21"/>
      <c r="B33" s="39">
        <v>42123</v>
      </c>
      <c r="C33" s="45">
        <v>0</v>
      </c>
      <c r="D33" s="32"/>
      <c r="E33" s="26">
        <v>42123</v>
      </c>
      <c r="F33" s="51">
        <v>39525</v>
      </c>
      <c r="G33" s="23"/>
      <c r="H33" s="27">
        <v>42123</v>
      </c>
      <c r="I33" s="62">
        <v>200</v>
      </c>
      <c r="J33" s="88"/>
      <c r="K33" s="11"/>
      <c r="L33" s="20"/>
      <c r="M33" s="67" t="s">
        <v>394</v>
      </c>
      <c r="N33" s="75">
        <v>39300</v>
      </c>
      <c r="O33" s="80"/>
    </row>
    <row r="34" spans="1:15" x14ac:dyDescent="0.25">
      <c r="A34" s="21"/>
      <c r="B34" s="39">
        <v>42124</v>
      </c>
      <c r="C34" s="45">
        <v>0</v>
      </c>
      <c r="D34" s="72"/>
      <c r="E34" s="26">
        <v>42124</v>
      </c>
      <c r="F34" s="51">
        <v>96064</v>
      </c>
      <c r="G34" s="23"/>
      <c r="H34" s="27">
        <v>42124</v>
      </c>
      <c r="I34" s="62">
        <v>200</v>
      </c>
      <c r="J34" s="88"/>
      <c r="K34" s="11"/>
      <c r="L34" s="20"/>
      <c r="M34" s="258" t="s">
        <v>398</v>
      </c>
      <c r="N34" s="202">
        <v>93850</v>
      </c>
      <c r="O34" s="80"/>
    </row>
    <row r="35" spans="1:15" ht="15.75" thickBot="1" x14ac:dyDescent="0.3">
      <c r="A35" s="21"/>
      <c r="B35" s="39"/>
      <c r="C35" s="45"/>
      <c r="D35" s="22"/>
      <c r="E35" s="26"/>
      <c r="F35" s="51"/>
      <c r="G35" s="23"/>
      <c r="H35" s="27"/>
      <c r="I35" s="62"/>
      <c r="J35" s="88"/>
      <c r="K35" s="11"/>
      <c r="L35" s="20"/>
      <c r="M35" s="71"/>
      <c r="N35" s="74"/>
    </row>
    <row r="36" spans="1:15" ht="15.7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  <c r="N36" s="349"/>
    </row>
    <row r="37" spans="1:15" ht="15.7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N37" s="348">
        <f>SUM(N5:N34)</f>
        <v>1419236</v>
      </c>
    </row>
    <row r="38" spans="1:15" x14ac:dyDescent="0.25">
      <c r="B38" s="42" t="s">
        <v>1</v>
      </c>
      <c r="C38" s="48">
        <f>SUM(C5:C37)</f>
        <v>4665.96</v>
      </c>
      <c r="E38" s="301" t="s">
        <v>1</v>
      </c>
      <c r="F38" s="54">
        <f>SUM(F6:F37)</f>
        <v>1414805.5</v>
      </c>
      <c r="H38" s="303" t="s">
        <v>1</v>
      </c>
      <c r="I38" s="58">
        <f>SUM(I5:I37)</f>
        <v>7560</v>
      </c>
      <c r="J38" s="58"/>
      <c r="K38" s="17" t="s">
        <v>1</v>
      </c>
      <c r="L38" s="4">
        <f t="shared" ref="L38" si="0">SUM(L5:L37)</f>
        <v>71806.69</v>
      </c>
    </row>
    <row r="40" spans="1:15" ht="15.75" customHeight="1" x14ac:dyDescent="0.25">
      <c r="A40" s="5"/>
      <c r="C40" s="49">
        <v>0</v>
      </c>
      <c r="D40" s="13"/>
      <c r="E40" s="13"/>
      <c r="F40" s="55"/>
      <c r="H40" s="373" t="s">
        <v>7</v>
      </c>
      <c r="I40" s="374"/>
      <c r="J40" s="302"/>
      <c r="K40" s="375">
        <f>I38+L38</f>
        <v>79366.69</v>
      </c>
      <c r="L40" s="376"/>
    </row>
    <row r="41" spans="1:15" ht="15.75" customHeight="1" x14ac:dyDescent="0.25">
      <c r="D41" s="367" t="s">
        <v>8</v>
      </c>
      <c r="E41" s="367"/>
      <c r="F41" s="56">
        <f>F38-K40</f>
        <v>1335438.81</v>
      </c>
      <c r="I41" s="65"/>
      <c r="J41" s="65"/>
    </row>
    <row r="42" spans="1:15" x14ac:dyDescent="0.25">
      <c r="D42" s="13"/>
      <c r="E42" s="13" t="s">
        <v>0</v>
      </c>
      <c r="F42" s="55">
        <f>-C38</f>
        <v>-4665.96</v>
      </c>
    </row>
    <row r="43" spans="1:15" ht="15.75" thickBot="1" x14ac:dyDescent="0.3">
      <c r="C43" s="43" t="s">
        <v>12</v>
      </c>
      <c r="D43" t="s">
        <v>303</v>
      </c>
      <c r="F43" s="57">
        <v>-1331717.32</v>
      </c>
      <c r="I43" s="377"/>
      <c r="J43" s="377"/>
      <c r="K43" s="377"/>
      <c r="L43" s="2"/>
    </row>
    <row r="44" spans="1:15" ht="16.5" thickTop="1" x14ac:dyDescent="0.25">
      <c r="E44" s="5" t="s">
        <v>10</v>
      </c>
      <c r="F44" s="58">
        <f>SUM(F41:F43)</f>
        <v>-944.46999999997206</v>
      </c>
      <c r="I44"/>
      <c r="J44" s="347" t="s">
        <v>251</v>
      </c>
      <c r="K44" s="394">
        <f>F46</f>
        <v>148971.78000000003</v>
      </c>
      <c r="L44" s="395"/>
    </row>
    <row r="45" spans="1:15" ht="15.75" customHeight="1" thickBot="1" x14ac:dyDescent="0.3">
      <c r="D45" s="301" t="s">
        <v>9</v>
      </c>
      <c r="E45" s="301"/>
      <c r="F45" s="59">
        <v>149916.25</v>
      </c>
      <c r="I45" s="403" t="s">
        <v>2</v>
      </c>
      <c r="J45" s="403"/>
      <c r="K45" s="396">
        <v>-181901.18</v>
      </c>
      <c r="L45" s="396"/>
    </row>
    <row r="46" spans="1:15" ht="15.75" customHeight="1" thickBot="1" x14ac:dyDescent="0.3">
      <c r="E46" s="6" t="s">
        <v>347</v>
      </c>
      <c r="F46" s="48">
        <f>F45+F44</f>
        <v>148971.78000000003</v>
      </c>
      <c r="I46"/>
      <c r="J46" s="178"/>
      <c r="K46" s="397">
        <v>0</v>
      </c>
      <c r="L46" s="397"/>
    </row>
    <row r="47" spans="1:15" ht="19.5" thickBot="1" x14ac:dyDescent="0.3">
      <c r="E47" s="5"/>
      <c r="F47" s="56"/>
      <c r="I47" s="407" t="s">
        <v>401</v>
      </c>
      <c r="J47" s="408"/>
      <c r="K47" s="400">
        <f>SUM(K44:L46)</f>
        <v>-32929.399999999965</v>
      </c>
      <c r="L47" s="401"/>
    </row>
    <row r="48" spans="1:15" x14ac:dyDescent="0.25">
      <c r="D48" s="377"/>
      <c r="E48" s="377"/>
      <c r="F48" s="58"/>
    </row>
    <row r="49" spans="2:14" x14ac:dyDescent="0.25">
      <c r="B49"/>
      <c r="C49"/>
      <c r="F49"/>
      <c r="I49"/>
      <c r="J49"/>
      <c r="M49"/>
      <c r="N49" s="43"/>
    </row>
    <row r="50" spans="2:14" x14ac:dyDescent="0.25">
      <c r="B50"/>
      <c r="C50"/>
      <c r="F50"/>
      <c r="I50"/>
      <c r="J50"/>
      <c r="M50"/>
      <c r="N50" s="43"/>
    </row>
    <row r="51" spans="2:14" x14ac:dyDescent="0.25">
      <c r="B51"/>
      <c r="C51"/>
      <c r="F51"/>
      <c r="I51"/>
      <c r="J51"/>
      <c r="M51"/>
      <c r="N51" s="43"/>
    </row>
    <row r="52" spans="2:14" x14ac:dyDescent="0.25">
      <c r="B52"/>
      <c r="C52"/>
      <c r="F52"/>
      <c r="I52"/>
      <c r="J52"/>
      <c r="M52"/>
    </row>
    <row r="53" spans="2:14" x14ac:dyDescent="0.25">
      <c r="B53"/>
      <c r="C53"/>
      <c r="F53"/>
      <c r="I53"/>
      <c r="J53"/>
      <c r="M53"/>
    </row>
    <row r="54" spans="2:14" x14ac:dyDescent="0.25">
      <c r="B54"/>
      <c r="C54"/>
      <c r="F54"/>
      <c r="I54"/>
      <c r="J54"/>
      <c r="M54"/>
    </row>
    <row r="55" spans="2:14" x14ac:dyDescent="0.25">
      <c r="B55"/>
      <c r="C55"/>
      <c r="F55"/>
      <c r="I55"/>
      <c r="J55"/>
      <c r="M55"/>
      <c r="N55" s="43"/>
    </row>
    <row r="56" spans="2:14" x14ac:dyDescent="0.25">
      <c r="B56"/>
      <c r="C56"/>
      <c r="F56"/>
      <c r="I56"/>
      <c r="J56"/>
      <c r="M56"/>
      <c r="N56" s="43"/>
    </row>
    <row r="57" spans="2:14" x14ac:dyDescent="0.25">
      <c r="B57"/>
      <c r="C57"/>
      <c r="F57"/>
      <c r="I57"/>
      <c r="J57"/>
      <c r="M57"/>
      <c r="N57" s="43"/>
    </row>
    <row r="58" spans="2:14" x14ac:dyDescent="0.25">
      <c r="B58"/>
      <c r="C58"/>
      <c r="F58"/>
      <c r="I58"/>
      <c r="J58"/>
      <c r="M58"/>
      <c r="N58" s="43"/>
    </row>
    <row r="59" spans="2:14" x14ac:dyDescent="0.25">
      <c r="B59"/>
      <c r="C59"/>
      <c r="F59"/>
      <c r="I59"/>
      <c r="J59"/>
      <c r="M59"/>
      <c r="N59" s="43"/>
    </row>
    <row r="60" spans="2:14" x14ac:dyDescent="0.25">
      <c r="B60"/>
      <c r="C60"/>
      <c r="F60"/>
      <c r="I60"/>
      <c r="J60"/>
      <c r="M60"/>
      <c r="N60" s="43"/>
    </row>
    <row r="61" spans="2:14" x14ac:dyDescent="0.25">
      <c r="B61"/>
      <c r="C61"/>
      <c r="F61"/>
      <c r="I61"/>
      <c r="J61"/>
      <c r="M61"/>
      <c r="N61" s="43"/>
    </row>
    <row r="62" spans="2:14" x14ac:dyDescent="0.25">
      <c r="B62"/>
      <c r="C62"/>
      <c r="F62"/>
      <c r="I62"/>
      <c r="J62"/>
      <c r="M62"/>
      <c r="N62" s="43"/>
    </row>
    <row r="63" spans="2:14" x14ac:dyDescent="0.25">
      <c r="B63"/>
      <c r="C63"/>
      <c r="F63"/>
      <c r="I63"/>
      <c r="J63"/>
      <c r="M63"/>
      <c r="N63" s="43"/>
    </row>
    <row r="64" spans="2:14" x14ac:dyDescent="0.25">
      <c r="B64"/>
      <c r="C64"/>
      <c r="F64"/>
      <c r="I64"/>
      <c r="J64"/>
      <c r="M64"/>
      <c r="N64" s="43"/>
    </row>
    <row r="65" spans="2:14" x14ac:dyDescent="0.25">
      <c r="B65"/>
      <c r="C65"/>
      <c r="F65"/>
      <c r="I65"/>
      <c r="J65"/>
      <c r="M65"/>
      <c r="N65" s="43"/>
    </row>
    <row r="66" spans="2:14" x14ac:dyDescent="0.25">
      <c r="B66"/>
      <c r="C66"/>
      <c r="F66"/>
      <c r="I66"/>
      <c r="J66"/>
      <c r="M66"/>
      <c r="N66" s="43"/>
    </row>
    <row r="67" spans="2:14" x14ac:dyDescent="0.25">
      <c r="B67"/>
      <c r="C67"/>
      <c r="F67"/>
      <c r="I67"/>
      <c r="J67"/>
      <c r="M67"/>
      <c r="N67" s="43"/>
    </row>
    <row r="68" spans="2:14" x14ac:dyDescent="0.25">
      <c r="B68"/>
      <c r="C68"/>
      <c r="F68"/>
      <c r="I68"/>
      <c r="J68"/>
      <c r="M68"/>
      <c r="N68" s="43"/>
    </row>
    <row r="69" spans="2:14" x14ac:dyDescent="0.25">
      <c r="B69"/>
      <c r="C69"/>
      <c r="F69"/>
      <c r="I69"/>
      <c r="J69"/>
      <c r="M69"/>
      <c r="N69" s="43"/>
    </row>
    <row r="70" spans="2:14" x14ac:dyDescent="0.25">
      <c r="B70"/>
      <c r="C70"/>
      <c r="F70"/>
      <c r="I70"/>
      <c r="J70"/>
      <c r="M70"/>
      <c r="N70" s="43"/>
    </row>
    <row r="71" spans="2:14" x14ac:dyDescent="0.25">
      <c r="B71"/>
      <c r="C71"/>
      <c r="F71"/>
      <c r="I71"/>
      <c r="J71"/>
      <c r="M71"/>
      <c r="N71" s="43"/>
    </row>
    <row r="72" spans="2:14" x14ac:dyDescent="0.25">
      <c r="B72"/>
      <c r="C72"/>
      <c r="F72"/>
      <c r="I72"/>
      <c r="J72"/>
      <c r="M72"/>
      <c r="N72" s="43"/>
    </row>
    <row r="73" spans="2:14" x14ac:dyDescent="0.25">
      <c r="B73"/>
      <c r="C73"/>
      <c r="F73"/>
      <c r="I73"/>
      <c r="J73"/>
      <c r="M73"/>
      <c r="N73" s="43"/>
    </row>
    <row r="74" spans="2:14" x14ac:dyDescent="0.25">
      <c r="B74"/>
      <c r="C74"/>
      <c r="F74"/>
      <c r="I74"/>
      <c r="J74"/>
      <c r="M74"/>
      <c r="N74" s="43"/>
    </row>
    <row r="75" spans="2:14" x14ac:dyDescent="0.25">
      <c r="B75"/>
      <c r="C75"/>
      <c r="F75"/>
      <c r="I75"/>
      <c r="J75"/>
      <c r="M75"/>
    </row>
    <row r="76" spans="2:14" x14ac:dyDescent="0.25">
      <c r="B76"/>
      <c r="C76"/>
      <c r="F76"/>
      <c r="I76"/>
      <c r="J76"/>
      <c r="M76"/>
    </row>
    <row r="77" spans="2:14" x14ac:dyDescent="0.25">
      <c r="B77"/>
      <c r="C77"/>
      <c r="F77"/>
      <c r="I77"/>
      <c r="J77"/>
      <c r="M77"/>
    </row>
    <row r="78" spans="2:14" x14ac:dyDescent="0.25">
      <c r="B78"/>
      <c r="C78"/>
      <c r="F78"/>
      <c r="I78"/>
      <c r="J78"/>
      <c r="M78"/>
    </row>
    <row r="79" spans="2:14" x14ac:dyDescent="0.25">
      <c r="B79"/>
      <c r="C79"/>
      <c r="F79"/>
      <c r="I79"/>
      <c r="J79"/>
      <c r="M79"/>
    </row>
    <row r="80" spans="2:14" x14ac:dyDescent="0.25">
      <c r="B80"/>
      <c r="C80"/>
      <c r="F80"/>
      <c r="I80"/>
      <c r="J80"/>
      <c r="M80"/>
    </row>
    <row r="81" spans="2:14" x14ac:dyDescent="0.25">
      <c r="B81"/>
      <c r="C81"/>
      <c r="F81"/>
      <c r="I81"/>
      <c r="J81"/>
      <c r="M81"/>
      <c r="N81"/>
    </row>
    <row r="82" spans="2:14" x14ac:dyDescent="0.25">
      <c r="B82"/>
      <c r="C82"/>
      <c r="F82"/>
      <c r="I82"/>
      <c r="J82"/>
      <c r="M82"/>
      <c r="N82"/>
    </row>
    <row r="83" spans="2:14" x14ac:dyDescent="0.25">
      <c r="B83"/>
      <c r="C83"/>
      <c r="F83"/>
      <c r="I83"/>
      <c r="J83"/>
      <c r="M83"/>
      <c r="N83"/>
    </row>
    <row r="84" spans="2:14" x14ac:dyDescent="0.25">
      <c r="B84"/>
      <c r="C84"/>
      <c r="F84"/>
      <c r="I84"/>
      <c r="J84"/>
      <c r="M84"/>
      <c r="N84"/>
    </row>
    <row r="85" spans="2:14" x14ac:dyDescent="0.25">
      <c r="B85"/>
      <c r="C85"/>
      <c r="F85"/>
      <c r="I85"/>
      <c r="J85"/>
      <c r="M85"/>
      <c r="N85"/>
    </row>
    <row r="86" spans="2:14" x14ac:dyDescent="0.25">
      <c r="B86"/>
      <c r="C86"/>
      <c r="F86"/>
      <c r="I86"/>
      <c r="J86"/>
      <c r="M86"/>
      <c r="N86"/>
    </row>
    <row r="87" spans="2:14" x14ac:dyDescent="0.25">
      <c r="B87"/>
      <c r="C87"/>
      <c r="F87"/>
      <c r="I87"/>
      <c r="J87"/>
      <c r="M87"/>
      <c r="N87"/>
    </row>
    <row r="88" spans="2:14" x14ac:dyDescent="0.25">
      <c r="B88"/>
      <c r="C88"/>
      <c r="F88"/>
      <c r="I88"/>
      <c r="J88"/>
      <c r="M88"/>
      <c r="N88"/>
    </row>
    <row r="89" spans="2:14" x14ac:dyDescent="0.25">
      <c r="B89"/>
      <c r="C89"/>
      <c r="F89"/>
      <c r="I89"/>
      <c r="J89"/>
      <c r="M89"/>
      <c r="N89"/>
    </row>
    <row r="90" spans="2:14" x14ac:dyDescent="0.25">
      <c r="B90"/>
      <c r="C90"/>
      <c r="F90"/>
      <c r="I90"/>
      <c r="J90"/>
      <c r="M90"/>
      <c r="N90"/>
    </row>
    <row r="91" spans="2:14" x14ac:dyDescent="0.25">
      <c r="B91"/>
      <c r="C91"/>
      <c r="F91"/>
      <c r="I91"/>
      <c r="J91"/>
      <c r="M91"/>
      <c r="N91"/>
    </row>
    <row r="92" spans="2:14" x14ac:dyDescent="0.25">
      <c r="B92"/>
      <c r="C92"/>
      <c r="F92"/>
      <c r="I92"/>
      <c r="J92"/>
      <c r="M92"/>
      <c r="N92"/>
    </row>
    <row r="93" spans="2:14" x14ac:dyDescent="0.25">
      <c r="B93"/>
      <c r="C93"/>
      <c r="F93"/>
      <c r="I93"/>
      <c r="J93"/>
      <c r="M93"/>
      <c r="N93"/>
    </row>
    <row r="94" spans="2:14" x14ac:dyDescent="0.25">
      <c r="B94"/>
      <c r="C94"/>
      <c r="F94"/>
      <c r="I94"/>
      <c r="J94"/>
      <c r="M94"/>
      <c r="N94"/>
    </row>
    <row r="95" spans="2:14" x14ac:dyDescent="0.25">
      <c r="B95"/>
      <c r="C95"/>
      <c r="F95"/>
      <c r="I95"/>
      <c r="J95"/>
      <c r="M95"/>
      <c r="N95"/>
    </row>
    <row r="96" spans="2:14" x14ac:dyDescent="0.25">
      <c r="B96"/>
      <c r="C96"/>
      <c r="F96"/>
      <c r="I96"/>
      <c r="J96"/>
      <c r="M96"/>
      <c r="N96"/>
    </row>
    <row r="97" spans="2:14" x14ac:dyDescent="0.25">
      <c r="B97"/>
      <c r="C97"/>
      <c r="F97"/>
      <c r="I97"/>
      <c r="J97"/>
      <c r="M97"/>
      <c r="N97"/>
    </row>
  </sheetData>
  <mergeCells count="14">
    <mergeCell ref="D41:E41"/>
    <mergeCell ref="C1:K1"/>
    <mergeCell ref="E4:F4"/>
    <mergeCell ref="I4:L4"/>
    <mergeCell ref="H40:I40"/>
    <mergeCell ref="K40:L40"/>
    <mergeCell ref="D48:E48"/>
    <mergeCell ref="I43:K43"/>
    <mergeCell ref="K44:L44"/>
    <mergeCell ref="I45:J45"/>
    <mergeCell ref="K45:L45"/>
    <mergeCell ref="K46:L46"/>
    <mergeCell ref="K47:L47"/>
    <mergeCell ref="I47:J47"/>
  </mergeCells>
  <pageMargins left="0.31496062992125984" right="0.11811023622047245" top="0.15748031496062992" bottom="0.19685039370078741" header="0.31496062992125984" footer="0.31496062992125984"/>
  <pageSetup scale="75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P128"/>
  <sheetViews>
    <sheetView topLeftCell="A48" workbookViewId="0">
      <selection activeCell="D39" sqref="D39"/>
    </sheetView>
  </sheetViews>
  <sheetFormatPr baseColWidth="10" defaultRowHeight="15" x14ac:dyDescent="0.25"/>
  <cols>
    <col min="1" max="1" width="11.42578125" style="284"/>
    <col min="2" max="2" width="11.42578125" style="111"/>
    <col min="3" max="4" width="14.140625" style="43" bestFit="1" customWidth="1"/>
    <col min="5" max="5" width="17.28515625" style="58" customWidth="1"/>
    <col min="6" max="6" width="12.5703125" style="43" bestFit="1" customWidth="1"/>
    <col min="9" max="9" width="12.5703125" style="43" bestFit="1" customWidth="1"/>
    <col min="11" max="11" width="17.42578125" style="58" bestFit="1" customWidth="1"/>
    <col min="12" max="12" width="9.5703125" style="58" customWidth="1"/>
    <col min="13" max="13" width="10.7109375" style="58" customWidth="1"/>
    <col min="14" max="14" width="17.42578125" style="58" bestFit="1" customWidth="1"/>
  </cols>
  <sheetData>
    <row r="2" spans="1:16" ht="16.5" thickBot="1" x14ac:dyDescent="0.3">
      <c r="J2" s="104"/>
      <c r="K2" s="224">
        <v>42103</v>
      </c>
      <c r="L2" s="215"/>
      <c r="M2" s="134" t="s">
        <v>200</v>
      </c>
      <c r="N2" s="88"/>
    </row>
    <row r="3" spans="1:16" ht="16.5" thickBot="1" x14ac:dyDescent="0.3">
      <c r="C3" s="404" t="s">
        <v>240</v>
      </c>
      <c r="D3" s="405"/>
      <c r="E3" s="406"/>
      <c r="I3" s="103"/>
      <c r="J3" s="104"/>
      <c r="K3" s="103"/>
      <c r="L3" s="103"/>
      <c r="M3" s="103"/>
      <c r="N3" s="213"/>
    </row>
    <row r="4" spans="1:16" ht="16.5" thickBot="1" x14ac:dyDescent="0.3">
      <c r="A4" s="247" t="s">
        <v>295</v>
      </c>
      <c r="B4" s="248" t="s">
        <v>296</v>
      </c>
      <c r="C4" s="343" t="s">
        <v>297</v>
      </c>
      <c r="D4" s="343"/>
      <c r="E4" s="343" t="s">
        <v>298</v>
      </c>
      <c r="F4" s="344" t="s">
        <v>299</v>
      </c>
      <c r="I4" s="242">
        <v>29964.5</v>
      </c>
      <c r="J4" s="193">
        <v>16025</v>
      </c>
      <c r="K4" s="130">
        <v>29964.5</v>
      </c>
      <c r="L4" s="130" t="s">
        <v>361</v>
      </c>
      <c r="M4" s="113" t="s">
        <v>202</v>
      </c>
      <c r="N4" s="214">
        <v>29964.5</v>
      </c>
      <c r="O4" s="221">
        <v>42090</v>
      </c>
      <c r="P4" s="21">
        <v>42090</v>
      </c>
    </row>
    <row r="5" spans="1:16" ht="15.75" x14ac:dyDescent="0.25">
      <c r="A5" s="243">
        <v>42096</v>
      </c>
      <c r="B5" s="244">
        <v>16668</v>
      </c>
      <c r="C5" s="245">
        <v>87045.74</v>
      </c>
      <c r="D5" s="104">
        <v>42103</v>
      </c>
      <c r="E5" s="103">
        <v>87045.74</v>
      </c>
      <c r="F5" s="246">
        <f t="shared" ref="F5:F48" si="0">C5-E5</f>
        <v>0</v>
      </c>
      <c r="G5" s="105"/>
      <c r="H5" s="106"/>
      <c r="I5" s="315">
        <f>2000+7344+3950+35047</f>
        <v>48341</v>
      </c>
      <c r="J5" s="194">
        <v>16091</v>
      </c>
      <c r="K5" s="207">
        <v>48340.9</v>
      </c>
      <c r="L5" s="207"/>
      <c r="M5" s="113" t="s">
        <v>202</v>
      </c>
      <c r="N5" s="207">
        <v>565</v>
      </c>
      <c r="O5" s="221">
        <v>42090</v>
      </c>
      <c r="P5" s="21">
        <v>42090</v>
      </c>
    </row>
    <row r="6" spans="1:16" ht="15.75" x14ac:dyDescent="0.25">
      <c r="A6" s="143">
        <v>42098</v>
      </c>
      <c r="B6" s="144">
        <v>16782</v>
      </c>
      <c r="C6" s="156">
        <v>48339.199999999997</v>
      </c>
      <c r="D6" s="104">
        <v>42103</v>
      </c>
      <c r="E6" s="103">
        <v>48339.199999999997</v>
      </c>
      <c r="F6" s="154">
        <f t="shared" si="0"/>
        <v>0</v>
      </c>
      <c r="G6" s="105"/>
      <c r="H6" s="108"/>
      <c r="I6" s="315">
        <v>565</v>
      </c>
      <c r="J6" s="193">
        <v>16094</v>
      </c>
      <c r="K6" s="207">
        <v>565</v>
      </c>
      <c r="L6" s="207"/>
      <c r="M6" s="113" t="s">
        <v>202</v>
      </c>
      <c r="N6" s="207">
        <v>2000</v>
      </c>
      <c r="O6" s="221">
        <v>42090</v>
      </c>
      <c r="P6" s="21">
        <v>42090</v>
      </c>
    </row>
    <row r="7" spans="1:16" ht="15.75" x14ac:dyDescent="0.25">
      <c r="A7" s="143">
        <v>42100</v>
      </c>
      <c r="B7" s="144">
        <v>16959</v>
      </c>
      <c r="C7" s="156">
        <v>43005.14</v>
      </c>
      <c r="D7" s="328" t="s">
        <v>379</v>
      </c>
      <c r="E7" s="103">
        <f>42283.5+721.64</f>
        <v>43005.14</v>
      </c>
      <c r="F7" s="155">
        <f t="shared" si="0"/>
        <v>0</v>
      </c>
      <c r="G7" s="105"/>
      <c r="H7" s="108"/>
      <c r="I7" s="242">
        <f>16360+5178+12000+13000+2500+2593.5</f>
        <v>51631.5</v>
      </c>
      <c r="J7" s="193">
        <v>16197</v>
      </c>
      <c r="K7" s="130">
        <v>51631.5</v>
      </c>
      <c r="L7" s="130" t="s">
        <v>242</v>
      </c>
      <c r="M7" s="113" t="s">
        <v>202</v>
      </c>
      <c r="N7" s="207">
        <v>7344</v>
      </c>
      <c r="O7" s="221">
        <v>42090</v>
      </c>
      <c r="P7" s="21">
        <v>42090</v>
      </c>
    </row>
    <row r="8" spans="1:16" ht="15.75" x14ac:dyDescent="0.25">
      <c r="A8" s="143">
        <v>42101</v>
      </c>
      <c r="B8" s="144">
        <v>17088</v>
      </c>
      <c r="C8" s="156">
        <v>18142.400000000001</v>
      </c>
      <c r="D8" s="104">
        <v>42103</v>
      </c>
      <c r="E8" s="103">
        <v>18142.400000000001</v>
      </c>
      <c r="F8" s="155">
        <f t="shared" si="0"/>
        <v>0</v>
      </c>
      <c r="G8" s="105"/>
      <c r="H8" s="106"/>
      <c r="I8" s="315">
        <v>8076.4</v>
      </c>
      <c r="J8" s="193">
        <v>16219</v>
      </c>
      <c r="K8" s="207">
        <v>8076.4</v>
      </c>
      <c r="L8" s="207"/>
      <c r="M8" s="113" t="s">
        <v>202</v>
      </c>
      <c r="N8" s="207">
        <v>3950</v>
      </c>
      <c r="O8" s="221">
        <v>42091</v>
      </c>
      <c r="P8" s="21">
        <v>42090</v>
      </c>
    </row>
    <row r="9" spans="1:16" ht="15.75" x14ac:dyDescent="0.25">
      <c r="A9" s="143">
        <v>42102</v>
      </c>
      <c r="B9" s="144">
        <v>17131</v>
      </c>
      <c r="C9" s="156">
        <v>34822.720000000001</v>
      </c>
      <c r="D9" s="328" t="s">
        <v>379</v>
      </c>
      <c r="E9" s="103">
        <f>14727.5+20095.22</f>
        <v>34822.720000000001</v>
      </c>
      <c r="F9" s="155">
        <f t="shared" si="0"/>
        <v>0</v>
      </c>
      <c r="I9" s="315">
        <f>6365+28535+1498+5900</f>
        <v>42298</v>
      </c>
      <c r="J9" s="193">
        <v>16522</v>
      </c>
      <c r="K9" s="207">
        <v>42297.82</v>
      </c>
      <c r="L9" s="207"/>
      <c r="M9" s="113" t="s">
        <v>202</v>
      </c>
      <c r="N9" s="207">
        <v>16360</v>
      </c>
      <c r="O9" s="221">
        <v>42093</v>
      </c>
      <c r="P9" s="21">
        <v>42091</v>
      </c>
    </row>
    <row r="10" spans="1:16" ht="15.75" x14ac:dyDescent="0.25">
      <c r="A10" s="143">
        <v>42103</v>
      </c>
      <c r="B10" s="144">
        <v>17292</v>
      </c>
      <c r="C10" s="156">
        <v>1835</v>
      </c>
      <c r="D10" s="104">
        <v>42114</v>
      </c>
      <c r="E10" s="103">
        <v>1835</v>
      </c>
      <c r="F10" s="155">
        <f t="shared" si="0"/>
        <v>0</v>
      </c>
      <c r="I10" s="315">
        <v>3507</v>
      </c>
      <c r="J10" s="193">
        <v>16496</v>
      </c>
      <c r="K10" s="207">
        <v>3507.2</v>
      </c>
      <c r="L10" s="207"/>
      <c r="M10" s="113" t="s">
        <v>202</v>
      </c>
      <c r="N10" s="207">
        <v>5178</v>
      </c>
      <c r="O10" s="221">
        <v>42091</v>
      </c>
      <c r="P10" s="21">
        <v>42091</v>
      </c>
    </row>
    <row r="11" spans="1:16" ht="15.75" x14ac:dyDescent="0.25">
      <c r="A11" s="143">
        <v>42105</v>
      </c>
      <c r="B11" s="144">
        <v>17303</v>
      </c>
      <c r="C11" s="156">
        <v>55500.800000000003</v>
      </c>
      <c r="D11" s="104">
        <v>42114</v>
      </c>
      <c r="E11" s="103">
        <v>55500.800000000003</v>
      </c>
      <c r="F11" s="155">
        <f t="shared" si="0"/>
        <v>0</v>
      </c>
      <c r="I11" s="315">
        <f>14686+6364+39450+5980.5+20565</f>
        <v>87045.5</v>
      </c>
      <c r="J11" s="193">
        <v>16668</v>
      </c>
      <c r="K11" s="207">
        <v>87045.74</v>
      </c>
      <c r="L11" s="207"/>
      <c r="M11" s="113" t="s">
        <v>202</v>
      </c>
      <c r="N11" s="207">
        <v>12000</v>
      </c>
      <c r="O11" s="221">
        <v>42091</v>
      </c>
      <c r="P11" s="21">
        <v>42091</v>
      </c>
    </row>
    <row r="12" spans="1:16" ht="15.75" x14ac:dyDescent="0.25">
      <c r="A12" s="143">
        <v>42104</v>
      </c>
      <c r="B12" s="325">
        <v>17425</v>
      </c>
      <c r="C12" s="326">
        <v>51412.6</v>
      </c>
      <c r="D12" s="104">
        <v>42114</v>
      </c>
      <c r="E12" s="103">
        <v>51412.6</v>
      </c>
      <c r="F12" s="155">
        <f t="shared" si="0"/>
        <v>0</v>
      </c>
      <c r="I12" s="315">
        <f>35053.5+5471.5+7814</f>
        <v>48339</v>
      </c>
      <c r="J12" s="193">
        <v>16782</v>
      </c>
      <c r="K12" s="207">
        <v>48339.199999999997</v>
      </c>
      <c r="L12" s="207"/>
      <c r="M12" s="113" t="s">
        <v>202</v>
      </c>
      <c r="N12" s="207">
        <v>13000</v>
      </c>
      <c r="O12" s="221">
        <v>42091</v>
      </c>
      <c r="P12" s="21">
        <v>42091</v>
      </c>
    </row>
    <row r="13" spans="1:16" ht="15.75" x14ac:dyDescent="0.25">
      <c r="A13" s="143">
        <v>42105</v>
      </c>
      <c r="B13" s="144">
        <v>17493</v>
      </c>
      <c r="C13" s="156">
        <v>22642.2</v>
      </c>
      <c r="D13" s="276" t="s">
        <v>399</v>
      </c>
      <c r="E13" s="103">
        <f>20829.6+1812.6</f>
        <v>22642.199999999997</v>
      </c>
      <c r="F13" s="155">
        <f t="shared" si="0"/>
        <v>0</v>
      </c>
      <c r="G13" s="346" t="s">
        <v>400</v>
      </c>
      <c r="I13" s="242">
        <f>6283.5+36000</f>
        <v>42283.5</v>
      </c>
      <c r="J13" s="193">
        <v>16959</v>
      </c>
      <c r="K13" s="207">
        <v>42283.5</v>
      </c>
      <c r="L13" s="207" t="s">
        <v>242</v>
      </c>
      <c r="M13" s="113" t="s">
        <v>202</v>
      </c>
      <c r="N13" s="207">
        <v>2500</v>
      </c>
      <c r="O13" s="221">
        <v>42091</v>
      </c>
      <c r="P13" s="21">
        <v>42091</v>
      </c>
    </row>
    <row r="14" spans="1:16" ht="15.75" x14ac:dyDescent="0.25">
      <c r="A14" s="143">
        <v>42105</v>
      </c>
      <c r="B14" s="144">
        <v>17558</v>
      </c>
      <c r="C14" s="156">
        <v>21323.3</v>
      </c>
      <c r="D14" s="104">
        <v>42114</v>
      </c>
      <c r="E14" s="103">
        <v>21323.3</v>
      </c>
      <c r="F14" s="155">
        <f t="shared" si="0"/>
        <v>0</v>
      </c>
      <c r="I14" s="315">
        <v>18142.5</v>
      </c>
      <c r="J14" s="193">
        <v>17088</v>
      </c>
      <c r="K14" s="207">
        <v>18142.400000000001</v>
      </c>
      <c r="L14" s="207"/>
      <c r="M14" s="113" t="s">
        <v>202</v>
      </c>
      <c r="N14" s="207">
        <v>35047</v>
      </c>
      <c r="O14" s="221">
        <v>42091</v>
      </c>
      <c r="P14" s="21">
        <v>42091</v>
      </c>
    </row>
    <row r="15" spans="1:16" ht="15.75" x14ac:dyDescent="0.25">
      <c r="A15" s="143">
        <v>42105</v>
      </c>
      <c r="B15" s="144">
        <v>17562</v>
      </c>
      <c r="C15" s="156">
        <v>64147.23</v>
      </c>
      <c r="D15" s="104">
        <v>42114</v>
      </c>
      <c r="E15" s="103">
        <v>64147.23</v>
      </c>
      <c r="F15" s="155">
        <f t="shared" si="0"/>
        <v>0</v>
      </c>
      <c r="I15" s="315" t="s">
        <v>12</v>
      </c>
      <c r="J15" s="193">
        <v>17131</v>
      </c>
      <c r="K15" s="207">
        <v>14727.5</v>
      </c>
      <c r="L15" s="207" t="s">
        <v>242</v>
      </c>
      <c r="M15" s="113" t="s">
        <v>202</v>
      </c>
      <c r="N15" s="207">
        <v>2593.5</v>
      </c>
      <c r="O15" s="221">
        <v>42093</v>
      </c>
      <c r="P15" s="21">
        <v>42092</v>
      </c>
    </row>
    <row r="16" spans="1:16" ht="15.75" x14ac:dyDescent="0.25">
      <c r="A16" s="143">
        <v>42106</v>
      </c>
      <c r="B16" s="144">
        <v>17645</v>
      </c>
      <c r="C16" s="156">
        <v>51347.1</v>
      </c>
      <c r="D16" s="104">
        <v>42114</v>
      </c>
      <c r="E16" s="103">
        <v>51347.1</v>
      </c>
      <c r="F16" s="155">
        <f t="shared" si="0"/>
        <v>0</v>
      </c>
      <c r="I16" s="242">
        <v>0</v>
      </c>
      <c r="J16" s="193"/>
      <c r="K16" s="207"/>
      <c r="L16" s="207"/>
      <c r="M16" s="113" t="s">
        <v>202</v>
      </c>
      <c r="N16" s="207">
        <v>8076.4</v>
      </c>
      <c r="O16" s="221">
        <v>42093</v>
      </c>
      <c r="P16" s="21">
        <v>42092</v>
      </c>
    </row>
    <row r="17" spans="1:16" ht="15.75" x14ac:dyDescent="0.25">
      <c r="A17" s="143">
        <v>42107</v>
      </c>
      <c r="B17" s="144">
        <v>17724</v>
      </c>
      <c r="C17" s="156">
        <v>34876.9</v>
      </c>
      <c r="D17" s="276" t="s">
        <v>399</v>
      </c>
      <c r="E17" s="88">
        <f>15093.84+19783.06</f>
        <v>34876.9</v>
      </c>
      <c r="F17" s="155">
        <f t="shared" si="0"/>
        <v>0</v>
      </c>
      <c r="I17" s="242">
        <f>SUM(I4:I16)</f>
        <v>380193.9</v>
      </c>
      <c r="J17" s="193"/>
      <c r="K17" s="207"/>
      <c r="L17" s="207"/>
      <c r="M17" s="113" t="s">
        <v>202</v>
      </c>
      <c r="N17" s="207">
        <v>6365</v>
      </c>
      <c r="O17" s="221">
        <v>42093</v>
      </c>
      <c r="P17" s="21">
        <v>42093</v>
      </c>
    </row>
    <row r="18" spans="1:16" ht="15.75" x14ac:dyDescent="0.25">
      <c r="A18" s="143">
        <v>42108</v>
      </c>
      <c r="B18" s="144">
        <v>17836</v>
      </c>
      <c r="C18" s="156">
        <v>4078.2</v>
      </c>
      <c r="D18" s="104">
        <v>42114</v>
      </c>
      <c r="E18" s="103">
        <v>4078.2</v>
      </c>
      <c r="F18" s="155">
        <f t="shared" si="0"/>
        <v>0</v>
      </c>
      <c r="I18" s="242"/>
      <c r="J18" s="262"/>
      <c r="K18" s="207"/>
      <c r="L18" s="207"/>
      <c r="M18" s="113" t="s">
        <v>202</v>
      </c>
      <c r="N18" s="207">
        <v>28535</v>
      </c>
      <c r="O18" s="222">
        <v>42093</v>
      </c>
      <c r="P18" s="21">
        <v>42093</v>
      </c>
    </row>
    <row r="19" spans="1:16" ht="15.75" x14ac:dyDescent="0.25">
      <c r="A19" s="143">
        <v>42108</v>
      </c>
      <c r="B19" s="144">
        <v>17860</v>
      </c>
      <c r="C19" s="156">
        <v>43380.3</v>
      </c>
      <c r="D19" s="104">
        <v>42114</v>
      </c>
      <c r="E19" s="103">
        <v>43380.3</v>
      </c>
      <c r="F19" s="155">
        <f t="shared" si="0"/>
        <v>0</v>
      </c>
      <c r="I19" s="242"/>
      <c r="J19" s="262"/>
      <c r="K19" s="207"/>
      <c r="L19" s="207"/>
      <c r="M19" s="113" t="s">
        <v>202</v>
      </c>
      <c r="N19" s="207">
        <v>5900</v>
      </c>
      <c r="O19" s="222">
        <v>42094</v>
      </c>
      <c r="P19" s="21">
        <v>42093</v>
      </c>
    </row>
    <row r="20" spans="1:16" ht="15.75" x14ac:dyDescent="0.25">
      <c r="A20" s="143">
        <v>42109</v>
      </c>
      <c r="B20" s="144">
        <v>17948</v>
      </c>
      <c r="C20" s="156">
        <v>10767.3</v>
      </c>
      <c r="D20" s="104">
        <v>42114</v>
      </c>
      <c r="E20" s="103">
        <v>10767.3</v>
      </c>
      <c r="F20" s="155">
        <f t="shared" si="0"/>
        <v>0</v>
      </c>
      <c r="I20" s="242"/>
      <c r="J20" s="282"/>
      <c r="K20" s="207"/>
      <c r="L20" s="207"/>
      <c r="M20" s="113" t="s">
        <v>202</v>
      </c>
      <c r="N20" s="207">
        <v>1498</v>
      </c>
      <c r="O20" s="222">
        <v>42094</v>
      </c>
      <c r="P20" s="21">
        <v>42094</v>
      </c>
    </row>
    <row r="21" spans="1:16" ht="15.75" x14ac:dyDescent="0.25">
      <c r="A21" s="143">
        <v>42110</v>
      </c>
      <c r="B21" s="144">
        <v>17997</v>
      </c>
      <c r="C21" s="156">
        <v>47428.67</v>
      </c>
      <c r="D21" s="320">
        <v>42126</v>
      </c>
      <c r="E21" s="156">
        <v>47428.67</v>
      </c>
      <c r="F21" s="155">
        <f t="shared" si="0"/>
        <v>0</v>
      </c>
      <c r="I21" s="242"/>
      <c r="J21" s="262"/>
      <c r="K21" s="207"/>
      <c r="L21" s="207"/>
      <c r="M21" s="113" t="s">
        <v>202</v>
      </c>
      <c r="N21" s="207">
        <v>3507</v>
      </c>
      <c r="O21" s="221">
        <v>42094</v>
      </c>
      <c r="P21" s="21">
        <v>42094</v>
      </c>
    </row>
    <row r="22" spans="1:16" ht="16.5" thickBot="1" x14ac:dyDescent="0.3">
      <c r="A22" s="143">
        <v>42111</v>
      </c>
      <c r="B22" s="144">
        <v>18162</v>
      </c>
      <c r="C22" s="156">
        <v>63583.4</v>
      </c>
      <c r="D22" s="320">
        <v>42126</v>
      </c>
      <c r="E22" s="156">
        <v>63583.4</v>
      </c>
      <c r="F22" s="155">
        <f t="shared" si="0"/>
        <v>0</v>
      </c>
      <c r="I22" s="308"/>
      <c r="J22" s="262"/>
      <c r="K22" s="207"/>
      <c r="L22" s="207"/>
      <c r="M22" s="113" t="s">
        <v>202</v>
      </c>
      <c r="N22" s="207">
        <v>14686</v>
      </c>
      <c r="O22" s="221">
        <v>42095</v>
      </c>
      <c r="P22" s="252">
        <v>42095</v>
      </c>
    </row>
    <row r="23" spans="1:16" ht="16.5" thickTop="1" x14ac:dyDescent="0.25">
      <c r="A23" s="143">
        <v>42112</v>
      </c>
      <c r="B23" s="144">
        <v>18293</v>
      </c>
      <c r="C23" s="207">
        <v>55922.400000000001</v>
      </c>
      <c r="D23" s="320">
        <v>42126</v>
      </c>
      <c r="E23" s="207">
        <v>55922.400000000001</v>
      </c>
      <c r="F23" s="155">
        <f t="shared" si="0"/>
        <v>0</v>
      </c>
      <c r="I23" s="242"/>
      <c r="J23" s="263"/>
      <c r="K23" s="260"/>
      <c r="L23" s="260"/>
      <c r="M23" s="113" t="s">
        <v>202</v>
      </c>
      <c r="N23" s="207">
        <v>6364</v>
      </c>
      <c r="O23" s="221">
        <v>42095</v>
      </c>
      <c r="P23" s="252">
        <v>42095</v>
      </c>
    </row>
    <row r="24" spans="1:16" ht="15.75" x14ac:dyDescent="0.25">
      <c r="A24" s="143">
        <v>42113</v>
      </c>
      <c r="B24" s="144">
        <v>18337</v>
      </c>
      <c r="C24" s="156">
        <v>22575.56</v>
      </c>
      <c r="D24" s="320">
        <v>42126</v>
      </c>
      <c r="E24" s="156">
        <v>22575.56</v>
      </c>
      <c r="F24" s="155">
        <f t="shared" si="0"/>
        <v>0</v>
      </c>
      <c r="I24" s="242"/>
      <c r="J24" s="263"/>
      <c r="K24" s="130"/>
      <c r="L24" s="130"/>
      <c r="M24" s="191">
        <v>2720565</v>
      </c>
      <c r="N24" s="207">
        <v>39450</v>
      </c>
      <c r="O24" s="221">
        <v>42096</v>
      </c>
      <c r="P24" s="252">
        <v>42096</v>
      </c>
    </row>
    <row r="25" spans="1:16" ht="15.75" x14ac:dyDescent="0.25">
      <c r="A25" s="143">
        <v>42114</v>
      </c>
      <c r="B25" s="144">
        <v>18448</v>
      </c>
      <c r="C25" s="156">
        <v>21185.5</v>
      </c>
      <c r="D25" s="320">
        <v>42126</v>
      </c>
      <c r="E25" s="156">
        <v>21185.5</v>
      </c>
      <c r="F25" s="155">
        <f t="shared" si="0"/>
        <v>0</v>
      </c>
      <c r="I25" s="242"/>
      <c r="J25" s="262"/>
      <c r="K25" s="207"/>
      <c r="L25" s="207"/>
      <c r="M25" s="113" t="s">
        <v>202</v>
      </c>
      <c r="N25" s="214">
        <v>5980.5</v>
      </c>
      <c r="O25" s="221">
        <v>42098</v>
      </c>
      <c r="P25" s="252">
        <v>42098</v>
      </c>
    </row>
    <row r="26" spans="1:16" ht="15.75" x14ac:dyDescent="0.25">
      <c r="A26" s="143">
        <v>42115</v>
      </c>
      <c r="B26" s="144">
        <v>18556</v>
      </c>
      <c r="C26" s="156">
        <v>3756.8</v>
      </c>
      <c r="D26" s="320">
        <v>42126</v>
      </c>
      <c r="E26" s="156">
        <v>3756.8</v>
      </c>
      <c r="F26" s="155">
        <f t="shared" si="0"/>
        <v>0</v>
      </c>
      <c r="I26" s="242"/>
      <c r="J26" s="262"/>
      <c r="K26" s="207"/>
      <c r="L26" s="207"/>
      <c r="M26" s="113" t="s">
        <v>202</v>
      </c>
      <c r="N26" s="207">
        <v>35053.5</v>
      </c>
      <c r="O26" s="222">
        <v>42098</v>
      </c>
      <c r="P26" s="252">
        <v>42098</v>
      </c>
    </row>
    <row r="27" spans="1:16" ht="15.75" x14ac:dyDescent="0.25">
      <c r="A27" s="143">
        <v>42115</v>
      </c>
      <c r="B27" s="144">
        <v>18609</v>
      </c>
      <c r="C27" s="156">
        <v>55759.4</v>
      </c>
      <c r="D27" s="320">
        <v>42126</v>
      </c>
      <c r="E27" s="156">
        <v>55759.4</v>
      </c>
      <c r="F27" s="155">
        <f t="shared" si="0"/>
        <v>0</v>
      </c>
      <c r="I27" s="242"/>
      <c r="J27" s="264"/>
      <c r="K27" s="207"/>
      <c r="L27" s="207"/>
      <c r="M27" s="113" t="s">
        <v>202</v>
      </c>
      <c r="N27" s="207">
        <v>20565</v>
      </c>
      <c r="O27" s="222">
        <v>42098</v>
      </c>
      <c r="P27" s="252">
        <v>42098</v>
      </c>
    </row>
    <row r="28" spans="1:16" ht="15.75" x14ac:dyDescent="0.25">
      <c r="A28" s="143">
        <v>42116</v>
      </c>
      <c r="B28" s="144">
        <v>18687</v>
      </c>
      <c r="C28" s="156">
        <v>6453.9</v>
      </c>
      <c r="D28" s="320">
        <v>42126</v>
      </c>
      <c r="E28" s="156">
        <v>6453.9</v>
      </c>
      <c r="F28" s="155">
        <f t="shared" si="0"/>
        <v>0</v>
      </c>
      <c r="I28" s="153"/>
      <c r="J28" s="264"/>
      <c r="K28" s="130"/>
      <c r="L28" s="130"/>
      <c r="M28" s="113" t="s">
        <v>202</v>
      </c>
      <c r="N28" s="207">
        <v>5471.5</v>
      </c>
      <c r="O28" s="221">
        <v>42100</v>
      </c>
      <c r="P28" s="252">
        <v>42099</v>
      </c>
    </row>
    <row r="29" spans="1:16" ht="15.75" x14ac:dyDescent="0.25">
      <c r="A29" s="143">
        <v>42116</v>
      </c>
      <c r="B29" s="144">
        <v>18688</v>
      </c>
      <c r="C29" s="156">
        <v>24740.1</v>
      </c>
      <c r="D29" s="320">
        <v>42126</v>
      </c>
      <c r="E29" s="156">
        <v>24740.1</v>
      </c>
      <c r="F29" s="155">
        <f t="shared" si="0"/>
        <v>0</v>
      </c>
      <c r="I29" s="208"/>
      <c r="J29" s="193"/>
      <c r="K29" s="207"/>
      <c r="L29" s="207"/>
      <c r="M29" s="113" t="s">
        <v>202</v>
      </c>
      <c r="N29" s="207">
        <v>7814</v>
      </c>
      <c r="O29" s="221">
        <v>42100</v>
      </c>
      <c r="P29" s="252">
        <v>42099</v>
      </c>
    </row>
    <row r="30" spans="1:16" ht="15.75" x14ac:dyDescent="0.25">
      <c r="A30" s="143">
        <v>42117</v>
      </c>
      <c r="B30" s="144">
        <v>18754</v>
      </c>
      <c r="C30" s="156">
        <v>87301.5</v>
      </c>
      <c r="D30" s="320">
        <v>42126</v>
      </c>
      <c r="E30" s="156">
        <v>87301.5</v>
      </c>
      <c r="F30" s="155">
        <f t="shared" si="0"/>
        <v>0</v>
      </c>
      <c r="I30" s="153"/>
      <c r="J30" s="193"/>
      <c r="K30" s="207"/>
      <c r="L30" s="207"/>
      <c r="M30" s="113" t="s">
        <v>202</v>
      </c>
      <c r="N30" s="214">
        <v>6283.5</v>
      </c>
      <c r="O30" s="221">
        <v>42100</v>
      </c>
      <c r="P30" s="252">
        <v>42100</v>
      </c>
    </row>
    <row r="31" spans="1:16" ht="15.75" x14ac:dyDescent="0.25">
      <c r="A31" s="143">
        <v>42118</v>
      </c>
      <c r="B31" s="144">
        <v>18943</v>
      </c>
      <c r="C31" s="156">
        <v>13911.88</v>
      </c>
      <c r="D31" s="320">
        <v>42126</v>
      </c>
      <c r="E31" s="156">
        <v>13911.88</v>
      </c>
      <c r="F31" s="155">
        <f t="shared" si="0"/>
        <v>0</v>
      </c>
      <c r="I31" s="153"/>
      <c r="J31" s="193"/>
      <c r="K31" s="207"/>
      <c r="L31" s="207"/>
      <c r="M31" s="113" t="s">
        <v>202</v>
      </c>
      <c r="N31" s="207">
        <v>36000</v>
      </c>
      <c r="O31" s="221">
        <v>42100</v>
      </c>
      <c r="P31" s="252">
        <v>42100</v>
      </c>
    </row>
    <row r="32" spans="1:16" ht="15.75" x14ac:dyDescent="0.25">
      <c r="A32" s="143">
        <v>42118</v>
      </c>
      <c r="B32" s="144">
        <v>18951</v>
      </c>
      <c r="C32" s="156">
        <v>22506.12</v>
      </c>
      <c r="D32" s="320">
        <v>42126</v>
      </c>
      <c r="E32" s="156">
        <v>22506.12</v>
      </c>
      <c r="F32" s="155">
        <f t="shared" si="0"/>
        <v>0</v>
      </c>
      <c r="I32" s="153"/>
      <c r="J32" s="193"/>
      <c r="K32" s="207"/>
      <c r="L32" s="207"/>
      <c r="M32" s="113" t="s">
        <v>202</v>
      </c>
      <c r="N32" s="207">
        <v>8121.5</v>
      </c>
      <c r="O32" s="221">
        <v>42101</v>
      </c>
      <c r="P32" s="252">
        <v>42101</v>
      </c>
    </row>
    <row r="33" spans="1:16" ht="15.75" x14ac:dyDescent="0.25">
      <c r="A33" s="143">
        <v>42119</v>
      </c>
      <c r="B33" s="144">
        <v>19030</v>
      </c>
      <c r="C33" s="156">
        <v>10343.799999999999</v>
      </c>
      <c r="D33" s="320">
        <v>42126</v>
      </c>
      <c r="E33" s="156">
        <v>10343.799999999999</v>
      </c>
      <c r="F33" s="155">
        <f t="shared" si="0"/>
        <v>0</v>
      </c>
      <c r="I33" s="153"/>
      <c r="J33" s="193"/>
      <c r="K33" s="207"/>
      <c r="L33" s="207"/>
      <c r="M33" s="113" t="s">
        <v>202</v>
      </c>
      <c r="N33" s="207">
        <v>18142.5</v>
      </c>
      <c r="O33" s="221">
        <v>42101</v>
      </c>
      <c r="P33" s="252">
        <v>42101</v>
      </c>
    </row>
    <row r="34" spans="1:16" ht="15.75" x14ac:dyDescent="0.25">
      <c r="A34" s="143">
        <v>42119</v>
      </c>
      <c r="B34" s="144">
        <v>19032</v>
      </c>
      <c r="C34" s="156">
        <v>89228.52</v>
      </c>
      <c r="D34" s="320">
        <v>42126</v>
      </c>
      <c r="E34" s="156">
        <v>89228.52</v>
      </c>
      <c r="F34" s="155">
        <f t="shared" si="0"/>
        <v>0</v>
      </c>
      <c r="I34" s="153"/>
      <c r="J34" s="206"/>
      <c r="K34" s="207"/>
      <c r="L34" s="207"/>
      <c r="M34" s="113" t="s">
        <v>202</v>
      </c>
      <c r="N34" s="207">
        <v>6606</v>
      </c>
      <c r="O34" s="221">
        <v>42101</v>
      </c>
      <c r="P34" s="252">
        <v>42101</v>
      </c>
    </row>
    <row r="35" spans="1:16" ht="15.75" x14ac:dyDescent="0.25">
      <c r="A35" s="143">
        <v>42121</v>
      </c>
      <c r="B35" s="144">
        <v>19213</v>
      </c>
      <c r="C35" s="156">
        <v>32688.560000000001</v>
      </c>
      <c r="D35" s="320">
        <v>42126</v>
      </c>
      <c r="E35" s="156">
        <v>32688.560000000001</v>
      </c>
      <c r="F35" s="155">
        <f t="shared" si="0"/>
        <v>0</v>
      </c>
      <c r="I35" s="153"/>
      <c r="J35" s="206"/>
      <c r="K35" s="207"/>
      <c r="L35" s="207"/>
      <c r="M35" s="113"/>
      <c r="N35" s="207">
        <v>0</v>
      </c>
      <c r="O35" s="222"/>
      <c r="P35" s="252"/>
    </row>
    <row r="36" spans="1:16" ht="15.75" x14ac:dyDescent="0.25">
      <c r="A36" s="143">
        <v>42122</v>
      </c>
      <c r="B36" s="144">
        <v>19302</v>
      </c>
      <c r="C36" s="156">
        <v>42464.5</v>
      </c>
      <c r="D36" s="320">
        <v>42126</v>
      </c>
      <c r="E36" s="156">
        <v>42464.5</v>
      </c>
      <c r="F36" s="155">
        <f t="shared" si="0"/>
        <v>0</v>
      </c>
      <c r="I36" s="153"/>
      <c r="J36" s="193"/>
      <c r="K36" s="207"/>
      <c r="L36" s="207"/>
      <c r="M36" s="113"/>
      <c r="N36" s="207">
        <v>0</v>
      </c>
      <c r="O36" s="221"/>
      <c r="P36" s="252"/>
    </row>
    <row r="37" spans="1:16" ht="15.75" x14ac:dyDescent="0.25">
      <c r="A37" s="143">
        <v>42123</v>
      </c>
      <c r="B37" s="292">
        <v>19455</v>
      </c>
      <c r="C37" s="157">
        <v>54450.1</v>
      </c>
      <c r="D37" s="276" t="s">
        <v>424</v>
      </c>
      <c r="E37" s="157">
        <f>29849.49+24600.61</f>
        <v>54450.100000000006</v>
      </c>
      <c r="F37" s="155">
        <f t="shared" si="0"/>
        <v>0</v>
      </c>
      <c r="I37" s="153"/>
      <c r="J37" s="196"/>
      <c r="K37" s="121">
        <v>0</v>
      </c>
      <c r="L37" s="121"/>
      <c r="M37" s="113"/>
      <c r="N37" s="121">
        <v>0</v>
      </c>
      <c r="O37" s="119"/>
      <c r="P37" s="252"/>
    </row>
    <row r="38" spans="1:16" ht="18.75" x14ac:dyDescent="0.3">
      <c r="A38" s="143">
        <v>42124</v>
      </c>
      <c r="B38" s="292">
        <v>19536</v>
      </c>
      <c r="C38" s="157">
        <v>84750.48</v>
      </c>
      <c r="D38" s="298">
        <v>42140</v>
      </c>
      <c r="E38" s="88">
        <v>84750.48</v>
      </c>
      <c r="F38" s="155">
        <f t="shared" si="0"/>
        <v>0</v>
      </c>
      <c r="I38" s="153"/>
      <c r="K38" s="131">
        <f>SUM(K4:K37)</f>
        <v>394921.66000000003</v>
      </c>
      <c r="L38" s="131"/>
      <c r="M38" s="131"/>
      <c r="N38" s="131">
        <f>SUM(N4:N37)</f>
        <v>394921.4</v>
      </c>
      <c r="P38" s="252"/>
    </row>
    <row r="39" spans="1:16" ht="15.75" x14ac:dyDescent="0.25">
      <c r="A39" s="143"/>
      <c r="B39" s="292"/>
      <c r="C39" s="157"/>
      <c r="D39" s="298"/>
      <c r="E39" s="88"/>
      <c r="F39" s="155">
        <f t="shared" si="0"/>
        <v>0</v>
      </c>
      <c r="I39" s="153"/>
      <c r="J39" s="28"/>
      <c r="K39" s="88"/>
      <c r="L39" s="88"/>
      <c r="M39" s="135"/>
      <c r="N39" s="88"/>
      <c r="O39" s="250"/>
      <c r="P39" s="252"/>
    </row>
    <row r="40" spans="1:16" ht="15.75" customHeight="1" x14ac:dyDescent="0.25">
      <c r="A40" s="143"/>
      <c r="B40" s="292"/>
      <c r="C40" s="157"/>
      <c r="D40" s="298"/>
      <c r="E40" s="88"/>
      <c r="F40" s="241">
        <f t="shared" si="0"/>
        <v>0</v>
      </c>
      <c r="I40" s="153"/>
      <c r="J40" s="13"/>
      <c r="K40" s="56"/>
      <c r="L40" s="56"/>
      <c r="M40" s="56"/>
      <c r="N40" s="56"/>
      <c r="O40" s="13"/>
      <c r="P40" s="28"/>
    </row>
    <row r="41" spans="1:16" ht="15.75" customHeight="1" x14ac:dyDescent="0.25">
      <c r="A41" s="305"/>
      <c r="B41" s="306"/>
      <c r="C41" s="88"/>
      <c r="D41" s="299"/>
      <c r="E41" s="88"/>
      <c r="F41" s="241">
        <f t="shared" si="0"/>
        <v>0</v>
      </c>
      <c r="I41" s="153"/>
      <c r="P41" s="28"/>
    </row>
    <row r="42" spans="1:16" ht="15.75" x14ac:dyDescent="0.25">
      <c r="A42" s="143"/>
      <c r="B42" s="307"/>
      <c r="C42" s="207"/>
      <c r="D42" s="299"/>
      <c r="E42" s="88"/>
      <c r="F42" s="241">
        <f t="shared" si="0"/>
        <v>0</v>
      </c>
      <c r="I42" s="49"/>
      <c r="J42" s="104"/>
      <c r="K42" s="288">
        <v>42114</v>
      </c>
      <c r="L42" s="215"/>
      <c r="M42" s="134" t="s">
        <v>200</v>
      </c>
      <c r="N42" s="88"/>
    </row>
    <row r="43" spans="1:16" x14ac:dyDescent="0.25">
      <c r="A43" s="143"/>
      <c r="B43" s="307"/>
      <c r="C43" s="207"/>
      <c r="D43" s="299"/>
      <c r="E43" s="88"/>
      <c r="F43" s="241">
        <f t="shared" si="0"/>
        <v>0</v>
      </c>
      <c r="I43" s="49"/>
      <c r="J43" s="104"/>
      <c r="K43" s="103"/>
      <c r="L43" s="103"/>
      <c r="M43" s="103"/>
      <c r="N43" s="213"/>
    </row>
    <row r="44" spans="1:16" ht="15.75" x14ac:dyDescent="0.25">
      <c r="A44" s="143"/>
      <c r="B44" s="282"/>
      <c r="C44" s="207"/>
      <c r="D44" s="299"/>
      <c r="E44" s="88"/>
      <c r="F44" s="241">
        <f t="shared" si="0"/>
        <v>0</v>
      </c>
      <c r="I44" s="49">
        <v>5880</v>
      </c>
      <c r="J44" s="193">
        <v>16025</v>
      </c>
      <c r="K44" s="130">
        <v>5879.87</v>
      </c>
      <c r="L44" s="130"/>
      <c r="M44" s="113" t="s">
        <v>202</v>
      </c>
      <c r="N44" s="214">
        <v>721.5</v>
      </c>
      <c r="O44" s="221">
        <v>42103</v>
      </c>
      <c r="P44" s="21">
        <v>42100</v>
      </c>
    </row>
    <row r="45" spans="1:16" ht="16.5" customHeight="1" x14ac:dyDescent="0.25">
      <c r="A45" s="143"/>
      <c r="B45" s="293"/>
      <c r="C45" s="130"/>
      <c r="D45" s="104"/>
      <c r="E45" s="103"/>
      <c r="F45" s="241">
        <f t="shared" si="0"/>
        <v>0</v>
      </c>
      <c r="I45" s="103">
        <v>1123.3499999999999</v>
      </c>
      <c r="J45" s="194">
        <v>16197</v>
      </c>
      <c r="K45" s="207">
        <v>1123.3499999999999</v>
      </c>
      <c r="L45" s="207"/>
      <c r="M45" s="113" t="s">
        <v>202</v>
      </c>
      <c r="N45" s="207">
        <v>13083</v>
      </c>
      <c r="O45" s="221">
        <v>42102</v>
      </c>
      <c r="P45" s="21">
        <v>42102</v>
      </c>
    </row>
    <row r="46" spans="1:16" ht="15.75" x14ac:dyDescent="0.25">
      <c r="A46" s="143"/>
      <c r="B46" s="293"/>
      <c r="C46" s="130"/>
      <c r="D46" s="104"/>
      <c r="E46" s="103"/>
      <c r="F46" s="241">
        <f t="shared" si="0"/>
        <v>0</v>
      </c>
      <c r="I46" s="49">
        <v>721.5</v>
      </c>
      <c r="J46" s="193">
        <v>16959</v>
      </c>
      <c r="K46" s="207">
        <v>721.64</v>
      </c>
      <c r="L46" s="207"/>
      <c r="M46" s="113" t="s">
        <v>202</v>
      </c>
      <c r="N46" s="207">
        <v>7012.5</v>
      </c>
      <c r="O46" s="221">
        <v>42102</v>
      </c>
      <c r="P46" s="21">
        <v>42102</v>
      </c>
    </row>
    <row r="47" spans="1:16" ht="15.75" x14ac:dyDescent="0.25">
      <c r="A47" s="295"/>
      <c r="B47" s="297"/>
      <c r="C47" s="230"/>
      <c r="D47" s="104"/>
      <c r="E47" s="103"/>
      <c r="F47" s="241">
        <f t="shared" si="0"/>
        <v>0</v>
      </c>
      <c r="I47" s="49">
        <f>13083+7012.5</f>
        <v>20095.5</v>
      </c>
      <c r="J47" s="193">
        <v>17131</v>
      </c>
      <c r="K47" s="130">
        <v>20095.22</v>
      </c>
      <c r="L47" s="130"/>
      <c r="M47" s="113" t="s">
        <v>202</v>
      </c>
      <c r="N47" s="207">
        <v>5880</v>
      </c>
      <c r="O47" s="221">
        <v>42103</v>
      </c>
      <c r="P47" s="21">
        <v>42103</v>
      </c>
    </row>
    <row r="48" spans="1:16" ht="15.75" x14ac:dyDescent="0.25">
      <c r="A48" s="143"/>
      <c r="B48" s="293"/>
      <c r="C48" s="207"/>
      <c r="D48" s="300"/>
      <c r="E48" s="121"/>
      <c r="F48" s="150">
        <f t="shared" si="0"/>
        <v>0</v>
      </c>
      <c r="I48" s="49">
        <v>1835</v>
      </c>
      <c r="J48" s="193">
        <v>17292</v>
      </c>
      <c r="K48" s="130">
        <v>1835</v>
      </c>
      <c r="L48" s="130"/>
      <c r="M48" s="113" t="s">
        <v>202</v>
      </c>
      <c r="N48" s="207">
        <v>25569.5</v>
      </c>
      <c r="O48" s="221">
        <v>42103</v>
      </c>
      <c r="P48" s="21">
        <v>42103</v>
      </c>
    </row>
    <row r="49" spans="1:16" ht="15.75" x14ac:dyDescent="0.25">
      <c r="A49" s="285"/>
      <c r="B49" s="290"/>
      <c r="C49" s="150"/>
      <c r="D49" s="300"/>
      <c r="E49" s="121"/>
      <c r="F49" s="150"/>
      <c r="I49" s="49">
        <f>25569.5+6305.5+18347+5279</f>
        <v>55501</v>
      </c>
      <c r="J49" s="193">
        <v>17303</v>
      </c>
      <c r="K49" s="207">
        <v>55500.800000000003</v>
      </c>
      <c r="L49" s="207"/>
      <c r="M49" s="113" t="s">
        <v>202</v>
      </c>
      <c r="N49" s="207">
        <v>1835</v>
      </c>
      <c r="O49" s="221">
        <v>42103</v>
      </c>
      <c r="P49" s="21">
        <v>42103</v>
      </c>
    </row>
    <row r="50" spans="1:16" ht="15.75" x14ac:dyDescent="0.25">
      <c r="A50" s="286"/>
      <c r="B50" s="291"/>
      <c r="C50" s="150"/>
      <c r="D50" s="159"/>
      <c r="E50" s="150"/>
      <c r="F50" s="150"/>
      <c r="I50" s="49">
        <f>3101.5+5651.5+11485.5+31174</f>
        <v>51412.5</v>
      </c>
      <c r="J50" s="193">
        <v>17425</v>
      </c>
      <c r="K50" s="207">
        <v>51412.6</v>
      </c>
      <c r="L50" s="324" t="s">
        <v>375</v>
      </c>
      <c r="M50" s="113" t="s">
        <v>202</v>
      </c>
      <c r="N50" s="207">
        <v>6305.5</v>
      </c>
      <c r="O50" s="221">
        <v>42103</v>
      </c>
      <c r="P50" s="21">
        <v>42103</v>
      </c>
    </row>
    <row r="51" spans="1:16" ht="15.75" x14ac:dyDescent="0.25">
      <c r="A51" s="286"/>
      <c r="B51" s="291"/>
      <c r="C51" s="150"/>
      <c r="D51" s="159"/>
      <c r="E51" s="150"/>
      <c r="F51" s="150"/>
      <c r="I51" s="49">
        <v>20829.5</v>
      </c>
      <c r="J51" s="193">
        <v>17493</v>
      </c>
      <c r="K51" s="322">
        <v>20829.599999999999</v>
      </c>
      <c r="L51" s="321" t="s">
        <v>374</v>
      </c>
      <c r="M51" s="113" t="s">
        <v>202</v>
      </c>
      <c r="N51" s="323">
        <v>31174</v>
      </c>
      <c r="O51" s="221">
        <v>42104</v>
      </c>
      <c r="P51" s="21">
        <v>42104</v>
      </c>
    </row>
    <row r="52" spans="1:16" ht="15.75" x14ac:dyDescent="0.25">
      <c r="A52" s="285"/>
      <c r="B52" s="290"/>
      <c r="C52" s="150"/>
      <c r="D52" s="300"/>
      <c r="E52" s="121"/>
      <c r="F52" s="150"/>
      <c r="I52" s="49">
        <f>20533.5+790</f>
        <v>21323.5</v>
      </c>
      <c r="J52" s="193">
        <v>17558</v>
      </c>
      <c r="K52" s="207">
        <v>21323.3</v>
      </c>
      <c r="L52" s="207"/>
      <c r="M52" s="113" t="s">
        <v>202</v>
      </c>
      <c r="N52" s="207">
        <v>18347</v>
      </c>
      <c r="O52" s="221">
        <v>42104</v>
      </c>
      <c r="P52" s="21">
        <v>42104</v>
      </c>
    </row>
    <row r="53" spans="1:16" ht="15.75" x14ac:dyDescent="0.25">
      <c r="A53" s="285"/>
      <c r="B53" s="290"/>
      <c r="C53" s="150"/>
      <c r="D53" s="150"/>
      <c r="E53" s="121"/>
      <c r="F53" s="150"/>
      <c r="H53" s="28"/>
      <c r="I53" s="49">
        <f>6453+55657+2037</f>
        <v>64147</v>
      </c>
      <c r="J53" s="193">
        <v>17562</v>
      </c>
      <c r="K53" s="207">
        <v>64147.23</v>
      </c>
      <c r="L53" s="207"/>
      <c r="M53" s="113" t="s">
        <v>202</v>
      </c>
      <c r="N53" s="207">
        <v>5279</v>
      </c>
      <c r="O53" s="221">
        <v>42104</v>
      </c>
      <c r="P53" s="21">
        <v>42104</v>
      </c>
    </row>
    <row r="54" spans="1:16" ht="15.75" x14ac:dyDescent="0.25">
      <c r="A54" s="285"/>
      <c r="B54" s="290"/>
      <c r="C54" s="150"/>
      <c r="D54" s="150"/>
      <c r="E54" s="121"/>
      <c r="F54" s="150"/>
      <c r="H54" s="28"/>
      <c r="I54" s="49">
        <f>29000+8000+6649+7698</f>
        <v>51347</v>
      </c>
      <c r="J54" s="193">
        <v>17645</v>
      </c>
      <c r="K54" s="207">
        <v>51347.1</v>
      </c>
      <c r="L54" s="207"/>
      <c r="M54" s="113" t="s">
        <v>202</v>
      </c>
      <c r="N54" s="207">
        <v>20829.5</v>
      </c>
      <c r="O54" s="221">
        <v>42105</v>
      </c>
      <c r="P54" s="21">
        <v>42105</v>
      </c>
    </row>
    <row r="55" spans="1:16" ht="15.75" x14ac:dyDescent="0.25">
      <c r="A55" s="286"/>
      <c r="B55" s="291"/>
      <c r="C55" s="150"/>
      <c r="D55" s="119"/>
      <c r="E55" s="150"/>
      <c r="F55" s="150"/>
      <c r="H55" s="28"/>
      <c r="I55" s="49">
        <f>15093.5</f>
        <v>15093.5</v>
      </c>
      <c r="J55" s="193">
        <v>17724</v>
      </c>
      <c r="K55" s="207">
        <v>15093.84</v>
      </c>
      <c r="L55" s="207" t="s">
        <v>376</v>
      </c>
      <c r="M55" s="113" t="s">
        <v>202</v>
      </c>
      <c r="N55" s="207">
        <v>20533.5</v>
      </c>
      <c r="O55" s="221">
        <v>42105</v>
      </c>
      <c r="P55" s="21">
        <v>42105</v>
      </c>
    </row>
    <row r="56" spans="1:16" ht="15.75" x14ac:dyDescent="0.25">
      <c r="A56" s="286"/>
      <c r="B56" s="291"/>
      <c r="C56" s="150"/>
      <c r="D56" s="119"/>
      <c r="E56" s="150"/>
      <c r="F56" s="150"/>
      <c r="H56" s="28"/>
      <c r="I56" s="49">
        <v>4078</v>
      </c>
      <c r="J56" s="193">
        <v>17836</v>
      </c>
      <c r="K56" s="207">
        <v>4078.2</v>
      </c>
      <c r="L56" s="207"/>
      <c r="M56" s="113" t="s">
        <v>202</v>
      </c>
      <c r="N56" s="323">
        <v>11485.5</v>
      </c>
      <c r="O56" s="221">
        <v>42105</v>
      </c>
      <c r="P56" s="21">
        <v>42105</v>
      </c>
    </row>
    <row r="57" spans="1:16" ht="15.75" x14ac:dyDescent="0.25">
      <c r="A57" s="286"/>
      <c r="B57" s="291"/>
      <c r="C57" s="150"/>
      <c r="D57" s="119"/>
      <c r="E57" s="150"/>
      <c r="F57" s="150"/>
      <c r="H57" s="28"/>
      <c r="I57" s="49">
        <f>16511.5+6962.5+5403.5+14503</f>
        <v>43380.5</v>
      </c>
      <c r="J57" s="193">
        <v>17860</v>
      </c>
      <c r="K57" s="207">
        <v>43380.3</v>
      </c>
      <c r="L57" s="207"/>
      <c r="M57" s="113" t="s">
        <v>202</v>
      </c>
      <c r="N57" s="323">
        <v>5651.5</v>
      </c>
      <c r="O57" s="221">
        <v>42105</v>
      </c>
      <c r="P57" s="21">
        <v>42105</v>
      </c>
    </row>
    <row r="58" spans="1:16" ht="15.75" x14ac:dyDescent="0.25">
      <c r="A58" s="286"/>
      <c r="B58" s="291"/>
      <c r="C58" s="150"/>
      <c r="D58" s="119"/>
      <c r="E58" s="150"/>
      <c r="F58" s="150"/>
      <c r="H58" s="28"/>
      <c r="I58" s="49">
        <v>10767.5</v>
      </c>
      <c r="J58" s="193">
        <v>17948</v>
      </c>
      <c r="K58" s="207">
        <v>10767.3</v>
      </c>
      <c r="L58" s="207"/>
      <c r="M58" s="113" t="s">
        <v>202</v>
      </c>
      <c r="N58" s="207">
        <v>790</v>
      </c>
      <c r="O58" s="222">
        <v>42107</v>
      </c>
      <c r="P58" s="21">
        <v>42106</v>
      </c>
    </row>
    <row r="59" spans="1:16" ht="15.75" x14ac:dyDescent="0.25">
      <c r="A59" s="286"/>
      <c r="B59" s="289"/>
      <c r="C59" s="150"/>
      <c r="D59" s="119"/>
      <c r="E59" s="150"/>
      <c r="F59" s="150"/>
      <c r="H59" s="28"/>
      <c r="I59" s="49">
        <v>0</v>
      </c>
      <c r="J59" s="262"/>
      <c r="K59" s="207"/>
      <c r="L59" s="207"/>
      <c r="M59" s="113" t="s">
        <v>202</v>
      </c>
      <c r="N59" s="207">
        <v>6453</v>
      </c>
      <c r="O59" s="222">
        <v>42107</v>
      </c>
      <c r="P59" s="21">
        <v>42106</v>
      </c>
    </row>
    <row r="60" spans="1:16" ht="16.5" thickBot="1" x14ac:dyDescent="0.3">
      <c r="A60" s="287"/>
      <c r="B60" s="124"/>
      <c r="C60" s="57">
        <v>0</v>
      </c>
      <c r="D60" s="57"/>
      <c r="E60" s="125">
        <v>0</v>
      </c>
      <c r="F60" s="242">
        <v>0</v>
      </c>
      <c r="H60" s="28"/>
      <c r="I60" s="88">
        <f>SUM(I44:I59)</f>
        <v>367535.35</v>
      </c>
      <c r="J60" s="282"/>
      <c r="K60" s="207"/>
      <c r="L60" s="207"/>
      <c r="M60" s="113" t="s">
        <v>202</v>
      </c>
      <c r="N60" s="207">
        <v>55657</v>
      </c>
      <c r="O60" s="222">
        <v>42107</v>
      </c>
      <c r="P60" s="21">
        <v>42106</v>
      </c>
    </row>
    <row r="61" spans="1:16" ht="16.5" thickTop="1" x14ac:dyDescent="0.25">
      <c r="C61" s="58">
        <f>SUM(C5:C60)</f>
        <v>1331717.3200000003</v>
      </c>
      <c r="D61" s="58"/>
      <c r="E61" s="58">
        <f>SUM(E5:E60)</f>
        <v>1331717.3200000003</v>
      </c>
      <c r="F61" s="43">
        <f>SUM(F5:F60)</f>
        <v>0</v>
      </c>
      <c r="H61" s="28"/>
      <c r="I61" s="49"/>
      <c r="J61" s="262"/>
      <c r="K61" s="207"/>
      <c r="L61" s="207"/>
      <c r="M61" s="113" t="s">
        <v>202</v>
      </c>
      <c r="N61" s="207">
        <v>2037</v>
      </c>
      <c r="O61" s="221">
        <v>42107</v>
      </c>
      <c r="P61" s="21">
        <v>42107</v>
      </c>
    </row>
    <row r="62" spans="1:16" ht="15.75" x14ac:dyDescent="0.25">
      <c r="A62" s="345"/>
      <c r="B62"/>
      <c r="D62"/>
      <c r="E62" s="43"/>
      <c r="H62" s="28"/>
      <c r="I62" s="49"/>
      <c r="J62" s="262"/>
      <c r="K62" s="207"/>
      <c r="L62" s="207"/>
      <c r="M62" s="113" t="s">
        <v>202</v>
      </c>
      <c r="N62" s="207">
        <v>29000</v>
      </c>
      <c r="O62" s="221">
        <v>42107</v>
      </c>
      <c r="P62" s="252">
        <v>42107</v>
      </c>
    </row>
    <row r="63" spans="1:16" ht="15.75" x14ac:dyDescent="0.25">
      <c r="A63" s="345"/>
      <c r="B63"/>
      <c r="D63"/>
      <c r="E63" s="43"/>
      <c r="H63" s="28"/>
      <c r="I63" s="49"/>
      <c r="J63" s="263"/>
      <c r="K63" s="260"/>
      <c r="L63" s="260"/>
      <c r="M63" s="113" t="s">
        <v>202</v>
      </c>
      <c r="N63" s="207">
        <v>8000</v>
      </c>
      <c r="O63" s="221">
        <v>42109</v>
      </c>
      <c r="P63" s="252">
        <v>42107</v>
      </c>
    </row>
    <row r="64" spans="1:16" ht="15.75" x14ac:dyDescent="0.25">
      <c r="A64" s="345"/>
      <c r="B64"/>
      <c r="D64"/>
      <c r="E64" s="43"/>
      <c r="H64" s="28"/>
      <c r="I64" s="49"/>
      <c r="J64" s="263"/>
      <c r="K64" s="130"/>
      <c r="L64" s="130"/>
      <c r="M64" s="191" t="s">
        <v>202</v>
      </c>
      <c r="N64" s="207">
        <v>6649</v>
      </c>
      <c r="O64" s="221">
        <v>42107</v>
      </c>
      <c r="P64" s="252">
        <v>42107</v>
      </c>
    </row>
    <row r="65" spans="1:16" ht="15.75" x14ac:dyDescent="0.25">
      <c r="A65" s="345"/>
      <c r="B65"/>
      <c r="D65"/>
      <c r="E65" s="43"/>
      <c r="H65" s="28"/>
      <c r="I65" s="49"/>
      <c r="J65" s="262"/>
      <c r="K65" s="207"/>
      <c r="L65" s="207"/>
      <c r="M65" s="113" t="s">
        <v>202</v>
      </c>
      <c r="N65" s="214">
        <v>16511.5</v>
      </c>
      <c r="O65" s="221">
        <v>42108</v>
      </c>
      <c r="P65" s="252">
        <v>42108</v>
      </c>
    </row>
    <row r="66" spans="1:16" ht="15.75" x14ac:dyDescent="0.25">
      <c r="A66" s="345"/>
      <c r="B66"/>
      <c r="D66"/>
      <c r="E66" s="43"/>
      <c r="H66" s="28"/>
      <c r="I66" s="49"/>
      <c r="J66" s="262"/>
      <c r="K66" s="207"/>
      <c r="L66" s="207"/>
      <c r="M66" s="113" t="s">
        <v>202</v>
      </c>
      <c r="N66" s="207">
        <v>7698</v>
      </c>
      <c r="O66" s="222">
        <v>42108</v>
      </c>
      <c r="P66" s="252">
        <v>42108</v>
      </c>
    </row>
    <row r="67" spans="1:16" ht="15.75" x14ac:dyDescent="0.25">
      <c r="A67" s="345"/>
      <c r="B67"/>
      <c r="D67"/>
      <c r="E67" s="43"/>
      <c r="H67" s="28"/>
      <c r="I67" s="49"/>
      <c r="J67" s="264"/>
      <c r="K67" s="207"/>
      <c r="L67" s="207"/>
      <c r="M67" s="113" t="s">
        <v>202</v>
      </c>
      <c r="N67" s="207">
        <v>4078</v>
      </c>
      <c r="O67" s="222">
        <v>42108</v>
      </c>
      <c r="P67" s="252">
        <v>42108</v>
      </c>
    </row>
    <row r="68" spans="1:16" ht="15.75" x14ac:dyDescent="0.25">
      <c r="A68" s="345"/>
      <c r="B68"/>
      <c r="D68"/>
      <c r="E68" s="43"/>
      <c r="H68" s="28"/>
      <c r="I68" s="49"/>
      <c r="J68" s="264"/>
      <c r="K68" s="130"/>
      <c r="L68" s="130"/>
      <c r="M68" s="113" t="s">
        <v>202</v>
      </c>
      <c r="N68" s="207">
        <v>6962.5</v>
      </c>
      <c r="O68" s="221">
        <v>42108</v>
      </c>
      <c r="P68" s="252">
        <v>42108</v>
      </c>
    </row>
    <row r="69" spans="1:16" ht="15.75" x14ac:dyDescent="0.25">
      <c r="A69" s="345"/>
      <c r="B69"/>
      <c r="D69"/>
      <c r="E69" s="43"/>
      <c r="H69" s="28"/>
      <c r="I69" s="49"/>
      <c r="J69" s="193"/>
      <c r="K69" s="207"/>
      <c r="L69" s="207"/>
      <c r="M69" s="113" t="s">
        <v>202</v>
      </c>
      <c r="N69" s="207">
        <v>5403.5</v>
      </c>
      <c r="O69" s="221">
        <v>42109</v>
      </c>
      <c r="P69" s="252">
        <v>42109</v>
      </c>
    </row>
    <row r="70" spans="1:16" ht="15.75" x14ac:dyDescent="0.25">
      <c r="A70" s="345"/>
      <c r="B70"/>
      <c r="D70"/>
      <c r="E70" s="43"/>
      <c r="H70" s="28"/>
      <c r="I70" s="153"/>
      <c r="J70" s="193"/>
      <c r="K70" s="207"/>
      <c r="L70" s="207"/>
      <c r="M70" s="113" t="s">
        <v>202</v>
      </c>
      <c r="N70" s="214">
        <v>10767.5</v>
      </c>
      <c r="O70" s="221">
        <v>42109</v>
      </c>
      <c r="P70" s="252">
        <v>42109</v>
      </c>
    </row>
    <row r="71" spans="1:16" ht="15.75" x14ac:dyDescent="0.25">
      <c r="A71" s="345"/>
      <c r="B71"/>
      <c r="D71"/>
      <c r="E71" s="43"/>
      <c r="H71" s="28"/>
      <c r="I71" s="208"/>
      <c r="J71" s="193"/>
      <c r="K71" s="207"/>
      <c r="L71" s="207"/>
      <c r="M71" s="113" t="s">
        <v>202</v>
      </c>
      <c r="N71" s="207">
        <v>14503</v>
      </c>
      <c r="O71" s="221">
        <v>42109</v>
      </c>
      <c r="P71" s="252">
        <v>42109</v>
      </c>
    </row>
    <row r="72" spans="1:16" ht="15.75" x14ac:dyDescent="0.25">
      <c r="A72" s="345"/>
      <c r="B72"/>
      <c r="D72"/>
      <c r="E72" s="43"/>
      <c r="H72" s="28"/>
      <c r="I72" s="153"/>
      <c r="J72" s="193"/>
      <c r="K72" s="207"/>
      <c r="L72" s="207"/>
      <c r="M72" s="113" t="s">
        <v>202</v>
      </c>
      <c r="N72" s="207">
        <v>15093.5</v>
      </c>
      <c r="O72" s="221">
        <v>42109</v>
      </c>
      <c r="P72" s="252">
        <v>42109</v>
      </c>
    </row>
    <row r="73" spans="1:16" ht="15.75" x14ac:dyDescent="0.25">
      <c r="A73" s="345"/>
      <c r="B73"/>
      <c r="D73"/>
      <c r="E73" s="43"/>
      <c r="H73" s="28"/>
      <c r="I73" s="153"/>
      <c r="J73" s="193"/>
      <c r="K73" s="207"/>
      <c r="L73" s="207"/>
      <c r="M73" s="113" t="s">
        <v>372</v>
      </c>
      <c r="N73" s="207">
        <v>1123.3499999999999</v>
      </c>
      <c r="O73" s="221" t="s">
        <v>373</v>
      </c>
      <c r="P73" s="252"/>
    </row>
    <row r="74" spans="1:16" ht="15.75" x14ac:dyDescent="0.25">
      <c r="A74" s="345"/>
      <c r="B74"/>
      <c r="D74"/>
      <c r="E74" s="43"/>
      <c r="H74" s="28"/>
      <c r="I74" s="153"/>
      <c r="J74" s="206"/>
      <c r="K74" s="207"/>
      <c r="L74" s="207"/>
      <c r="M74" s="113" t="s">
        <v>370</v>
      </c>
      <c r="N74" s="207">
        <v>3101.5</v>
      </c>
      <c r="O74" s="221" t="s">
        <v>371</v>
      </c>
      <c r="P74" s="252"/>
    </row>
    <row r="75" spans="1:16" ht="15.75" x14ac:dyDescent="0.25">
      <c r="H75" s="28"/>
      <c r="I75" s="153"/>
      <c r="J75" s="206"/>
      <c r="K75" s="207"/>
      <c r="L75" s="207"/>
      <c r="M75" s="113"/>
      <c r="N75" s="207">
        <v>0</v>
      </c>
      <c r="O75" s="222"/>
      <c r="P75" s="252"/>
    </row>
    <row r="76" spans="1:16" ht="15.75" x14ac:dyDescent="0.25">
      <c r="I76" s="153"/>
      <c r="J76" s="193"/>
      <c r="K76" s="207"/>
      <c r="L76" s="207"/>
      <c r="M76" s="113"/>
      <c r="N76" s="207">
        <v>0</v>
      </c>
      <c r="O76" s="221"/>
      <c r="P76" s="252"/>
    </row>
    <row r="77" spans="1:16" ht="15.75" x14ac:dyDescent="0.25">
      <c r="I77" s="153"/>
      <c r="J77" s="196"/>
      <c r="K77" s="121">
        <v>0</v>
      </c>
      <c r="L77" s="121"/>
      <c r="M77" s="113"/>
      <c r="N77" s="121">
        <v>0</v>
      </c>
      <c r="O77" s="119"/>
      <c r="P77" s="252"/>
    </row>
    <row r="78" spans="1:16" ht="18.75" x14ac:dyDescent="0.3">
      <c r="I78" s="153"/>
      <c r="K78" s="131">
        <f>SUM(K44:K77)</f>
        <v>367535.35000000003</v>
      </c>
      <c r="L78" s="131"/>
      <c r="M78" s="131"/>
      <c r="N78" s="131">
        <f>SUM(N44:N77)</f>
        <v>367535.35</v>
      </c>
      <c r="P78" s="252"/>
    </row>
    <row r="79" spans="1:16" ht="15.75" x14ac:dyDescent="0.25">
      <c r="I79" s="153"/>
      <c r="J79" s="28"/>
      <c r="K79" s="88"/>
      <c r="L79" s="88"/>
      <c r="M79" s="135"/>
      <c r="N79" s="88"/>
      <c r="O79" s="250"/>
      <c r="P79" s="252"/>
    </row>
    <row r="80" spans="1:16" ht="15.75" x14ac:dyDescent="0.25">
      <c r="I80" s="153"/>
      <c r="J80" s="249"/>
      <c r="K80" s="88"/>
      <c r="L80" s="88"/>
      <c r="M80" s="135"/>
      <c r="N80" s="88"/>
      <c r="O80" s="250"/>
      <c r="P80" s="252"/>
    </row>
    <row r="81" spans="1:16" ht="15.75" x14ac:dyDescent="0.25">
      <c r="A81" s="345"/>
      <c r="B81"/>
      <c r="C81"/>
      <c r="D81"/>
      <c r="E81"/>
      <c r="F81"/>
      <c r="I81" s="49"/>
      <c r="J81" s="104"/>
      <c r="K81" s="336">
        <v>42126</v>
      </c>
      <c r="L81" s="215"/>
      <c r="M81" s="134" t="s">
        <v>200</v>
      </c>
      <c r="N81" s="88"/>
    </row>
    <row r="82" spans="1:16" x14ac:dyDescent="0.25">
      <c r="A82" s="345"/>
      <c r="B82"/>
      <c r="C82"/>
      <c r="D82"/>
      <c r="E82"/>
      <c r="F82"/>
      <c r="I82" s="49"/>
      <c r="J82" s="104"/>
      <c r="K82" s="103"/>
      <c r="L82" s="103"/>
      <c r="M82" s="103"/>
      <c r="N82" s="213"/>
    </row>
    <row r="83" spans="1:16" ht="34.5" x14ac:dyDescent="0.25">
      <c r="A83" s="345"/>
      <c r="B83"/>
      <c r="C83"/>
      <c r="D83"/>
      <c r="E83"/>
      <c r="F83"/>
      <c r="I83" s="49"/>
      <c r="J83" s="193">
        <v>17493</v>
      </c>
      <c r="K83" s="130">
        <v>1812.6</v>
      </c>
      <c r="L83" s="338" t="s">
        <v>395</v>
      </c>
      <c r="M83" s="113" t="s">
        <v>202</v>
      </c>
      <c r="N83" s="214">
        <v>33216.5</v>
      </c>
      <c r="O83" s="221">
        <v>42110</v>
      </c>
      <c r="P83" s="281"/>
    </row>
    <row r="84" spans="1:16" ht="15.75" x14ac:dyDescent="0.25">
      <c r="A84" s="345"/>
      <c r="B84"/>
      <c r="C84"/>
      <c r="D84"/>
      <c r="E84"/>
      <c r="F84"/>
      <c r="I84" s="103">
        <f>5186.5+14597</f>
        <v>19783.5</v>
      </c>
      <c r="J84" s="194">
        <v>17724</v>
      </c>
      <c r="K84" s="207">
        <v>19783.400000000001</v>
      </c>
      <c r="L84" s="207"/>
      <c r="M84" s="113" t="s">
        <v>202</v>
      </c>
      <c r="N84" s="207">
        <v>14597</v>
      </c>
      <c r="O84" s="221">
        <v>42110</v>
      </c>
      <c r="P84" s="281"/>
    </row>
    <row r="85" spans="1:16" ht="15.75" x14ac:dyDescent="0.25">
      <c r="A85" s="345"/>
      <c r="B85"/>
      <c r="C85"/>
      <c r="D85"/>
      <c r="E85"/>
      <c r="F85"/>
      <c r="I85" s="49">
        <f>4893.5+9318.5+33216.5</f>
        <v>47428.5</v>
      </c>
      <c r="J85" s="144">
        <v>17997</v>
      </c>
      <c r="K85" s="156">
        <v>47428.67</v>
      </c>
      <c r="L85" s="207"/>
      <c r="M85" s="113" t="s">
        <v>202</v>
      </c>
      <c r="N85" s="207">
        <v>5186.5</v>
      </c>
      <c r="O85" s="221">
        <v>42110</v>
      </c>
      <c r="P85" s="281"/>
    </row>
    <row r="86" spans="1:16" ht="15.75" x14ac:dyDescent="0.25">
      <c r="A86" s="345"/>
      <c r="B86"/>
      <c r="C86"/>
      <c r="D86"/>
      <c r="E86"/>
      <c r="F86"/>
      <c r="I86" s="49">
        <f>5245.5+23050+35288</f>
        <v>63583.5</v>
      </c>
      <c r="J86" s="144">
        <v>18162</v>
      </c>
      <c r="K86" s="156">
        <v>63583.4</v>
      </c>
      <c r="L86" s="130"/>
      <c r="M86" s="113" t="s">
        <v>202</v>
      </c>
      <c r="N86" s="207">
        <v>9318.5</v>
      </c>
      <c r="O86" s="221">
        <v>42111</v>
      </c>
      <c r="P86" s="281"/>
    </row>
    <row r="87" spans="1:16" ht="15.75" x14ac:dyDescent="0.25">
      <c r="A87" s="345"/>
      <c r="B87"/>
      <c r="C87"/>
      <c r="D87"/>
      <c r="E87"/>
      <c r="F87"/>
      <c r="I87" s="49">
        <f>16251.5+6266.5+33404.5</f>
        <v>55922.5</v>
      </c>
      <c r="J87" s="144">
        <v>18293</v>
      </c>
      <c r="K87" s="207">
        <v>55922.400000000001</v>
      </c>
      <c r="L87" s="130"/>
      <c r="M87" s="113" t="s">
        <v>202</v>
      </c>
      <c r="N87" s="207">
        <v>35288</v>
      </c>
      <c r="O87" s="221">
        <v>42111</v>
      </c>
      <c r="P87" s="281"/>
    </row>
    <row r="88" spans="1:16" ht="15.75" x14ac:dyDescent="0.25">
      <c r="A88" s="345"/>
      <c r="B88"/>
      <c r="C88"/>
      <c r="D88"/>
      <c r="E88"/>
      <c r="F88"/>
      <c r="I88" s="49">
        <v>22575.5</v>
      </c>
      <c r="J88" s="144">
        <v>18337</v>
      </c>
      <c r="K88" s="156">
        <v>22575.56</v>
      </c>
      <c r="L88" s="207"/>
      <c r="M88" s="113" t="s">
        <v>202</v>
      </c>
      <c r="N88" s="207">
        <v>4893.5</v>
      </c>
      <c r="O88" s="221">
        <v>42111</v>
      </c>
      <c r="P88" s="281"/>
    </row>
    <row r="89" spans="1:16" ht="15.75" x14ac:dyDescent="0.25">
      <c r="A89" s="345"/>
      <c r="B89"/>
      <c r="C89"/>
      <c r="D89"/>
      <c r="E89"/>
      <c r="F89"/>
      <c r="I89" s="49">
        <v>21185.5</v>
      </c>
      <c r="J89" s="144">
        <v>18448</v>
      </c>
      <c r="K89" s="156">
        <v>21185.5</v>
      </c>
      <c r="L89" s="337"/>
      <c r="M89" s="113" t="s">
        <v>202</v>
      </c>
      <c r="N89" s="207">
        <v>33404.5</v>
      </c>
      <c r="O89" s="221">
        <v>42112</v>
      </c>
      <c r="P89" s="281"/>
    </row>
    <row r="90" spans="1:16" ht="15.75" x14ac:dyDescent="0.25">
      <c r="A90" s="345"/>
      <c r="B90"/>
      <c r="C90"/>
      <c r="D90"/>
      <c r="E90"/>
      <c r="F90"/>
      <c r="I90" s="49">
        <v>3757</v>
      </c>
      <c r="J90" s="144">
        <v>18556</v>
      </c>
      <c r="K90" s="156">
        <v>3756.8</v>
      </c>
      <c r="L90" s="321"/>
      <c r="M90" s="113" t="s">
        <v>202</v>
      </c>
      <c r="N90" s="207">
        <v>23050</v>
      </c>
      <c r="O90" s="221">
        <v>42112</v>
      </c>
      <c r="P90" s="281"/>
    </row>
    <row r="91" spans="1:16" ht="15.75" x14ac:dyDescent="0.25">
      <c r="A91" s="345"/>
      <c r="B91"/>
      <c r="C91"/>
      <c r="D91"/>
      <c r="E91"/>
      <c r="F91"/>
      <c r="I91" s="49">
        <f>20235+7691+7691.5+20141.5</f>
        <v>55759</v>
      </c>
      <c r="J91" s="144">
        <v>18609</v>
      </c>
      <c r="K91" s="156">
        <v>55759.4</v>
      </c>
      <c r="L91" s="207"/>
      <c r="M91" s="113" t="s">
        <v>202</v>
      </c>
      <c r="N91" s="207">
        <v>5245.5</v>
      </c>
      <c r="O91" s="221">
        <v>42112</v>
      </c>
      <c r="P91" s="281"/>
    </row>
    <row r="92" spans="1:16" ht="15.75" x14ac:dyDescent="0.25">
      <c r="A92" s="345"/>
      <c r="B92"/>
      <c r="C92"/>
      <c r="D92"/>
      <c r="E92"/>
      <c r="F92"/>
      <c r="I92" s="49">
        <v>6454</v>
      </c>
      <c r="J92" s="144">
        <v>18687</v>
      </c>
      <c r="K92" s="156">
        <v>6453.9</v>
      </c>
      <c r="L92" s="207"/>
      <c r="M92" s="113" t="s">
        <v>202</v>
      </c>
      <c r="N92" s="207">
        <v>6266.5</v>
      </c>
      <c r="O92" s="221">
        <v>42114</v>
      </c>
      <c r="P92" s="281">
        <v>42113</v>
      </c>
    </row>
    <row r="93" spans="1:16" ht="15.75" x14ac:dyDescent="0.25">
      <c r="A93" s="345"/>
      <c r="B93"/>
      <c r="C93"/>
      <c r="D93"/>
      <c r="E93"/>
      <c r="F93"/>
      <c r="I93" s="49">
        <f>15218.5+5611.5+3910</f>
        <v>24740</v>
      </c>
      <c r="J93" s="144">
        <v>18688</v>
      </c>
      <c r="K93" s="156">
        <v>24740.1</v>
      </c>
      <c r="L93" s="207"/>
      <c r="M93" s="113" t="s">
        <v>202</v>
      </c>
      <c r="N93" s="207">
        <v>22575.5</v>
      </c>
      <c r="O93" s="221">
        <v>42114</v>
      </c>
      <c r="P93" s="281">
        <v>42113</v>
      </c>
    </row>
    <row r="94" spans="1:16" ht="15.75" x14ac:dyDescent="0.25">
      <c r="A94" s="345"/>
      <c r="B94"/>
      <c r="C94"/>
      <c r="D94"/>
      <c r="E94"/>
      <c r="F94"/>
      <c r="I94" s="49">
        <f>4381+5643+56007+21270</f>
        <v>87301</v>
      </c>
      <c r="J94" s="144">
        <v>18754</v>
      </c>
      <c r="K94" s="156">
        <v>87301.5</v>
      </c>
      <c r="L94" s="207"/>
      <c r="M94" s="113" t="s">
        <v>202</v>
      </c>
      <c r="N94" s="207">
        <v>16251.5</v>
      </c>
      <c r="O94" s="221">
        <v>42114</v>
      </c>
      <c r="P94" s="281">
        <v>42113</v>
      </c>
    </row>
    <row r="95" spans="1:16" ht="15.75" x14ac:dyDescent="0.25">
      <c r="A95" s="345"/>
      <c r="B95"/>
      <c r="C95"/>
      <c r="D95"/>
      <c r="E95"/>
      <c r="F95"/>
      <c r="I95" s="49">
        <v>13912</v>
      </c>
      <c r="J95" s="144">
        <v>18943</v>
      </c>
      <c r="K95" s="156">
        <v>13911.88</v>
      </c>
      <c r="L95" s="207"/>
      <c r="M95" s="113" t="s">
        <v>202</v>
      </c>
      <c r="N95" s="207">
        <v>21185.5</v>
      </c>
      <c r="O95" s="221">
        <v>42114</v>
      </c>
      <c r="P95" s="281"/>
    </row>
    <row r="96" spans="1:16" ht="15.75" x14ac:dyDescent="0.25">
      <c r="A96" s="345"/>
      <c r="B96"/>
      <c r="C96"/>
      <c r="D96"/>
      <c r="E96"/>
      <c r="F96"/>
      <c r="I96" s="49">
        <f>17578+4928</f>
        <v>22506</v>
      </c>
      <c r="J96" s="144">
        <v>18951</v>
      </c>
      <c r="K96" s="156">
        <v>22506.12</v>
      </c>
      <c r="L96" s="207"/>
      <c r="M96" s="113" t="s">
        <v>202</v>
      </c>
      <c r="N96" s="207">
        <v>1614.5</v>
      </c>
      <c r="O96" s="221">
        <v>42114</v>
      </c>
      <c r="P96" s="281"/>
    </row>
    <row r="97" spans="1:16" ht="15.75" x14ac:dyDescent="0.25">
      <c r="A97" s="345"/>
      <c r="B97"/>
      <c r="C97"/>
      <c r="D97"/>
      <c r="E97"/>
      <c r="F97"/>
      <c r="I97" s="49">
        <v>10344</v>
      </c>
      <c r="J97" s="144">
        <v>19030</v>
      </c>
      <c r="K97" s="156">
        <v>10343.799999999999</v>
      </c>
      <c r="L97" s="207"/>
      <c r="M97" s="113" t="s">
        <v>202</v>
      </c>
      <c r="N97" s="207">
        <v>20141.5</v>
      </c>
      <c r="O97" s="221">
        <v>42115</v>
      </c>
      <c r="P97" s="281"/>
    </row>
    <row r="98" spans="1:16" ht="15.75" x14ac:dyDescent="0.25">
      <c r="A98" s="345"/>
      <c r="B98"/>
      <c r="C98"/>
      <c r="D98"/>
      <c r="E98"/>
      <c r="F98"/>
      <c r="I98" s="49">
        <f>60478.5+5493+10201+13056</f>
        <v>89228.5</v>
      </c>
      <c r="J98" s="144">
        <v>19032</v>
      </c>
      <c r="K98" s="156">
        <v>89228.52</v>
      </c>
      <c r="L98" s="207"/>
      <c r="M98" s="113" t="s">
        <v>202</v>
      </c>
      <c r="N98" s="207">
        <v>7691.5</v>
      </c>
      <c r="O98" s="221">
        <v>42115</v>
      </c>
      <c r="P98" s="281"/>
    </row>
    <row r="99" spans="1:16" ht="15.75" x14ac:dyDescent="0.25">
      <c r="A99" s="345"/>
      <c r="B99"/>
      <c r="C99"/>
      <c r="D99"/>
      <c r="E99"/>
      <c r="F99"/>
      <c r="I99" s="88">
        <f>6680.5+2008+24000</f>
        <v>32688.5</v>
      </c>
      <c r="J99" s="144">
        <v>19213</v>
      </c>
      <c r="K99" s="156">
        <v>32688.560000000001</v>
      </c>
      <c r="L99" s="207"/>
      <c r="M99" s="113" t="s">
        <v>202</v>
      </c>
      <c r="N99" s="207">
        <v>3757</v>
      </c>
      <c r="O99" s="221">
        <v>42115</v>
      </c>
      <c r="P99" s="281"/>
    </row>
    <row r="100" spans="1:16" ht="15.75" x14ac:dyDescent="0.25">
      <c r="A100" s="345"/>
      <c r="B100"/>
      <c r="C100"/>
      <c r="D100"/>
      <c r="E100"/>
      <c r="F100"/>
      <c r="I100" s="49">
        <f>4810+6254.5+6465.5+24934.5</f>
        <v>42464.5</v>
      </c>
      <c r="J100" s="144">
        <v>19302</v>
      </c>
      <c r="K100" s="156">
        <v>42464.5</v>
      </c>
      <c r="L100" s="207"/>
      <c r="M100" s="113" t="s">
        <v>202</v>
      </c>
      <c r="N100" s="207">
        <v>6454</v>
      </c>
      <c r="O100" s="221">
        <v>42116</v>
      </c>
      <c r="P100" s="281"/>
    </row>
    <row r="101" spans="1:16" ht="15.75" x14ac:dyDescent="0.25">
      <c r="I101" s="49">
        <f>28235.5+1614.5</f>
        <v>29850</v>
      </c>
      <c r="J101" s="292">
        <v>19455</v>
      </c>
      <c r="K101" s="157">
        <v>29849.49</v>
      </c>
      <c r="L101" s="207"/>
      <c r="M101" s="113" t="s">
        <v>202</v>
      </c>
      <c r="N101" s="207">
        <v>7691</v>
      </c>
      <c r="O101" s="221">
        <v>42116</v>
      </c>
      <c r="P101" s="252"/>
    </row>
    <row r="102" spans="1:16" ht="15.75" x14ac:dyDescent="0.25">
      <c r="I102" s="49">
        <v>0</v>
      </c>
      <c r="J102" s="292"/>
      <c r="K102" s="157"/>
      <c r="L102" s="260"/>
      <c r="M102" s="113" t="s">
        <v>202</v>
      </c>
      <c r="N102" s="207">
        <v>20235</v>
      </c>
      <c r="O102" s="221">
        <v>42116</v>
      </c>
      <c r="P102" s="252"/>
    </row>
    <row r="103" spans="1:16" ht="15.75" x14ac:dyDescent="0.25">
      <c r="I103" s="88">
        <f>SUM(I84:I102)</f>
        <v>649483.5</v>
      </c>
      <c r="J103" s="263"/>
      <c r="K103" s="130"/>
      <c r="L103" s="130"/>
      <c r="M103" s="113" t="s">
        <v>202</v>
      </c>
      <c r="N103" s="207">
        <v>3910</v>
      </c>
      <c r="O103" s="221">
        <v>42116</v>
      </c>
      <c r="P103" s="252"/>
    </row>
    <row r="104" spans="1:16" ht="15.75" x14ac:dyDescent="0.25">
      <c r="I104" s="49"/>
      <c r="J104" s="262"/>
      <c r="K104" s="207"/>
      <c r="L104" s="207"/>
      <c r="M104" s="113" t="s">
        <v>202</v>
      </c>
      <c r="N104" s="214">
        <v>21270</v>
      </c>
      <c r="O104" s="221">
        <v>42117</v>
      </c>
      <c r="P104" s="252"/>
    </row>
    <row r="105" spans="1:16" ht="15.75" x14ac:dyDescent="0.25">
      <c r="I105" s="49"/>
      <c r="J105" s="262"/>
      <c r="K105" s="207"/>
      <c r="L105" s="207"/>
      <c r="M105" s="113" t="s">
        <v>202</v>
      </c>
      <c r="N105" s="207">
        <v>5611.5</v>
      </c>
      <c r="O105" s="221">
        <v>42117</v>
      </c>
      <c r="P105" s="252"/>
    </row>
    <row r="106" spans="1:16" ht="15.75" x14ac:dyDescent="0.25">
      <c r="I106" s="49"/>
      <c r="J106" s="264"/>
      <c r="K106" s="207"/>
      <c r="L106" s="207"/>
      <c r="M106" s="113" t="s">
        <v>202</v>
      </c>
      <c r="N106" s="207">
        <v>15218.5</v>
      </c>
      <c r="O106" s="221">
        <v>42117</v>
      </c>
      <c r="P106" s="252"/>
    </row>
    <row r="107" spans="1:16" ht="15.75" x14ac:dyDescent="0.25">
      <c r="I107" s="49"/>
      <c r="J107" s="264"/>
      <c r="K107" s="130"/>
      <c r="L107" s="130"/>
      <c r="M107" s="113" t="s">
        <v>202</v>
      </c>
      <c r="N107" s="207">
        <v>56007</v>
      </c>
      <c r="O107" s="221">
        <v>42118</v>
      </c>
      <c r="P107" s="252"/>
    </row>
    <row r="108" spans="1:16" ht="15.75" x14ac:dyDescent="0.25">
      <c r="I108" s="49"/>
      <c r="J108" s="193"/>
      <c r="K108" s="207"/>
      <c r="L108" s="207"/>
      <c r="M108" s="113" t="s">
        <v>202</v>
      </c>
      <c r="N108" s="207">
        <v>5643</v>
      </c>
      <c r="O108" s="221">
        <v>42118</v>
      </c>
      <c r="P108" s="252"/>
    </row>
    <row r="109" spans="1:16" ht="15.75" x14ac:dyDescent="0.25">
      <c r="I109" s="153"/>
      <c r="J109" s="193"/>
      <c r="K109" s="207"/>
      <c r="L109" s="207"/>
      <c r="M109" s="113" t="s">
        <v>202</v>
      </c>
      <c r="N109" s="214">
        <v>4381</v>
      </c>
      <c r="O109" s="221">
        <v>42119</v>
      </c>
      <c r="P109" s="252"/>
    </row>
    <row r="110" spans="1:16" ht="15.75" x14ac:dyDescent="0.25">
      <c r="I110" s="208"/>
      <c r="J110" s="193"/>
      <c r="K110" s="207"/>
      <c r="L110" s="207"/>
      <c r="M110" s="113" t="s">
        <v>202</v>
      </c>
      <c r="N110" s="207">
        <v>10344</v>
      </c>
      <c r="O110" s="221">
        <v>42119</v>
      </c>
      <c r="P110" s="252"/>
    </row>
    <row r="111" spans="1:16" ht="15.75" x14ac:dyDescent="0.25">
      <c r="I111" s="153"/>
      <c r="J111" s="193"/>
      <c r="K111" s="207"/>
      <c r="L111" s="207"/>
      <c r="M111" s="113" t="s">
        <v>202</v>
      </c>
      <c r="N111" s="207">
        <v>13912</v>
      </c>
      <c r="O111" s="221">
        <v>42119</v>
      </c>
      <c r="P111" s="252"/>
    </row>
    <row r="112" spans="1:16" ht="15.75" x14ac:dyDescent="0.25">
      <c r="I112" s="153"/>
      <c r="J112" s="193"/>
      <c r="K112" s="207"/>
      <c r="L112" s="207"/>
      <c r="M112" s="113" t="s">
        <v>202</v>
      </c>
      <c r="N112" s="207">
        <v>13056</v>
      </c>
      <c r="O112" s="221">
        <v>42119</v>
      </c>
      <c r="P112" s="252"/>
    </row>
    <row r="113" spans="9:16" ht="15.75" x14ac:dyDescent="0.25">
      <c r="I113" s="153"/>
      <c r="J113" s="206"/>
      <c r="K113" s="207"/>
      <c r="L113" s="207"/>
      <c r="M113" s="113" t="s">
        <v>202</v>
      </c>
      <c r="N113" s="207">
        <v>10201</v>
      </c>
      <c r="O113" s="221">
        <v>42119</v>
      </c>
      <c r="P113" s="252"/>
    </row>
    <row r="114" spans="9:16" ht="15.75" x14ac:dyDescent="0.25">
      <c r="I114" s="153"/>
      <c r="J114" s="206"/>
      <c r="K114" s="207"/>
      <c r="L114" s="207"/>
      <c r="M114" s="113" t="s">
        <v>202</v>
      </c>
      <c r="N114" s="207">
        <v>4928</v>
      </c>
      <c r="O114" s="222">
        <v>42119</v>
      </c>
      <c r="P114" s="252"/>
    </row>
    <row r="115" spans="9:16" ht="15.75" x14ac:dyDescent="0.25">
      <c r="I115" s="153"/>
      <c r="J115" s="193"/>
      <c r="K115" s="207"/>
      <c r="L115" s="207"/>
      <c r="M115" s="113" t="s">
        <v>202</v>
      </c>
      <c r="N115" s="207">
        <v>17578</v>
      </c>
      <c r="O115" s="221">
        <v>42119</v>
      </c>
      <c r="P115" s="252"/>
    </row>
    <row r="116" spans="9:16" ht="15.75" x14ac:dyDescent="0.25">
      <c r="I116" s="153"/>
      <c r="J116" s="119"/>
      <c r="K116" s="121"/>
      <c r="L116" s="121"/>
      <c r="M116" s="113" t="s">
        <v>202</v>
      </c>
      <c r="N116" s="121">
        <v>5493</v>
      </c>
      <c r="O116" s="222">
        <v>42121</v>
      </c>
      <c r="P116" s="252">
        <v>42120</v>
      </c>
    </row>
    <row r="117" spans="9:16" ht="15.75" x14ac:dyDescent="0.25">
      <c r="I117" s="153"/>
      <c r="J117" s="119"/>
      <c r="K117" s="121"/>
      <c r="L117" s="121"/>
      <c r="M117" s="113" t="s">
        <v>202</v>
      </c>
      <c r="N117" s="121">
        <v>60478.5</v>
      </c>
      <c r="O117" s="222">
        <v>42121</v>
      </c>
      <c r="P117" s="252">
        <v>42120</v>
      </c>
    </row>
    <row r="118" spans="9:16" ht="15.75" x14ac:dyDescent="0.25">
      <c r="J118" s="119"/>
      <c r="K118" s="121"/>
      <c r="L118" s="121"/>
      <c r="M118" s="113" t="s">
        <v>202</v>
      </c>
      <c r="N118" s="121">
        <v>24000</v>
      </c>
      <c r="O118" s="222">
        <v>42121</v>
      </c>
    </row>
    <row r="119" spans="9:16" ht="15.75" x14ac:dyDescent="0.25">
      <c r="J119" s="119"/>
      <c r="K119" s="121"/>
      <c r="L119" s="121"/>
      <c r="M119" s="113" t="s">
        <v>202</v>
      </c>
      <c r="N119" s="121">
        <v>2008</v>
      </c>
      <c r="O119" s="222">
        <v>42121</v>
      </c>
    </row>
    <row r="120" spans="9:16" ht="15.75" x14ac:dyDescent="0.25">
      <c r="J120" s="119"/>
      <c r="K120" s="121"/>
      <c r="L120" s="121"/>
      <c r="M120" s="113" t="s">
        <v>202</v>
      </c>
      <c r="N120" s="121">
        <v>6680.5</v>
      </c>
      <c r="O120" s="222">
        <v>42121</v>
      </c>
    </row>
    <row r="121" spans="9:16" ht="15.75" x14ac:dyDescent="0.25">
      <c r="J121" s="119"/>
      <c r="K121" s="121"/>
      <c r="L121" s="121"/>
      <c r="M121" s="113" t="s">
        <v>202</v>
      </c>
      <c r="N121" s="121">
        <v>24934.5</v>
      </c>
      <c r="O121" s="222">
        <v>42122</v>
      </c>
    </row>
    <row r="122" spans="9:16" ht="15.75" x14ac:dyDescent="0.25">
      <c r="J122" s="119"/>
      <c r="K122" s="121"/>
      <c r="L122" s="121"/>
      <c r="M122" s="113" t="s">
        <v>202</v>
      </c>
      <c r="N122" s="121">
        <v>6465.5</v>
      </c>
      <c r="O122" s="222">
        <v>42122</v>
      </c>
    </row>
    <row r="123" spans="9:16" ht="15.75" x14ac:dyDescent="0.25">
      <c r="J123" s="119"/>
      <c r="K123" s="121"/>
      <c r="L123" s="121"/>
      <c r="M123" s="113" t="s">
        <v>202</v>
      </c>
      <c r="N123" s="121">
        <v>28235.5</v>
      </c>
      <c r="O123" s="222">
        <v>42123</v>
      </c>
    </row>
    <row r="124" spans="9:16" ht="15.75" x14ac:dyDescent="0.25">
      <c r="J124" s="119"/>
      <c r="K124" s="121"/>
      <c r="L124" s="121"/>
      <c r="M124" s="113" t="s">
        <v>202</v>
      </c>
      <c r="N124" s="121">
        <v>6254.5</v>
      </c>
      <c r="O124" s="222">
        <v>42123</v>
      </c>
    </row>
    <row r="125" spans="9:16" ht="15.75" x14ac:dyDescent="0.25">
      <c r="J125" s="196"/>
      <c r="K125" s="121">
        <v>0</v>
      </c>
      <c r="L125" s="121"/>
      <c r="M125" s="113" t="s">
        <v>202</v>
      </c>
      <c r="N125" s="121">
        <v>4810</v>
      </c>
      <c r="O125" s="222">
        <v>42123</v>
      </c>
    </row>
    <row r="126" spans="9:16" ht="17.25" x14ac:dyDescent="0.4">
      <c r="J126" s="119"/>
      <c r="K126" s="121"/>
      <c r="L126" s="341" t="s">
        <v>397</v>
      </c>
      <c r="M126" s="342"/>
      <c r="N126" s="121">
        <v>1812.6</v>
      </c>
      <c r="O126" s="128" t="s">
        <v>396</v>
      </c>
    </row>
    <row r="127" spans="9:16" ht="15.75" thickBot="1" x14ac:dyDescent="0.3">
      <c r="J127" s="339"/>
      <c r="K127" s="340"/>
      <c r="L127" s="340"/>
      <c r="M127" s="340"/>
      <c r="N127" s="340"/>
      <c r="O127" s="339"/>
    </row>
    <row r="128" spans="9:16" ht="18.75" x14ac:dyDescent="0.3">
      <c r="K128" s="131">
        <f>SUM(K83:K125)</f>
        <v>651296.1</v>
      </c>
      <c r="L128" s="131"/>
      <c r="M128" s="131"/>
      <c r="N128" s="131">
        <f>SUM(N83:N126)</f>
        <v>651296.1</v>
      </c>
    </row>
  </sheetData>
  <sortState ref="A10:D22">
    <sortCondition ref="B10:B22"/>
  </sortState>
  <mergeCells count="1">
    <mergeCell ref="C3:E3"/>
  </mergeCells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OCTUBRE 2014 </vt:lpstr>
      <vt:lpstr>NOVIEMBRE 2014</vt:lpstr>
      <vt:lpstr>DICIEMBRE  2014</vt:lpstr>
      <vt:lpstr>ENERO 2015</vt:lpstr>
      <vt:lpstr>FEBRERO 2015</vt:lpstr>
      <vt:lpstr>MARZO 2015</vt:lpstr>
      <vt:lpstr>Remisiones MARZO 2015</vt:lpstr>
      <vt:lpstr>ABRIL   2015</vt:lpstr>
      <vt:lpstr>Remisiones  ABRIL  2015</vt:lpstr>
      <vt:lpstr>M A Y O    2015</vt:lpstr>
      <vt:lpstr>REMISIONES MAYO 2015</vt:lpstr>
      <vt:lpstr> J U N I O    2015  </vt:lpstr>
      <vt:lpstr>REMISIONES  J U N IO 2015</vt:lpstr>
      <vt:lpstr>Hoja4</vt:lpstr>
      <vt:lpstr>Hoja6</vt:lpstr>
      <vt:lpstr>Hoja1</vt:lpstr>
      <vt:lpstr>Hoja5</vt:lpstr>
      <vt:lpstr>Hoja7</vt:lpstr>
      <vt:lpstr>Hoja8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2015-06-08T14:07:40Z</cp:lastPrinted>
  <dcterms:created xsi:type="dcterms:W3CDTF">2009-02-04T18:28:43Z</dcterms:created>
  <dcterms:modified xsi:type="dcterms:W3CDTF">2015-06-08T14:07:57Z</dcterms:modified>
</cp:coreProperties>
</file>