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0" windowWidth="14040" windowHeight="6975" firstSheet="10" activeTab="14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ABRIL   2015" sheetId="13" r:id="rId8"/>
    <sheet name="Remisiones  ABRIL  2015" sheetId="14" r:id="rId9"/>
    <sheet name="M A Y O    2015" sheetId="15" r:id="rId10"/>
    <sheet name="REMISIONES MAYO 2015" sheetId="16" r:id="rId11"/>
    <sheet name=" J U N I O    2015  " sheetId="17" r:id="rId12"/>
    <sheet name="REMISIONES  J U N IO 2015" sheetId="18" r:id="rId13"/>
    <sheet name="J u  l i o      2015" sheetId="19" r:id="rId14"/>
    <sheet name="Remisiones Julio 2015" sheetId="20" r:id="rId15"/>
    <sheet name="Hoja1" sheetId="21" r:id="rId16"/>
    <sheet name="Hoja5" sheetId="22" r:id="rId17"/>
    <sheet name="Hoja7" sheetId="23" r:id="rId18"/>
    <sheet name="Hoja8" sheetId="24" r:id="rId19"/>
  </sheets>
  <externalReferences>
    <externalReference r:id="rId20"/>
  </externalReferences>
  <calcPr calcId="144525"/>
</workbook>
</file>

<file path=xl/calcChain.xml><?xml version="1.0" encoding="utf-8"?>
<calcChain xmlns="http://schemas.openxmlformats.org/spreadsheetml/2006/main">
  <c r="E32" i="18" l="1"/>
  <c r="J21" i="20"/>
  <c r="J19" i="20"/>
  <c r="J18" i="20"/>
  <c r="J15" i="20"/>
  <c r="J11" i="20"/>
  <c r="J12" i="20"/>
  <c r="J8" i="20"/>
  <c r="J9" i="20"/>
  <c r="J7" i="20"/>
  <c r="J6" i="20"/>
  <c r="J5" i="20"/>
  <c r="J4" i="20"/>
  <c r="O39" i="20"/>
  <c r="C51" i="20" l="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E51" i="20"/>
  <c r="F15" i="20"/>
  <c r="F14" i="20"/>
  <c r="F13" i="20"/>
  <c r="F12" i="20"/>
  <c r="F11" i="20"/>
  <c r="F10" i="20"/>
  <c r="F9" i="20"/>
  <c r="F8" i="20"/>
  <c r="F7" i="20"/>
  <c r="F6" i="20"/>
  <c r="F5" i="20"/>
  <c r="L38" i="19"/>
  <c r="I38" i="19"/>
  <c r="K40" i="19" s="1"/>
  <c r="F38" i="19"/>
  <c r="F41" i="19" s="1"/>
  <c r="C38" i="19"/>
  <c r="F42" i="19" s="1"/>
  <c r="N37" i="19"/>
  <c r="F16" i="20" l="1"/>
  <c r="F51" i="20" s="1"/>
  <c r="F44" i="19"/>
  <c r="F46" i="19" s="1"/>
  <c r="K44" i="19" s="1"/>
  <c r="K47" i="19" s="1"/>
  <c r="E16" i="18"/>
  <c r="J71" i="18"/>
  <c r="J69" i="18"/>
  <c r="J68" i="18"/>
  <c r="J65" i="18"/>
  <c r="J64" i="18"/>
  <c r="J66" i="18"/>
  <c r="J63" i="18"/>
  <c r="J62" i="18"/>
  <c r="J61" i="18"/>
  <c r="J60" i="18"/>
  <c r="J58" i="18"/>
  <c r="J57" i="18"/>
  <c r="J56" i="18"/>
  <c r="J73" i="18" s="1"/>
  <c r="O96" i="18"/>
  <c r="L96" i="18"/>
  <c r="L38" i="17" l="1"/>
  <c r="I38" i="17"/>
  <c r="K40" i="17" s="1"/>
  <c r="F38" i="17"/>
  <c r="F41" i="17" s="1"/>
  <c r="C38" i="17"/>
  <c r="F42" i="17" s="1"/>
  <c r="N37" i="17"/>
  <c r="F44" i="17" l="1"/>
  <c r="F46" i="17" s="1"/>
  <c r="K44" i="17" s="1"/>
  <c r="K47" i="17" s="1"/>
  <c r="AD37" i="17"/>
  <c r="N37" i="15"/>
  <c r="F38" i="13"/>
  <c r="F38" i="15"/>
  <c r="V38" i="17"/>
  <c r="E38" i="16" l="1"/>
  <c r="J26" i="18" l="1"/>
  <c r="J24" i="18"/>
  <c r="J23" i="18"/>
  <c r="J21" i="18"/>
  <c r="J19" i="18"/>
  <c r="J18" i="18"/>
  <c r="J17" i="18"/>
  <c r="J15" i="18"/>
  <c r="J12" i="18"/>
  <c r="J10" i="18"/>
  <c r="J11" i="18"/>
  <c r="J7" i="18"/>
  <c r="J9" i="18"/>
  <c r="J5" i="18"/>
  <c r="J4" i="18"/>
  <c r="O49" i="18"/>
  <c r="L49" i="18"/>
  <c r="AB38" i="17" l="1"/>
  <c r="Y38" i="17"/>
  <c r="AA40" i="17" s="1"/>
  <c r="V41" i="17"/>
  <c r="S38" i="17"/>
  <c r="V42" i="17" s="1"/>
  <c r="L38" i="15"/>
  <c r="I38" i="15"/>
  <c r="K40" i="15" s="1"/>
  <c r="F41" i="15"/>
  <c r="C38" i="15"/>
  <c r="F42" i="15" s="1"/>
  <c r="V44" i="17" l="1"/>
  <c r="V46" i="17" s="1"/>
  <c r="AA44" i="17" s="1"/>
  <c r="AA47" i="17" s="1"/>
  <c r="F44" i="15"/>
  <c r="F46" i="15" s="1"/>
  <c r="K44" i="15" s="1"/>
  <c r="K47" i="15" s="1"/>
  <c r="C61" i="18" l="1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E61" i="18"/>
  <c r="F15" i="18"/>
  <c r="F14" i="18"/>
  <c r="F13" i="18"/>
  <c r="F12" i="18"/>
  <c r="F11" i="18"/>
  <c r="F10" i="18"/>
  <c r="F9" i="18"/>
  <c r="F8" i="18"/>
  <c r="F7" i="18"/>
  <c r="F6" i="18"/>
  <c r="F5" i="18"/>
  <c r="F16" i="18" l="1"/>
  <c r="F61" i="18" s="1"/>
  <c r="E27" i="16"/>
  <c r="I89" i="16" l="1"/>
  <c r="I87" i="16"/>
  <c r="I86" i="16"/>
  <c r="I93" i="16" s="1"/>
  <c r="N98" i="16"/>
  <c r="K98" i="16"/>
  <c r="E21" i="16" l="1"/>
  <c r="E19" i="16"/>
  <c r="N79" i="16" l="1"/>
  <c r="I63" i="16"/>
  <c r="I62" i="16"/>
  <c r="I61" i="16"/>
  <c r="I60" i="16"/>
  <c r="I58" i="16"/>
  <c r="I57" i="16"/>
  <c r="I56" i="16"/>
  <c r="I55" i="16"/>
  <c r="K79" i="16"/>
  <c r="I75" i="16"/>
  <c r="E16" i="16" l="1"/>
  <c r="E37" i="14" l="1"/>
  <c r="K49" i="16" l="1"/>
  <c r="I20" i="16"/>
  <c r="I18" i="16"/>
  <c r="I19" i="16"/>
  <c r="I15" i="16"/>
  <c r="I17" i="16"/>
  <c r="I14" i="16"/>
  <c r="I13" i="16"/>
  <c r="I12" i="16"/>
  <c r="I11" i="16" l="1"/>
  <c r="I10" i="16"/>
  <c r="I8" i="16"/>
  <c r="I7" i="16"/>
  <c r="I6" i="16"/>
  <c r="I5" i="16"/>
  <c r="I4" i="16"/>
  <c r="I24" i="16" s="1"/>
  <c r="N49" i="16"/>
  <c r="C61" i="14" l="1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E17" i="14"/>
  <c r="F17" i="14" s="1"/>
  <c r="F16" i="14"/>
  <c r="F15" i="14"/>
  <c r="F14" i="14"/>
  <c r="E13" i="14"/>
  <c r="F13" i="14" s="1"/>
  <c r="F12" i="14"/>
  <c r="F11" i="14"/>
  <c r="F10" i="14"/>
  <c r="E9" i="14"/>
  <c r="F9" i="14" s="1"/>
  <c r="F8" i="14"/>
  <c r="E7" i="14"/>
  <c r="E61" i="14" s="1"/>
  <c r="F6" i="14"/>
  <c r="F5" i="14"/>
  <c r="F7" i="14" l="1"/>
  <c r="F61" i="14" s="1"/>
  <c r="I103" i="14" l="1"/>
  <c r="I101" i="14"/>
  <c r="I85" i="14"/>
  <c r="I84" i="14"/>
  <c r="I86" i="14"/>
  <c r="I87" i="14"/>
  <c r="I91" i="14"/>
  <c r="I93" i="14"/>
  <c r="I94" i="14"/>
  <c r="I98" i="14"/>
  <c r="I96" i="14"/>
  <c r="I99" i="14"/>
  <c r="I100" i="14"/>
  <c r="N128" i="14"/>
  <c r="K128" i="14" l="1"/>
  <c r="C46" i="16" l="1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46" i="16"/>
  <c r="F6" i="16"/>
  <c r="F5" i="16"/>
  <c r="F7" i="16" l="1"/>
  <c r="F46" i="16" s="1"/>
  <c r="I60" i="14"/>
  <c r="E43" i="12"/>
  <c r="E40" i="12"/>
  <c r="I50" i="14"/>
  <c r="I52" i="14"/>
  <c r="I53" i="14"/>
  <c r="I54" i="14"/>
  <c r="I55" i="14"/>
  <c r="I57" i="14"/>
  <c r="I49" i="14"/>
  <c r="I47" i="14" l="1"/>
  <c r="N78" i="14"/>
  <c r="K78" i="14"/>
  <c r="I9" i="14" l="1"/>
  <c r="N38" i="14"/>
  <c r="I17" i="14"/>
  <c r="I13" i="14"/>
  <c r="I12" i="14"/>
  <c r="I11" i="14"/>
  <c r="I7" i="14"/>
  <c r="I5" i="14"/>
  <c r="I97" i="12"/>
  <c r="K38" i="14" l="1"/>
  <c r="I38" i="13"/>
  <c r="C38" i="13"/>
  <c r="F42" i="13" s="1"/>
  <c r="N37" i="13"/>
  <c r="L38" i="13"/>
  <c r="C38" i="11"/>
  <c r="C38" i="10"/>
  <c r="K40" i="13" l="1"/>
  <c r="F41" i="13" s="1"/>
  <c r="F44" i="13" s="1"/>
  <c r="F46" i="13" s="1"/>
  <c r="F48" i="13" s="1"/>
  <c r="K44" i="13" s="1"/>
  <c r="K47" i="13" s="1"/>
  <c r="F42" i="11" l="1"/>
  <c r="F41" i="11"/>
  <c r="F44" i="11" s="1"/>
  <c r="F46" i="11" s="1"/>
  <c r="F48" i="11" l="1"/>
  <c r="K44" i="11" s="1"/>
  <c r="K47" i="11" s="1"/>
  <c r="N37" i="11"/>
  <c r="L12" i="11"/>
  <c r="E31" i="12" l="1"/>
  <c r="I94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64" i="12" s="1"/>
  <c r="I49" i="12"/>
  <c r="I48" i="12"/>
  <c r="N83" i="12"/>
  <c r="K83" i="12"/>
  <c r="I4" i="12" l="1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F42" i="9" l="1"/>
  <c r="AA97" i="9" l="1"/>
  <c r="S38" i="9"/>
  <c r="X97" i="9"/>
  <c r="L38" i="9" l="1"/>
  <c r="C38" i="9"/>
  <c r="X80" i="9"/>
  <c r="AA80" i="9"/>
  <c r="S45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I38" i="9" l="1"/>
  <c r="K40" i="9" s="1"/>
  <c r="F38" i="9"/>
  <c r="F41" i="9" s="1"/>
  <c r="F44" i="9" l="1"/>
  <c r="F46" i="9" s="1"/>
  <c r="J43" i="9" s="1"/>
  <c r="J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  <c r="L39" i="20"/>
</calcChain>
</file>

<file path=xl/sharedStrings.xml><?xml version="1.0" encoding="utf-8"?>
<sst xmlns="http://schemas.openxmlformats.org/spreadsheetml/2006/main" count="1520" uniqueCount="519">
  <si>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</si>
  <si>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</si>
  <si>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</si>
  <si>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</si>
  <si>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</si>
  <si>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</si>
  <si>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</si>
  <si>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</si>
  <si>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</si>
  <si>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</si>
  <si>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</si>
  <si>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</si>
  <si>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</si>
  <si>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</si>
  <si>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</si>
  <si>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</si>
  <si>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</si>
  <si>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</si>
  <si>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</si>
  <si>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</si>
  <si>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</si>
  <si>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</si>
  <si>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</si>
  <si>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</si>
  <si>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</si>
  <si>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</si>
  <si>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</si>
  <si>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</si>
  <si>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</si>
  <si>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</si>
  <si>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</si>
  <si>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</si>
  <si>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</si>
  <si>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</si>
  <si>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</si>
  <si>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</si>
  <si>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</si>
  <si>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</si>
  <si>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</si>
  <si>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</si>
  <si>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</si>
  <si>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</si>
  <si>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</si>
  <si>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</si>
  <si>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</si>
  <si>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</si>
  <si>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</si>
  <si>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</si>
  <si>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</si>
  <si>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</si>
  <si>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</si>
  <si>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</si>
  <si>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</si>
  <si>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</si>
  <si>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</si>
  <si>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</si>
  <si>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</si>
  <si>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</si>
  <si>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</si>
  <si>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</si>
  <si>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</si>
  <si>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</si>
  <si>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</si>
  <si>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</si>
  <si>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</si>
  <si>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</si>
  <si>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</si>
  <si>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</si>
  <si>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</si>
  <si>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</si>
  <si>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</si>
  <si>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</si>
  <si>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</si>
  <si>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</si>
  <si>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</si>
  <si>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</si>
  <si>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</si>
  <si>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</si>
  <si>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</si>
  <si>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</si>
  <si>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</si>
  <si>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</si>
  <si>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</si>
  <si>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</si>
  <si>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</si>
  <si>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</si>
  <si>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</si>
  <si>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</si>
  <si>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</si>
  <si>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</si>
  <si>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</si>
  <si>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</si>
  <si>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</si>
  <si>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</si>
  <si>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</si>
  <si>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</si>
  <si>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</si>
  <si>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</si>
  <si>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</si>
  <si>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</si>
  <si>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</si>
  <si>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</si>
  <si>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</si>
  <si>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</si>
  <si>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</si>
  <si>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</si>
  <si>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</si>
  <si>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</si>
  <si>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</si>
  <si>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</si>
  <si>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</si>
  <si>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</si>
  <si>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</si>
  <si>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</si>
  <si>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</si>
  <si>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</si>
  <si>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</si>
  <si>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</si>
  <si>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</si>
  <si>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</si>
  <si>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</si>
  <si>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</si>
  <si>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</si>
  <si>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</si>
  <si>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</si>
  <si>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</si>
  <si>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</si>
  <si>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</si>
  <si>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</si>
  <si>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</si>
  <si>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</si>
  <si>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</si>
  <si>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</si>
  <si>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</si>
  <si>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</si>
  <si>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</si>
  <si>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</si>
  <si>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</si>
  <si>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</si>
  <si>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</si>
  <si>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</si>
  <si>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</si>
  <si>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</si>
  <si>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</si>
  <si>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</si>
  <si>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</si>
  <si>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</si>
  <si>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</si>
  <si>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</si>
  <si>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</si>
  <si>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</si>
  <si>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</si>
  <si>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</si>
  <si>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</si>
  <si>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</si>
  <si>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</si>
  <si>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</si>
  <si>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</si>
  <si>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</si>
  <si>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</si>
  <si>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</si>
  <si>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</si>
  <si>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</si>
  <si>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</si>
  <si>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</si>
  <si>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</si>
  <si>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</si>
  <si>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</si>
  <si>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</si>
  <si>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</si>
  <si>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</si>
  <si>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</si>
  <si>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</si>
  <si>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</si>
  <si>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</si>
  <si>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</si>
  <si>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</si>
  <si>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</si>
  <si>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</si>
  <si>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</si>
  <si>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</si>
  <si>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</si>
  <si>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</si>
  <si>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</si>
  <si>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</si>
  <si>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</si>
  <si>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</si>
  <si>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</si>
  <si>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</si>
  <si>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</si>
  <si>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</si>
  <si>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</si>
  <si>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</si>
  <si>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</si>
  <si>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</si>
  <si>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</si>
  <si>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</si>
  <si>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</si>
  <si>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</si>
  <si>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</si>
  <si>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</si>
  <si>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</si>
  <si>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</si>
  <si>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</si>
  <si>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</si>
  <si>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</si>
  <si>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</si>
  <si>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</si>
  <si>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</si>
  <si>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</si>
  <si>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</si>
  <si>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</si>
  <si>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</si>
  <si>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</si>
  <si>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</si>
  <si>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</si>
  <si>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</si>
  <si>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</si>
  <si>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</si>
  <si>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</si>
  <si>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</si>
  <si>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</si>
  <si>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</si>
  <si>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</si>
  <si>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</si>
  <si>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</si>
  <si>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</si>
  <si>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</si>
  <si>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</si>
  <si>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</si>
  <si>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</si>
  <si>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</si>
  <si>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</si>
  <si>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</si>
  <si>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</si>
  <si>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</si>
  <si>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</si>
  <si>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</si>
  <si>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</si>
  <si>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</si>
  <si>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</si>
  <si>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</si>
  <si>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</si>
  <si>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</si>
  <si>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</si>
  <si>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</si>
  <si>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</si>
  <si>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</si>
  <si>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</si>
  <si>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</si>
  <si>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</si>
  <si>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</si>
  <si>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</si>
  <si>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</si>
  <si>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</si>
  <si>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</si>
  <si>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</si>
  <si>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</si>
  <si>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</si>
  <si>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</si>
  <si>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</si>
  <si>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</si>
  <si>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</si>
  <si>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</si>
  <si>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</si>
  <si>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</si>
  <si>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</si>
  <si>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</si>
  <si>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</si>
  <si>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</si>
  <si>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</si>
  <si>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</si>
  <si>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</si>
  <si>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</si>
  <si>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</si>
  <si>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</si>
  <si>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</si>
  <si>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</si>
  <si>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</si>
  <si>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</si>
  <si>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</si>
  <si>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</si>
  <si>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</si>
  <si>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</si>
  <si>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</si>
  <si>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</si>
  <si>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</si>
  <si>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</si>
  <si>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</si>
  <si>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</si>
  <si>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</si>
  <si>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</si>
  <si>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</si>
  <si>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</si>
  <si>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</si>
  <si>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</si>
  <si>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</si>
  <si>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</si>
  <si>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</si>
  <si>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</si>
  <si>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</si>
  <si>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</si>
  <si>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</si>
  <si>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</si>
  <si>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</si>
  <si>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</si>
  <si>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</si>
  <si>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</si>
  <si>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</si>
  <si>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</si>
  <si>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</si>
  <si>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</si>
  <si>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</si>
  <si>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</si>
  <si>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</si>
  <si>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</si>
  <si>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</si>
  <si>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</si>
  <si>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</si>
  <si>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</si>
  <si>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</si>
  <si>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</si>
  <si>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</si>
  <si>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</si>
  <si>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</si>
  <si>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</si>
  <si>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</si>
  <si>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</si>
  <si>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</si>
  <si>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</si>
  <si>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</si>
  <si>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</si>
  <si>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</si>
  <si>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</si>
  <si>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</si>
  <si>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</si>
  <si>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</si>
  <si>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</si>
  <si>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</si>
  <si>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</si>
  <si>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</si>
  <si>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</si>
  <si>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</si>
  <si>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</si>
  <si>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</si>
  <si>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</si>
  <si>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</si>
  <si>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</si>
  <si>
    <t xml:space="preserve">BALANCE       DE   ABRIL       2015     HERRADURA </t>
  </si>
  <si>
    <t>NOMINA 14</t>
  </si>
  <si>
    <t>NOMINA 15</t>
  </si>
  <si>
    <t>NOMINA 16</t>
  </si>
  <si>
    <t>NOMINA 17</t>
  </si>
  <si>
    <t>NOMINA  18</t>
  </si>
  <si>
    <t># 61943---# 61972</t>
  </si>
  <si>
    <t># 61973---# 62024</t>
  </si>
  <si>
    <t># 62025---# 62092</t>
  </si>
  <si>
    <t>SOAPAP 5-Abril</t>
  </si>
  <si>
    <t># 62093---# 62162</t>
  </si>
  <si>
    <t># 62163---# 62218</t>
  </si>
  <si>
    <t># 62219---# 62266</t>
  </si>
  <si>
    <t>ABONO</t>
  </si>
  <si>
    <t># 62267---# 62306</t>
  </si>
  <si>
    <t># 62307---# 62362</t>
  </si>
  <si>
    <t># 62363---# 62426</t>
  </si>
  <si>
    <t># 62427---# 62487</t>
  </si>
  <si>
    <t># 62488 ---# 62555</t>
  </si>
  <si>
    <t># 62556---# 62607</t>
  </si>
  <si>
    <t># 62608---# 62650</t>
  </si>
  <si>
    <t># 62651---# 62692</t>
  </si>
  <si>
    <t>Folio 1305</t>
  </si>
  <si>
    <t>S/Rem 17425</t>
  </si>
  <si>
    <t>Folio 1298</t>
  </si>
  <si>
    <t>S/Rem 16197</t>
  </si>
  <si>
    <t>dif precio vaciada</t>
  </si>
  <si>
    <t>sin Remision</t>
  </si>
  <si>
    <t>Abono</t>
  </si>
  <si>
    <t xml:space="preserve">30-Mar--09-Abril --20-Abril </t>
  </si>
  <si>
    <t>09-Abril---20-Abril</t>
  </si>
  <si>
    <t xml:space="preserve">09-Abril ---20-Abril </t>
  </si>
  <si>
    <t># 62693---# 62750</t>
  </si>
  <si>
    <t># 62751---# 62817</t>
  </si>
  <si>
    <t># 62818---# 62880</t>
  </si>
  <si>
    <t># 62881---# 62950</t>
  </si>
  <si>
    <t># 62951---# 63000</t>
  </si>
  <si>
    <t># 63001---# 63048</t>
  </si>
  <si>
    <t># 63049---# 63093</t>
  </si>
  <si>
    <t># 63094---# 63148</t>
  </si>
  <si>
    <t># 63149---# 63214</t>
  </si>
  <si>
    <t>delantero</t>
  </si>
  <si>
    <t># 63215---# 63290</t>
  </si>
  <si>
    <t># 63291---# 63368</t>
  </si>
  <si>
    <t># 63369---# 63413</t>
  </si>
  <si>
    <t># 63414---# 63467</t>
  </si>
  <si>
    <t># 63468---# 63509</t>
  </si>
  <si>
    <t>Recepcion producto ????</t>
  </si>
  <si>
    <t>??????</t>
  </si>
  <si>
    <t>Recepcion de producto ???</t>
  </si>
  <si>
    <t># 63510---# 63576</t>
  </si>
  <si>
    <t xml:space="preserve">20-Abril -+-02-Mayo </t>
  </si>
  <si>
    <t>FOLIO???</t>
  </si>
  <si>
    <t>PERDIDA</t>
  </si>
  <si>
    <t xml:space="preserve">BALANCE       DE   M A Y O        2015     HERRADURA </t>
  </si>
  <si>
    <t>NOMINA 19</t>
  </si>
  <si>
    <t>NOMINA 20</t>
  </si>
  <si>
    <t>NOMINA 21</t>
  </si>
  <si>
    <t>NOMINA 22</t>
  </si>
  <si>
    <t>NOMINA  23</t>
  </si>
  <si>
    <t xml:space="preserve">SOAPAP </t>
  </si>
  <si>
    <t>#63577---# 63664</t>
  </si>
  <si>
    <t># 63665---# 63734</t>
  </si>
  <si>
    <t># 63735---# 63792</t>
  </si>
  <si>
    <t># 63793---# 63836</t>
  </si>
  <si>
    <t># 63837---# 63880</t>
  </si>
  <si>
    <t># 63881---# 63937</t>
  </si>
  <si>
    <t># 63938---# 63989</t>
  </si>
  <si>
    <t># 63990---# 64050</t>
  </si>
  <si>
    <t># 64051---# 64126</t>
  </si>
  <si>
    <t># 64127---# 64200</t>
  </si>
  <si>
    <t># 64201---# 64244</t>
  </si>
  <si>
    <t># 64245---# 64302</t>
  </si>
  <si>
    <t>Tripas-tocino</t>
  </si>
  <si>
    <t># 64303---# 64352</t>
  </si>
  <si>
    <t>SANTANDER</t>
  </si>
  <si>
    <t>02-May-16-May</t>
  </si>
  <si>
    <t>16-MaY--18-May</t>
  </si>
  <si>
    <t># 64353---# 64410</t>
  </si>
  <si>
    <t># 64411---# 64464</t>
  </si>
  <si>
    <t># 64465---# 64529</t>
  </si>
  <si>
    <t># 64530---# 64588</t>
  </si>
  <si>
    <t># 64589---# 64638</t>
  </si>
  <si>
    <t># 64639---# 64675</t>
  </si>
  <si>
    <t>16-May ---23-May</t>
  </si>
  <si>
    <t xml:space="preserve">23-May --29-May </t>
  </si>
  <si>
    <t># 64761---# 64822</t>
  </si>
  <si>
    <t># 64823---# 64875</t>
  </si>
  <si>
    <t># 64876---# 64928</t>
  </si>
  <si>
    <t># 64929---# 64977</t>
  </si>
  <si>
    <t># 64978---# 65016</t>
  </si>
  <si>
    <t># 65017---# 65058</t>
  </si>
  <si>
    <t xml:space="preserve">tripas  </t>
  </si>
  <si>
    <t># 65059---# 65103</t>
  </si>
  <si>
    <t># 65104---# 65158</t>
  </si>
  <si>
    <t># 65159---# 65223</t>
  </si>
  <si>
    <t># 64676---# 64715</t>
  </si>
  <si>
    <t># 64716---# 64760</t>
  </si>
  <si>
    <t># 65224---# 65296</t>
  </si>
  <si>
    <t>NOMINA 23</t>
  </si>
  <si>
    <t>NOMINA 24</t>
  </si>
  <si>
    <t>NOMINA 25</t>
  </si>
  <si>
    <t>NOMINA  26</t>
  </si>
  <si>
    <t xml:space="preserve">BALANCE       DE   JUNIO        2015     HERRADURA </t>
  </si>
  <si>
    <t># 65297---# 65332</t>
  </si>
  <si>
    <t># 65333---# 65375</t>
  </si>
  <si>
    <t># 65376---# 65415</t>
  </si>
  <si>
    <t># 65416---# 65461</t>
  </si>
  <si>
    <t># 65462---# 65520</t>
  </si>
  <si>
    <t>Tocino</t>
  </si>
  <si>
    <t># 65521---# 65585</t>
  </si>
  <si>
    <t># 65586---# 65650</t>
  </si>
  <si>
    <t># 65651---# 65711</t>
  </si>
  <si>
    <t>Santander</t>
  </si>
  <si>
    <t># 65712---65751</t>
  </si>
  <si>
    <t># 65752---# 65792</t>
  </si>
  <si>
    <t># 65793---# 65838</t>
  </si>
  <si>
    <t># 65839---# 65892</t>
  </si>
  <si>
    <t>Tripas --condimentos</t>
  </si>
  <si>
    <t># 65893---# 65969</t>
  </si>
  <si>
    <t xml:space="preserve">GANANCIA </t>
  </si>
  <si>
    <t>#65970---# 66028</t>
  </si>
  <si>
    <t>TRIPAS</t>
  </si>
  <si>
    <t># 66029---# 66087</t>
  </si>
  <si>
    <t># 66088---# 66121</t>
  </si>
  <si>
    <t># 66122---# 66162</t>
  </si>
  <si>
    <t>10-Jun FOLIO 1501</t>
  </si>
  <si>
    <t># 66163---# 66218</t>
  </si>
  <si>
    <t># 66219---# 66276</t>
  </si>
  <si>
    <t># 66277---# 66347</t>
  </si>
  <si>
    <t>santander</t>
  </si>
  <si>
    <t xml:space="preserve">10-jun --22-Jun </t>
  </si>
  <si>
    <t># 66348---# 66431</t>
  </si>
  <si>
    <t># 66432---# 66487</t>
  </si>
  <si>
    <t>0034 A</t>
  </si>
  <si>
    <t>0107 A</t>
  </si>
  <si>
    <t>0215 A</t>
  </si>
  <si>
    <t>0243 A</t>
  </si>
  <si>
    <t>0283 A</t>
  </si>
  <si>
    <t>0465 A</t>
  </si>
  <si>
    <t>0478 A</t>
  </si>
  <si>
    <t>0480 A</t>
  </si>
  <si>
    <t>0444 A</t>
  </si>
  <si>
    <t>0554 A</t>
  </si>
  <si>
    <t>0577 A</t>
  </si>
  <si>
    <t>0615 A</t>
  </si>
  <si>
    <t>0685 A</t>
  </si>
  <si>
    <t>0786 A</t>
  </si>
  <si>
    <t xml:space="preserve">BALANCE       DE   JUlIO        2015     HERRADURA </t>
  </si>
  <si>
    <t>950 A</t>
  </si>
  <si>
    <t># 66488---# 66532</t>
  </si>
  <si>
    <t># 66533---# 66574</t>
  </si>
  <si>
    <t># 66575---# 66617</t>
  </si>
  <si>
    <t># 66618---# 66681</t>
  </si>
  <si>
    <t># 66682---# 66753</t>
  </si>
  <si>
    <t># 66754---# 66825</t>
  </si>
  <si>
    <t>#  66827---# 66879</t>
  </si>
  <si>
    <t># 66880---# 66927</t>
  </si>
  <si>
    <t>Deposito</t>
  </si>
  <si>
    <t>0950 A</t>
  </si>
  <si>
    <t xml:space="preserve">22-Jun --04-Jul </t>
  </si>
  <si>
    <t>1135 A</t>
  </si>
  <si>
    <t>1142 A</t>
  </si>
  <si>
    <t>1261 A</t>
  </si>
  <si>
    <t>1266 A</t>
  </si>
  <si>
    <t>1365 A</t>
  </si>
  <si>
    <t>922 A</t>
  </si>
  <si>
    <t>1563 A</t>
  </si>
  <si>
    <t>1678 A</t>
  </si>
  <si>
    <t>1826 A</t>
  </si>
  <si>
    <t>1989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</si>
</sst>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00FF"/>
      <name val="Calibri"/>
      <family val="2"/>
    </font>
    <font>
      <b/>
      <u val="singleAccounting"/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43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2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61" xfId="1" applyFont="1" applyFill="1" applyBorder="1"/>
    <xf numFmtId="164" fontId="5" fillId="4" borderId="0" xfId="0" applyNumberFormat="1" applyFont="1" applyFill="1"/>
    <xf numFmtId="15" fontId="0" fillId="4" borderId="10" xfId="0" applyNumberFormat="1" applyFill="1" applyBorder="1"/>
    <xf numFmtId="0" fontId="0" fillId="4" borderId="0" xfId="0" applyFill="1"/>
    <xf numFmtId="15" fontId="0" fillId="4" borderId="15" xfId="0" applyNumberFormat="1" applyFill="1" applyBorder="1"/>
    <xf numFmtId="44" fontId="1" fillId="4" borderId="33" xfId="1" applyFont="1" applyFill="1" applyBorder="1"/>
    <xf numFmtId="16" fontId="17" fillId="0" borderId="0" xfId="0" applyNumberFormat="1" applyFont="1" applyBorder="1"/>
    <xf numFmtId="44" fontId="0" fillId="2" borderId="0" xfId="1" applyFont="1" applyFill="1"/>
    <xf numFmtId="165" fontId="27" fillId="0" borderId="0" xfId="1" applyNumberFormat="1" applyFont="1" applyFill="1"/>
    <xf numFmtId="165" fontId="3" fillId="0" borderId="0" xfId="1" applyNumberFormat="1" applyFont="1" applyFill="1" applyBorder="1"/>
    <xf numFmtId="44" fontId="3" fillId="0" borderId="0" xfId="1" applyFont="1" applyFill="1" applyBorder="1"/>
    <xf numFmtId="165" fontId="3" fillId="0" borderId="0" xfId="1" applyNumberFormat="1" applyFont="1" applyBorder="1"/>
    <xf numFmtId="165" fontId="3" fillId="0" borderId="0" xfId="0" applyNumberFormat="1" applyFont="1" applyFill="1" applyBorder="1"/>
    <xf numFmtId="44" fontId="17" fillId="0" borderId="42" xfId="1" applyFont="1" applyFill="1" applyBorder="1"/>
    <xf numFmtId="44" fontId="1" fillId="5" borderId="42" xfId="1" applyFont="1" applyFill="1" applyBorder="1"/>
    <xf numFmtId="44" fontId="1" fillId="10" borderId="42" xfId="1" applyFont="1" applyFill="1" applyBorder="1"/>
    <xf numFmtId="44" fontId="20" fillId="10" borderId="42" xfId="1" applyFont="1" applyFill="1" applyBorder="1"/>
    <xf numFmtId="0" fontId="22" fillId="8" borderId="25" xfId="0" applyFont="1" applyFill="1" applyBorder="1" applyAlignment="1">
      <alignment horizontal="center"/>
    </xf>
    <xf numFmtId="44" fontId="21" fillId="8" borderId="25" xfId="1" applyFont="1" applyFill="1" applyBorder="1"/>
    <xf numFmtId="165" fontId="27" fillId="0" borderId="0" xfId="1" applyNumberFormat="1" applyFont="1" applyBorder="1"/>
    <xf numFmtId="165" fontId="20" fillId="0" borderId="0" xfId="0" applyNumberFormat="1" applyFont="1" applyFill="1" applyBorder="1"/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9" fillId="0" borderId="37" xfId="1" applyFont="1" applyFill="1" applyBorder="1" applyAlignment="1">
      <alignment horizontal="center"/>
    </xf>
    <xf numFmtId="44" fontId="0" fillId="0" borderId="42" xfId="1" applyFont="1" applyFill="1" applyBorder="1"/>
    <xf numFmtId="165" fontId="21" fillId="11" borderId="0" xfId="1" applyNumberFormat="1" applyFont="1" applyFill="1" applyBorder="1" applyAlignment="1">
      <alignment horizontal="center"/>
    </xf>
    <xf numFmtId="44" fontId="20" fillId="0" borderId="42" xfId="1" applyFont="1" applyFill="1" applyBorder="1"/>
    <xf numFmtId="44" fontId="33" fillId="2" borderId="42" xfId="1" applyFont="1" applyFill="1" applyBorder="1" applyAlignment="1">
      <alignment horizontal="center" wrapText="1"/>
    </xf>
    <xf numFmtId="0" fontId="0" fillId="0" borderId="62" xfId="0" applyBorder="1"/>
    <xf numFmtId="44" fontId="1" fillId="0" borderId="62" xfId="1" applyFont="1" applyBorder="1"/>
    <xf numFmtId="44" fontId="34" fillId="0" borderId="42" xfId="1" applyFont="1" applyBorder="1"/>
    <xf numFmtId="44" fontId="35" fillId="0" borderId="42" xfId="1" applyFont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/>
    <xf numFmtId="44" fontId="1" fillId="0" borderId="0" xfId="0" applyNumberFormat="1" applyFont="1" applyAlignment="1">
      <alignment horizontal="right"/>
    </xf>
    <xf numFmtId="44" fontId="1" fillId="0" borderId="63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7" fillId="0" borderId="64" xfId="1" applyFont="1" applyBorder="1" applyAlignment="1">
      <alignment horizontal="center"/>
    </xf>
    <xf numFmtId="44" fontId="33" fillId="0" borderId="42" xfId="1" applyFont="1" applyFill="1" applyBorder="1" applyAlignment="1">
      <alignment horizontal="center" wrapText="1"/>
    </xf>
    <xf numFmtId="165" fontId="11" fillId="0" borderId="42" xfId="0" applyNumberFormat="1" applyFont="1" applyFill="1" applyBorder="1"/>
    <xf numFmtId="165" fontId="20" fillId="0" borderId="42" xfId="0" applyNumberFormat="1" applyFont="1" applyFill="1" applyBorder="1"/>
    <xf numFmtId="165" fontId="21" fillId="10" borderId="0" xfId="1" applyNumberFormat="1" applyFont="1" applyFill="1" applyBorder="1" applyAlignment="1">
      <alignment horizontal="center"/>
    </xf>
    <xf numFmtId="165" fontId="21" fillId="8" borderId="0" xfId="1" applyNumberFormat="1" applyFont="1" applyFill="1" applyBorder="1" applyAlignment="1">
      <alignment horizontal="center"/>
    </xf>
    <xf numFmtId="165" fontId="21" fillId="13" borderId="0" xfId="1" applyNumberFormat="1" applyFont="1" applyFill="1" applyBorder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Border="1"/>
    <xf numFmtId="1" fontId="30" fillId="0" borderId="0" xfId="0" applyNumberFormat="1" applyFont="1" applyBorder="1" applyAlignment="1">
      <alignment horizontal="center"/>
    </xf>
    <xf numFmtId="0" fontId="32" fillId="0" borderId="0" xfId="0" applyFont="1" applyBorder="1"/>
    <xf numFmtId="165" fontId="1" fillId="0" borderId="0" xfId="0" applyNumberFormat="1" applyFont="1" applyBorder="1"/>
    <xf numFmtId="44" fontId="1" fillId="0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5" xfId="0" applyNumberFormat="1" applyBorder="1" applyAlignment="1">
      <alignment horizontal="left"/>
    </xf>
    <xf numFmtId="44" fontId="36" fillId="0" borderId="28" xfId="1" applyFont="1" applyBorder="1"/>
    <xf numFmtId="0" fontId="1" fillId="0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33" fillId="0" borderId="0" xfId="1" applyFont="1" applyFill="1" applyBorder="1" applyAlignment="1">
      <alignment horizontal="center" wrapText="1"/>
    </xf>
    <xf numFmtId="44" fontId="20" fillId="0" borderId="0" xfId="1" applyFont="1" applyFill="1" applyBorder="1"/>
    <xf numFmtId="1" fontId="31" fillId="0" borderId="0" xfId="0" applyNumberFormat="1" applyFont="1" applyFill="1" applyBorder="1" applyAlignment="1">
      <alignment horizontal="center"/>
    </xf>
    <xf numFmtId="44" fontId="13" fillId="0" borderId="0" xfId="1" applyFont="1" applyFill="1" applyBorder="1"/>
    <xf numFmtId="165" fontId="0" fillId="0" borderId="43" xfId="0" applyNumberFormat="1" applyBorder="1"/>
    <xf numFmtId="0" fontId="0" fillId="0" borderId="65" xfId="0" applyBorder="1"/>
    <xf numFmtId="44" fontId="1" fillId="0" borderId="65" xfId="1" applyFont="1" applyBorder="1"/>
    <xf numFmtId="165" fontId="0" fillId="0" borderId="57" xfId="0" applyNumberFormat="1" applyBorder="1"/>
    <xf numFmtId="44" fontId="26" fillId="0" borderId="25" xfId="1" applyFont="1" applyFill="1" applyBorder="1"/>
    <xf numFmtId="44" fontId="3" fillId="0" borderId="25" xfId="1" applyFont="1" applyFill="1" applyBorder="1"/>
    <xf numFmtId="44" fontId="3" fillId="0" borderId="42" xfId="1" applyFont="1" applyFill="1" applyBorder="1"/>
    <xf numFmtId="44" fontId="26" fillId="0" borderId="42" xfId="1" applyFont="1" applyFill="1" applyBorder="1"/>
    <xf numFmtId="44" fontId="26" fillId="0" borderId="43" xfId="1" applyFont="1" applyFill="1" applyBorder="1"/>
    <xf numFmtId="44" fontId="21" fillId="4" borderId="59" xfId="1" applyFont="1" applyFill="1" applyBorder="1"/>
    <xf numFmtId="44" fontId="1" fillId="4" borderId="60" xfId="1" applyFont="1" applyFill="1" applyBorder="1"/>
    <xf numFmtId="0" fontId="22" fillId="12" borderId="2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438650" y="8496300"/>
          <a:ext cx="149542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0" name="1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1" name="2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2" name="2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3" name="2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4" name="23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7" name="26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8" name="27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9" name="28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0" name="2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1" name="3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2" name="3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5" name="3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6" name="35 Conector recto de flecha"/>
        <xdr:cNvCxnSpPr/>
      </xdr:nvCxnSpPr>
      <xdr:spPr>
        <a:xfrm flipV="1">
          <a:off x="15516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397" t="s">
        <v>17</v>
      </c>
      <c r="D1" s="397"/>
      <c r="E1" s="397"/>
      <c r="F1" s="397"/>
      <c r="G1" s="397"/>
      <c r="H1" s="397"/>
      <c r="I1" s="397"/>
      <c r="J1" s="397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398" t="s">
        <v>14</v>
      </c>
      <c r="F4" s="399"/>
      <c r="I4" s="400" t="s">
        <v>4</v>
      </c>
      <c r="J4" s="401"/>
      <c r="K4" s="401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402" t="s">
        <v>7</v>
      </c>
      <c r="I40" s="403"/>
      <c r="J40" s="404">
        <f>I38+K38</f>
        <v>110987.84</v>
      </c>
      <c r="K40" s="405"/>
    </row>
    <row r="41" spans="1:12" ht="15.75" x14ac:dyDescent="0.25">
      <c r="D41" s="396" t="s">
        <v>8</v>
      </c>
      <c r="E41" s="396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406"/>
      <c r="J43" s="406"/>
      <c r="K43" s="2"/>
    </row>
    <row r="44" spans="1:12" ht="16.5" thickBot="1" x14ac:dyDescent="0.3">
      <c r="D44" s="395" t="s">
        <v>9</v>
      </c>
      <c r="E44" s="395"/>
      <c r="F44" s="59">
        <v>199262.3</v>
      </c>
      <c r="I44" s="407"/>
      <c r="J44" s="407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408" t="s">
        <v>13</v>
      </c>
      <c r="J45" s="409"/>
      <c r="K45" s="412">
        <f>F45+K44</f>
        <v>-229991.74999999983</v>
      </c>
    </row>
    <row r="46" spans="1:12" ht="15.75" thickBot="1" x14ac:dyDescent="0.3">
      <c r="D46" s="394"/>
      <c r="E46" s="394"/>
      <c r="F46" s="55"/>
      <c r="I46" s="410"/>
      <c r="J46" s="411"/>
      <c r="K46" s="413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7"/>
  <sheetViews>
    <sheetView topLeftCell="A26" workbookViewId="0">
      <selection activeCell="N41" sqref="N4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7.7109375" style="43" customWidth="1"/>
    <col min="12" max="12" width="17.85546875" bestFit="1" customWidth="1"/>
    <col min="13" max="13" width="22.5703125" style="364" customWidth="1"/>
    <col min="14" max="14" width="15.85546875" style="202" customWidth="1"/>
  </cols>
  <sheetData>
    <row r="1" spans="1:15" ht="23.25" x14ac:dyDescent="0.35">
      <c r="C1" s="397" t="s">
        <v>402</v>
      </c>
      <c r="D1" s="397"/>
      <c r="E1" s="397"/>
      <c r="F1" s="397"/>
      <c r="G1" s="397"/>
      <c r="H1" s="397"/>
      <c r="I1" s="397"/>
      <c r="J1" s="397"/>
      <c r="K1" s="397"/>
    </row>
    <row r="2" spans="1:15" ht="15.75" thickBot="1" x14ac:dyDescent="0.3">
      <c r="E2" s="36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149916.25</v>
      </c>
      <c r="D4" s="2"/>
      <c r="E4" s="418" t="s">
        <v>14</v>
      </c>
      <c r="F4" s="419"/>
      <c r="I4" s="400" t="s">
        <v>4</v>
      </c>
      <c r="J4" s="401"/>
      <c r="K4" s="401"/>
      <c r="L4" s="401"/>
      <c r="M4" s="69" t="s">
        <v>18</v>
      </c>
      <c r="N4" s="203" t="s">
        <v>264</v>
      </c>
    </row>
    <row r="5" spans="1:15" ht="15.75" thickTop="1" x14ac:dyDescent="0.25">
      <c r="A5" s="21"/>
      <c r="B5" s="39">
        <v>42125</v>
      </c>
      <c r="C5" s="45">
        <v>0</v>
      </c>
      <c r="D5" s="22"/>
      <c r="E5" s="26">
        <v>42125</v>
      </c>
      <c r="F5" s="51">
        <v>74600</v>
      </c>
      <c r="G5" s="23"/>
      <c r="H5" s="24">
        <v>42125</v>
      </c>
      <c r="I5" s="60">
        <v>200</v>
      </c>
      <c r="J5" s="87"/>
      <c r="K5" s="34"/>
      <c r="L5" s="34"/>
      <c r="M5" s="67" t="s">
        <v>409</v>
      </c>
      <c r="N5" s="75">
        <v>74665</v>
      </c>
      <c r="O5" s="80"/>
    </row>
    <row r="6" spans="1:15" x14ac:dyDescent="0.25">
      <c r="A6" s="21"/>
      <c r="B6" s="39">
        <v>42126</v>
      </c>
      <c r="C6" s="45">
        <v>0</v>
      </c>
      <c r="D6" s="29"/>
      <c r="E6" s="26">
        <v>42126</v>
      </c>
      <c r="F6" s="51">
        <v>70197</v>
      </c>
      <c r="G6" s="19"/>
      <c r="H6" s="27">
        <v>42126</v>
      </c>
      <c r="I6" s="61">
        <v>200</v>
      </c>
      <c r="J6" s="88"/>
      <c r="K6" s="13" t="s">
        <v>5</v>
      </c>
      <c r="L6" s="20">
        <v>733</v>
      </c>
      <c r="M6" s="67" t="s">
        <v>410</v>
      </c>
      <c r="N6" s="75">
        <v>72400</v>
      </c>
      <c r="O6" s="80"/>
    </row>
    <row r="7" spans="1:15" x14ac:dyDescent="0.25">
      <c r="A7" s="21"/>
      <c r="B7" s="39">
        <v>42127</v>
      </c>
      <c r="C7" s="45">
        <v>0</v>
      </c>
      <c r="D7" s="32"/>
      <c r="E7" s="26">
        <v>42127</v>
      </c>
      <c r="F7" s="51">
        <v>74013.5</v>
      </c>
      <c r="G7" s="23"/>
      <c r="H7" s="27">
        <v>42127</v>
      </c>
      <c r="I7" s="61">
        <v>200</v>
      </c>
      <c r="J7" s="88"/>
      <c r="K7" s="13" t="s">
        <v>3</v>
      </c>
      <c r="L7" s="20">
        <v>13416</v>
      </c>
      <c r="M7" s="67" t="s">
        <v>411</v>
      </c>
      <c r="N7" s="75">
        <v>74350</v>
      </c>
      <c r="O7" s="80"/>
    </row>
    <row r="8" spans="1:15" x14ac:dyDescent="0.25">
      <c r="A8" s="21"/>
      <c r="B8" s="39">
        <v>42128</v>
      </c>
      <c r="C8" s="45">
        <v>0</v>
      </c>
      <c r="D8" s="22"/>
      <c r="E8" s="26">
        <v>42128</v>
      </c>
      <c r="F8" s="51">
        <v>32809.5</v>
      </c>
      <c r="G8" s="23"/>
      <c r="H8" s="27">
        <v>42128</v>
      </c>
      <c r="I8" s="61">
        <v>220</v>
      </c>
      <c r="J8" s="88"/>
      <c r="K8" s="13" t="s">
        <v>6</v>
      </c>
      <c r="L8" s="20">
        <v>28750</v>
      </c>
      <c r="M8" s="201" t="s">
        <v>412</v>
      </c>
      <c r="N8" s="204">
        <v>30000</v>
      </c>
      <c r="O8" s="80"/>
    </row>
    <row r="9" spans="1:15" x14ac:dyDescent="0.25">
      <c r="A9" s="21"/>
      <c r="B9" s="39">
        <v>42129</v>
      </c>
      <c r="C9" s="45">
        <v>0</v>
      </c>
      <c r="D9" s="22"/>
      <c r="E9" s="26">
        <v>42129</v>
      </c>
      <c r="F9" s="51">
        <v>40720</v>
      </c>
      <c r="G9" s="23"/>
      <c r="H9" s="27">
        <v>42129</v>
      </c>
      <c r="I9" s="61">
        <v>200</v>
      </c>
      <c r="J9" s="88"/>
      <c r="K9" s="13" t="s">
        <v>403</v>
      </c>
      <c r="L9" s="20">
        <v>7662.72</v>
      </c>
      <c r="M9" s="67" t="s">
        <v>413</v>
      </c>
      <c r="N9" s="75">
        <v>41510</v>
      </c>
      <c r="O9" s="80"/>
    </row>
    <row r="10" spans="1:15" x14ac:dyDescent="0.25">
      <c r="A10" s="21"/>
      <c r="B10" s="39">
        <v>42130</v>
      </c>
      <c r="C10" s="45">
        <v>0</v>
      </c>
      <c r="D10" s="32"/>
      <c r="E10" s="26">
        <v>42130</v>
      </c>
      <c r="F10" s="51">
        <v>36153.5</v>
      </c>
      <c r="G10" s="23"/>
      <c r="H10" s="27">
        <v>42130</v>
      </c>
      <c r="I10" s="61">
        <v>232</v>
      </c>
      <c r="J10" s="88"/>
      <c r="K10" s="13" t="s">
        <v>404</v>
      </c>
      <c r="L10" s="20">
        <v>7896.05</v>
      </c>
      <c r="M10" s="67" t="s">
        <v>414</v>
      </c>
      <c r="N10" s="75">
        <v>37750</v>
      </c>
      <c r="O10" s="80"/>
    </row>
    <row r="11" spans="1:15" x14ac:dyDescent="0.25">
      <c r="A11" s="21"/>
      <c r="B11" s="39">
        <v>42131</v>
      </c>
      <c r="C11" s="45">
        <v>0</v>
      </c>
      <c r="D11" s="32"/>
      <c r="E11" s="26">
        <v>42131</v>
      </c>
      <c r="F11" s="51">
        <v>56568</v>
      </c>
      <c r="G11" s="23"/>
      <c r="H11" s="27">
        <v>42131</v>
      </c>
      <c r="I11" s="62">
        <v>200</v>
      </c>
      <c r="J11" s="88"/>
      <c r="K11" s="13" t="s">
        <v>405</v>
      </c>
      <c r="L11" s="20">
        <v>7462.72</v>
      </c>
      <c r="M11" s="67" t="s">
        <v>415</v>
      </c>
      <c r="N11" s="75">
        <v>56360</v>
      </c>
      <c r="O11" s="80"/>
    </row>
    <row r="12" spans="1:15" x14ac:dyDescent="0.25">
      <c r="A12" s="21"/>
      <c r="B12" s="39">
        <v>42132</v>
      </c>
      <c r="C12" s="45">
        <v>0</v>
      </c>
      <c r="D12" s="32"/>
      <c r="E12" s="26">
        <v>42132</v>
      </c>
      <c r="F12" s="51">
        <v>59868.5</v>
      </c>
      <c r="G12" s="23"/>
      <c r="H12" s="27">
        <v>42132</v>
      </c>
      <c r="I12" s="62">
        <v>250</v>
      </c>
      <c r="J12" s="88"/>
      <c r="K12" s="13" t="s">
        <v>406</v>
      </c>
      <c r="L12" s="20">
        <v>0</v>
      </c>
      <c r="M12" s="67" t="s">
        <v>416</v>
      </c>
      <c r="N12" s="75">
        <v>59050</v>
      </c>
      <c r="O12" s="80"/>
    </row>
    <row r="13" spans="1:15" x14ac:dyDescent="0.25">
      <c r="A13" s="21"/>
      <c r="B13" s="39">
        <v>42133</v>
      </c>
      <c r="C13" s="45">
        <v>0</v>
      </c>
      <c r="D13" s="32"/>
      <c r="E13" s="26">
        <v>42133</v>
      </c>
      <c r="F13" s="51">
        <v>95114</v>
      </c>
      <c r="G13" s="23"/>
      <c r="H13" s="27">
        <v>42133</v>
      </c>
      <c r="I13" s="62">
        <v>200</v>
      </c>
      <c r="J13" s="88"/>
      <c r="K13" s="13" t="s">
        <v>407</v>
      </c>
      <c r="L13" s="20">
        <v>0</v>
      </c>
      <c r="M13" s="67" t="s">
        <v>417</v>
      </c>
      <c r="N13" s="75">
        <v>91470</v>
      </c>
      <c r="O13" s="80"/>
    </row>
    <row r="14" spans="1:15" x14ac:dyDescent="0.25">
      <c r="A14" s="21"/>
      <c r="B14" s="39">
        <v>42134</v>
      </c>
      <c r="C14" s="45">
        <v>0</v>
      </c>
      <c r="D14" s="29"/>
      <c r="E14" s="26">
        <v>42134</v>
      </c>
      <c r="F14" s="51">
        <v>80074</v>
      </c>
      <c r="G14" s="23"/>
      <c r="H14" s="27">
        <v>42134</v>
      </c>
      <c r="I14" s="62">
        <v>200</v>
      </c>
      <c r="J14" s="88"/>
      <c r="K14" s="35" t="s">
        <v>16</v>
      </c>
      <c r="L14" s="20">
        <v>0</v>
      </c>
      <c r="M14" s="67" t="s">
        <v>418</v>
      </c>
      <c r="N14" s="75">
        <v>83700</v>
      </c>
      <c r="O14" s="80"/>
    </row>
    <row r="15" spans="1:15" x14ac:dyDescent="0.25">
      <c r="A15" s="21"/>
      <c r="B15" s="39">
        <v>42135</v>
      </c>
      <c r="C15" s="45">
        <v>0</v>
      </c>
      <c r="D15" s="29"/>
      <c r="E15" s="26">
        <v>42135</v>
      </c>
      <c r="F15" s="51">
        <v>37825.5</v>
      </c>
      <c r="G15" s="23"/>
      <c r="H15" s="27">
        <v>42135</v>
      </c>
      <c r="I15" s="62">
        <v>200</v>
      </c>
      <c r="J15" s="88"/>
      <c r="K15" s="28" t="s">
        <v>15</v>
      </c>
      <c r="L15" s="20">
        <v>0</v>
      </c>
      <c r="M15" s="67" t="s">
        <v>419</v>
      </c>
      <c r="N15" s="75">
        <v>37290</v>
      </c>
      <c r="O15" s="80"/>
    </row>
    <row r="16" spans="1:15" x14ac:dyDescent="0.25">
      <c r="A16" s="21"/>
      <c r="B16" s="39">
        <v>42136</v>
      </c>
      <c r="C16" s="45">
        <v>1105.2</v>
      </c>
      <c r="D16" s="32" t="s">
        <v>421</v>
      </c>
      <c r="E16" s="26">
        <v>42136</v>
      </c>
      <c r="F16" s="51">
        <v>33668</v>
      </c>
      <c r="G16" s="23"/>
      <c r="H16" s="27">
        <v>42136</v>
      </c>
      <c r="I16" s="62">
        <v>200</v>
      </c>
      <c r="J16" s="88"/>
      <c r="K16" s="73" t="s">
        <v>52</v>
      </c>
      <c r="L16" s="74">
        <v>0</v>
      </c>
      <c r="M16" s="67" t="s">
        <v>420</v>
      </c>
      <c r="N16" s="75">
        <v>32100</v>
      </c>
      <c r="O16" s="80"/>
    </row>
    <row r="17" spans="1:15" x14ac:dyDescent="0.25">
      <c r="A17" s="21"/>
      <c r="B17" s="39">
        <v>42137</v>
      </c>
      <c r="C17" s="45">
        <v>0</v>
      </c>
      <c r="D17" s="29"/>
      <c r="E17" s="26">
        <v>42137</v>
      </c>
      <c r="F17" s="51">
        <v>41786</v>
      </c>
      <c r="G17" s="23"/>
      <c r="H17" s="27">
        <v>42137</v>
      </c>
      <c r="I17" s="62">
        <v>200</v>
      </c>
      <c r="J17" s="88"/>
      <c r="K17" s="28" t="s">
        <v>53</v>
      </c>
      <c r="L17" s="74">
        <v>0</v>
      </c>
      <c r="M17" s="67" t="s">
        <v>422</v>
      </c>
      <c r="N17" s="75">
        <v>42300</v>
      </c>
      <c r="O17" s="80"/>
    </row>
    <row r="18" spans="1:15" x14ac:dyDescent="0.25">
      <c r="A18" s="21"/>
      <c r="B18" s="39">
        <v>42138</v>
      </c>
      <c r="C18" s="45">
        <v>0</v>
      </c>
      <c r="D18" s="22"/>
      <c r="E18" s="26">
        <v>42138</v>
      </c>
      <c r="F18" s="51">
        <v>46683.5</v>
      </c>
      <c r="G18" s="23"/>
      <c r="H18" s="27">
        <v>42138</v>
      </c>
      <c r="I18" s="62">
        <v>290</v>
      </c>
      <c r="J18" s="89"/>
      <c r="K18" s="28" t="s">
        <v>54</v>
      </c>
      <c r="L18" s="75">
        <v>0</v>
      </c>
      <c r="M18" s="67" t="s">
        <v>426</v>
      </c>
      <c r="N18" s="75">
        <v>46290</v>
      </c>
      <c r="O18" s="80"/>
    </row>
    <row r="19" spans="1:15" x14ac:dyDescent="0.25">
      <c r="A19" s="21"/>
      <c r="B19" s="39">
        <v>42139</v>
      </c>
      <c r="C19" s="45">
        <v>0</v>
      </c>
      <c r="D19" s="29"/>
      <c r="E19" s="26">
        <v>42139</v>
      </c>
      <c r="F19" s="51">
        <v>64667.5</v>
      </c>
      <c r="G19" s="23"/>
      <c r="H19" s="27">
        <v>42139</v>
      </c>
      <c r="I19" s="62">
        <v>200</v>
      </c>
      <c r="J19" s="88"/>
      <c r="K19" s="28" t="s">
        <v>55</v>
      </c>
      <c r="L19" s="75">
        <v>0</v>
      </c>
      <c r="M19" s="67" t="s">
        <v>427</v>
      </c>
      <c r="N19" s="75">
        <v>64940</v>
      </c>
      <c r="O19" s="80"/>
    </row>
    <row r="20" spans="1:15" x14ac:dyDescent="0.25">
      <c r="A20" s="21"/>
      <c r="B20" s="39">
        <v>42140</v>
      </c>
      <c r="C20" s="45">
        <v>0</v>
      </c>
      <c r="D20" s="22"/>
      <c r="E20" s="26">
        <v>42140</v>
      </c>
      <c r="F20" s="51">
        <v>74710.5</v>
      </c>
      <c r="G20" s="23"/>
      <c r="H20" s="27">
        <v>42140</v>
      </c>
      <c r="I20" s="62">
        <v>200</v>
      </c>
      <c r="J20" s="90"/>
      <c r="K20" s="314" t="s">
        <v>408</v>
      </c>
      <c r="L20" s="55">
        <v>0</v>
      </c>
      <c r="M20" s="67" t="s">
        <v>428</v>
      </c>
      <c r="N20" s="75">
        <v>72100</v>
      </c>
      <c r="O20" s="80"/>
    </row>
    <row r="21" spans="1:15" x14ac:dyDescent="0.25">
      <c r="A21" s="21"/>
      <c r="B21" s="39">
        <v>42141</v>
      </c>
      <c r="C21" s="45">
        <v>0</v>
      </c>
      <c r="D21" s="22"/>
      <c r="E21" s="26">
        <v>42141</v>
      </c>
      <c r="F21" s="51">
        <v>60652.5</v>
      </c>
      <c r="G21" s="23"/>
      <c r="H21" s="27">
        <v>42141</v>
      </c>
      <c r="I21" s="62">
        <v>200</v>
      </c>
      <c r="J21" s="88"/>
      <c r="K21" s="25" t="s">
        <v>99</v>
      </c>
      <c r="L21" s="55">
        <v>0</v>
      </c>
      <c r="M21" s="67" t="s">
        <v>429</v>
      </c>
      <c r="N21" s="75">
        <v>61700</v>
      </c>
      <c r="O21" s="80"/>
    </row>
    <row r="22" spans="1:15" x14ac:dyDescent="0.25">
      <c r="A22" s="21"/>
      <c r="B22" s="39">
        <v>42142</v>
      </c>
      <c r="C22" s="45">
        <v>0</v>
      </c>
      <c r="D22" s="22"/>
      <c r="E22" s="26">
        <v>42142</v>
      </c>
      <c r="F22" s="51">
        <v>44322</v>
      </c>
      <c r="G22" s="23"/>
      <c r="H22" s="27">
        <v>42142</v>
      </c>
      <c r="I22" s="62">
        <v>232</v>
      </c>
      <c r="J22" s="90"/>
      <c r="K22" s="122" t="s">
        <v>213</v>
      </c>
      <c r="L22" s="55">
        <v>0</v>
      </c>
      <c r="M22" s="67" t="s">
        <v>430</v>
      </c>
      <c r="N22" s="75">
        <v>44400</v>
      </c>
      <c r="O22" s="80"/>
    </row>
    <row r="23" spans="1:15" x14ac:dyDescent="0.25">
      <c r="A23" s="21"/>
      <c r="B23" s="39">
        <v>42143</v>
      </c>
      <c r="C23" s="45">
        <v>0</v>
      </c>
      <c r="D23" s="22"/>
      <c r="E23" s="26">
        <v>42143</v>
      </c>
      <c r="F23" s="51">
        <v>27964</v>
      </c>
      <c r="G23" s="23"/>
      <c r="H23" s="27">
        <v>42143</v>
      </c>
      <c r="I23" s="62">
        <v>200</v>
      </c>
      <c r="J23" s="88"/>
      <c r="K23" s="11" t="s">
        <v>332</v>
      </c>
      <c r="L23" s="55">
        <v>800</v>
      </c>
      <c r="M23" s="67" t="s">
        <v>431</v>
      </c>
      <c r="N23" s="75">
        <v>28200</v>
      </c>
      <c r="O23" s="80"/>
    </row>
    <row r="24" spans="1:15" x14ac:dyDescent="0.25">
      <c r="A24" s="21"/>
      <c r="B24" s="39">
        <v>42144</v>
      </c>
      <c r="C24" s="45">
        <v>0</v>
      </c>
      <c r="D24" s="29"/>
      <c r="E24" s="26">
        <v>42144</v>
      </c>
      <c r="F24" s="51">
        <v>29395.5</v>
      </c>
      <c r="G24" s="23"/>
      <c r="H24" s="27">
        <v>42144</v>
      </c>
      <c r="I24" s="62">
        <v>200</v>
      </c>
      <c r="J24" s="88"/>
      <c r="K24" s="365">
        <v>42140</v>
      </c>
      <c r="L24" s="55"/>
      <c r="M24" s="67" t="s">
        <v>444</v>
      </c>
      <c r="N24" s="75">
        <v>27350</v>
      </c>
      <c r="O24" s="80"/>
    </row>
    <row r="25" spans="1:15" x14ac:dyDescent="0.25">
      <c r="A25" s="21"/>
      <c r="B25" s="39">
        <v>42145</v>
      </c>
      <c r="C25" s="45">
        <v>0</v>
      </c>
      <c r="D25" s="22"/>
      <c r="E25" s="26">
        <v>42145</v>
      </c>
      <c r="F25" s="51">
        <v>40366</v>
      </c>
      <c r="G25" s="23"/>
      <c r="H25" s="27">
        <v>42145</v>
      </c>
      <c r="I25" s="62">
        <v>200</v>
      </c>
      <c r="J25" s="88"/>
      <c r="K25" s="11"/>
      <c r="L25" s="55"/>
      <c r="M25" s="67" t="s">
        <v>445</v>
      </c>
      <c r="N25" s="75">
        <v>41699.5</v>
      </c>
      <c r="O25" s="80"/>
    </row>
    <row r="26" spans="1:15" x14ac:dyDescent="0.25">
      <c r="A26" s="21"/>
      <c r="B26" s="39">
        <v>42146</v>
      </c>
      <c r="C26" s="45">
        <v>0</v>
      </c>
      <c r="D26" s="29"/>
      <c r="E26" s="26">
        <v>42146</v>
      </c>
      <c r="F26" s="51">
        <v>65774</v>
      </c>
      <c r="G26" s="23"/>
      <c r="H26" s="27">
        <v>42146</v>
      </c>
      <c r="I26" s="62">
        <v>200</v>
      </c>
      <c r="J26" s="88"/>
      <c r="K26" s="11"/>
      <c r="L26" s="55"/>
      <c r="M26" s="67" t="s">
        <v>434</v>
      </c>
      <c r="N26" s="75">
        <v>61050</v>
      </c>
      <c r="O26" s="80"/>
    </row>
    <row r="27" spans="1:15" x14ac:dyDescent="0.25">
      <c r="A27" s="21"/>
      <c r="B27" s="39">
        <v>42147</v>
      </c>
      <c r="C27" s="45">
        <v>0</v>
      </c>
      <c r="D27" s="29"/>
      <c r="E27" s="26">
        <v>42147</v>
      </c>
      <c r="F27" s="51">
        <v>57819</v>
      </c>
      <c r="G27" s="23"/>
      <c r="H27" s="27">
        <v>42147</v>
      </c>
      <c r="I27" s="62">
        <v>200</v>
      </c>
      <c r="J27" s="88"/>
      <c r="K27" s="11"/>
      <c r="L27" s="55"/>
      <c r="M27" s="201" t="s">
        <v>435</v>
      </c>
      <c r="N27" s="204">
        <v>61740</v>
      </c>
      <c r="O27" s="80"/>
    </row>
    <row r="28" spans="1:15" x14ac:dyDescent="0.25">
      <c r="A28" s="21"/>
      <c r="B28" s="39">
        <v>42148</v>
      </c>
      <c r="C28" s="45">
        <v>0</v>
      </c>
      <c r="D28" s="29"/>
      <c r="E28" s="26">
        <v>42148</v>
      </c>
      <c r="F28" s="51">
        <v>59816</v>
      </c>
      <c r="G28" s="23"/>
      <c r="H28" s="27">
        <v>42148</v>
      </c>
      <c r="I28" s="62">
        <v>200</v>
      </c>
      <c r="J28" s="88"/>
      <c r="K28" s="11"/>
      <c r="L28" s="55"/>
      <c r="M28" s="201" t="s">
        <v>436</v>
      </c>
      <c r="N28" s="204">
        <v>58480</v>
      </c>
      <c r="O28" s="80"/>
    </row>
    <row r="29" spans="1:15" x14ac:dyDescent="0.25">
      <c r="A29" s="21"/>
      <c r="B29" s="39">
        <v>42149</v>
      </c>
      <c r="C29" s="45">
        <v>0</v>
      </c>
      <c r="D29" s="29"/>
      <c r="E29" s="26">
        <v>42149</v>
      </c>
      <c r="F29" s="51">
        <v>39016</v>
      </c>
      <c r="G29" s="23"/>
      <c r="H29" s="27">
        <v>42149</v>
      </c>
      <c r="I29" s="62">
        <v>432</v>
      </c>
      <c r="J29" s="88"/>
      <c r="K29" s="11"/>
      <c r="L29" s="20"/>
      <c r="M29" s="67" t="s">
        <v>437</v>
      </c>
      <c r="N29" s="75">
        <v>38960</v>
      </c>
      <c r="O29" s="80"/>
    </row>
    <row r="30" spans="1:15" x14ac:dyDescent="0.25">
      <c r="A30" s="21"/>
      <c r="B30" s="39">
        <v>42150</v>
      </c>
      <c r="C30" s="45">
        <v>0</v>
      </c>
      <c r="D30" s="22"/>
      <c r="E30" s="26">
        <v>42150</v>
      </c>
      <c r="F30" s="51">
        <v>33184.5</v>
      </c>
      <c r="G30" s="23"/>
      <c r="H30" s="27">
        <v>42150</v>
      </c>
      <c r="I30" s="62">
        <v>230</v>
      </c>
      <c r="J30" s="88"/>
      <c r="K30" s="11"/>
      <c r="L30" s="20"/>
      <c r="M30" s="201" t="s">
        <v>438</v>
      </c>
      <c r="N30" s="204">
        <v>33000</v>
      </c>
      <c r="O30" s="80"/>
    </row>
    <row r="31" spans="1:15" x14ac:dyDescent="0.25">
      <c r="A31" s="21"/>
      <c r="B31" s="39">
        <v>42151</v>
      </c>
      <c r="C31" s="45">
        <v>405</v>
      </c>
      <c r="D31" s="22" t="s">
        <v>440</v>
      </c>
      <c r="E31" s="26">
        <v>42151</v>
      </c>
      <c r="F31" s="51">
        <v>29767</v>
      </c>
      <c r="G31" s="23"/>
      <c r="H31" s="27">
        <v>42151</v>
      </c>
      <c r="I31" s="62">
        <v>200</v>
      </c>
      <c r="J31" s="88"/>
      <c r="K31" s="11"/>
      <c r="L31" s="20"/>
      <c r="M31" s="201" t="s">
        <v>439</v>
      </c>
      <c r="N31" s="204">
        <v>28840</v>
      </c>
      <c r="O31" s="80"/>
    </row>
    <row r="32" spans="1:15" x14ac:dyDescent="0.25">
      <c r="A32" s="21"/>
      <c r="B32" s="39">
        <v>42152</v>
      </c>
      <c r="C32" s="45">
        <v>0</v>
      </c>
      <c r="D32" s="22"/>
      <c r="E32" s="26">
        <v>42152</v>
      </c>
      <c r="F32" s="51">
        <v>52517.5</v>
      </c>
      <c r="G32" s="23"/>
      <c r="H32" s="27">
        <v>42152</v>
      </c>
      <c r="I32" s="62">
        <v>200</v>
      </c>
      <c r="J32" s="88"/>
      <c r="K32" s="11"/>
      <c r="L32" s="20"/>
      <c r="M32" s="67" t="s">
        <v>441</v>
      </c>
      <c r="N32" s="75">
        <v>52540</v>
      </c>
      <c r="O32" s="80"/>
    </row>
    <row r="33" spans="1:15" x14ac:dyDescent="0.25">
      <c r="A33" s="21"/>
      <c r="B33" s="39">
        <v>42153</v>
      </c>
      <c r="C33" s="45">
        <v>0</v>
      </c>
      <c r="D33" s="32"/>
      <c r="E33" s="26">
        <v>42153</v>
      </c>
      <c r="F33" s="51">
        <v>65995.5</v>
      </c>
      <c r="G33" s="23"/>
      <c r="H33" s="27">
        <v>42153</v>
      </c>
      <c r="I33" s="62">
        <v>200</v>
      </c>
      <c r="J33" s="88"/>
      <c r="K33" s="11"/>
      <c r="L33" s="20"/>
      <c r="M33" s="67" t="s">
        <v>442</v>
      </c>
      <c r="N33" s="75">
        <v>62200</v>
      </c>
      <c r="O33" s="80"/>
    </row>
    <row r="34" spans="1:15" x14ac:dyDescent="0.25">
      <c r="A34" s="21"/>
      <c r="B34" s="39">
        <v>42154</v>
      </c>
      <c r="C34" s="45">
        <v>0</v>
      </c>
      <c r="D34" s="72"/>
      <c r="E34" s="26">
        <v>42154</v>
      </c>
      <c r="F34" s="51">
        <v>77422</v>
      </c>
      <c r="G34" s="23"/>
      <c r="H34" s="27">
        <v>42154</v>
      </c>
      <c r="I34" s="62">
        <v>200</v>
      </c>
      <c r="J34" s="88"/>
      <c r="K34" s="11"/>
      <c r="L34" s="20"/>
      <c r="M34" s="258" t="s">
        <v>443</v>
      </c>
      <c r="N34" s="202">
        <v>76450</v>
      </c>
      <c r="O34" s="80"/>
    </row>
    <row r="35" spans="1:15" ht="15.75" thickBot="1" x14ac:dyDescent="0.3">
      <c r="A35" s="21"/>
      <c r="B35" s="39">
        <v>42155</v>
      </c>
      <c r="C35" s="45">
        <v>0</v>
      </c>
      <c r="D35" s="22"/>
      <c r="E35" s="26">
        <v>42155</v>
      </c>
      <c r="F35" s="51">
        <v>109028</v>
      </c>
      <c r="G35" s="23"/>
      <c r="H35" s="27">
        <v>42155</v>
      </c>
      <c r="I35" s="62">
        <v>200</v>
      </c>
      <c r="J35" s="88"/>
      <c r="K35" s="11" t="s">
        <v>345</v>
      </c>
      <c r="L35" s="20"/>
      <c r="M35" s="71" t="s">
        <v>446</v>
      </c>
      <c r="N35" s="74">
        <v>112090</v>
      </c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SUM(N5:N35)</f>
        <v>1704974.5</v>
      </c>
    </row>
    <row r="38" spans="1:15" x14ac:dyDescent="0.25">
      <c r="B38" s="42" t="s">
        <v>1</v>
      </c>
      <c r="C38" s="48">
        <f>SUM(C5:C37)</f>
        <v>1510.2</v>
      </c>
      <c r="E38" s="361" t="s">
        <v>1</v>
      </c>
      <c r="F38" s="54">
        <f>SUM(F5:F37)</f>
        <v>1712498.5</v>
      </c>
      <c r="H38" s="363" t="s">
        <v>1</v>
      </c>
      <c r="I38" s="58">
        <f>SUM(I5:I37)</f>
        <v>6686</v>
      </c>
      <c r="J38" s="58"/>
      <c r="K38" s="17" t="s">
        <v>1</v>
      </c>
      <c r="L38" s="4">
        <f t="shared" ref="L38" si="0">SUM(L5:L37)</f>
        <v>66720.490000000005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02" t="s">
        <v>7</v>
      </c>
      <c r="I40" s="403"/>
      <c r="J40" s="362"/>
      <c r="K40" s="404">
        <f>I38+L38</f>
        <v>73406.490000000005</v>
      </c>
      <c r="L40" s="405"/>
    </row>
    <row r="41" spans="1:15" ht="15.75" customHeight="1" x14ac:dyDescent="0.25">
      <c r="D41" s="396" t="s">
        <v>8</v>
      </c>
      <c r="E41" s="396"/>
      <c r="F41" s="56">
        <f>F38-K40</f>
        <v>1639092.01</v>
      </c>
      <c r="I41" s="65"/>
      <c r="J41" s="65"/>
    </row>
    <row r="42" spans="1:15" x14ac:dyDescent="0.25">
      <c r="D42" s="13"/>
      <c r="E42" s="13" t="s">
        <v>0</v>
      </c>
      <c r="F42" s="56">
        <f>-C38</f>
        <v>-1510.2</v>
      </c>
    </row>
    <row r="43" spans="1:15" ht="15.75" thickBot="1" x14ac:dyDescent="0.3">
      <c r="C43" s="43" t="s">
        <v>12</v>
      </c>
      <c r="D43" t="s">
        <v>303</v>
      </c>
      <c r="F43" s="125">
        <v>-1569528.87</v>
      </c>
      <c r="I43" s="406"/>
      <c r="J43" s="406"/>
      <c r="K43" s="406"/>
      <c r="L43" s="2"/>
    </row>
    <row r="44" spans="1:15" ht="16.5" thickTop="1" x14ac:dyDescent="0.25">
      <c r="E44" s="5" t="s">
        <v>10</v>
      </c>
      <c r="F44" s="58">
        <f>SUM(F41:F43)</f>
        <v>68052.939999999944</v>
      </c>
      <c r="I44"/>
      <c r="J44" s="182" t="s">
        <v>251</v>
      </c>
      <c r="K44" s="423">
        <f>F46</f>
        <v>193184.67999999993</v>
      </c>
      <c r="L44" s="424"/>
    </row>
    <row r="45" spans="1:15" ht="15.75" customHeight="1" thickBot="1" x14ac:dyDescent="0.3">
      <c r="D45" s="361" t="s">
        <v>9</v>
      </c>
      <c r="E45" s="361"/>
      <c r="F45" s="366">
        <v>125131.74</v>
      </c>
      <c r="I45" s="432" t="s">
        <v>2</v>
      </c>
      <c r="J45" s="432"/>
      <c r="K45" s="425">
        <v>-149916.25</v>
      </c>
      <c r="L45" s="425"/>
    </row>
    <row r="46" spans="1:15" ht="15.75" customHeight="1" thickBot="1" x14ac:dyDescent="0.3">
      <c r="E46" s="6" t="s">
        <v>347</v>
      </c>
      <c r="F46" s="48">
        <f>F45+F44</f>
        <v>193184.67999999993</v>
      </c>
      <c r="I46"/>
      <c r="J46" s="178"/>
      <c r="K46" s="426">
        <v>0</v>
      </c>
      <c r="L46" s="426"/>
    </row>
    <row r="47" spans="1:15" ht="19.5" thickBot="1" x14ac:dyDescent="0.3">
      <c r="E47" s="5"/>
      <c r="F47" s="56"/>
      <c r="I47" s="436" t="s">
        <v>13</v>
      </c>
      <c r="J47" s="437"/>
      <c r="K47" s="429">
        <f>SUM(K44:L46)</f>
        <v>43268.429999999935</v>
      </c>
      <c r="L47" s="430"/>
    </row>
    <row r="48" spans="1:15" x14ac:dyDescent="0.25">
      <c r="D48" s="406"/>
      <c r="E48" s="406"/>
      <c r="F48" s="58"/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P99"/>
  <sheetViews>
    <sheetView topLeftCell="A28" workbookViewId="0">
      <selection activeCell="D38" sqref="D3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bestFit="1" customWidth="1"/>
    <col min="11" max="11" width="17.42578125" bestFit="1" customWidth="1"/>
    <col min="14" max="14" width="17.42578125" bestFit="1" customWidth="1"/>
  </cols>
  <sheetData>
    <row r="2" spans="1:16" ht="16.5" thickBot="1" x14ac:dyDescent="0.3">
      <c r="I2" s="49"/>
      <c r="J2" s="104"/>
      <c r="K2" s="351">
        <v>42140</v>
      </c>
      <c r="L2" s="215"/>
      <c r="M2" s="134" t="s">
        <v>200</v>
      </c>
      <c r="N2" s="88"/>
    </row>
    <row r="3" spans="1:16" ht="16.5" thickBot="1" x14ac:dyDescent="0.3">
      <c r="C3" s="433" t="s">
        <v>240</v>
      </c>
      <c r="D3" s="434"/>
      <c r="E3" s="435"/>
      <c r="I3" s="49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29" t="s">
        <v>297</v>
      </c>
      <c r="D4" s="329"/>
      <c r="E4" s="329" t="s">
        <v>298</v>
      </c>
      <c r="F4" s="331" t="s">
        <v>299</v>
      </c>
      <c r="I4" s="49">
        <f>19926+6288.5</f>
        <v>26214.5</v>
      </c>
      <c r="J4" s="193">
        <v>19455</v>
      </c>
      <c r="K4" s="130">
        <v>24600.61</v>
      </c>
      <c r="L4" s="348"/>
      <c r="M4" s="113" t="s">
        <v>202</v>
      </c>
      <c r="N4" s="214">
        <v>17420</v>
      </c>
      <c r="O4" s="221">
        <v>42126</v>
      </c>
      <c r="P4" s="281">
        <v>42124</v>
      </c>
    </row>
    <row r="5" spans="1:16" ht="15.75" x14ac:dyDescent="0.25">
      <c r="A5" s="243">
        <v>42125</v>
      </c>
      <c r="B5" s="244">
        <v>19629</v>
      </c>
      <c r="C5" s="245">
        <v>80018.06</v>
      </c>
      <c r="D5" s="104">
        <v>42140</v>
      </c>
      <c r="E5" s="245">
        <v>80018.06</v>
      </c>
      <c r="F5" s="246">
        <f t="shared" ref="F5:F43" si="0">C5-E5</f>
        <v>0</v>
      </c>
      <c r="G5" s="105"/>
      <c r="H5" s="106"/>
      <c r="I5" s="103">
        <f>67635.5+17115</f>
        <v>84750.5</v>
      </c>
      <c r="J5" s="194">
        <v>19536</v>
      </c>
      <c r="K5" s="207">
        <v>84750.48</v>
      </c>
      <c r="L5" s="207"/>
      <c r="M5" s="350" t="s">
        <v>423</v>
      </c>
      <c r="N5" s="207">
        <v>20000</v>
      </c>
      <c r="O5" s="221">
        <v>42124</v>
      </c>
      <c r="P5" s="281"/>
    </row>
    <row r="6" spans="1:16" x14ac:dyDescent="0.25">
      <c r="A6" s="143">
        <v>42126</v>
      </c>
      <c r="B6" s="144">
        <v>19805</v>
      </c>
      <c r="C6" s="156">
        <v>87032.7</v>
      </c>
      <c r="D6" s="104">
        <v>42140</v>
      </c>
      <c r="E6" s="156">
        <v>87032.7</v>
      </c>
      <c r="F6" s="154">
        <f t="shared" si="0"/>
        <v>0</v>
      </c>
      <c r="G6" s="105"/>
      <c r="H6" s="108"/>
      <c r="I6" s="49">
        <f>52148.5+5401.5+17331.5+5136.5</f>
        <v>80018</v>
      </c>
      <c r="J6" s="244">
        <v>19629</v>
      </c>
      <c r="K6" s="245">
        <v>80018.06</v>
      </c>
      <c r="L6" s="207"/>
      <c r="M6" s="350" t="s">
        <v>423</v>
      </c>
      <c r="N6" s="207">
        <v>12930</v>
      </c>
      <c r="O6" s="221">
        <v>42124</v>
      </c>
      <c r="P6" s="281"/>
    </row>
    <row r="7" spans="1:16" x14ac:dyDescent="0.25">
      <c r="A7" s="143">
        <v>42128</v>
      </c>
      <c r="B7" s="144">
        <v>19973</v>
      </c>
      <c r="C7" s="156">
        <v>43274.22</v>
      </c>
      <c r="D7" s="104">
        <v>42140</v>
      </c>
      <c r="E7" s="156">
        <v>43274.22</v>
      </c>
      <c r="F7" s="155">
        <f t="shared" si="0"/>
        <v>0</v>
      </c>
      <c r="G7" s="105"/>
      <c r="H7" s="108"/>
      <c r="I7" s="49">
        <f>19400+30532+31466+5635</f>
        <v>87033</v>
      </c>
      <c r="J7" s="144">
        <v>19805</v>
      </c>
      <c r="K7" s="156">
        <v>87032.7</v>
      </c>
      <c r="L7" s="130"/>
      <c r="M7" s="350" t="s">
        <v>423</v>
      </c>
      <c r="N7" s="207">
        <v>43500</v>
      </c>
      <c r="O7" s="221">
        <v>42124</v>
      </c>
      <c r="P7" s="281"/>
    </row>
    <row r="8" spans="1:16" x14ac:dyDescent="0.25">
      <c r="A8" s="143">
        <v>42129</v>
      </c>
      <c r="B8" s="144">
        <v>20072</v>
      </c>
      <c r="C8" s="156">
        <v>10504.8</v>
      </c>
      <c r="D8" s="104">
        <v>42140</v>
      </c>
      <c r="E8" s="156">
        <v>10504.8</v>
      </c>
      <c r="F8" s="155">
        <f t="shared" si="0"/>
        <v>0</v>
      </c>
      <c r="G8" s="105"/>
      <c r="H8" s="106"/>
      <c r="I8" s="49">
        <f>17901.5+5098.5+7000+7688+5586</f>
        <v>43274</v>
      </c>
      <c r="J8" s="144">
        <v>19973</v>
      </c>
      <c r="K8" s="156">
        <v>43274.22</v>
      </c>
      <c r="L8" s="130"/>
      <c r="M8" s="349" t="s">
        <v>423</v>
      </c>
      <c r="N8" s="214">
        <v>52148.5</v>
      </c>
      <c r="O8" s="221">
        <v>42126</v>
      </c>
      <c r="P8" s="281">
        <v>42125</v>
      </c>
    </row>
    <row r="9" spans="1:16" x14ac:dyDescent="0.25">
      <c r="A9" s="143">
        <v>42130</v>
      </c>
      <c r="B9" s="144">
        <v>20175</v>
      </c>
      <c r="C9" s="156">
        <v>54070.51</v>
      </c>
      <c r="D9" s="104">
        <v>42140</v>
      </c>
      <c r="E9" s="156">
        <v>54070.51</v>
      </c>
      <c r="F9" s="155">
        <f t="shared" si="0"/>
        <v>0</v>
      </c>
      <c r="I9" s="49">
        <v>10505</v>
      </c>
      <c r="J9" s="144">
        <v>20072</v>
      </c>
      <c r="K9" s="156">
        <v>10504.8</v>
      </c>
      <c r="L9" s="207"/>
      <c r="M9" s="226" t="s">
        <v>202</v>
      </c>
      <c r="N9" s="207">
        <v>5401.5</v>
      </c>
      <c r="O9" s="221">
        <v>42126</v>
      </c>
      <c r="P9" s="281">
        <v>42125</v>
      </c>
    </row>
    <row r="10" spans="1:16" x14ac:dyDescent="0.25">
      <c r="A10" s="143">
        <v>42131</v>
      </c>
      <c r="B10" s="144">
        <v>20293</v>
      </c>
      <c r="C10" s="156">
        <v>38110.6</v>
      </c>
      <c r="D10" s="104">
        <v>42140</v>
      </c>
      <c r="E10" s="156">
        <v>38110.6</v>
      </c>
      <c r="F10" s="155">
        <f t="shared" si="0"/>
        <v>0</v>
      </c>
      <c r="I10" s="49">
        <f>28236+6698+19136.5</f>
        <v>54070.5</v>
      </c>
      <c r="J10" s="144">
        <v>20175</v>
      </c>
      <c r="K10" s="156">
        <v>54070.51</v>
      </c>
      <c r="L10" s="334"/>
      <c r="M10" s="226" t="s">
        <v>202</v>
      </c>
      <c r="N10" s="207">
        <v>17115</v>
      </c>
      <c r="O10" s="221">
        <v>42126</v>
      </c>
      <c r="P10" s="281">
        <v>42125</v>
      </c>
    </row>
    <row r="11" spans="1:16" x14ac:dyDescent="0.25">
      <c r="A11" s="143">
        <v>42132</v>
      </c>
      <c r="B11" s="144">
        <v>20383</v>
      </c>
      <c r="C11" s="156">
        <v>34201.199999999997</v>
      </c>
      <c r="D11" s="104">
        <v>42140</v>
      </c>
      <c r="E11" s="156">
        <v>34201.199999999997</v>
      </c>
      <c r="F11" s="155">
        <f t="shared" si="0"/>
        <v>0</v>
      </c>
      <c r="I11" s="49">
        <f>4869.5+33241</f>
        <v>38110.5</v>
      </c>
      <c r="J11" s="144">
        <v>20293</v>
      </c>
      <c r="K11" s="156">
        <v>38110.6</v>
      </c>
      <c r="L11" s="321"/>
      <c r="M11" s="226" t="s">
        <v>423</v>
      </c>
      <c r="N11" s="207">
        <v>19400</v>
      </c>
      <c r="O11" s="221">
        <v>42126</v>
      </c>
      <c r="P11" s="281"/>
    </row>
    <row r="12" spans="1:16" x14ac:dyDescent="0.25">
      <c r="A12" s="143">
        <v>42132</v>
      </c>
      <c r="B12" s="144">
        <v>20456</v>
      </c>
      <c r="C12" s="156">
        <v>74169</v>
      </c>
      <c r="D12" s="104">
        <v>42140</v>
      </c>
      <c r="E12" s="156">
        <v>74169</v>
      </c>
      <c r="F12" s="155">
        <f t="shared" si="0"/>
        <v>0</v>
      </c>
      <c r="I12" s="49">
        <f>4877.5+29323.5</f>
        <v>34201</v>
      </c>
      <c r="J12" s="144">
        <v>20383</v>
      </c>
      <c r="K12" s="156">
        <v>34201.199999999997</v>
      </c>
      <c r="L12" s="207"/>
      <c r="M12" s="226" t="s">
        <v>202</v>
      </c>
      <c r="N12" s="207">
        <v>30532</v>
      </c>
      <c r="O12" s="221">
        <v>42126</v>
      </c>
      <c r="P12" s="281"/>
    </row>
    <row r="13" spans="1:16" ht="15.75" x14ac:dyDescent="0.25">
      <c r="A13" s="143">
        <v>42133</v>
      </c>
      <c r="B13" s="144">
        <v>20585</v>
      </c>
      <c r="C13" s="156">
        <v>118641.73</v>
      </c>
      <c r="D13" s="104">
        <v>42140</v>
      </c>
      <c r="E13" s="156">
        <v>118641.73</v>
      </c>
      <c r="F13" s="155">
        <f t="shared" si="0"/>
        <v>0</v>
      </c>
      <c r="I13" s="49">
        <f>24849+43733+5587</f>
        <v>74169</v>
      </c>
      <c r="J13" s="144">
        <v>20456</v>
      </c>
      <c r="K13" s="156">
        <v>74169</v>
      </c>
      <c r="L13" s="207"/>
      <c r="M13" s="113" t="s">
        <v>202</v>
      </c>
      <c r="N13" s="207">
        <v>17331.5</v>
      </c>
      <c r="O13" s="221">
        <v>42126</v>
      </c>
      <c r="P13" s="281"/>
    </row>
    <row r="14" spans="1:16" ht="15.75" x14ac:dyDescent="0.25">
      <c r="A14" s="143">
        <v>42135</v>
      </c>
      <c r="B14" s="144">
        <v>20723</v>
      </c>
      <c r="C14" s="156">
        <v>43037.05</v>
      </c>
      <c r="D14" s="104">
        <v>42140</v>
      </c>
      <c r="E14" s="156">
        <v>43037.05</v>
      </c>
      <c r="F14" s="155">
        <f t="shared" si="0"/>
        <v>0</v>
      </c>
      <c r="I14" s="49">
        <f>42150+9390+67102</f>
        <v>118642</v>
      </c>
      <c r="J14" s="144">
        <v>20585</v>
      </c>
      <c r="K14" s="156">
        <v>118641.73</v>
      </c>
      <c r="L14" s="207"/>
      <c r="M14" s="113" t="s">
        <v>202</v>
      </c>
      <c r="N14" s="207">
        <v>5136.5</v>
      </c>
      <c r="O14" s="221">
        <v>42126</v>
      </c>
      <c r="P14" s="281"/>
    </row>
    <row r="15" spans="1:16" ht="15.75" x14ac:dyDescent="0.25">
      <c r="A15" s="143">
        <v>42135</v>
      </c>
      <c r="B15" s="144">
        <v>20751</v>
      </c>
      <c r="C15" s="156">
        <v>4081</v>
      </c>
      <c r="D15" s="104">
        <v>42140</v>
      </c>
      <c r="E15" s="156">
        <v>4081</v>
      </c>
      <c r="F15" s="155">
        <f t="shared" si="0"/>
        <v>0</v>
      </c>
      <c r="I15" s="49">
        <f>27645+5564+9828</f>
        <v>43037</v>
      </c>
      <c r="J15" s="144">
        <v>20723</v>
      </c>
      <c r="K15" s="156">
        <v>43037.05</v>
      </c>
      <c r="L15" s="207"/>
      <c r="M15" s="113" t="s">
        <v>202</v>
      </c>
      <c r="N15" s="207">
        <v>31466</v>
      </c>
      <c r="O15" s="221">
        <v>42128</v>
      </c>
      <c r="P15" s="281">
        <v>42127</v>
      </c>
    </row>
    <row r="16" spans="1:16" ht="15.75" x14ac:dyDescent="0.25">
      <c r="A16" s="143">
        <v>42136</v>
      </c>
      <c r="B16" s="144">
        <v>20857</v>
      </c>
      <c r="C16" s="156">
        <v>13150.24</v>
      </c>
      <c r="D16" s="104" t="s">
        <v>425</v>
      </c>
      <c r="E16" s="156">
        <f>11231.84+1918.4</f>
        <v>13150.24</v>
      </c>
      <c r="F16" s="155">
        <f t="shared" si="0"/>
        <v>0</v>
      </c>
      <c r="I16" s="49">
        <v>4081</v>
      </c>
      <c r="J16" s="144">
        <v>20751</v>
      </c>
      <c r="K16" s="156">
        <v>4081</v>
      </c>
      <c r="L16" s="207"/>
      <c r="M16" s="113" t="s">
        <v>202</v>
      </c>
      <c r="N16" s="207">
        <v>5635</v>
      </c>
      <c r="O16" s="221">
        <v>42128</v>
      </c>
      <c r="P16" s="281">
        <v>42127</v>
      </c>
    </row>
    <row r="17" spans="1:16" ht="15.75" x14ac:dyDescent="0.25">
      <c r="A17" s="143">
        <v>42137</v>
      </c>
      <c r="B17" s="144">
        <v>20954</v>
      </c>
      <c r="C17" s="156">
        <v>22984.080000000002</v>
      </c>
      <c r="D17" s="104">
        <v>42140</v>
      </c>
      <c r="E17" s="156">
        <v>22984.080000000002</v>
      </c>
      <c r="F17" s="155">
        <f t="shared" si="0"/>
        <v>0</v>
      </c>
      <c r="I17" s="49">
        <f>5332.5+5899.5</f>
        <v>11232</v>
      </c>
      <c r="J17" s="144">
        <v>20857</v>
      </c>
      <c r="K17" s="156">
        <v>11231.84</v>
      </c>
      <c r="L17" s="334"/>
      <c r="M17" s="113" t="s">
        <v>202</v>
      </c>
      <c r="N17" s="207">
        <v>17901.5</v>
      </c>
      <c r="O17" s="221">
        <v>42128</v>
      </c>
      <c r="P17" s="281"/>
    </row>
    <row r="18" spans="1:16" ht="15.75" x14ac:dyDescent="0.25">
      <c r="A18" s="143">
        <v>42138</v>
      </c>
      <c r="B18" s="144">
        <v>20982</v>
      </c>
      <c r="C18" s="156">
        <v>38860.550000000003</v>
      </c>
      <c r="D18" s="104">
        <v>42140</v>
      </c>
      <c r="E18" s="156">
        <v>38860.550000000003</v>
      </c>
      <c r="F18" s="155">
        <f t="shared" si="0"/>
        <v>0</v>
      </c>
      <c r="I18" s="49">
        <f>6162.5+5448.5+11373</f>
        <v>22984</v>
      </c>
      <c r="J18" s="144">
        <v>20954</v>
      </c>
      <c r="K18" s="156">
        <v>22984.080000000002</v>
      </c>
      <c r="L18" s="207"/>
      <c r="M18" s="113" t="s">
        <v>202</v>
      </c>
      <c r="N18" s="207">
        <v>5098.5</v>
      </c>
      <c r="O18" s="221">
        <v>42128</v>
      </c>
      <c r="P18" s="281"/>
    </row>
    <row r="19" spans="1:16" ht="15.75" x14ac:dyDescent="0.25">
      <c r="A19" s="143">
        <v>42138</v>
      </c>
      <c r="B19" s="144">
        <v>21049</v>
      </c>
      <c r="C19" s="156">
        <v>82501.600000000006</v>
      </c>
      <c r="D19" s="328" t="s">
        <v>432</v>
      </c>
      <c r="E19" s="156">
        <f>26745.5+55756.1</f>
        <v>82501.600000000006</v>
      </c>
      <c r="F19" s="155">
        <f t="shared" si="0"/>
        <v>0</v>
      </c>
      <c r="I19" s="49">
        <f>36137.5+2723</f>
        <v>38860.5</v>
      </c>
      <c r="J19" s="144">
        <v>20982</v>
      </c>
      <c r="K19" s="156">
        <v>38860.550000000003</v>
      </c>
      <c r="L19" s="207"/>
      <c r="M19" s="113" t="s">
        <v>202</v>
      </c>
      <c r="N19" s="207">
        <v>7000</v>
      </c>
      <c r="O19" s="221">
        <v>42131</v>
      </c>
      <c r="P19" s="281">
        <v>42128</v>
      </c>
    </row>
    <row r="20" spans="1:16" ht="15.75" x14ac:dyDescent="0.25">
      <c r="A20" s="143">
        <v>42139</v>
      </c>
      <c r="B20" s="144">
        <v>21196</v>
      </c>
      <c r="C20" s="156">
        <v>59002.8</v>
      </c>
      <c r="D20" s="104">
        <v>42147</v>
      </c>
      <c r="E20" s="103">
        <v>59002.8</v>
      </c>
      <c r="F20" s="155">
        <f t="shared" si="0"/>
        <v>0</v>
      </c>
      <c r="I20" s="88">
        <f>26745.5</f>
        <v>26745.5</v>
      </c>
      <c r="J20" s="144">
        <v>21049</v>
      </c>
      <c r="K20" s="156">
        <v>26745.5</v>
      </c>
      <c r="L20" s="207" t="s">
        <v>361</v>
      </c>
      <c r="M20" s="113" t="s">
        <v>202</v>
      </c>
      <c r="N20" s="207">
        <v>7688</v>
      </c>
      <c r="O20" s="221">
        <v>42129</v>
      </c>
      <c r="P20" s="281"/>
    </row>
    <row r="21" spans="1:16" ht="15.75" x14ac:dyDescent="0.25">
      <c r="A21" s="143">
        <v>42139</v>
      </c>
      <c r="B21" s="144">
        <v>21242</v>
      </c>
      <c r="C21" s="156">
        <v>24602.959999999999</v>
      </c>
      <c r="D21" s="328" t="s">
        <v>432</v>
      </c>
      <c r="E21" s="103">
        <f>1614.5+22988.46</f>
        <v>24602.959999999999</v>
      </c>
      <c r="F21" s="155">
        <f t="shared" si="0"/>
        <v>0</v>
      </c>
      <c r="I21" s="49"/>
      <c r="J21" s="144">
        <v>21242</v>
      </c>
      <c r="K21" s="156">
        <v>1614.5</v>
      </c>
      <c r="L21" s="207" t="s">
        <v>361</v>
      </c>
      <c r="M21" s="113" t="s">
        <v>202</v>
      </c>
      <c r="N21" s="207">
        <v>5586</v>
      </c>
      <c r="O21" s="221">
        <v>42129</v>
      </c>
      <c r="P21" s="281"/>
    </row>
    <row r="22" spans="1:16" ht="15.75" x14ac:dyDescent="0.25">
      <c r="A22" s="143">
        <v>42140</v>
      </c>
      <c r="B22" s="144">
        <v>21307</v>
      </c>
      <c r="C22" s="156">
        <v>26448</v>
      </c>
      <c r="D22" s="104">
        <v>42147</v>
      </c>
      <c r="E22" s="103">
        <v>26448</v>
      </c>
      <c r="F22" s="155">
        <f t="shared" si="0"/>
        <v>0</v>
      </c>
      <c r="I22" s="49"/>
      <c r="J22" s="292"/>
      <c r="K22" s="157"/>
      <c r="L22" s="207"/>
      <c r="M22" s="113" t="s">
        <v>202</v>
      </c>
      <c r="N22" s="207">
        <v>28236</v>
      </c>
      <c r="O22" s="221">
        <v>42129</v>
      </c>
      <c r="P22" s="252"/>
    </row>
    <row r="23" spans="1:16" ht="15.75" x14ac:dyDescent="0.25">
      <c r="A23" s="143">
        <v>42140</v>
      </c>
      <c r="B23" s="144">
        <v>21311</v>
      </c>
      <c r="C23" s="207">
        <v>25584.45</v>
      </c>
      <c r="D23" s="283">
        <v>42147</v>
      </c>
      <c r="E23" s="103">
        <v>25584.45</v>
      </c>
      <c r="F23" s="155">
        <f t="shared" si="0"/>
        <v>0</v>
      </c>
      <c r="I23" s="49">
        <v>0</v>
      </c>
      <c r="J23" s="292"/>
      <c r="K23" s="157"/>
      <c r="L23" s="260"/>
      <c r="M23" s="113" t="s">
        <v>202</v>
      </c>
      <c r="N23" s="207">
        <v>6698</v>
      </c>
      <c r="O23" s="221">
        <v>42130</v>
      </c>
      <c r="P23" s="252"/>
    </row>
    <row r="24" spans="1:16" ht="15.75" x14ac:dyDescent="0.25">
      <c r="A24" s="143">
        <v>42141</v>
      </c>
      <c r="B24" s="144">
        <v>21381</v>
      </c>
      <c r="C24" s="156">
        <v>26114.55</v>
      </c>
      <c r="D24" s="104">
        <v>42147</v>
      </c>
      <c r="E24" s="103">
        <v>26114.55</v>
      </c>
      <c r="F24" s="155">
        <f t="shared" si="0"/>
        <v>0</v>
      </c>
      <c r="I24" s="88">
        <f>SUM(I4:I23)</f>
        <v>797928</v>
      </c>
      <c r="J24" s="263"/>
      <c r="K24" s="130"/>
      <c r="L24" s="130"/>
      <c r="M24" s="113" t="s">
        <v>202</v>
      </c>
      <c r="N24" s="207">
        <v>10505</v>
      </c>
      <c r="O24" s="221">
        <v>42130</v>
      </c>
      <c r="P24" s="252"/>
    </row>
    <row r="25" spans="1:16" ht="15.75" x14ac:dyDescent="0.25">
      <c r="A25" s="143">
        <v>42142</v>
      </c>
      <c r="B25" s="144">
        <v>21426</v>
      </c>
      <c r="C25" s="156">
        <v>31767.93</v>
      </c>
      <c r="D25" s="104">
        <v>42147</v>
      </c>
      <c r="E25" s="103">
        <v>31767.93</v>
      </c>
      <c r="F25" s="155">
        <f t="shared" si="0"/>
        <v>0</v>
      </c>
      <c r="I25" s="49"/>
      <c r="J25" s="262"/>
      <c r="K25" s="207"/>
      <c r="L25" s="207"/>
      <c r="M25" s="113" t="s">
        <v>202</v>
      </c>
      <c r="N25" s="214">
        <v>19136.5</v>
      </c>
      <c r="O25" s="221">
        <v>42130</v>
      </c>
      <c r="P25" s="252"/>
    </row>
    <row r="26" spans="1:16" ht="15.75" x14ac:dyDescent="0.25">
      <c r="A26" s="143">
        <v>42144</v>
      </c>
      <c r="B26" s="144">
        <v>21696</v>
      </c>
      <c r="C26" s="156">
        <v>56804.17</v>
      </c>
      <c r="D26" s="104">
        <v>42147</v>
      </c>
      <c r="E26" s="103">
        <v>56804.17</v>
      </c>
      <c r="F26" s="155">
        <f t="shared" si="0"/>
        <v>0</v>
      </c>
      <c r="I26" s="49"/>
      <c r="J26" s="262"/>
      <c r="K26" s="207"/>
      <c r="L26" s="207"/>
      <c r="M26" s="113" t="s">
        <v>202</v>
      </c>
      <c r="N26" s="207">
        <v>4869.5</v>
      </c>
      <c r="O26" s="221">
        <v>42131</v>
      </c>
      <c r="P26" s="252"/>
    </row>
    <row r="27" spans="1:16" ht="15.75" x14ac:dyDescent="0.25">
      <c r="A27" s="143">
        <v>42145</v>
      </c>
      <c r="B27" s="144">
        <v>21786</v>
      </c>
      <c r="C27" s="156">
        <v>37543.64</v>
      </c>
      <c r="D27" s="145" t="s">
        <v>433</v>
      </c>
      <c r="E27" s="103">
        <f>35923.64+1620</f>
        <v>37543.64</v>
      </c>
      <c r="F27" s="155">
        <f t="shared" si="0"/>
        <v>0</v>
      </c>
      <c r="I27" s="49"/>
      <c r="J27" s="264"/>
      <c r="K27" s="207"/>
      <c r="L27" s="207"/>
      <c r="M27" s="113" t="s">
        <v>202</v>
      </c>
      <c r="N27" s="207">
        <v>33241</v>
      </c>
      <c r="O27" s="221">
        <v>42131</v>
      </c>
      <c r="P27" s="252"/>
    </row>
    <row r="28" spans="1:16" ht="15.75" x14ac:dyDescent="0.25">
      <c r="A28" s="143">
        <v>42146</v>
      </c>
      <c r="B28" s="144">
        <v>21850</v>
      </c>
      <c r="C28" s="156">
        <v>95594.240000000005</v>
      </c>
      <c r="D28" s="104">
        <v>42153</v>
      </c>
      <c r="E28" s="103">
        <v>95594.240000000005</v>
      </c>
      <c r="F28" s="155">
        <f t="shared" si="0"/>
        <v>0</v>
      </c>
      <c r="I28" s="49"/>
      <c r="J28" s="264"/>
      <c r="K28" s="130"/>
      <c r="L28" s="130"/>
      <c r="M28" s="113" t="s">
        <v>202</v>
      </c>
      <c r="N28" s="207">
        <v>4877.5</v>
      </c>
      <c r="O28" s="221">
        <v>42132</v>
      </c>
      <c r="P28" s="252"/>
    </row>
    <row r="29" spans="1:16" ht="15.75" x14ac:dyDescent="0.25">
      <c r="A29" s="143">
        <v>42147</v>
      </c>
      <c r="B29" s="144">
        <v>22037</v>
      </c>
      <c r="C29" s="156">
        <v>83094.64</v>
      </c>
      <c r="D29" s="104">
        <v>42153</v>
      </c>
      <c r="E29" s="103">
        <v>83094.64</v>
      </c>
      <c r="F29" s="155">
        <f t="shared" si="0"/>
        <v>0</v>
      </c>
      <c r="I29" s="49"/>
      <c r="J29" s="193"/>
      <c r="K29" s="207"/>
      <c r="L29" s="207"/>
      <c r="M29" s="113" t="s">
        <v>202</v>
      </c>
      <c r="N29" s="207">
        <v>24849</v>
      </c>
      <c r="O29" s="221">
        <v>42132</v>
      </c>
      <c r="P29" s="252"/>
    </row>
    <row r="30" spans="1:16" ht="15.75" x14ac:dyDescent="0.25">
      <c r="A30" s="143">
        <v>42149</v>
      </c>
      <c r="B30" s="144">
        <v>22192</v>
      </c>
      <c r="C30" s="156">
        <v>9067</v>
      </c>
      <c r="D30" s="104">
        <v>42153</v>
      </c>
      <c r="E30" s="88">
        <v>9067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29323.5</v>
      </c>
      <c r="O30" s="221">
        <v>42132</v>
      </c>
      <c r="P30" s="252"/>
    </row>
    <row r="31" spans="1:16" ht="15.75" x14ac:dyDescent="0.25">
      <c r="A31" s="143">
        <v>42150</v>
      </c>
      <c r="B31" s="144">
        <v>22314</v>
      </c>
      <c r="C31" s="156">
        <v>28982</v>
      </c>
      <c r="D31" s="104">
        <v>42153</v>
      </c>
      <c r="E31" s="103">
        <v>28982</v>
      </c>
      <c r="F31" s="155">
        <f t="shared" si="0"/>
        <v>0</v>
      </c>
      <c r="I31" s="208"/>
      <c r="J31" s="193"/>
      <c r="K31" s="207"/>
      <c r="L31" s="207"/>
      <c r="M31" s="113" t="s">
        <v>202</v>
      </c>
      <c r="N31" s="207">
        <v>43733</v>
      </c>
      <c r="O31" s="221">
        <v>42133</v>
      </c>
      <c r="P31" s="252"/>
    </row>
    <row r="32" spans="1:16" ht="15.75" x14ac:dyDescent="0.25">
      <c r="A32" s="143">
        <v>42151</v>
      </c>
      <c r="B32" s="144">
        <v>22408</v>
      </c>
      <c r="C32" s="156">
        <v>26360.1</v>
      </c>
      <c r="D32" s="320">
        <v>42165</v>
      </c>
      <c r="E32" s="184">
        <v>26360.1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42150</v>
      </c>
      <c r="O32" s="221">
        <v>42133</v>
      </c>
      <c r="P32" s="252"/>
    </row>
    <row r="33" spans="1:16" ht="15.75" x14ac:dyDescent="0.25">
      <c r="A33" s="143">
        <v>42152</v>
      </c>
      <c r="B33" s="144">
        <v>22443</v>
      </c>
      <c r="C33" s="156">
        <v>30947.119999999999</v>
      </c>
      <c r="D33" s="320">
        <v>42165</v>
      </c>
      <c r="E33" s="318">
        <v>30947.119999999999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5587</v>
      </c>
      <c r="O33" s="221">
        <v>42133</v>
      </c>
      <c r="P33" s="252"/>
    </row>
    <row r="34" spans="1:16" ht="15.75" x14ac:dyDescent="0.25">
      <c r="A34" s="143">
        <v>42152</v>
      </c>
      <c r="B34" s="144">
        <v>22444</v>
      </c>
      <c r="C34" s="156">
        <v>3714.8</v>
      </c>
      <c r="D34" s="320">
        <v>42165</v>
      </c>
      <c r="E34" s="318">
        <v>3714.8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9390</v>
      </c>
      <c r="O34" s="221">
        <v>42135</v>
      </c>
      <c r="P34" s="252">
        <v>42134</v>
      </c>
    </row>
    <row r="35" spans="1:16" ht="15.75" x14ac:dyDescent="0.25">
      <c r="A35" s="143">
        <v>42152</v>
      </c>
      <c r="B35" s="144">
        <v>22539</v>
      </c>
      <c r="C35" s="156">
        <v>26917.93</v>
      </c>
      <c r="D35" s="320">
        <v>42165</v>
      </c>
      <c r="E35" s="184">
        <v>26917.93</v>
      </c>
      <c r="F35" s="155">
        <f t="shared" si="0"/>
        <v>0</v>
      </c>
      <c r="I35" s="153"/>
      <c r="J35" s="206"/>
      <c r="K35" s="207"/>
      <c r="L35" s="207"/>
      <c r="M35" s="113" t="s">
        <v>202</v>
      </c>
      <c r="N35" s="207">
        <v>67102</v>
      </c>
      <c r="O35" s="222">
        <v>42135</v>
      </c>
      <c r="P35" s="252">
        <v>42134</v>
      </c>
    </row>
    <row r="36" spans="1:16" ht="15.75" x14ac:dyDescent="0.25">
      <c r="A36" s="143">
        <v>42153</v>
      </c>
      <c r="B36" s="144">
        <v>22588</v>
      </c>
      <c r="C36" s="156">
        <v>22200.37</v>
      </c>
      <c r="D36" s="320">
        <v>42165</v>
      </c>
      <c r="E36" s="184">
        <v>22200.37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27645</v>
      </c>
      <c r="O36" s="221">
        <v>42135</v>
      </c>
      <c r="P36" s="252"/>
    </row>
    <row r="37" spans="1:16" ht="15.75" x14ac:dyDescent="0.25">
      <c r="A37" s="143">
        <v>42153</v>
      </c>
      <c r="B37" s="292">
        <v>22603</v>
      </c>
      <c r="C37" s="157">
        <v>30328.78</v>
      </c>
      <c r="D37" s="320">
        <v>42165</v>
      </c>
      <c r="E37" s="184">
        <v>30328.78</v>
      </c>
      <c r="F37" s="155">
        <f t="shared" si="0"/>
        <v>0</v>
      </c>
      <c r="I37" s="153"/>
      <c r="J37" s="119"/>
      <c r="K37" s="121"/>
      <c r="L37" s="121"/>
      <c r="M37" s="113" t="s">
        <v>202</v>
      </c>
      <c r="N37" s="121">
        <v>4081</v>
      </c>
      <c r="O37" s="222">
        <v>42135</v>
      </c>
      <c r="P37" s="252"/>
    </row>
    <row r="38" spans="1:16" ht="15.75" x14ac:dyDescent="0.25">
      <c r="A38" s="143">
        <v>42153</v>
      </c>
      <c r="B38" s="292">
        <v>22654</v>
      </c>
      <c r="C38" s="157">
        <v>29858</v>
      </c>
      <c r="D38" s="276" t="s">
        <v>474</v>
      </c>
      <c r="E38" s="318">
        <f>29349.6+508.4</f>
        <v>29858</v>
      </c>
      <c r="F38" s="155">
        <f t="shared" si="0"/>
        <v>0</v>
      </c>
      <c r="G38" s="367" t="s">
        <v>12</v>
      </c>
      <c r="I38" s="153"/>
      <c r="J38" s="119"/>
      <c r="K38" s="121"/>
      <c r="L38" s="121"/>
      <c r="M38" s="113" t="s">
        <v>202</v>
      </c>
      <c r="N38" s="121">
        <v>5564</v>
      </c>
      <c r="O38" s="222">
        <v>42135</v>
      </c>
      <c r="P38" s="252"/>
    </row>
    <row r="39" spans="1:16" ht="15.75" x14ac:dyDescent="0.25">
      <c r="A39" s="143">
        <v>42153</v>
      </c>
      <c r="B39" s="292">
        <v>22661</v>
      </c>
      <c r="C39" s="157">
        <v>53986.400000000001</v>
      </c>
      <c r="D39" s="320">
        <v>42165</v>
      </c>
      <c r="E39" s="318">
        <v>53986.400000000001</v>
      </c>
      <c r="F39" s="155">
        <f t="shared" si="0"/>
        <v>0</v>
      </c>
      <c r="I39" s="43"/>
      <c r="J39" s="119"/>
      <c r="K39" s="121"/>
      <c r="L39" s="121"/>
      <c r="M39" s="113" t="s">
        <v>202</v>
      </c>
      <c r="N39" s="121">
        <v>5332.5</v>
      </c>
      <c r="O39" s="222">
        <v>42136</v>
      </c>
    </row>
    <row r="40" spans="1:16" ht="15.75" customHeight="1" x14ac:dyDescent="0.25">
      <c r="A40" s="143">
        <v>42154</v>
      </c>
      <c r="B40" s="292">
        <v>22772</v>
      </c>
      <c r="C40" s="157">
        <v>66211.100000000006</v>
      </c>
      <c r="D40" s="320">
        <v>42165</v>
      </c>
      <c r="E40" s="318">
        <v>66211.100000000006</v>
      </c>
      <c r="F40" s="241">
        <f t="shared" si="0"/>
        <v>0</v>
      </c>
      <c r="I40" s="43"/>
      <c r="J40" s="119"/>
      <c r="K40" s="121"/>
      <c r="L40" s="121"/>
      <c r="M40" s="113" t="s">
        <v>202</v>
      </c>
      <c r="N40" s="121">
        <v>5899.5</v>
      </c>
      <c r="O40" s="222">
        <v>42136</v>
      </c>
    </row>
    <row r="41" spans="1:16" ht="15.75" customHeight="1" x14ac:dyDescent="0.25">
      <c r="A41" s="305">
        <v>42155</v>
      </c>
      <c r="B41" s="306">
        <v>22846</v>
      </c>
      <c r="C41" s="88">
        <v>27190.15</v>
      </c>
      <c r="D41" s="320">
        <v>42165</v>
      </c>
      <c r="E41" s="318">
        <v>27190.15</v>
      </c>
      <c r="F41" s="241">
        <f t="shared" si="0"/>
        <v>0</v>
      </c>
      <c r="I41" s="43"/>
      <c r="J41" s="119"/>
      <c r="K41" s="121"/>
      <c r="L41" s="121"/>
      <c r="M41" s="113" t="s">
        <v>202</v>
      </c>
      <c r="N41" s="121">
        <v>9828</v>
      </c>
      <c r="O41" s="222">
        <v>42136</v>
      </c>
    </row>
    <row r="42" spans="1:16" ht="15.75" x14ac:dyDescent="0.25">
      <c r="A42" s="143">
        <v>42155</v>
      </c>
      <c r="B42" s="307">
        <v>22847</v>
      </c>
      <c r="C42" s="207">
        <v>3078.8</v>
      </c>
      <c r="D42" s="320">
        <v>42165</v>
      </c>
      <c r="E42" s="318">
        <v>3078.8</v>
      </c>
      <c r="F42" s="241">
        <f t="shared" si="0"/>
        <v>0</v>
      </c>
      <c r="I42" s="43"/>
      <c r="J42" s="119"/>
      <c r="K42" s="121"/>
      <c r="L42" s="121"/>
      <c r="M42" s="113" t="s">
        <v>202</v>
      </c>
      <c r="N42" s="121">
        <v>6162.5</v>
      </c>
      <c r="O42" s="222">
        <v>42137</v>
      </c>
    </row>
    <row r="43" spans="1:16" ht="15.75" x14ac:dyDescent="0.25">
      <c r="A43" s="143"/>
      <c r="B43" s="307"/>
      <c r="C43" s="207"/>
      <c r="D43" s="299"/>
      <c r="E43" s="88"/>
      <c r="F43" s="241">
        <f t="shared" si="0"/>
        <v>0</v>
      </c>
      <c r="I43" s="43"/>
      <c r="J43" s="119"/>
      <c r="K43" s="121"/>
      <c r="L43" s="121"/>
      <c r="M43" s="113" t="s">
        <v>202</v>
      </c>
      <c r="N43" s="121">
        <v>36137.5</v>
      </c>
      <c r="O43" s="222">
        <v>42137</v>
      </c>
    </row>
    <row r="44" spans="1:16" ht="15.75" x14ac:dyDescent="0.25">
      <c r="A44" s="286"/>
      <c r="B44" s="289"/>
      <c r="C44" s="150"/>
      <c r="D44" s="119"/>
      <c r="E44" s="150"/>
      <c r="F44" s="332"/>
      <c r="I44" s="43"/>
      <c r="J44" s="119"/>
      <c r="K44" s="121"/>
      <c r="L44" s="121"/>
      <c r="M44" s="113" t="s">
        <v>202</v>
      </c>
      <c r="N44" s="121">
        <v>2723</v>
      </c>
      <c r="O44" s="222">
        <v>42138</v>
      </c>
    </row>
    <row r="45" spans="1:16" ht="16.5" customHeight="1" thickBot="1" x14ac:dyDescent="0.3">
      <c r="A45" s="287"/>
      <c r="B45" s="124"/>
      <c r="C45" s="57">
        <v>0</v>
      </c>
      <c r="D45" s="57"/>
      <c r="E45" s="125">
        <v>0</v>
      </c>
      <c r="F45" s="242">
        <v>0</v>
      </c>
      <c r="I45" s="43"/>
      <c r="J45" s="119"/>
      <c r="K45" s="121"/>
      <c r="L45" s="121"/>
      <c r="M45" s="113" t="s">
        <v>202</v>
      </c>
      <c r="N45" s="121">
        <v>5448.5</v>
      </c>
      <c r="O45" s="222">
        <v>42138</v>
      </c>
    </row>
    <row r="46" spans="1:16" ht="16.5" thickTop="1" x14ac:dyDescent="0.25">
      <c r="C46" s="58">
        <f>SUM(C5:C45)</f>
        <v>1570037.2700000003</v>
      </c>
      <c r="D46" s="58"/>
      <c r="E46" s="58">
        <f>SUM(E5:E45)</f>
        <v>1570037.2700000003</v>
      </c>
      <c r="F46" s="360">
        <f>SUM(F5:F45)</f>
        <v>0</v>
      </c>
      <c r="I46" s="43"/>
      <c r="J46" s="196"/>
      <c r="K46" s="121">
        <v>0</v>
      </c>
      <c r="L46" s="121"/>
      <c r="M46" s="113" t="s">
        <v>202</v>
      </c>
      <c r="N46" s="121">
        <v>11373</v>
      </c>
      <c r="O46" s="222">
        <v>42138</v>
      </c>
    </row>
    <row r="47" spans="1:16" ht="17.25" x14ac:dyDescent="0.4">
      <c r="A47" s="305"/>
      <c r="B47" s="105"/>
      <c r="C47" s="103"/>
      <c r="D47" s="104"/>
      <c r="E47" s="103"/>
      <c r="F47" s="213"/>
      <c r="I47" s="43"/>
      <c r="J47" s="119"/>
      <c r="K47" s="121"/>
      <c r="L47" s="338"/>
      <c r="M47" s="339" t="s">
        <v>202</v>
      </c>
      <c r="N47" s="121">
        <v>26745.5</v>
      </c>
      <c r="O47" s="199">
        <v>42138</v>
      </c>
    </row>
    <row r="48" spans="1:16" ht="15.75" thickBot="1" x14ac:dyDescent="0.3">
      <c r="A48" s="305"/>
      <c r="B48" s="105"/>
      <c r="C48" s="88"/>
      <c r="D48" s="356"/>
      <c r="E48" s="56"/>
      <c r="F48" s="49"/>
      <c r="I48" s="43"/>
      <c r="J48" s="336"/>
      <c r="K48" s="337"/>
      <c r="L48" s="337"/>
      <c r="M48" s="337"/>
      <c r="N48" s="337"/>
      <c r="O48" s="336"/>
    </row>
    <row r="49" spans="1:16" ht="18.75" x14ac:dyDescent="0.3">
      <c r="A49" s="294"/>
      <c r="B49" s="357"/>
      <c r="C49" s="55"/>
      <c r="D49" s="356"/>
      <c r="E49" s="56"/>
      <c r="F49" s="49"/>
      <c r="I49" s="43"/>
      <c r="K49" s="131">
        <f>SUM(K4:K47)</f>
        <v>797928.42999999993</v>
      </c>
      <c r="L49" s="131"/>
      <c r="M49" s="131"/>
      <c r="N49" s="131">
        <f>SUM(N4:N47)</f>
        <v>797928</v>
      </c>
    </row>
    <row r="50" spans="1:16" x14ac:dyDescent="0.25">
      <c r="A50" s="84"/>
      <c r="B50" s="358"/>
      <c r="C50" s="55"/>
      <c r="D50" s="359"/>
      <c r="E50" s="55"/>
      <c r="F50" s="49"/>
      <c r="I50" s="43"/>
      <c r="K50" s="58"/>
      <c r="L50" s="58"/>
      <c r="M50" s="58"/>
      <c r="N50" s="58"/>
    </row>
    <row r="51" spans="1:16" x14ac:dyDescent="0.25">
      <c r="A51" s="84"/>
      <c r="B51" s="358"/>
      <c r="C51" s="55"/>
      <c r="D51" s="359"/>
      <c r="E51" s="55"/>
      <c r="F51" s="49"/>
      <c r="I51" s="43"/>
      <c r="K51" s="58"/>
      <c r="L51" s="58"/>
      <c r="M51" s="58"/>
      <c r="N51" s="58"/>
    </row>
    <row r="52" spans="1:16" x14ac:dyDescent="0.25">
      <c r="A52" s="294"/>
      <c r="B52" s="357"/>
      <c r="C52" s="55"/>
      <c r="D52" s="356"/>
      <c r="E52" s="56"/>
      <c r="F52" s="49"/>
      <c r="I52" s="43"/>
      <c r="K52" s="58"/>
      <c r="L52" s="58"/>
      <c r="M52" s="58"/>
      <c r="N52" s="58"/>
    </row>
    <row r="53" spans="1:16" ht="15.75" x14ac:dyDescent="0.25">
      <c r="A53" s="294"/>
      <c r="B53" s="357"/>
      <c r="C53" s="55"/>
      <c r="D53" s="55"/>
      <c r="E53" s="56"/>
      <c r="F53" s="49"/>
      <c r="H53" s="28"/>
      <c r="I53" s="49"/>
      <c r="J53" s="104"/>
      <c r="K53" s="352">
        <v>42147</v>
      </c>
      <c r="L53" s="215"/>
      <c r="M53" s="134" t="s">
        <v>200</v>
      </c>
      <c r="N53" s="88"/>
    </row>
    <row r="54" spans="1:16" x14ac:dyDescent="0.25">
      <c r="A54" s="294"/>
      <c r="B54" s="357"/>
      <c r="C54" s="55"/>
      <c r="D54" s="55"/>
      <c r="E54" s="56"/>
      <c r="F54" s="49"/>
      <c r="H54" s="28"/>
      <c r="I54" s="49"/>
      <c r="J54" s="104"/>
      <c r="K54" s="103"/>
      <c r="L54" s="103"/>
      <c r="M54" s="103"/>
      <c r="N54" s="213"/>
    </row>
    <row r="55" spans="1:16" ht="15.75" x14ac:dyDescent="0.25">
      <c r="A55" s="84"/>
      <c r="B55" s="358"/>
      <c r="C55" s="55"/>
      <c r="D55" s="13"/>
      <c r="E55" s="55"/>
      <c r="F55" s="49"/>
      <c r="H55" s="28"/>
      <c r="I55" s="49">
        <f>5552+50204</f>
        <v>55756</v>
      </c>
      <c r="J55" s="193">
        <v>21049</v>
      </c>
      <c r="K55" s="130">
        <v>55756</v>
      </c>
      <c r="L55" s="348"/>
      <c r="M55" s="113" t="s">
        <v>202</v>
      </c>
      <c r="N55" s="214">
        <v>5552</v>
      </c>
      <c r="O55" s="221">
        <v>42139</v>
      </c>
    </row>
    <row r="56" spans="1:16" ht="15.75" x14ac:dyDescent="0.25">
      <c r="A56" s="84"/>
      <c r="B56" s="358"/>
      <c r="C56" s="55"/>
      <c r="D56" s="13"/>
      <c r="E56" s="55"/>
      <c r="F56" s="49"/>
      <c r="H56" s="28"/>
      <c r="I56" s="103">
        <f>9184+9319+35420.5+5079.5</f>
        <v>59003</v>
      </c>
      <c r="J56" s="194">
        <v>21196</v>
      </c>
      <c r="K56" s="207">
        <v>59002.8</v>
      </c>
      <c r="L56" s="207"/>
      <c r="M56" s="226" t="s">
        <v>202</v>
      </c>
      <c r="N56" s="207">
        <v>50204</v>
      </c>
      <c r="O56" s="221">
        <v>42139</v>
      </c>
    </row>
    <row r="57" spans="1:16" x14ac:dyDescent="0.25">
      <c r="A57" s="84"/>
      <c r="B57" s="358"/>
      <c r="C57" s="55"/>
      <c r="D57" s="13"/>
      <c r="E57" s="55"/>
      <c r="F57" s="49"/>
      <c r="H57" s="28"/>
      <c r="I57" s="49">
        <f>22281+707.5</f>
        <v>22988.5</v>
      </c>
      <c r="J57" s="244">
        <v>21242</v>
      </c>
      <c r="K57" s="245">
        <v>22988.46</v>
      </c>
      <c r="L57" s="207"/>
      <c r="M57" s="226" t="s">
        <v>202</v>
      </c>
      <c r="N57" s="207">
        <v>9184</v>
      </c>
      <c r="O57" s="221">
        <v>42139</v>
      </c>
    </row>
    <row r="58" spans="1:16" x14ac:dyDescent="0.25">
      <c r="A58" s="84"/>
      <c r="B58" s="358"/>
      <c r="C58" s="55"/>
      <c r="D58" s="13"/>
      <c r="E58" s="55"/>
      <c r="F58" s="49"/>
      <c r="H58" s="28"/>
      <c r="I58" s="49">
        <f>19758+6690</f>
        <v>26448</v>
      </c>
      <c r="J58" s="144">
        <v>21307</v>
      </c>
      <c r="K58" s="156">
        <v>26448</v>
      </c>
      <c r="L58" s="130"/>
      <c r="M58" s="226" t="s">
        <v>202</v>
      </c>
      <c r="N58" s="207">
        <v>22281</v>
      </c>
      <c r="O58" s="221">
        <v>42140</v>
      </c>
    </row>
    <row r="59" spans="1:16" x14ac:dyDescent="0.25">
      <c r="H59" s="28"/>
      <c r="I59" s="49">
        <v>25584.5</v>
      </c>
      <c r="J59" s="144">
        <v>21311</v>
      </c>
      <c r="K59" s="207">
        <v>25584.45</v>
      </c>
      <c r="L59" s="130"/>
      <c r="M59" s="226" t="s">
        <v>202</v>
      </c>
      <c r="N59" s="214">
        <v>9319</v>
      </c>
      <c r="O59" s="221">
        <v>42140</v>
      </c>
    </row>
    <row r="60" spans="1:16" x14ac:dyDescent="0.25">
      <c r="H60" s="28"/>
      <c r="I60" s="49">
        <f>8960+11712+5442.5</f>
        <v>26114.5</v>
      </c>
      <c r="J60" s="144">
        <v>21381</v>
      </c>
      <c r="K60" s="156">
        <v>26114.55</v>
      </c>
      <c r="L60" s="207"/>
      <c r="M60" s="226" t="s">
        <v>202</v>
      </c>
      <c r="N60" s="207">
        <v>35420.5</v>
      </c>
      <c r="O60" s="221">
        <v>42140</v>
      </c>
    </row>
    <row r="61" spans="1:16" x14ac:dyDescent="0.25">
      <c r="H61" s="28"/>
      <c r="I61" s="49">
        <f>27245.5+4522.5</f>
        <v>31768</v>
      </c>
      <c r="J61" s="144">
        <v>21426</v>
      </c>
      <c r="K61" s="156">
        <v>31767.93</v>
      </c>
      <c r="L61" s="334"/>
      <c r="M61" s="226" t="s">
        <v>202</v>
      </c>
      <c r="N61" s="207">
        <v>5079.5</v>
      </c>
      <c r="O61" s="221">
        <v>42140</v>
      </c>
    </row>
    <row r="62" spans="1:16" x14ac:dyDescent="0.25">
      <c r="A62" s="330"/>
      <c r="B62"/>
      <c r="D62"/>
      <c r="E62" s="43"/>
      <c r="H62" s="28"/>
      <c r="I62" s="49">
        <f>5132.5+18545+22653.5+4696.5+5776.5</f>
        <v>56804</v>
      </c>
      <c r="J62" s="144">
        <v>21696</v>
      </c>
      <c r="K62" s="156">
        <v>56804.17</v>
      </c>
      <c r="L62" s="321"/>
      <c r="M62" s="226" t="s">
        <v>202</v>
      </c>
      <c r="N62" s="207">
        <v>25584.5</v>
      </c>
      <c r="O62" s="221">
        <v>42142</v>
      </c>
      <c r="P62" s="21">
        <v>42141</v>
      </c>
    </row>
    <row r="63" spans="1:16" x14ac:dyDescent="0.25">
      <c r="A63" s="330"/>
      <c r="B63"/>
      <c r="D63"/>
      <c r="E63" s="43"/>
      <c r="H63" s="28"/>
      <c r="I63" s="49">
        <f>29381.5+6542</f>
        <v>35923.5</v>
      </c>
      <c r="J63" s="144">
        <v>21786</v>
      </c>
      <c r="K63" s="156">
        <v>35923.64</v>
      </c>
      <c r="L63" s="207" t="s">
        <v>361</v>
      </c>
      <c r="M63" s="226" t="s">
        <v>202</v>
      </c>
      <c r="N63" s="207">
        <v>19758</v>
      </c>
      <c r="O63" s="221">
        <v>42142</v>
      </c>
      <c r="P63" s="21">
        <v>42141</v>
      </c>
    </row>
    <row r="64" spans="1:16" ht="15.75" x14ac:dyDescent="0.25">
      <c r="A64" s="330"/>
      <c r="B64"/>
      <c r="D64"/>
      <c r="E64" s="43"/>
      <c r="H64" s="28"/>
      <c r="I64" s="49"/>
      <c r="J64" s="144"/>
      <c r="K64" s="156"/>
      <c r="L64" s="207"/>
      <c r="M64" s="113" t="s">
        <v>202</v>
      </c>
      <c r="N64" s="207">
        <v>8960</v>
      </c>
      <c r="O64" s="221">
        <v>42142</v>
      </c>
      <c r="P64" s="21">
        <v>42141</v>
      </c>
    </row>
    <row r="65" spans="1:16" ht="15.75" x14ac:dyDescent="0.25">
      <c r="A65" s="330"/>
      <c r="B65"/>
      <c r="D65"/>
      <c r="E65" s="43"/>
      <c r="H65" s="28"/>
      <c r="I65" s="49"/>
      <c r="J65" s="144"/>
      <c r="K65" s="156"/>
      <c r="L65" s="207"/>
      <c r="M65" s="113" t="s">
        <v>202</v>
      </c>
      <c r="N65" s="207">
        <v>707.5</v>
      </c>
      <c r="O65" s="221">
        <v>42142</v>
      </c>
      <c r="P65" s="21">
        <v>42141</v>
      </c>
    </row>
    <row r="66" spans="1:16" ht="15.75" x14ac:dyDescent="0.25">
      <c r="A66" s="330"/>
      <c r="B66"/>
      <c r="D66"/>
      <c r="E66" s="43"/>
      <c r="H66" s="28"/>
      <c r="I66" s="49"/>
      <c r="J66" s="144"/>
      <c r="K66" s="156"/>
      <c r="L66" s="207"/>
      <c r="M66" s="113" t="s">
        <v>202</v>
      </c>
      <c r="N66" s="207">
        <v>6690</v>
      </c>
      <c r="O66" s="221">
        <v>42142</v>
      </c>
      <c r="P66" s="21">
        <v>42141</v>
      </c>
    </row>
    <row r="67" spans="1:16" ht="15.75" x14ac:dyDescent="0.25">
      <c r="A67" s="330"/>
      <c r="B67"/>
      <c r="D67"/>
      <c r="E67" s="43"/>
      <c r="H67" s="28"/>
      <c r="I67" s="49"/>
      <c r="J67" s="144"/>
      <c r="K67" s="156"/>
      <c r="L67" s="207"/>
      <c r="M67" s="113" t="s">
        <v>202</v>
      </c>
      <c r="N67" s="207">
        <v>27245.5</v>
      </c>
      <c r="O67" s="221">
        <v>42142</v>
      </c>
    </row>
    <row r="68" spans="1:16" ht="15.75" x14ac:dyDescent="0.25">
      <c r="A68" s="330"/>
      <c r="B68"/>
      <c r="D68"/>
      <c r="E68" s="43"/>
      <c r="H68" s="28"/>
      <c r="I68" s="49"/>
      <c r="J68" s="144"/>
      <c r="K68" s="156"/>
      <c r="L68" s="334"/>
      <c r="M68" s="113" t="s">
        <v>202</v>
      </c>
      <c r="N68" s="207">
        <v>11712</v>
      </c>
      <c r="O68" s="221">
        <v>42142</v>
      </c>
    </row>
    <row r="69" spans="1:16" ht="15.75" x14ac:dyDescent="0.25">
      <c r="A69" s="330"/>
      <c r="B69"/>
      <c r="D69"/>
      <c r="E69" s="43"/>
      <c r="H69" s="28"/>
      <c r="I69" s="49"/>
      <c r="J69" s="144"/>
      <c r="K69" s="156"/>
      <c r="L69" s="207"/>
      <c r="M69" s="113" t="s">
        <v>202</v>
      </c>
      <c r="N69" s="207">
        <v>5442.5</v>
      </c>
      <c r="O69" s="221">
        <v>42142</v>
      </c>
    </row>
    <row r="70" spans="1:16" x14ac:dyDescent="0.25">
      <c r="A70" s="330"/>
      <c r="B70"/>
      <c r="D70"/>
      <c r="E70" s="43"/>
      <c r="H70" s="28"/>
      <c r="I70" s="49"/>
      <c r="J70" s="144"/>
      <c r="K70" s="156"/>
      <c r="L70" s="207"/>
      <c r="M70" s="349" t="s">
        <v>423</v>
      </c>
      <c r="N70" s="207">
        <v>5132.5</v>
      </c>
      <c r="O70" s="221">
        <v>42143</v>
      </c>
    </row>
    <row r="71" spans="1:16" x14ac:dyDescent="0.25">
      <c r="A71" s="330"/>
      <c r="B71"/>
      <c r="D71"/>
      <c r="E71" s="43"/>
      <c r="H71" s="28"/>
      <c r="I71" s="88"/>
      <c r="J71" s="144"/>
      <c r="K71" s="156"/>
      <c r="L71" s="207"/>
      <c r="M71" s="349" t="s">
        <v>423</v>
      </c>
      <c r="N71" s="207">
        <v>4522.5</v>
      </c>
      <c r="O71" s="221">
        <v>42143</v>
      </c>
    </row>
    <row r="72" spans="1:16" x14ac:dyDescent="0.25">
      <c r="A72" s="330"/>
      <c r="B72"/>
      <c r="D72"/>
      <c r="E72" s="43"/>
      <c r="H72" s="28"/>
      <c r="I72" s="49"/>
      <c r="J72" s="144"/>
      <c r="K72" s="156"/>
      <c r="L72" s="207"/>
      <c r="M72" s="349" t="s">
        <v>423</v>
      </c>
      <c r="N72" s="207">
        <v>18545</v>
      </c>
      <c r="O72" s="221">
        <v>42143</v>
      </c>
    </row>
    <row r="73" spans="1:16" ht="15.75" x14ac:dyDescent="0.25">
      <c r="A73" s="330"/>
      <c r="B73"/>
      <c r="D73"/>
      <c r="E73" s="43"/>
      <c r="H73" s="28"/>
      <c r="I73" s="49"/>
      <c r="J73" s="292"/>
      <c r="K73" s="157"/>
      <c r="L73" s="207"/>
      <c r="M73" s="113" t="s">
        <v>202</v>
      </c>
      <c r="N73" s="207">
        <v>22653.5</v>
      </c>
      <c r="O73" s="221">
        <v>42144</v>
      </c>
    </row>
    <row r="74" spans="1:16" ht="15.75" x14ac:dyDescent="0.25">
      <c r="A74" s="330"/>
      <c r="B74"/>
      <c r="D74"/>
      <c r="E74" s="43"/>
      <c r="H74" s="28"/>
      <c r="I74" s="49">
        <v>0</v>
      </c>
      <c r="J74" s="292"/>
      <c r="K74" s="157"/>
      <c r="L74" s="260"/>
      <c r="M74" s="113" t="s">
        <v>202</v>
      </c>
      <c r="N74" s="207">
        <v>4696.5</v>
      </c>
      <c r="O74" s="221">
        <v>42144</v>
      </c>
    </row>
    <row r="75" spans="1:16" ht="15.75" x14ac:dyDescent="0.25">
      <c r="H75" s="28"/>
      <c r="I75" s="88">
        <f>SUM(I55:I74)</f>
        <v>340390</v>
      </c>
      <c r="J75" s="263"/>
      <c r="K75" s="130"/>
      <c r="L75" s="130"/>
      <c r="M75" s="113" t="s">
        <v>202</v>
      </c>
      <c r="N75" s="207">
        <v>29381.5</v>
      </c>
      <c r="O75" s="221">
        <v>42145</v>
      </c>
    </row>
    <row r="76" spans="1:16" ht="15.75" x14ac:dyDescent="0.25">
      <c r="I76" s="49"/>
      <c r="J76" s="262"/>
      <c r="K76" s="207"/>
      <c r="L76" s="207"/>
      <c r="M76" s="113" t="s">
        <v>202</v>
      </c>
      <c r="N76" s="214">
        <v>5776.5</v>
      </c>
      <c r="O76" s="221">
        <v>42145</v>
      </c>
    </row>
    <row r="77" spans="1:16" ht="15.75" x14ac:dyDescent="0.25">
      <c r="I77" s="49"/>
      <c r="J77" s="262"/>
      <c r="K77" s="207"/>
      <c r="L77" s="207"/>
      <c r="M77" s="113" t="s">
        <v>202</v>
      </c>
      <c r="N77" s="207">
        <v>6542</v>
      </c>
      <c r="O77" s="221">
        <v>42145</v>
      </c>
    </row>
    <row r="78" spans="1:16" ht="15.75" thickBot="1" x14ac:dyDescent="0.3">
      <c r="A78" s="330"/>
      <c r="B78"/>
      <c r="C78"/>
      <c r="D78"/>
      <c r="E78"/>
      <c r="F78" s="23"/>
      <c r="I78" s="43"/>
      <c r="J78" s="336"/>
      <c r="K78" s="337"/>
      <c r="L78" s="337"/>
      <c r="M78" s="337"/>
      <c r="N78" s="337">
        <v>0</v>
      </c>
      <c r="O78" s="336"/>
    </row>
    <row r="79" spans="1:16" ht="18.75" x14ac:dyDescent="0.3">
      <c r="A79" s="330"/>
      <c r="B79"/>
      <c r="C79"/>
      <c r="D79"/>
      <c r="E79"/>
      <c r="F79" s="23"/>
      <c r="I79" s="43"/>
      <c r="K79" s="131">
        <f>SUM(K55:K77)</f>
        <v>340390</v>
      </c>
      <c r="L79" s="131"/>
      <c r="M79" s="131"/>
      <c r="N79" s="131">
        <f>SUM(N55:N78)</f>
        <v>340390</v>
      </c>
    </row>
    <row r="80" spans="1:16" x14ac:dyDescent="0.25">
      <c r="I80" s="43"/>
      <c r="K80" s="58"/>
      <c r="L80" s="58"/>
      <c r="M80" s="58"/>
      <c r="N80" s="58"/>
    </row>
    <row r="83" spans="9:16" customFormat="1" ht="15.75" x14ac:dyDescent="0.25">
      <c r="J83" s="104"/>
      <c r="K83" s="353">
        <v>42153</v>
      </c>
      <c r="L83" s="215"/>
      <c r="M83" s="134" t="s">
        <v>200</v>
      </c>
      <c r="N83" s="88"/>
    </row>
    <row r="84" spans="9:16" customFormat="1" x14ac:dyDescent="0.25">
      <c r="J84" s="104"/>
      <c r="K84" s="103"/>
      <c r="L84" s="103"/>
      <c r="M84" s="103"/>
      <c r="N84" s="213"/>
    </row>
    <row r="85" spans="9:16" customFormat="1" ht="15.75" x14ac:dyDescent="0.25">
      <c r="I85" s="43">
        <v>1620</v>
      </c>
      <c r="J85" s="193">
        <v>21786</v>
      </c>
      <c r="K85" s="130">
        <v>1620</v>
      </c>
      <c r="L85" s="348"/>
      <c r="M85" s="113" t="s">
        <v>202</v>
      </c>
      <c r="N85" s="214">
        <v>5008</v>
      </c>
      <c r="O85" s="221">
        <v>42146</v>
      </c>
    </row>
    <row r="86" spans="9:16" customFormat="1" x14ac:dyDescent="0.25">
      <c r="I86" s="43">
        <f>5008+54422+26632+9532</f>
        <v>95594</v>
      </c>
      <c r="J86" s="144">
        <v>21850</v>
      </c>
      <c r="K86" s="156">
        <v>95594.240000000005</v>
      </c>
      <c r="L86" s="207"/>
      <c r="M86" s="226" t="s">
        <v>202</v>
      </c>
      <c r="N86" s="207">
        <v>1620</v>
      </c>
      <c r="O86" s="221">
        <v>42146</v>
      </c>
    </row>
    <row r="87" spans="9:16" customFormat="1" x14ac:dyDescent="0.25">
      <c r="I87" s="43">
        <f>25576+52107.5+5411</f>
        <v>83094.5</v>
      </c>
      <c r="J87" s="144">
        <v>22037</v>
      </c>
      <c r="K87" s="156">
        <v>83094.64</v>
      </c>
      <c r="L87" s="207"/>
      <c r="M87" s="226" t="s">
        <v>202</v>
      </c>
      <c r="N87" s="207">
        <v>54422</v>
      </c>
      <c r="O87" s="221">
        <v>42146</v>
      </c>
    </row>
    <row r="88" spans="9:16" customFormat="1" x14ac:dyDescent="0.25">
      <c r="I88" s="43">
        <v>9067</v>
      </c>
      <c r="J88" s="144">
        <v>22192</v>
      </c>
      <c r="K88" s="156">
        <v>9067</v>
      </c>
      <c r="L88" s="130"/>
      <c r="M88" s="226" t="s">
        <v>202</v>
      </c>
      <c r="N88" s="207">
        <v>25576</v>
      </c>
      <c r="O88" s="221">
        <v>42147</v>
      </c>
    </row>
    <row r="89" spans="9:16" customFormat="1" x14ac:dyDescent="0.25">
      <c r="I89" s="43">
        <f>22811+6171</f>
        <v>28982</v>
      </c>
      <c r="J89" s="144">
        <v>22314</v>
      </c>
      <c r="K89" s="156">
        <v>28982</v>
      </c>
      <c r="L89" s="130"/>
      <c r="M89" s="226" t="s">
        <v>202</v>
      </c>
      <c r="N89" s="214">
        <v>26632</v>
      </c>
      <c r="O89" s="221">
        <v>42147</v>
      </c>
    </row>
    <row r="90" spans="9:16" customFormat="1" x14ac:dyDescent="0.25">
      <c r="I90" s="43">
        <v>0</v>
      </c>
      <c r="J90" s="144"/>
      <c r="K90" s="156">
        <v>0</v>
      </c>
      <c r="L90" s="207"/>
      <c r="M90" s="226" t="s">
        <v>202</v>
      </c>
      <c r="N90" s="207">
        <v>9532</v>
      </c>
      <c r="O90" s="221">
        <v>42147</v>
      </c>
    </row>
    <row r="91" spans="9:16" customFormat="1" x14ac:dyDescent="0.25">
      <c r="I91" s="43">
        <v>0</v>
      </c>
      <c r="J91" s="144"/>
      <c r="K91" s="156">
        <v>0</v>
      </c>
      <c r="L91" s="334"/>
      <c r="M91" s="226" t="s">
        <v>202</v>
      </c>
      <c r="N91" s="207">
        <v>52107.5</v>
      </c>
      <c r="O91" s="221">
        <v>42149</v>
      </c>
      <c r="P91" s="21">
        <v>42148</v>
      </c>
    </row>
    <row r="92" spans="9:16" customFormat="1" x14ac:dyDescent="0.25">
      <c r="I92" s="43">
        <v>0</v>
      </c>
      <c r="J92" s="144"/>
      <c r="K92" s="156"/>
      <c r="L92" s="321"/>
      <c r="M92" s="226" t="s">
        <v>202</v>
      </c>
      <c r="N92" s="207">
        <v>5411</v>
      </c>
      <c r="O92" s="221">
        <v>42149</v>
      </c>
      <c r="P92" s="21">
        <v>42148</v>
      </c>
    </row>
    <row r="93" spans="9:16" customFormat="1" x14ac:dyDescent="0.25">
      <c r="I93" s="58">
        <f>SUM(I85:I92)</f>
        <v>218357.5</v>
      </c>
      <c r="J93" s="144"/>
      <c r="K93" s="156"/>
      <c r="L93" s="207"/>
      <c r="M93" s="226" t="s">
        <v>202</v>
      </c>
      <c r="N93" s="207">
        <v>9067</v>
      </c>
      <c r="O93" s="221">
        <v>42149</v>
      </c>
    </row>
    <row r="94" spans="9:16" customFormat="1" ht="15.75" x14ac:dyDescent="0.25">
      <c r="I94" s="43"/>
      <c r="J94" s="144"/>
      <c r="K94" s="156"/>
      <c r="L94" s="207"/>
      <c r="M94" s="113" t="s">
        <v>202</v>
      </c>
      <c r="N94" s="207">
        <v>22811</v>
      </c>
      <c r="O94" s="221">
        <v>42150</v>
      </c>
    </row>
    <row r="95" spans="9:16" customFormat="1" ht="15.75" x14ac:dyDescent="0.25">
      <c r="I95" s="43"/>
      <c r="J95" s="144"/>
      <c r="K95" s="156"/>
      <c r="L95" s="207"/>
      <c r="M95" s="113" t="s">
        <v>202</v>
      </c>
      <c r="N95" s="207">
        <v>6171</v>
      </c>
      <c r="O95" s="221">
        <v>42150</v>
      </c>
    </row>
    <row r="96" spans="9:16" customFormat="1" ht="15.75" x14ac:dyDescent="0.25">
      <c r="J96" s="262"/>
      <c r="K96" s="207"/>
      <c r="L96" s="207"/>
      <c r="M96" s="113"/>
      <c r="N96" s="207"/>
      <c r="O96" s="221"/>
    </row>
    <row r="97" spans="10:15" customFormat="1" ht="15.75" thickBot="1" x14ac:dyDescent="0.3">
      <c r="J97" s="336"/>
      <c r="K97" s="337"/>
      <c r="L97" s="337"/>
      <c r="M97" s="337"/>
      <c r="N97" s="337">
        <v>0</v>
      </c>
      <c r="O97" s="336"/>
    </row>
    <row r="98" spans="10:15" customFormat="1" ht="18.75" x14ac:dyDescent="0.3">
      <c r="K98" s="131">
        <f>SUM(K85:K96)</f>
        <v>218357.88</v>
      </c>
      <c r="L98" s="131"/>
      <c r="M98" s="131"/>
      <c r="N98" s="131">
        <f>SUM(N85:N97)</f>
        <v>218357.5</v>
      </c>
    </row>
    <row r="99" spans="10:15" customFormat="1" x14ac:dyDescent="0.25">
      <c r="K99" s="58"/>
      <c r="L99" s="58"/>
      <c r="M99" s="58"/>
      <c r="N99" s="58"/>
    </row>
  </sheetData>
  <sortState ref="J16:K20">
    <sortCondition ref="J16:J20"/>
  </sortState>
  <mergeCells count="1">
    <mergeCell ref="C3:E3"/>
  </mergeCells>
  <pageMargins left="0.70866141732283472" right="0.70866141732283472" top="0.55118110236220474" bottom="0.15748031496062992" header="0.31496062992125984" footer="0.31496062992125984"/>
  <pageSetup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97"/>
  <sheetViews>
    <sheetView topLeftCell="B21" workbookViewId="0">
      <selection activeCell="G48" sqref="G48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6" width="12.5703125" customWidth="1"/>
    <col min="17" max="17" width="4.7109375" customWidth="1"/>
    <col min="18" max="18" width="12.42578125" style="37" customWidth="1"/>
    <col min="19" max="19" width="16.42578125" style="43" customWidth="1"/>
    <col min="20" max="20" width="9" customWidth="1"/>
    <col min="22" max="22" width="17.85546875" style="43" customWidth="1"/>
    <col min="23" max="23" width="4.85546875" customWidth="1"/>
    <col min="25" max="25" width="13.7109375" style="43" customWidth="1"/>
    <col min="26" max="26" width="6.85546875" style="43" customWidth="1"/>
    <col min="28" max="28" width="14.5703125" customWidth="1"/>
    <col min="29" max="29" width="22.5703125" style="364" customWidth="1"/>
    <col min="30" max="30" width="15.85546875" style="202" customWidth="1"/>
  </cols>
  <sheetData>
    <row r="1" spans="1:31" ht="23.25" x14ac:dyDescent="0.35">
      <c r="B1" s="37"/>
      <c r="C1" s="397" t="s">
        <v>451</v>
      </c>
      <c r="D1" s="397"/>
      <c r="E1" s="397"/>
      <c r="F1" s="397"/>
      <c r="G1" s="397"/>
      <c r="H1" s="397"/>
      <c r="I1" s="397"/>
      <c r="J1" s="397"/>
      <c r="K1" s="397"/>
      <c r="M1" s="371"/>
      <c r="N1" s="202"/>
      <c r="O1" s="202"/>
      <c r="P1" s="202"/>
      <c r="S1" s="397" t="s">
        <v>451</v>
      </c>
      <c r="T1" s="397"/>
      <c r="U1" s="397"/>
      <c r="V1" s="397"/>
      <c r="W1" s="397"/>
      <c r="X1" s="397"/>
      <c r="Y1" s="397"/>
      <c r="Z1" s="397"/>
      <c r="AA1" s="397"/>
    </row>
    <row r="2" spans="1:31" ht="15.75" thickBot="1" x14ac:dyDescent="0.3">
      <c r="B2" s="37"/>
      <c r="C2" s="43"/>
      <c r="E2" s="370"/>
      <c r="F2" s="50"/>
      <c r="I2" s="43"/>
      <c r="J2" s="43"/>
      <c r="M2" s="371"/>
      <c r="N2" s="202"/>
      <c r="O2" s="202"/>
      <c r="P2" s="202"/>
      <c r="U2" s="363"/>
      <c r="V2" s="50"/>
    </row>
    <row r="3" spans="1:31" ht="15.75" thickBot="1" x14ac:dyDescent="0.3">
      <c r="B3" s="37"/>
      <c r="C3" s="44" t="s">
        <v>0</v>
      </c>
      <c r="D3" s="3"/>
      <c r="F3" s="43"/>
      <c r="I3" s="43"/>
      <c r="J3" s="43"/>
      <c r="M3" s="371"/>
      <c r="N3" s="202"/>
      <c r="O3" s="202"/>
      <c r="P3" s="202"/>
      <c r="S3" s="44" t="s">
        <v>0</v>
      </c>
      <c r="T3" s="3"/>
    </row>
    <row r="4" spans="1:31" ht="20.25" thickTop="1" thickBot="1" x14ac:dyDescent="0.35">
      <c r="A4" s="96" t="s">
        <v>2</v>
      </c>
      <c r="B4" s="38"/>
      <c r="C4" s="94">
        <v>125131.74</v>
      </c>
      <c r="D4" s="2"/>
      <c r="E4" s="418" t="s">
        <v>14</v>
      </c>
      <c r="F4" s="419"/>
      <c r="I4" s="400" t="s">
        <v>4</v>
      </c>
      <c r="J4" s="401"/>
      <c r="K4" s="401"/>
      <c r="L4" s="401"/>
      <c r="M4" s="69" t="s">
        <v>18</v>
      </c>
      <c r="N4" s="203" t="s">
        <v>264</v>
      </c>
      <c r="O4" s="203"/>
      <c r="P4" s="203"/>
      <c r="Q4" s="96" t="s">
        <v>2</v>
      </c>
      <c r="R4" s="38"/>
      <c r="S4" s="94">
        <v>125131.74</v>
      </c>
      <c r="T4" s="2"/>
      <c r="U4" s="418" t="s">
        <v>14</v>
      </c>
      <c r="V4" s="419"/>
      <c r="Y4" s="400" t="s">
        <v>4</v>
      </c>
      <c r="Z4" s="401"/>
      <c r="AA4" s="401"/>
      <c r="AB4" s="401"/>
      <c r="AC4" s="69" t="s">
        <v>18</v>
      </c>
      <c r="AD4" s="203" t="s">
        <v>264</v>
      </c>
    </row>
    <row r="5" spans="1:31" ht="15.75" thickTop="1" x14ac:dyDescent="0.25">
      <c r="A5" s="21"/>
      <c r="B5" s="39">
        <v>42156</v>
      </c>
      <c r="C5" s="45">
        <v>0</v>
      </c>
      <c r="D5" s="22"/>
      <c r="E5" s="26">
        <v>42156</v>
      </c>
      <c r="F5" s="51">
        <v>48039.5</v>
      </c>
      <c r="G5" s="23"/>
      <c r="H5" s="24">
        <v>42156</v>
      </c>
      <c r="I5" s="60">
        <v>200</v>
      </c>
      <c r="J5" s="87"/>
      <c r="K5" s="34"/>
      <c r="L5" s="34"/>
      <c r="M5" s="67" t="s">
        <v>452</v>
      </c>
      <c r="N5" s="75">
        <v>48650</v>
      </c>
      <c r="O5" s="75"/>
      <c r="P5" s="75"/>
      <c r="Q5" s="21"/>
      <c r="R5" s="39">
        <v>42156</v>
      </c>
      <c r="S5" s="45">
        <v>0</v>
      </c>
      <c r="T5" s="22"/>
      <c r="U5" s="26">
        <v>42156</v>
      </c>
      <c r="V5" s="51">
        <v>48039.5</v>
      </c>
      <c r="W5" s="23"/>
      <c r="X5" s="24">
        <v>42156</v>
      </c>
      <c r="Y5" s="60">
        <v>200</v>
      </c>
      <c r="Z5" s="87"/>
      <c r="AA5" s="34"/>
      <c r="AB5" s="34"/>
      <c r="AC5" s="67" t="s">
        <v>452</v>
      </c>
      <c r="AD5" s="75">
        <v>48650</v>
      </c>
      <c r="AE5" s="80"/>
    </row>
    <row r="6" spans="1:31" x14ac:dyDescent="0.25">
      <c r="A6" s="21"/>
      <c r="B6" s="39">
        <v>42157</v>
      </c>
      <c r="C6" s="45">
        <v>0</v>
      </c>
      <c r="D6" s="29"/>
      <c r="E6" s="26">
        <v>42157</v>
      </c>
      <c r="F6" s="51">
        <v>38655.5</v>
      </c>
      <c r="G6" s="19"/>
      <c r="H6" s="27">
        <v>42157</v>
      </c>
      <c r="I6" s="61">
        <v>200</v>
      </c>
      <c r="J6" s="88"/>
      <c r="K6" s="13" t="s">
        <v>5</v>
      </c>
      <c r="L6" s="20">
        <v>0</v>
      </c>
      <c r="M6" s="67" t="s">
        <v>453</v>
      </c>
      <c r="N6" s="75">
        <v>38570.5</v>
      </c>
      <c r="O6" s="75"/>
      <c r="P6" s="75"/>
      <c r="Q6" s="21"/>
      <c r="R6" s="39">
        <v>42157</v>
      </c>
      <c r="S6" s="45">
        <v>0</v>
      </c>
      <c r="T6" s="29"/>
      <c r="U6" s="26">
        <v>42157</v>
      </c>
      <c r="V6" s="51">
        <v>38655.5</v>
      </c>
      <c r="W6" s="19"/>
      <c r="X6" s="27">
        <v>42157</v>
      </c>
      <c r="Y6" s="61">
        <v>200</v>
      </c>
      <c r="Z6" s="88"/>
      <c r="AA6" s="13" t="s">
        <v>5</v>
      </c>
      <c r="AB6" s="20">
        <v>0</v>
      </c>
      <c r="AC6" s="67" t="s">
        <v>453</v>
      </c>
      <c r="AD6" s="75">
        <v>38570.5</v>
      </c>
      <c r="AE6" s="80"/>
    </row>
    <row r="7" spans="1:31" x14ac:dyDescent="0.25">
      <c r="A7" s="21"/>
      <c r="B7" s="39">
        <v>42158</v>
      </c>
      <c r="C7" s="45">
        <v>0</v>
      </c>
      <c r="D7" s="32"/>
      <c r="E7" s="26">
        <v>42158</v>
      </c>
      <c r="F7" s="51">
        <v>37835.5</v>
      </c>
      <c r="G7" s="23"/>
      <c r="H7" s="27">
        <v>42158</v>
      </c>
      <c r="I7" s="61">
        <v>200</v>
      </c>
      <c r="J7" s="88"/>
      <c r="K7" s="13" t="s">
        <v>3</v>
      </c>
      <c r="L7" s="20">
        <v>0</v>
      </c>
      <c r="M7" s="67" t="s">
        <v>454</v>
      </c>
      <c r="N7" s="75">
        <v>37700</v>
      </c>
      <c r="O7" s="75"/>
      <c r="P7" s="75"/>
      <c r="Q7" s="21"/>
      <c r="R7" s="39">
        <v>42158</v>
      </c>
      <c r="S7" s="45">
        <v>0</v>
      </c>
      <c r="T7" s="32"/>
      <c r="U7" s="26">
        <v>42158</v>
      </c>
      <c r="V7" s="51">
        <v>37835.5</v>
      </c>
      <c r="W7" s="23"/>
      <c r="X7" s="27">
        <v>42158</v>
      </c>
      <c r="Y7" s="61">
        <v>200</v>
      </c>
      <c r="Z7" s="88"/>
      <c r="AA7" s="13" t="s">
        <v>3</v>
      </c>
      <c r="AB7" s="20">
        <v>0</v>
      </c>
      <c r="AC7" s="67" t="s">
        <v>454</v>
      </c>
      <c r="AD7" s="75">
        <v>37700</v>
      </c>
      <c r="AE7" s="80"/>
    </row>
    <row r="8" spans="1:31" x14ac:dyDescent="0.25">
      <c r="A8" s="21"/>
      <c r="B8" s="39">
        <v>42159</v>
      </c>
      <c r="C8" s="45">
        <v>540</v>
      </c>
      <c r="D8" s="22" t="s">
        <v>50</v>
      </c>
      <c r="E8" s="26">
        <v>42159</v>
      </c>
      <c r="F8" s="51">
        <v>45256</v>
      </c>
      <c r="G8" s="23"/>
      <c r="H8" s="27">
        <v>42159</v>
      </c>
      <c r="I8" s="61">
        <v>200</v>
      </c>
      <c r="J8" s="88"/>
      <c r="K8" s="13" t="s">
        <v>6</v>
      </c>
      <c r="L8" s="20">
        <v>28750</v>
      </c>
      <c r="M8" s="201" t="s">
        <v>455</v>
      </c>
      <c r="N8" s="204">
        <v>44849.5</v>
      </c>
      <c r="O8" s="204"/>
      <c r="P8" s="204"/>
      <c r="Q8" s="21"/>
      <c r="R8" s="39">
        <v>42159</v>
      </c>
      <c r="S8" s="45">
        <v>540</v>
      </c>
      <c r="T8" s="22" t="s">
        <v>50</v>
      </c>
      <c r="U8" s="26">
        <v>42159</v>
      </c>
      <c r="V8" s="51">
        <v>45256</v>
      </c>
      <c r="W8" s="23"/>
      <c r="X8" s="27">
        <v>42159</v>
      </c>
      <c r="Y8" s="61">
        <v>200</v>
      </c>
      <c r="Z8" s="88"/>
      <c r="AA8" s="13" t="s">
        <v>6</v>
      </c>
      <c r="AB8" s="20">
        <v>28750</v>
      </c>
      <c r="AC8" s="201" t="s">
        <v>455</v>
      </c>
      <c r="AD8" s="204">
        <v>44849.5</v>
      </c>
      <c r="AE8" s="80"/>
    </row>
    <row r="9" spans="1:31" x14ac:dyDescent="0.25">
      <c r="A9" s="21"/>
      <c r="B9" s="39">
        <v>42160</v>
      </c>
      <c r="C9" s="45">
        <v>0</v>
      </c>
      <c r="D9" s="22"/>
      <c r="E9" s="26">
        <v>42160</v>
      </c>
      <c r="F9" s="51">
        <v>51278.5</v>
      </c>
      <c r="G9" s="23"/>
      <c r="H9" s="27">
        <v>42160</v>
      </c>
      <c r="I9" s="61">
        <v>232</v>
      </c>
      <c r="J9" s="88"/>
      <c r="K9" s="13" t="s">
        <v>406</v>
      </c>
      <c r="L9" s="20">
        <v>7662.72</v>
      </c>
      <c r="M9" s="67" t="s">
        <v>456</v>
      </c>
      <c r="N9" s="75">
        <v>48150</v>
      </c>
      <c r="O9" s="75"/>
      <c r="P9" s="75"/>
      <c r="Q9" s="21"/>
      <c r="R9" s="39">
        <v>42160</v>
      </c>
      <c r="S9" s="45">
        <v>0</v>
      </c>
      <c r="T9" s="22"/>
      <c r="U9" s="26">
        <v>42160</v>
      </c>
      <c r="V9" s="51">
        <v>51278.5</v>
      </c>
      <c r="W9" s="23"/>
      <c r="X9" s="27">
        <v>42160</v>
      </c>
      <c r="Y9" s="61">
        <v>232</v>
      </c>
      <c r="Z9" s="88"/>
      <c r="AA9" s="13" t="s">
        <v>406</v>
      </c>
      <c r="AB9" s="20">
        <v>7662.72</v>
      </c>
      <c r="AC9" s="67" t="s">
        <v>456</v>
      </c>
      <c r="AD9" s="75">
        <v>48150</v>
      </c>
      <c r="AE9" s="80"/>
    </row>
    <row r="10" spans="1:31" x14ac:dyDescent="0.25">
      <c r="A10" s="21"/>
      <c r="B10" s="39">
        <v>42161</v>
      </c>
      <c r="C10" s="45">
        <v>294.5</v>
      </c>
      <c r="D10" s="32" t="s">
        <v>457</v>
      </c>
      <c r="E10" s="26">
        <v>42161</v>
      </c>
      <c r="F10" s="51">
        <v>78335.5</v>
      </c>
      <c r="G10" s="23"/>
      <c r="H10" s="27">
        <v>42161</v>
      </c>
      <c r="I10" s="61">
        <v>200</v>
      </c>
      <c r="J10" s="88"/>
      <c r="K10" s="13" t="s">
        <v>447</v>
      </c>
      <c r="L10" s="20">
        <v>8038.91</v>
      </c>
      <c r="M10" s="67" t="s">
        <v>458</v>
      </c>
      <c r="N10" s="75">
        <v>74850</v>
      </c>
      <c r="O10" s="75"/>
      <c r="P10" s="75"/>
      <c r="Q10" s="21"/>
      <c r="R10" s="39">
        <v>42161</v>
      </c>
      <c r="S10" s="45">
        <v>294.5</v>
      </c>
      <c r="T10" s="32" t="s">
        <v>457</v>
      </c>
      <c r="U10" s="26">
        <v>42161</v>
      </c>
      <c r="V10" s="51">
        <v>78335.5</v>
      </c>
      <c r="W10" s="23"/>
      <c r="X10" s="27">
        <v>42161</v>
      </c>
      <c r="Y10" s="61">
        <v>200</v>
      </c>
      <c r="Z10" s="88"/>
      <c r="AA10" s="13" t="s">
        <v>447</v>
      </c>
      <c r="AB10" s="20">
        <v>8038.91</v>
      </c>
      <c r="AC10" s="67" t="s">
        <v>458</v>
      </c>
      <c r="AD10" s="75">
        <v>74850</v>
      </c>
      <c r="AE10" s="80"/>
    </row>
    <row r="11" spans="1:31" x14ac:dyDescent="0.25">
      <c r="A11" s="21"/>
      <c r="B11" s="39">
        <v>42162</v>
      </c>
      <c r="C11" s="45">
        <v>0</v>
      </c>
      <c r="D11" s="32"/>
      <c r="E11" s="26">
        <v>42162</v>
      </c>
      <c r="F11" s="51">
        <v>70168</v>
      </c>
      <c r="G11" s="23"/>
      <c r="H11" s="27">
        <v>42162</v>
      </c>
      <c r="I11" s="62">
        <v>0</v>
      </c>
      <c r="J11" s="88"/>
      <c r="K11" s="13" t="s">
        <v>448</v>
      </c>
      <c r="L11" s="20">
        <v>7777.05</v>
      </c>
      <c r="M11" s="67" t="s">
        <v>459</v>
      </c>
      <c r="N11" s="75">
        <v>76000</v>
      </c>
      <c r="O11" s="75"/>
      <c r="P11" s="75"/>
      <c r="Q11" s="21"/>
      <c r="R11" s="39">
        <v>42162</v>
      </c>
      <c r="S11" s="45">
        <v>0</v>
      </c>
      <c r="T11" s="32"/>
      <c r="U11" s="26">
        <v>42162</v>
      </c>
      <c r="V11" s="51">
        <v>70168</v>
      </c>
      <c r="W11" s="23"/>
      <c r="X11" s="27">
        <v>42162</v>
      </c>
      <c r="Y11" s="62">
        <v>0</v>
      </c>
      <c r="Z11" s="88"/>
      <c r="AA11" s="13" t="s">
        <v>448</v>
      </c>
      <c r="AB11" s="20">
        <v>7777.05</v>
      </c>
      <c r="AC11" s="67" t="s">
        <v>459</v>
      </c>
      <c r="AD11" s="75">
        <v>76000</v>
      </c>
      <c r="AE11" s="80"/>
    </row>
    <row r="12" spans="1:31" x14ac:dyDescent="0.25">
      <c r="A12" s="21"/>
      <c r="B12" s="39">
        <v>42163</v>
      </c>
      <c r="C12" s="45">
        <v>0</v>
      </c>
      <c r="D12" s="32"/>
      <c r="E12" s="26">
        <v>42163</v>
      </c>
      <c r="F12" s="51">
        <v>52426.5</v>
      </c>
      <c r="G12" s="23"/>
      <c r="H12" s="27">
        <v>42163</v>
      </c>
      <c r="I12" s="62">
        <v>0</v>
      </c>
      <c r="J12" s="88"/>
      <c r="K12" s="13" t="s">
        <v>449</v>
      </c>
      <c r="L12" s="20">
        <v>7508.06</v>
      </c>
      <c r="M12" s="67" t="s">
        <v>460</v>
      </c>
      <c r="N12" s="75">
        <v>41924.5</v>
      </c>
      <c r="O12" s="75"/>
      <c r="P12" s="75"/>
      <c r="Q12" s="21"/>
      <c r="R12" s="39">
        <v>42163</v>
      </c>
      <c r="S12" s="45">
        <v>0</v>
      </c>
      <c r="T12" s="32"/>
      <c r="U12" s="26">
        <v>42163</v>
      </c>
      <c r="V12" s="51">
        <v>52426.5</v>
      </c>
      <c r="W12" s="23"/>
      <c r="X12" s="27">
        <v>42163</v>
      </c>
      <c r="Y12" s="62">
        <v>0</v>
      </c>
      <c r="Z12" s="88"/>
      <c r="AA12" s="13" t="s">
        <v>449</v>
      </c>
      <c r="AB12" s="20">
        <v>0</v>
      </c>
      <c r="AC12" s="67" t="s">
        <v>460</v>
      </c>
      <c r="AD12" s="75">
        <v>41924.5</v>
      </c>
      <c r="AE12" s="80"/>
    </row>
    <row r="13" spans="1:31" x14ac:dyDescent="0.25">
      <c r="A13" s="21"/>
      <c r="B13" s="39">
        <v>42164</v>
      </c>
      <c r="C13" s="45">
        <v>0</v>
      </c>
      <c r="D13" s="32"/>
      <c r="E13" s="26">
        <v>42164</v>
      </c>
      <c r="F13" s="51">
        <v>27036</v>
      </c>
      <c r="G13" s="23"/>
      <c r="H13" s="27">
        <v>42164</v>
      </c>
      <c r="I13" s="62">
        <v>600</v>
      </c>
      <c r="J13" s="88"/>
      <c r="K13" s="13" t="s">
        <v>450</v>
      </c>
      <c r="L13" s="20">
        <v>7777.05</v>
      </c>
      <c r="M13" s="67" t="s">
        <v>462</v>
      </c>
      <c r="N13" s="75">
        <v>30070</v>
      </c>
      <c r="O13" s="75"/>
      <c r="P13" s="75"/>
      <c r="Q13" s="21"/>
      <c r="R13" s="39">
        <v>42164</v>
      </c>
      <c r="S13" s="45">
        <v>0</v>
      </c>
      <c r="T13" s="32"/>
      <c r="U13" s="26">
        <v>42164</v>
      </c>
      <c r="V13" s="51">
        <v>27036</v>
      </c>
      <c r="W13" s="23"/>
      <c r="X13" s="27">
        <v>42164</v>
      </c>
      <c r="Y13" s="62">
        <v>600</v>
      </c>
      <c r="Z13" s="88"/>
      <c r="AA13" s="13" t="s">
        <v>450</v>
      </c>
      <c r="AB13" s="20">
        <v>0</v>
      </c>
      <c r="AC13" s="67" t="s">
        <v>462</v>
      </c>
      <c r="AD13" s="75">
        <v>30070</v>
      </c>
      <c r="AE13" s="80"/>
    </row>
    <row r="14" spans="1:31" x14ac:dyDescent="0.25">
      <c r="A14" s="21"/>
      <c r="B14" s="39">
        <v>42165</v>
      </c>
      <c r="C14" s="45">
        <v>0</v>
      </c>
      <c r="D14" s="29"/>
      <c r="E14" s="26">
        <v>42165</v>
      </c>
      <c r="F14" s="51">
        <v>44965</v>
      </c>
      <c r="G14" s="23"/>
      <c r="H14" s="27">
        <v>42165</v>
      </c>
      <c r="I14" s="62">
        <v>200</v>
      </c>
      <c r="J14" s="88"/>
      <c r="K14" s="35" t="s">
        <v>16</v>
      </c>
      <c r="L14" s="20">
        <v>0</v>
      </c>
      <c r="M14" s="67" t="s">
        <v>463</v>
      </c>
      <c r="N14" s="75">
        <v>48110</v>
      </c>
      <c r="O14" s="75"/>
      <c r="P14" s="75"/>
      <c r="Q14" s="21"/>
      <c r="R14" s="39">
        <v>42165</v>
      </c>
      <c r="S14" s="45">
        <v>0</v>
      </c>
      <c r="T14" s="29"/>
      <c r="U14" s="26">
        <v>42165</v>
      </c>
      <c r="V14" s="51">
        <v>44965</v>
      </c>
      <c r="W14" s="23"/>
      <c r="X14" s="27">
        <v>42165</v>
      </c>
      <c r="Y14" s="62">
        <v>200</v>
      </c>
      <c r="Z14" s="88"/>
      <c r="AA14" s="35" t="s">
        <v>16</v>
      </c>
      <c r="AB14" s="20">
        <v>0</v>
      </c>
      <c r="AC14" s="67" t="s">
        <v>463</v>
      </c>
      <c r="AD14" s="75">
        <v>48110</v>
      </c>
      <c r="AE14" s="80"/>
    </row>
    <row r="15" spans="1:31" x14ac:dyDescent="0.25">
      <c r="A15" s="21"/>
      <c r="B15" s="39">
        <v>42166</v>
      </c>
      <c r="C15" s="45">
        <v>0</v>
      </c>
      <c r="D15" s="29"/>
      <c r="E15" s="26">
        <v>42166</v>
      </c>
      <c r="F15" s="51">
        <v>47817.5</v>
      </c>
      <c r="G15" s="23"/>
      <c r="H15" s="27">
        <v>42166</v>
      </c>
      <c r="I15" s="62">
        <v>200</v>
      </c>
      <c r="J15" s="88"/>
      <c r="K15" s="28" t="s">
        <v>15</v>
      </c>
      <c r="L15" s="20">
        <v>0</v>
      </c>
      <c r="M15" s="67" t="s">
        <v>464</v>
      </c>
      <c r="N15" s="75">
        <v>49100</v>
      </c>
      <c r="O15" s="75"/>
      <c r="P15" s="75"/>
      <c r="Q15" s="21"/>
      <c r="R15" s="39">
        <v>42166</v>
      </c>
      <c r="S15" s="45">
        <v>0</v>
      </c>
      <c r="T15" s="29"/>
      <c r="U15" s="26">
        <v>42166</v>
      </c>
      <c r="V15" s="51">
        <v>47817.5</v>
      </c>
      <c r="W15" s="23"/>
      <c r="X15" s="27">
        <v>42166</v>
      </c>
      <c r="Y15" s="62">
        <v>200</v>
      </c>
      <c r="Z15" s="88"/>
      <c r="AA15" s="28" t="s">
        <v>15</v>
      </c>
      <c r="AB15" s="20">
        <v>0</v>
      </c>
      <c r="AC15" s="67" t="s">
        <v>464</v>
      </c>
      <c r="AD15" s="75">
        <v>49100</v>
      </c>
      <c r="AE15" s="80"/>
    </row>
    <row r="16" spans="1:31" x14ac:dyDescent="0.25">
      <c r="A16" s="21"/>
      <c r="B16" s="39">
        <v>42167</v>
      </c>
      <c r="C16" s="45">
        <v>708</v>
      </c>
      <c r="D16" s="29" t="s">
        <v>466</v>
      </c>
      <c r="E16" s="26">
        <v>42167</v>
      </c>
      <c r="F16" s="51">
        <v>55532</v>
      </c>
      <c r="G16" s="23"/>
      <c r="H16" s="27">
        <v>42167</v>
      </c>
      <c r="I16" s="62">
        <v>200</v>
      </c>
      <c r="J16" s="88"/>
      <c r="K16" s="73" t="s">
        <v>52</v>
      </c>
      <c r="L16" s="74">
        <v>0</v>
      </c>
      <c r="M16" s="67" t="s">
        <v>465</v>
      </c>
      <c r="N16" s="75">
        <v>56150</v>
      </c>
      <c r="O16" s="75"/>
      <c r="P16" s="75"/>
      <c r="Q16" s="21"/>
      <c r="R16" s="39">
        <v>42167</v>
      </c>
      <c r="S16" s="45">
        <v>708</v>
      </c>
      <c r="T16" s="29" t="s">
        <v>466</v>
      </c>
      <c r="U16" s="26">
        <v>42167</v>
      </c>
      <c r="V16" s="51">
        <v>55532</v>
      </c>
      <c r="W16" s="23"/>
      <c r="X16" s="27">
        <v>42167</v>
      </c>
      <c r="Y16" s="62">
        <v>200</v>
      </c>
      <c r="Z16" s="88"/>
      <c r="AA16" s="73" t="s">
        <v>52</v>
      </c>
      <c r="AB16" s="74">
        <v>0</v>
      </c>
      <c r="AC16" s="67" t="s">
        <v>465</v>
      </c>
      <c r="AD16" s="75">
        <v>56150</v>
      </c>
      <c r="AE16" s="80"/>
    </row>
    <row r="17" spans="1:31" x14ac:dyDescent="0.25">
      <c r="A17" s="21"/>
      <c r="B17" s="39">
        <v>42168</v>
      </c>
      <c r="C17" s="45">
        <v>0</v>
      </c>
      <c r="D17" s="29"/>
      <c r="E17" s="26">
        <v>42168</v>
      </c>
      <c r="F17" s="51">
        <v>104726</v>
      </c>
      <c r="G17" s="23"/>
      <c r="H17" s="27">
        <v>42168</v>
      </c>
      <c r="I17" s="62">
        <v>245</v>
      </c>
      <c r="J17" s="88"/>
      <c r="K17" s="28" t="s">
        <v>53</v>
      </c>
      <c r="L17" s="74">
        <v>0</v>
      </c>
      <c r="M17" s="67" t="s">
        <v>467</v>
      </c>
      <c r="N17" s="75">
        <v>103849.5</v>
      </c>
      <c r="O17" s="75"/>
      <c r="P17" s="75"/>
      <c r="Q17" s="21"/>
      <c r="R17" s="39">
        <v>42168</v>
      </c>
      <c r="S17" s="45">
        <v>0</v>
      </c>
      <c r="T17" s="29"/>
      <c r="U17" s="26">
        <v>42168</v>
      </c>
      <c r="V17" s="51">
        <v>104726</v>
      </c>
      <c r="W17" s="23"/>
      <c r="X17" s="27">
        <v>42168</v>
      </c>
      <c r="Y17" s="62">
        <v>245</v>
      </c>
      <c r="Z17" s="88"/>
      <c r="AA17" s="28" t="s">
        <v>53</v>
      </c>
      <c r="AB17" s="74">
        <v>0</v>
      </c>
      <c r="AC17" s="67" t="s">
        <v>467</v>
      </c>
      <c r="AD17" s="75">
        <v>103849.5</v>
      </c>
      <c r="AE17" s="80"/>
    </row>
    <row r="18" spans="1:31" x14ac:dyDescent="0.25">
      <c r="A18" s="21"/>
      <c r="B18" s="39">
        <v>42169</v>
      </c>
      <c r="C18" s="45">
        <v>0</v>
      </c>
      <c r="D18" s="22"/>
      <c r="E18" s="26">
        <v>42169</v>
      </c>
      <c r="F18" s="51">
        <v>64761</v>
      </c>
      <c r="G18" s="23"/>
      <c r="H18" s="27">
        <v>42169</v>
      </c>
      <c r="I18" s="62">
        <v>200</v>
      </c>
      <c r="J18" s="89"/>
      <c r="K18" s="28" t="s">
        <v>54</v>
      </c>
      <c r="L18" s="75">
        <v>0</v>
      </c>
      <c r="M18" s="67" t="s">
        <v>469</v>
      </c>
      <c r="N18" s="75">
        <v>62900</v>
      </c>
      <c r="O18" s="75"/>
      <c r="P18" s="75"/>
      <c r="Q18" s="21"/>
      <c r="R18" s="39">
        <v>42169</v>
      </c>
      <c r="S18" s="45">
        <v>0</v>
      </c>
      <c r="T18" s="22"/>
      <c r="U18" s="26">
        <v>42169</v>
      </c>
      <c r="V18" s="51"/>
      <c r="W18" s="23"/>
      <c r="X18" s="27">
        <v>42169</v>
      </c>
      <c r="Y18" s="62"/>
      <c r="Z18" s="89"/>
      <c r="AA18" s="28" t="s">
        <v>54</v>
      </c>
      <c r="AB18" s="75">
        <v>0</v>
      </c>
      <c r="AC18" s="67"/>
      <c r="AD18" s="75">
        <v>0</v>
      </c>
      <c r="AE18" s="80"/>
    </row>
    <row r="19" spans="1:31" x14ac:dyDescent="0.25">
      <c r="A19" s="21"/>
      <c r="B19" s="39">
        <v>42170</v>
      </c>
      <c r="C19" s="45">
        <v>540</v>
      </c>
      <c r="D19" s="29" t="s">
        <v>470</v>
      </c>
      <c r="E19" s="26">
        <v>42170</v>
      </c>
      <c r="F19" s="51">
        <v>57643</v>
      </c>
      <c r="G19" s="23"/>
      <c r="H19" s="27">
        <v>42170</v>
      </c>
      <c r="I19" s="62">
        <v>200</v>
      </c>
      <c r="J19" s="88"/>
      <c r="K19" s="28" t="s">
        <v>55</v>
      </c>
      <c r="L19" s="75">
        <v>0</v>
      </c>
      <c r="M19" s="67" t="s">
        <v>471</v>
      </c>
      <c r="N19" s="75">
        <v>58800</v>
      </c>
      <c r="O19" s="75"/>
      <c r="P19" s="75"/>
      <c r="Q19" s="21"/>
      <c r="R19" s="39">
        <v>42170</v>
      </c>
      <c r="S19" s="45">
        <v>0</v>
      </c>
      <c r="T19" s="29"/>
      <c r="U19" s="26">
        <v>42170</v>
      </c>
      <c r="V19" s="51"/>
      <c r="W19" s="23"/>
      <c r="X19" s="27">
        <v>42170</v>
      </c>
      <c r="Y19" s="62"/>
      <c r="Z19" s="88"/>
      <c r="AA19" s="28" t="s">
        <v>55</v>
      </c>
      <c r="AB19" s="75">
        <v>0</v>
      </c>
      <c r="AC19" s="67"/>
      <c r="AD19" s="75">
        <v>0</v>
      </c>
      <c r="AE19" s="80"/>
    </row>
    <row r="20" spans="1:31" x14ac:dyDescent="0.25">
      <c r="A20" s="21"/>
      <c r="B20" s="39">
        <v>42171</v>
      </c>
      <c r="C20" s="45">
        <v>0</v>
      </c>
      <c r="D20" s="22"/>
      <c r="E20" s="26">
        <v>42171</v>
      </c>
      <c r="F20" s="51">
        <v>36791</v>
      </c>
      <c r="G20" s="23"/>
      <c r="H20" s="27">
        <v>42171</v>
      </c>
      <c r="I20" s="62">
        <v>200</v>
      </c>
      <c r="J20" s="90"/>
      <c r="K20" s="314" t="s">
        <v>408</v>
      </c>
      <c r="L20" s="55">
        <v>0</v>
      </c>
      <c r="M20" s="67" t="s">
        <v>472</v>
      </c>
      <c r="N20" s="75">
        <v>35660</v>
      </c>
      <c r="O20" s="75"/>
      <c r="P20" s="75"/>
      <c r="Q20" s="21"/>
      <c r="R20" s="39">
        <v>42171</v>
      </c>
      <c r="S20" s="45">
        <v>0</v>
      </c>
      <c r="T20" s="22"/>
      <c r="U20" s="26">
        <v>42171</v>
      </c>
      <c r="V20" s="51"/>
      <c r="W20" s="23"/>
      <c r="X20" s="27">
        <v>42171</v>
      </c>
      <c r="Y20" s="62"/>
      <c r="Z20" s="90"/>
      <c r="AA20" s="314" t="s">
        <v>408</v>
      </c>
      <c r="AB20" s="55">
        <v>0</v>
      </c>
      <c r="AC20" s="67"/>
      <c r="AD20" s="75">
        <v>0</v>
      </c>
      <c r="AE20" s="80"/>
    </row>
    <row r="21" spans="1:31" x14ac:dyDescent="0.25">
      <c r="A21" s="21"/>
      <c r="B21" s="39">
        <v>42172</v>
      </c>
      <c r="C21" s="45">
        <v>0</v>
      </c>
      <c r="D21" s="22"/>
      <c r="E21" s="26">
        <v>42172</v>
      </c>
      <c r="F21" s="51">
        <v>44588</v>
      </c>
      <c r="G21" s="23"/>
      <c r="H21" s="27">
        <v>42172</v>
      </c>
      <c r="I21" s="62">
        <v>200</v>
      </c>
      <c r="J21" s="88"/>
      <c r="K21" s="25" t="s">
        <v>99</v>
      </c>
      <c r="L21" s="55">
        <v>0</v>
      </c>
      <c r="M21" s="67" t="s">
        <v>473</v>
      </c>
      <c r="N21" s="75">
        <v>44300</v>
      </c>
      <c r="O21" s="75"/>
      <c r="P21" s="75"/>
      <c r="Q21" s="21"/>
      <c r="R21" s="39">
        <v>42172</v>
      </c>
      <c r="S21" s="45">
        <v>0</v>
      </c>
      <c r="T21" s="22"/>
      <c r="U21" s="26">
        <v>42172</v>
      </c>
      <c r="V21" s="51"/>
      <c r="W21" s="23"/>
      <c r="X21" s="27">
        <v>42172</v>
      </c>
      <c r="Y21" s="62"/>
      <c r="Z21" s="88"/>
      <c r="AA21" s="25" t="s">
        <v>99</v>
      </c>
      <c r="AB21" s="55">
        <v>0</v>
      </c>
      <c r="AC21" s="67"/>
      <c r="AD21" s="75">
        <v>0</v>
      </c>
      <c r="AE21" s="80"/>
    </row>
    <row r="22" spans="1:31" x14ac:dyDescent="0.25">
      <c r="A22" s="21"/>
      <c r="B22" s="39">
        <v>42173</v>
      </c>
      <c r="C22" s="45">
        <v>0</v>
      </c>
      <c r="D22" s="22"/>
      <c r="E22" s="26">
        <v>42173</v>
      </c>
      <c r="F22" s="51">
        <v>56129</v>
      </c>
      <c r="G22" s="23"/>
      <c r="H22" s="27">
        <v>42173</v>
      </c>
      <c r="I22" s="62">
        <v>200</v>
      </c>
      <c r="J22" s="90"/>
      <c r="K22" s="122" t="s">
        <v>213</v>
      </c>
      <c r="L22" s="55">
        <v>0</v>
      </c>
      <c r="M22" s="67" t="s">
        <v>475</v>
      </c>
      <c r="N22" s="75">
        <v>57830</v>
      </c>
      <c r="O22" s="75"/>
      <c r="P22" s="75"/>
      <c r="Q22" s="21"/>
      <c r="R22" s="39">
        <v>42173</v>
      </c>
      <c r="S22" s="45">
        <v>0</v>
      </c>
      <c r="T22" s="22"/>
      <c r="U22" s="26">
        <v>42173</v>
      </c>
      <c r="V22" s="51"/>
      <c r="W22" s="23"/>
      <c r="X22" s="27">
        <v>42173</v>
      </c>
      <c r="Y22" s="62"/>
      <c r="Z22" s="90"/>
      <c r="AA22" s="122" t="s">
        <v>213</v>
      </c>
      <c r="AB22" s="55">
        <v>0</v>
      </c>
      <c r="AC22" s="67"/>
      <c r="AD22" s="75">
        <v>0</v>
      </c>
      <c r="AE22" s="80"/>
    </row>
    <row r="23" spans="1:31" x14ac:dyDescent="0.25">
      <c r="A23" s="21"/>
      <c r="B23" s="39">
        <v>42174</v>
      </c>
      <c r="C23" s="45">
        <v>0</v>
      </c>
      <c r="D23" s="22"/>
      <c r="E23" s="26">
        <v>42174</v>
      </c>
      <c r="F23" s="51">
        <v>60736.5</v>
      </c>
      <c r="G23" s="23"/>
      <c r="H23" s="27">
        <v>42174</v>
      </c>
      <c r="I23" s="62">
        <v>200</v>
      </c>
      <c r="J23" s="88"/>
      <c r="K23" s="11" t="s">
        <v>332</v>
      </c>
      <c r="L23" s="55">
        <v>800</v>
      </c>
      <c r="M23" s="67" t="s">
        <v>476</v>
      </c>
      <c r="N23" s="75">
        <v>60200</v>
      </c>
      <c r="O23" s="75"/>
      <c r="P23" s="75"/>
      <c r="Q23" s="21"/>
      <c r="R23" s="39">
        <v>42174</v>
      </c>
      <c r="S23" s="45">
        <v>0</v>
      </c>
      <c r="T23" s="22"/>
      <c r="U23" s="26">
        <v>42174</v>
      </c>
      <c r="V23" s="51"/>
      <c r="W23" s="23"/>
      <c r="X23" s="27">
        <v>42174</v>
      </c>
      <c r="Y23" s="62"/>
      <c r="Z23" s="88"/>
      <c r="AA23" s="11" t="s">
        <v>332</v>
      </c>
      <c r="AB23" s="55">
        <v>800</v>
      </c>
      <c r="AC23" s="67"/>
      <c r="AD23" s="75">
        <v>0</v>
      </c>
      <c r="AE23" s="80"/>
    </row>
    <row r="24" spans="1:31" x14ac:dyDescent="0.25">
      <c r="A24" s="21"/>
      <c r="B24" s="39">
        <v>42175</v>
      </c>
      <c r="C24" s="45">
        <v>0</v>
      </c>
      <c r="D24" s="29"/>
      <c r="E24" s="26">
        <v>42175</v>
      </c>
      <c r="F24" s="51">
        <v>72354.5</v>
      </c>
      <c r="G24" s="23"/>
      <c r="H24" s="27">
        <v>42175</v>
      </c>
      <c r="I24" s="62">
        <v>200</v>
      </c>
      <c r="J24" s="88"/>
      <c r="K24" s="365">
        <v>42165</v>
      </c>
      <c r="L24" s="55"/>
      <c r="M24" s="67" t="s">
        <v>477</v>
      </c>
      <c r="N24" s="75">
        <v>70400</v>
      </c>
      <c r="O24" s="75"/>
      <c r="P24" s="75"/>
      <c r="Q24" s="21"/>
      <c r="R24" s="39">
        <v>42175</v>
      </c>
      <c r="S24" s="45">
        <v>0</v>
      </c>
      <c r="T24" s="29"/>
      <c r="U24" s="26">
        <v>42175</v>
      </c>
      <c r="V24" s="51"/>
      <c r="W24" s="23"/>
      <c r="X24" s="27">
        <v>42175</v>
      </c>
      <c r="Y24" s="62"/>
      <c r="Z24" s="88"/>
      <c r="AA24" s="365">
        <v>42165</v>
      </c>
      <c r="AB24" s="55"/>
      <c r="AC24" s="67"/>
      <c r="AD24" s="75">
        <v>0</v>
      </c>
      <c r="AE24" s="80"/>
    </row>
    <row r="25" spans="1:31" x14ac:dyDescent="0.25">
      <c r="A25" s="21"/>
      <c r="B25" s="39">
        <v>42176</v>
      </c>
      <c r="C25" s="45">
        <v>0</v>
      </c>
      <c r="D25" s="22"/>
      <c r="E25" s="26">
        <v>42176</v>
      </c>
      <c r="F25" s="51">
        <v>78864.5</v>
      </c>
      <c r="G25" s="23"/>
      <c r="H25" s="27">
        <v>42176</v>
      </c>
      <c r="I25" s="62">
        <v>200</v>
      </c>
      <c r="J25" s="88"/>
      <c r="K25" s="11"/>
      <c r="L25" s="55"/>
      <c r="M25" s="67" t="s">
        <v>480</v>
      </c>
      <c r="N25" s="75">
        <v>78100</v>
      </c>
      <c r="O25" s="75"/>
      <c r="P25" s="75"/>
      <c r="Q25" s="21"/>
      <c r="R25" s="39">
        <v>42176</v>
      </c>
      <c r="S25" s="45">
        <v>0</v>
      </c>
      <c r="T25" s="22"/>
      <c r="U25" s="26">
        <v>42176</v>
      </c>
      <c r="V25" s="51"/>
      <c r="W25" s="23"/>
      <c r="X25" s="27">
        <v>42176</v>
      </c>
      <c r="Y25" s="62"/>
      <c r="Z25" s="88"/>
      <c r="AA25" s="11"/>
      <c r="AB25" s="55"/>
      <c r="AC25" s="67"/>
      <c r="AD25" s="75">
        <v>0</v>
      </c>
      <c r="AE25" s="80"/>
    </row>
    <row r="26" spans="1:31" x14ac:dyDescent="0.25">
      <c r="A26" s="21"/>
      <c r="B26" s="39">
        <v>42177</v>
      </c>
      <c r="C26" s="45">
        <v>0</v>
      </c>
      <c r="D26" s="29"/>
      <c r="E26" s="26">
        <v>42177</v>
      </c>
      <c r="F26" s="51">
        <v>53017</v>
      </c>
      <c r="G26" s="23"/>
      <c r="H26" s="27">
        <v>42177</v>
      </c>
      <c r="I26" s="62">
        <v>200</v>
      </c>
      <c r="J26" s="88"/>
      <c r="K26" s="11"/>
      <c r="L26" s="55"/>
      <c r="M26" s="67" t="s">
        <v>481</v>
      </c>
      <c r="N26" s="75">
        <v>52500</v>
      </c>
      <c r="O26" s="75"/>
      <c r="P26" s="75"/>
      <c r="Q26" s="21"/>
      <c r="R26" s="39">
        <v>42177</v>
      </c>
      <c r="S26" s="45">
        <v>0</v>
      </c>
      <c r="T26" s="29"/>
      <c r="U26" s="26">
        <v>42177</v>
      </c>
      <c r="V26" s="51"/>
      <c r="W26" s="23"/>
      <c r="X26" s="27">
        <v>42177</v>
      </c>
      <c r="Y26" s="62"/>
      <c r="Z26" s="88"/>
      <c r="AA26" s="11"/>
      <c r="AB26" s="55"/>
      <c r="AC26" s="67"/>
      <c r="AD26" s="75">
        <v>0</v>
      </c>
      <c r="AE26" s="80"/>
    </row>
    <row r="27" spans="1:31" x14ac:dyDescent="0.25">
      <c r="A27" s="21"/>
      <c r="B27" s="39">
        <v>42178</v>
      </c>
      <c r="C27" s="45">
        <v>0</v>
      </c>
      <c r="D27" s="29"/>
      <c r="E27" s="26">
        <v>42178</v>
      </c>
      <c r="F27" s="51">
        <v>42632</v>
      </c>
      <c r="G27" s="23"/>
      <c r="H27" s="27">
        <v>42178</v>
      </c>
      <c r="I27" s="62">
        <v>200</v>
      </c>
      <c r="J27" s="88"/>
      <c r="K27" s="11"/>
      <c r="L27" s="55"/>
      <c r="M27" s="201" t="s">
        <v>498</v>
      </c>
      <c r="N27" s="204">
        <v>42650</v>
      </c>
      <c r="O27" s="204"/>
      <c r="P27" s="204"/>
      <c r="Q27" s="21"/>
      <c r="R27" s="39">
        <v>42178</v>
      </c>
      <c r="S27" s="45">
        <v>0</v>
      </c>
      <c r="T27" s="29"/>
      <c r="U27" s="26">
        <v>42178</v>
      </c>
      <c r="V27" s="51"/>
      <c r="W27" s="23"/>
      <c r="X27" s="27">
        <v>42178</v>
      </c>
      <c r="Y27" s="62"/>
      <c r="Z27" s="88"/>
      <c r="AA27" s="11"/>
      <c r="AB27" s="55"/>
      <c r="AC27" s="201"/>
      <c r="AD27" s="204">
        <v>0</v>
      </c>
      <c r="AE27" s="80"/>
    </row>
    <row r="28" spans="1:31" x14ac:dyDescent="0.25">
      <c r="A28" s="21"/>
      <c r="B28" s="39">
        <v>42179</v>
      </c>
      <c r="C28" s="45">
        <v>0</v>
      </c>
      <c r="D28" s="29"/>
      <c r="E28" s="26">
        <v>42179</v>
      </c>
      <c r="F28" s="51">
        <v>42115</v>
      </c>
      <c r="G28" s="23"/>
      <c r="H28" s="27">
        <v>42179</v>
      </c>
      <c r="I28" s="62">
        <v>200</v>
      </c>
      <c r="J28" s="88"/>
      <c r="K28" s="11"/>
      <c r="L28" s="55"/>
      <c r="M28" s="201" t="s">
        <v>499</v>
      </c>
      <c r="N28" s="204">
        <v>43660</v>
      </c>
      <c r="O28" s="204"/>
      <c r="P28" s="204"/>
      <c r="Q28" s="21"/>
      <c r="R28" s="39">
        <v>42179</v>
      </c>
      <c r="S28" s="45">
        <v>0</v>
      </c>
      <c r="T28" s="29"/>
      <c r="U28" s="26">
        <v>42179</v>
      </c>
      <c r="V28" s="51"/>
      <c r="W28" s="23"/>
      <c r="X28" s="27">
        <v>42179</v>
      </c>
      <c r="Y28" s="62"/>
      <c r="Z28" s="88"/>
      <c r="AA28" s="11"/>
      <c r="AB28" s="55"/>
      <c r="AC28" s="201"/>
      <c r="AD28" s="204">
        <v>0</v>
      </c>
      <c r="AE28" s="80"/>
    </row>
    <row r="29" spans="1:31" x14ac:dyDescent="0.25">
      <c r="A29" s="21"/>
      <c r="B29" s="39">
        <v>42180</v>
      </c>
      <c r="C29" s="45">
        <v>0</v>
      </c>
      <c r="D29" s="29"/>
      <c r="E29" s="26">
        <v>42180</v>
      </c>
      <c r="F29" s="51">
        <v>59020</v>
      </c>
      <c r="G29" s="23"/>
      <c r="H29" s="27">
        <v>42180</v>
      </c>
      <c r="I29" s="62">
        <v>200</v>
      </c>
      <c r="J29" s="88"/>
      <c r="K29" s="11"/>
      <c r="L29" s="20"/>
      <c r="M29" s="67" t="s">
        <v>500</v>
      </c>
      <c r="N29" s="75">
        <v>59200</v>
      </c>
      <c r="O29" s="75"/>
      <c r="P29" s="75"/>
      <c r="Q29" s="21"/>
      <c r="R29" s="39">
        <v>42180</v>
      </c>
      <c r="S29" s="45">
        <v>0</v>
      </c>
      <c r="T29" s="29"/>
      <c r="U29" s="26">
        <v>42180</v>
      </c>
      <c r="V29" s="51"/>
      <c r="W29" s="23"/>
      <c r="X29" s="27">
        <v>42180</v>
      </c>
      <c r="Y29" s="62"/>
      <c r="Z29" s="88"/>
      <c r="AA29" s="11"/>
      <c r="AB29" s="20"/>
      <c r="AC29" s="67"/>
      <c r="AD29" s="75">
        <v>0</v>
      </c>
      <c r="AE29" s="80"/>
    </row>
    <row r="30" spans="1:31" x14ac:dyDescent="0.25">
      <c r="A30" s="21"/>
      <c r="B30" s="39">
        <v>42181</v>
      </c>
      <c r="C30" s="45">
        <v>0</v>
      </c>
      <c r="D30" s="22"/>
      <c r="E30" s="26">
        <v>42181</v>
      </c>
      <c r="F30" s="51">
        <v>69872</v>
      </c>
      <c r="G30" s="23"/>
      <c r="H30" s="27">
        <v>42181</v>
      </c>
      <c r="I30" s="62">
        <v>200</v>
      </c>
      <c r="J30" s="88"/>
      <c r="K30" s="11"/>
      <c r="L30" s="20"/>
      <c r="M30" s="201" t="s">
        <v>501</v>
      </c>
      <c r="N30" s="204">
        <v>67800</v>
      </c>
      <c r="O30" s="204"/>
      <c r="P30" s="204"/>
      <c r="Q30" s="21"/>
      <c r="R30" s="39">
        <v>42181</v>
      </c>
      <c r="S30" s="45">
        <v>0</v>
      </c>
      <c r="T30" s="22"/>
      <c r="U30" s="26">
        <v>42181</v>
      </c>
      <c r="V30" s="51"/>
      <c r="W30" s="23"/>
      <c r="X30" s="27">
        <v>42181</v>
      </c>
      <c r="Y30" s="62"/>
      <c r="Z30" s="88"/>
      <c r="AA30" s="11"/>
      <c r="AB30" s="20"/>
      <c r="AC30" s="201"/>
      <c r="AD30" s="204">
        <v>0</v>
      </c>
      <c r="AE30" s="80"/>
    </row>
    <row r="31" spans="1:31" x14ac:dyDescent="0.25">
      <c r="A31" s="21"/>
      <c r="B31" s="39">
        <v>42182</v>
      </c>
      <c r="C31" s="45">
        <v>307</v>
      </c>
      <c r="D31" s="22" t="s">
        <v>457</v>
      </c>
      <c r="E31" s="26">
        <v>42182</v>
      </c>
      <c r="F31" s="51">
        <v>92994.5</v>
      </c>
      <c r="G31" s="23"/>
      <c r="H31" s="27">
        <v>42182</v>
      </c>
      <c r="I31" s="62">
        <v>200</v>
      </c>
      <c r="J31" s="88"/>
      <c r="K31" s="11"/>
      <c r="L31" s="20"/>
      <c r="M31" s="201" t="s">
        <v>502</v>
      </c>
      <c r="N31" s="204">
        <v>91100</v>
      </c>
      <c r="O31" s="204"/>
      <c r="P31" s="204"/>
      <c r="Q31" s="21"/>
      <c r="R31" s="39">
        <v>42182</v>
      </c>
      <c r="S31" s="45">
        <v>0</v>
      </c>
      <c r="T31" s="22"/>
      <c r="U31" s="26">
        <v>42182</v>
      </c>
      <c r="V31" s="51"/>
      <c r="W31" s="23"/>
      <c r="X31" s="27">
        <v>42182</v>
      </c>
      <c r="Y31" s="62"/>
      <c r="Z31" s="88"/>
      <c r="AA31" s="11"/>
      <c r="AB31" s="20"/>
      <c r="AC31" s="201"/>
      <c r="AD31" s="204">
        <v>0</v>
      </c>
      <c r="AE31" s="80"/>
    </row>
    <row r="32" spans="1:31" x14ac:dyDescent="0.25">
      <c r="A32" s="21"/>
      <c r="B32" s="39">
        <v>42183</v>
      </c>
      <c r="C32" s="45">
        <v>0</v>
      </c>
      <c r="D32" s="22"/>
      <c r="E32" s="26">
        <v>42183</v>
      </c>
      <c r="F32" s="51">
        <v>85990</v>
      </c>
      <c r="G32" s="23"/>
      <c r="H32" s="27">
        <v>42183</v>
      </c>
      <c r="I32" s="62">
        <v>200</v>
      </c>
      <c r="J32" s="88"/>
      <c r="K32" s="11"/>
      <c r="L32" s="20"/>
      <c r="M32" s="67" t="s">
        <v>503</v>
      </c>
      <c r="N32" s="75">
        <v>81580</v>
      </c>
      <c r="O32" s="75"/>
      <c r="P32" s="75"/>
      <c r="Q32" s="21"/>
      <c r="R32" s="39">
        <v>42183</v>
      </c>
      <c r="S32" s="45">
        <v>0</v>
      </c>
      <c r="T32" s="22"/>
      <c r="U32" s="26">
        <v>42183</v>
      </c>
      <c r="V32" s="51"/>
      <c r="W32" s="23"/>
      <c r="X32" s="27">
        <v>42183</v>
      </c>
      <c r="Y32" s="62"/>
      <c r="Z32" s="88"/>
      <c r="AA32" s="11"/>
      <c r="AB32" s="20"/>
      <c r="AC32" s="67"/>
      <c r="AD32" s="75">
        <v>0</v>
      </c>
      <c r="AE32" s="80"/>
    </row>
    <row r="33" spans="1:31" x14ac:dyDescent="0.25">
      <c r="A33" s="21"/>
      <c r="B33" s="39">
        <v>42184</v>
      </c>
      <c r="C33" s="45">
        <v>0</v>
      </c>
      <c r="D33" s="32"/>
      <c r="E33" s="26">
        <v>42184</v>
      </c>
      <c r="F33" s="51">
        <v>49043</v>
      </c>
      <c r="G33" s="23"/>
      <c r="H33" s="27">
        <v>42184</v>
      </c>
      <c r="I33" s="62">
        <v>232</v>
      </c>
      <c r="J33" s="88"/>
      <c r="K33" s="11"/>
      <c r="L33" s="20"/>
      <c r="M33" s="67" t="s">
        <v>504</v>
      </c>
      <c r="N33" s="75">
        <v>54200</v>
      </c>
      <c r="O33" s="75"/>
      <c r="P33" s="75"/>
      <c r="Q33" s="21"/>
      <c r="R33" s="39">
        <v>42184</v>
      </c>
      <c r="S33" s="45">
        <v>0</v>
      </c>
      <c r="T33" s="32"/>
      <c r="U33" s="26">
        <v>42184</v>
      </c>
      <c r="V33" s="51"/>
      <c r="W33" s="23"/>
      <c r="X33" s="27">
        <v>42184</v>
      </c>
      <c r="Y33" s="62"/>
      <c r="Z33" s="88"/>
      <c r="AA33" s="11"/>
      <c r="AB33" s="20"/>
      <c r="AC33" s="67"/>
      <c r="AD33" s="75">
        <v>0</v>
      </c>
      <c r="AE33" s="80"/>
    </row>
    <row r="34" spans="1:31" x14ac:dyDescent="0.25">
      <c r="A34" s="21"/>
      <c r="B34" s="39">
        <v>42185</v>
      </c>
      <c r="C34" s="45">
        <v>0</v>
      </c>
      <c r="D34" s="72"/>
      <c r="E34" s="26">
        <v>42185</v>
      </c>
      <c r="F34" s="51">
        <v>61147.5</v>
      </c>
      <c r="G34" s="23"/>
      <c r="H34" s="27">
        <v>42185</v>
      </c>
      <c r="I34" s="62">
        <v>200</v>
      </c>
      <c r="J34" s="88"/>
      <c r="K34" s="11"/>
      <c r="L34" s="20"/>
      <c r="M34" s="258" t="s">
        <v>505</v>
      </c>
      <c r="N34" s="202">
        <v>57520</v>
      </c>
      <c r="O34" s="202"/>
      <c r="P34" s="202"/>
      <c r="Q34" s="21"/>
      <c r="R34" s="39">
        <v>42185</v>
      </c>
      <c r="S34" s="45">
        <v>0</v>
      </c>
      <c r="T34" s="72"/>
      <c r="U34" s="26">
        <v>42185</v>
      </c>
      <c r="V34" s="51"/>
      <c r="W34" s="23"/>
      <c r="X34" s="27">
        <v>42185</v>
      </c>
      <c r="Y34" s="62"/>
      <c r="Z34" s="88"/>
      <c r="AA34" s="11"/>
      <c r="AB34" s="20"/>
      <c r="AC34" s="258"/>
      <c r="AD34" s="202">
        <v>0</v>
      </c>
      <c r="AE34" s="80"/>
    </row>
    <row r="35" spans="1:31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>
        <v>0</v>
      </c>
      <c r="O35" s="74"/>
      <c r="P35" s="74"/>
      <c r="Q35" s="21"/>
      <c r="R35" s="39"/>
      <c r="S35" s="45"/>
      <c r="T35" s="22"/>
      <c r="U35" s="26"/>
      <c r="V35" s="51"/>
      <c r="W35" s="23"/>
      <c r="X35" s="27"/>
      <c r="Y35" s="62"/>
      <c r="Z35" s="88"/>
      <c r="AA35" s="11" t="s">
        <v>345</v>
      </c>
      <c r="AB35" s="20"/>
      <c r="AC35" s="71"/>
      <c r="AD35" s="74">
        <v>0</v>
      </c>
    </row>
    <row r="36" spans="1:31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71"/>
      <c r="N36" s="346">
        <v>0</v>
      </c>
      <c r="O36" s="74"/>
      <c r="P36" s="74"/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D36" s="346">
        <v>0</v>
      </c>
    </row>
    <row r="37" spans="1:31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71"/>
      <c r="N37" s="345">
        <f>SUM(N5:N36)</f>
        <v>1716374</v>
      </c>
      <c r="O37" s="372"/>
      <c r="P37" s="372"/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D37" s="345">
        <f>SUM(AD5:AD36)</f>
        <v>697974</v>
      </c>
    </row>
    <row r="38" spans="1:31" x14ac:dyDescent="0.25">
      <c r="B38" s="42" t="s">
        <v>1</v>
      </c>
      <c r="C38" s="48">
        <f>SUM(C5:C37)</f>
        <v>2389.5</v>
      </c>
      <c r="E38" s="368" t="s">
        <v>1</v>
      </c>
      <c r="F38" s="54">
        <f>SUM(F5:F37)</f>
        <v>1729770</v>
      </c>
      <c r="H38" s="370" t="s">
        <v>1</v>
      </c>
      <c r="I38" s="58">
        <f>SUM(I5:I37)</f>
        <v>6109</v>
      </c>
      <c r="J38" s="58"/>
      <c r="K38" s="17" t="s">
        <v>1</v>
      </c>
      <c r="L38" s="4">
        <f t="shared" ref="L38" si="0">SUM(L5:L37)</f>
        <v>68313.790000000008</v>
      </c>
      <c r="M38" s="371"/>
      <c r="N38" s="202"/>
      <c r="O38" s="202"/>
      <c r="P38" s="202"/>
      <c r="R38" s="42" t="s">
        <v>1</v>
      </c>
      <c r="S38" s="48">
        <f>SUM(S5:S37)</f>
        <v>1542.5</v>
      </c>
      <c r="U38" s="361" t="s">
        <v>1</v>
      </c>
      <c r="V38" s="54">
        <f>SUM(V5:V37)</f>
        <v>702071.5</v>
      </c>
      <c r="X38" s="363" t="s">
        <v>1</v>
      </c>
      <c r="Y38" s="58">
        <f>SUM(Y5:Y37)</f>
        <v>2677</v>
      </c>
      <c r="Z38" s="58"/>
      <c r="AA38" s="17" t="s">
        <v>1</v>
      </c>
      <c r="AB38" s="4">
        <f t="shared" ref="AB38" si="1">SUM(AB5:AB37)</f>
        <v>53028.680000000008</v>
      </c>
    </row>
    <row r="39" spans="1:31" x14ac:dyDescent="0.25">
      <c r="B39" s="37"/>
      <c r="C39" s="43"/>
      <c r="F39" s="43"/>
      <c r="I39" s="43"/>
      <c r="J39" s="43"/>
      <c r="M39" s="371"/>
      <c r="N39" s="202"/>
      <c r="O39" s="202"/>
      <c r="P39" s="202"/>
    </row>
    <row r="40" spans="1:31" ht="15.75" customHeight="1" x14ac:dyDescent="0.25">
      <c r="A40" s="5"/>
      <c r="B40" s="37"/>
      <c r="C40" s="49">
        <v>0</v>
      </c>
      <c r="D40" s="13"/>
      <c r="E40" s="13"/>
      <c r="F40" s="55"/>
      <c r="H40" s="402" t="s">
        <v>7</v>
      </c>
      <c r="I40" s="403"/>
      <c r="J40" s="369"/>
      <c r="K40" s="404">
        <f>I38+L38</f>
        <v>74422.790000000008</v>
      </c>
      <c r="L40" s="405"/>
      <c r="M40" s="371"/>
      <c r="N40" s="202"/>
      <c r="O40" s="202"/>
      <c r="P40" s="202"/>
      <c r="Q40" s="5"/>
      <c r="S40" s="49">
        <v>0</v>
      </c>
      <c r="T40" s="13"/>
      <c r="U40" s="13"/>
      <c r="V40" s="55"/>
      <c r="X40" s="402" t="s">
        <v>7</v>
      </c>
      <c r="Y40" s="403"/>
      <c r="Z40" s="362"/>
      <c r="AA40" s="404">
        <f>Y38+AB38</f>
        <v>55705.680000000008</v>
      </c>
      <c r="AB40" s="405"/>
    </row>
    <row r="41" spans="1:31" ht="15.75" customHeight="1" x14ac:dyDescent="0.25">
      <c r="B41" s="37"/>
      <c r="C41" s="43"/>
      <c r="D41" s="396" t="s">
        <v>8</v>
      </c>
      <c r="E41" s="396"/>
      <c r="F41" s="56">
        <f>F38-K40</f>
        <v>1655347.21</v>
      </c>
      <c r="I41" s="65"/>
      <c r="J41" s="65"/>
      <c r="M41" s="371"/>
      <c r="N41" s="202"/>
      <c r="O41" s="202"/>
      <c r="P41" s="202"/>
      <c r="T41" s="396" t="s">
        <v>8</v>
      </c>
      <c r="U41" s="396"/>
      <c r="V41" s="56">
        <f>V38-AA40</f>
        <v>646365.81999999995</v>
      </c>
      <c r="Y41" s="65"/>
      <c r="Z41" s="65"/>
    </row>
    <row r="42" spans="1:31" x14ac:dyDescent="0.25">
      <c r="B42" s="37"/>
      <c r="C42" s="43"/>
      <c r="D42" s="13"/>
      <c r="E42" s="13" t="s">
        <v>0</v>
      </c>
      <c r="F42" s="56">
        <f>-C38</f>
        <v>-2389.5</v>
      </c>
      <c r="I42" s="43"/>
      <c r="J42" s="43"/>
      <c r="M42" s="371"/>
      <c r="N42" s="202"/>
      <c r="O42" s="202"/>
      <c r="P42" s="202"/>
      <c r="T42" s="13"/>
      <c r="U42" s="13" t="s">
        <v>0</v>
      </c>
      <c r="V42" s="56">
        <f>-S38</f>
        <v>-1542.5</v>
      </c>
    </row>
    <row r="43" spans="1:31" ht="15.75" thickBot="1" x14ac:dyDescent="0.3">
      <c r="B43" s="37"/>
      <c r="C43" s="43" t="s">
        <v>12</v>
      </c>
      <c r="D43" t="s">
        <v>303</v>
      </c>
      <c r="F43" s="125">
        <v>-1581936.53</v>
      </c>
      <c r="I43" s="406"/>
      <c r="J43" s="406"/>
      <c r="K43" s="406"/>
      <c r="L43" s="2"/>
      <c r="M43" s="371"/>
      <c r="N43" s="202"/>
      <c r="O43" s="202"/>
      <c r="P43" s="202"/>
      <c r="S43" s="43" t="s">
        <v>12</v>
      </c>
      <c r="T43" t="s">
        <v>303</v>
      </c>
      <c r="V43" s="125">
        <v>-683123.4</v>
      </c>
      <c r="Y43" s="406"/>
      <c r="Z43" s="406"/>
      <c r="AA43" s="406"/>
      <c r="AB43" s="2"/>
    </row>
    <row r="44" spans="1:31" ht="16.5" thickTop="1" x14ac:dyDescent="0.25">
      <c r="B44" s="37"/>
      <c r="C44" s="43"/>
      <c r="E44" s="5" t="s">
        <v>10</v>
      </c>
      <c r="F44" s="58">
        <f>SUM(F41:F43)</f>
        <v>71021.179999999935</v>
      </c>
      <c r="I44" s="438" t="s">
        <v>251</v>
      </c>
      <c r="J44" s="438"/>
      <c r="K44" s="423">
        <f>F46</f>
        <v>183039.44999999995</v>
      </c>
      <c r="L44" s="424"/>
      <c r="M44" s="371"/>
      <c r="N44" s="202"/>
      <c r="O44" s="202"/>
      <c r="P44" s="202"/>
      <c r="U44" s="5" t="s">
        <v>10</v>
      </c>
      <c r="V44" s="58">
        <f>SUM(V41:V43)</f>
        <v>-38300.080000000075</v>
      </c>
      <c r="Y44" s="438" t="s">
        <v>251</v>
      </c>
      <c r="Z44" s="438"/>
      <c r="AA44" s="423">
        <f>V46</f>
        <v>150420.62999999992</v>
      </c>
      <c r="AB44" s="424"/>
    </row>
    <row r="45" spans="1:31" ht="15.75" customHeight="1" thickBot="1" x14ac:dyDescent="0.3">
      <c r="B45" s="37"/>
      <c r="C45" s="43"/>
      <c r="D45" s="368" t="s">
        <v>9</v>
      </c>
      <c r="E45" s="368"/>
      <c r="F45" s="366">
        <v>112018.27</v>
      </c>
      <c r="I45" s="432" t="s">
        <v>2</v>
      </c>
      <c r="J45" s="432"/>
      <c r="K45" s="425">
        <v>-125131.74</v>
      </c>
      <c r="L45" s="425"/>
      <c r="M45" s="371"/>
      <c r="N45" s="202"/>
      <c r="O45" s="202"/>
      <c r="P45" s="202"/>
      <c r="T45" s="361" t="s">
        <v>9</v>
      </c>
      <c r="U45" s="361"/>
      <c r="V45" s="366">
        <v>188720.71</v>
      </c>
      <c r="Y45" s="432" t="s">
        <v>2</v>
      </c>
      <c r="Z45" s="432"/>
      <c r="AA45" s="425">
        <v>-125131.74</v>
      </c>
      <c r="AB45" s="425"/>
    </row>
    <row r="46" spans="1:31" ht="15.75" customHeight="1" thickBot="1" x14ac:dyDescent="0.3">
      <c r="B46" s="37"/>
      <c r="C46" s="43"/>
      <c r="E46" s="6" t="s">
        <v>347</v>
      </c>
      <c r="F46" s="48">
        <f>F45+F44</f>
        <v>183039.44999999995</v>
      </c>
      <c r="J46" s="178"/>
      <c r="K46" s="426">
        <v>0</v>
      </c>
      <c r="L46" s="426"/>
      <c r="M46" s="371"/>
      <c r="N46" s="202"/>
      <c r="O46" s="202"/>
      <c r="P46" s="202"/>
      <c r="U46" s="6" t="s">
        <v>347</v>
      </c>
      <c r="V46" s="48">
        <f>V45+V44</f>
        <v>150420.62999999992</v>
      </c>
      <c r="Y46"/>
      <c r="Z46" s="178"/>
      <c r="AA46" s="426">
        <v>0</v>
      </c>
      <c r="AB46" s="426"/>
    </row>
    <row r="47" spans="1:31" ht="19.5" thickBot="1" x14ac:dyDescent="0.3">
      <c r="B47" s="37"/>
      <c r="C47" s="43"/>
      <c r="E47" s="5"/>
      <c r="F47" s="56"/>
      <c r="I47" s="436" t="s">
        <v>468</v>
      </c>
      <c r="J47" s="437"/>
      <c r="K47" s="429">
        <f>SUM(K44:L46)</f>
        <v>57907.709999999948</v>
      </c>
      <c r="L47" s="430"/>
      <c r="M47" s="371"/>
      <c r="N47" s="202"/>
      <c r="O47" s="202"/>
      <c r="P47" s="202"/>
      <c r="U47" s="5"/>
      <c r="V47" s="56"/>
      <c r="Y47" s="436" t="s">
        <v>468</v>
      </c>
      <c r="Z47" s="437"/>
      <c r="AA47" s="429">
        <f>SUM(AA44:AB46)</f>
        <v>25288.889999999912</v>
      </c>
      <c r="AB47" s="430"/>
    </row>
    <row r="48" spans="1:31" x14ac:dyDescent="0.25">
      <c r="B48" s="37"/>
      <c r="C48" s="43"/>
      <c r="D48" s="406"/>
      <c r="E48" s="406"/>
      <c r="F48" s="58"/>
      <c r="I48" s="43"/>
      <c r="J48" s="43"/>
      <c r="M48" s="371"/>
      <c r="N48" s="202"/>
      <c r="O48" s="202"/>
      <c r="P48" s="202"/>
      <c r="T48" s="406"/>
      <c r="U48" s="406"/>
      <c r="V48" s="58"/>
    </row>
    <row r="49" spans="18:30" x14ac:dyDescent="0.25">
      <c r="R49"/>
      <c r="S49"/>
      <c r="V49"/>
      <c r="Y49"/>
      <c r="Z49"/>
      <c r="AC49"/>
      <c r="AD49" s="43"/>
    </row>
    <row r="50" spans="18:30" x14ac:dyDescent="0.25">
      <c r="R50"/>
      <c r="S50"/>
      <c r="V50"/>
      <c r="Y50"/>
      <c r="Z50"/>
      <c r="AC50"/>
      <c r="AD50" s="43"/>
    </row>
    <row r="51" spans="18:30" x14ac:dyDescent="0.25">
      <c r="R51"/>
      <c r="S51"/>
      <c r="V51"/>
      <c r="Y51"/>
      <c r="Z51"/>
      <c r="AC51"/>
      <c r="AD51" s="43"/>
    </row>
    <row r="52" spans="18:30" x14ac:dyDescent="0.25">
      <c r="R52"/>
      <c r="S52"/>
      <c r="V52"/>
      <c r="Y52"/>
      <c r="Z52"/>
      <c r="AC52"/>
    </row>
    <row r="53" spans="18:30" x14ac:dyDescent="0.25">
      <c r="R53"/>
      <c r="S53"/>
      <c r="V53"/>
      <c r="Y53"/>
      <c r="Z53"/>
      <c r="AC53"/>
    </row>
    <row r="54" spans="18:30" x14ac:dyDescent="0.25">
      <c r="R54"/>
      <c r="S54"/>
      <c r="V54"/>
      <c r="Y54"/>
      <c r="Z54"/>
      <c r="AC54"/>
    </row>
    <row r="55" spans="18:30" x14ac:dyDescent="0.25">
      <c r="R55"/>
      <c r="S55"/>
      <c r="V55"/>
      <c r="Y55"/>
      <c r="Z55"/>
      <c r="AC55"/>
      <c r="AD55" s="43"/>
    </row>
    <row r="56" spans="18:30" x14ac:dyDescent="0.25">
      <c r="R56"/>
      <c r="S56"/>
      <c r="V56"/>
      <c r="Y56"/>
      <c r="Z56"/>
      <c r="AC56"/>
      <c r="AD56" s="43"/>
    </row>
    <row r="57" spans="18:30" x14ac:dyDescent="0.25">
      <c r="R57"/>
      <c r="S57"/>
      <c r="V57"/>
      <c r="Y57"/>
      <c r="Z57"/>
      <c r="AC57"/>
      <c r="AD57" s="43"/>
    </row>
    <row r="58" spans="18:30" x14ac:dyDescent="0.25">
      <c r="R58"/>
      <c r="S58"/>
      <c r="V58"/>
      <c r="Y58"/>
      <c r="Z58"/>
      <c r="AC58"/>
      <c r="AD58" s="43"/>
    </row>
    <row r="59" spans="18:30" x14ac:dyDescent="0.25">
      <c r="R59"/>
      <c r="S59"/>
      <c r="V59"/>
      <c r="Y59"/>
      <c r="Z59"/>
      <c r="AC59"/>
      <c r="AD59" s="43"/>
    </row>
    <row r="60" spans="18:30" x14ac:dyDescent="0.25">
      <c r="R60"/>
      <c r="S60"/>
      <c r="V60"/>
      <c r="Y60"/>
      <c r="Z60"/>
      <c r="AC60"/>
      <c r="AD60" s="43"/>
    </row>
    <row r="61" spans="18:30" x14ac:dyDescent="0.25">
      <c r="R61"/>
      <c r="S61"/>
      <c r="V61"/>
      <c r="Y61"/>
      <c r="Z61"/>
      <c r="AC61"/>
      <c r="AD61" s="43"/>
    </row>
    <row r="62" spans="18:30" x14ac:dyDescent="0.25">
      <c r="R62"/>
      <c r="S62"/>
      <c r="V62"/>
      <c r="Y62"/>
      <c r="Z62"/>
      <c r="AC62"/>
      <c r="AD62" s="43"/>
    </row>
    <row r="63" spans="18:30" x14ac:dyDescent="0.25">
      <c r="R63"/>
      <c r="S63"/>
      <c r="V63"/>
      <c r="Y63"/>
      <c r="Z63"/>
      <c r="AC63"/>
      <c r="AD63" s="43"/>
    </row>
    <row r="64" spans="18:30" x14ac:dyDescent="0.25">
      <c r="R64"/>
      <c r="S64"/>
      <c r="V64"/>
      <c r="Y64"/>
      <c r="Z64"/>
      <c r="AC64"/>
      <c r="AD64" s="43"/>
    </row>
    <row r="65" spans="18:30" x14ac:dyDescent="0.25">
      <c r="R65"/>
      <c r="S65"/>
      <c r="V65"/>
      <c r="Y65"/>
      <c r="Z65"/>
      <c r="AC65"/>
      <c r="AD65" s="43"/>
    </row>
    <row r="66" spans="18:30" x14ac:dyDescent="0.25">
      <c r="R66"/>
      <c r="S66"/>
      <c r="V66"/>
      <c r="Y66"/>
      <c r="Z66"/>
      <c r="AC66"/>
      <c r="AD66" s="43"/>
    </row>
    <row r="67" spans="18:30" x14ac:dyDescent="0.25">
      <c r="R67"/>
      <c r="S67"/>
      <c r="V67"/>
      <c r="Y67"/>
      <c r="Z67"/>
      <c r="AC67"/>
      <c r="AD67" s="43"/>
    </row>
    <row r="68" spans="18:30" x14ac:dyDescent="0.25">
      <c r="R68"/>
      <c r="S68"/>
      <c r="V68"/>
      <c r="Y68"/>
      <c r="Z68"/>
      <c r="AC68"/>
      <c r="AD68" s="43"/>
    </row>
    <row r="69" spans="18:30" x14ac:dyDescent="0.25">
      <c r="R69"/>
      <c r="S69"/>
      <c r="V69"/>
      <c r="Y69"/>
      <c r="Z69"/>
      <c r="AC69"/>
      <c r="AD69" s="43"/>
    </row>
    <row r="70" spans="18:30" x14ac:dyDescent="0.25">
      <c r="R70"/>
      <c r="S70"/>
      <c r="V70"/>
      <c r="Y70"/>
      <c r="Z70"/>
      <c r="AC70"/>
      <c r="AD70" s="43"/>
    </row>
    <row r="71" spans="18:30" x14ac:dyDescent="0.25">
      <c r="R71"/>
      <c r="S71"/>
      <c r="V71"/>
      <c r="Y71"/>
      <c r="Z71"/>
      <c r="AC71"/>
      <c r="AD71" s="43"/>
    </row>
    <row r="72" spans="18:30" x14ac:dyDescent="0.25">
      <c r="R72"/>
      <c r="S72"/>
      <c r="V72"/>
      <c r="Y72"/>
      <c r="Z72"/>
      <c r="AC72"/>
      <c r="AD72" s="43"/>
    </row>
    <row r="73" spans="18:30" x14ac:dyDescent="0.25">
      <c r="R73"/>
      <c r="S73"/>
      <c r="V73"/>
      <c r="Y73"/>
      <c r="Z73"/>
      <c r="AC73"/>
      <c r="AD73" s="43"/>
    </row>
    <row r="74" spans="18:30" x14ac:dyDescent="0.25">
      <c r="R74"/>
      <c r="S74"/>
      <c r="V74"/>
      <c r="Y74"/>
      <c r="Z74"/>
      <c r="AC74"/>
      <c r="AD74" s="43"/>
    </row>
    <row r="75" spans="18:30" x14ac:dyDescent="0.25">
      <c r="R75"/>
      <c r="S75"/>
      <c r="V75"/>
      <c r="Y75"/>
      <c r="Z75"/>
      <c r="AC75"/>
    </row>
    <row r="76" spans="18:30" x14ac:dyDescent="0.25">
      <c r="R76"/>
      <c r="S76"/>
      <c r="V76"/>
      <c r="Y76"/>
      <c r="Z76"/>
      <c r="AC76"/>
    </row>
    <row r="77" spans="18:30" x14ac:dyDescent="0.25">
      <c r="R77"/>
      <c r="S77"/>
      <c r="V77"/>
      <c r="Y77"/>
      <c r="Z77"/>
      <c r="AC77"/>
    </row>
    <row r="78" spans="18:30" x14ac:dyDescent="0.25">
      <c r="R78"/>
      <c r="S78"/>
      <c r="V78"/>
      <c r="Y78"/>
      <c r="Z78"/>
      <c r="AC78"/>
    </row>
    <row r="79" spans="18:30" x14ac:dyDescent="0.25">
      <c r="R79"/>
      <c r="S79"/>
      <c r="V79"/>
      <c r="Y79"/>
      <c r="Z79"/>
      <c r="AC79"/>
    </row>
    <row r="80" spans="18:30" x14ac:dyDescent="0.25">
      <c r="R80"/>
      <c r="S80"/>
      <c r="V80"/>
      <c r="Y80"/>
      <c r="Z80"/>
      <c r="AC80"/>
    </row>
    <row r="81" spans="18:30" x14ac:dyDescent="0.25">
      <c r="R81"/>
      <c r="S81"/>
      <c r="V81"/>
      <c r="Y81"/>
      <c r="Z81"/>
      <c r="AC81"/>
      <c r="AD81"/>
    </row>
    <row r="82" spans="18:30" x14ac:dyDescent="0.25">
      <c r="R82"/>
      <c r="S82"/>
      <c r="V82"/>
      <c r="Y82"/>
      <c r="Z82"/>
      <c r="AC82"/>
      <c r="AD82"/>
    </row>
    <row r="83" spans="18:30" x14ac:dyDescent="0.25">
      <c r="R83"/>
      <c r="S83"/>
      <c r="V83"/>
      <c r="Y83"/>
      <c r="Z83"/>
      <c r="AC83"/>
      <c r="AD83"/>
    </row>
    <row r="84" spans="18:30" x14ac:dyDescent="0.25">
      <c r="R84"/>
      <c r="S84"/>
      <c r="V84"/>
      <c r="Y84"/>
      <c r="Z84"/>
      <c r="AC84"/>
      <c r="AD84"/>
    </row>
    <row r="85" spans="18:30" x14ac:dyDescent="0.25">
      <c r="R85"/>
      <c r="S85"/>
      <c r="V85"/>
      <c r="Y85"/>
      <c r="Z85"/>
      <c r="AC85"/>
      <c r="AD85"/>
    </row>
    <row r="86" spans="18:30" x14ac:dyDescent="0.25">
      <c r="R86"/>
      <c r="S86"/>
      <c r="V86"/>
      <c r="Y86"/>
      <c r="Z86"/>
      <c r="AC86"/>
      <c r="AD86"/>
    </row>
    <row r="87" spans="18:30" x14ac:dyDescent="0.25">
      <c r="R87"/>
      <c r="S87"/>
      <c r="V87"/>
      <c r="Y87"/>
      <c r="Z87"/>
      <c r="AC87"/>
      <c r="AD87"/>
    </row>
    <row r="88" spans="18:30" x14ac:dyDescent="0.25">
      <c r="R88"/>
      <c r="S88"/>
      <c r="V88"/>
      <c r="Y88"/>
      <c r="Z88"/>
      <c r="AC88"/>
      <c r="AD88"/>
    </row>
    <row r="89" spans="18:30" x14ac:dyDescent="0.25">
      <c r="R89"/>
      <c r="S89"/>
      <c r="V89"/>
      <c r="Y89"/>
      <c r="Z89"/>
      <c r="AC89"/>
      <c r="AD89"/>
    </row>
    <row r="90" spans="18:30" x14ac:dyDescent="0.25">
      <c r="R90"/>
      <c r="S90"/>
      <c r="V90"/>
      <c r="Y90"/>
      <c r="Z90"/>
      <c r="AC90"/>
      <c r="AD90"/>
    </row>
    <row r="91" spans="18:30" x14ac:dyDescent="0.25">
      <c r="R91"/>
      <c r="S91"/>
      <c r="V91"/>
      <c r="Y91"/>
      <c r="Z91"/>
      <c r="AC91"/>
      <c r="AD91"/>
    </row>
    <row r="92" spans="18:30" x14ac:dyDescent="0.25">
      <c r="R92"/>
      <c r="S92"/>
      <c r="V92"/>
      <c r="Y92"/>
      <c r="Z92"/>
      <c r="AC92"/>
      <c r="AD92"/>
    </row>
    <row r="93" spans="18:30" x14ac:dyDescent="0.25">
      <c r="R93"/>
      <c r="S93"/>
      <c r="V93"/>
      <c r="Y93"/>
      <c r="Z93"/>
      <c r="AC93"/>
      <c r="AD93"/>
    </row>
    <row r="94" spans="18:30" x14ac:dyDescent="0.25">
      <c r="R94"/>
      <c r="S94"/>
      <c r="V94"/>
      <c r="Y94"/>
      <c r="Z94"/>
      <c r="AC94"/>
      <c r="AD94"/>
    </row>
    <row r="95" spans="18:30" x14ac:dyDescent="0.25">
      <c r="R95"/>
      <c r="S95"/>
      <c r="V95"/>
      <c r="Y95"/>
      <c r="Z95"/>
      <c r="AC95"/>
      <c r="AD95"/>
    </row>
    <row r="96" spans="18:30" x14ac:dyDescent="0.25">
      <c r="R96"/>
      <c r="S96"/>
      <c r="V96"/>
      <c r="Y96"/>
      <c r="Z96"/>
      <c r="AC96"/>
      <c r="AD96"/>
    </row>
    <row r="97" spans="18:30" x14ac:dyDescent="0.25">
      <c r="R97"/>
      <c r="S97"/>
      <c r="V97"/>
      <c r="Y97"/>
      <c r="Z97"/>
      <c r="AC97"/>
      <c r="AD97"/>
    </row>
  </sheetData>
  <mergeCells count="30">
    <mergeCell ref="AA46:AB46"/>
    <mergeCell ref="Y47:Z47"/>
    <mergeCell ref="AA47:AB47"/>
    <mergeCell ref="T48:U48"/>
    <mergeCell ref="T41:U41"/>
    <mergeCell ref="Y43:AA43"/>
    <mergeCell ref="AA44:AB44"/>
    <mergeCell ref="Y45:Z45"/>
    <mergeCell ref="AA45:AB45"/>
    <mergeCell ref="Y44:Z44"/>
    <mergeCell ref="S1:AA1"/>
    <mergeCell ref="U4:V4"/>
    <mergeCell ref="Y4:AB4"/>
    <mergeCell ref="X40:Y40"/>
    <mergeCell ref="AA40:AB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31496062992125984" right="0.11811023622047245" top="0.15748031496062992" bottom="0.35433070866141736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96"/>
  <sheetViews>
    <sheetView topLeftCell="A41" workbookViewId="0">
      <selection activeCell="G38" sqref="G3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7.42578125" bestFit="1" customWidth="1"/>
  </cols>
  <sheetData>
    <row r="2" spans="1:17" ht="16.5" thickBot="1" x14ac:dyDescent="0.3">
      <c r="K2" s="104"/>
      <c r="L2" s="351">
        <v>42165</v>
      </c>
      <c r="M2" s="215"/>
      <c r="N2" s="134" t="s">
        <v>200</v>
      </c>
      <c r="O2" s="88"/>
    </row>
    <row r="3" spans="1:17" ht="16.5" thickBot="1" x14ac:dyDescent="0.3">
      <c r="C3" s="433" t="s">
        <v>240</v>
      </c>
      <c r="D3" s="434"/>
      <c r="E3" s="435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54" t="s">
        <v>297</v>
      </c>
      <c r="D4" s="354"/>
      <c r="E4" s="354" t="s">
        <v>298</v>
      </c>
      <c r="F4" s="331" t="s">
        <v>299</v>
      </c>
      <c r="J4" s="43">
        <f>20234.5+6125.5</f>
        <v>26360</v>
      </c>
      <c r="K4" s="144">
        <v>22408</v>
      </c>
      <c r="L4" s="156">
        <v>26360.1</v>
      </c>
      <c r="M4" s="348"/>
      <c r="N4" s="113" t="s">
        <v>202</v>
      </c>
      <c r="O4" s="214">
        <v>20234.5</v>
      </c>
      <c r="P4" s="221">
        <v>42151</v>
      </c>
    </row>
    <row r="5" spans="1:17" ht="15.75" x14ac:dyDescent="0.25">
      <c r="A5" s="243">
        <v>42156</v>
      </c>
      <c r="B5" s="244">
        <v>22878</v>
      </c>
      <c r="C5" s="245">
        <v>34832.379999999997</v>
      </c>
      <c r="D5" s="104">
        <v>42165</v>
      </c>
      <c r="E5" s="245">
        <v>34832.379999999997</v>
      </c>
      <c r="F5" s="246">
        <f t="shared" ref="F5:F48" si="0">C5-E5</f>
        <v>0</v>
      </c>
      <c r="G5" s="105"/>
      <c r="H5" s="106"/>
      <c r="J5" s="43">
        <f>24499.5+6447.5</f>
        <v>30947</v>
      </c>
      <c r="K5" s="144">
        <v>22443</v>
      </c>
      <c r="L5" s="156">
        <v>30947.119999999999</v>
      </c>
      <c r="M5" s="207"/>
      <c r="N5" s="113" t="s">
        <v>202</v>
      </c>
      <c r="O5" s="207">
        <v>6125.5</v>
      </c>
      <c r="P5" s="221">
        <v>42151</v>
      </c>
    </row>
    <row r="6" spans="1:17" ht="15.75" x14ac:dyDescent="0.25">
      <c r="A6" s="143">
        <v>42157</v>
      </c>
      <c r="B6" s="144">
        <v>22987</v>
      </c>
      <c r="C6" s="156">
        <v>3996</v>
      </c>
      <c r="D6" s="104">
        <v>42165</v>
      </c>
      <c r="E6" s="156">
        <v>3996</v>
      </c>
      <c r="F6" s="154">
        <f t="shared" si="0"/>
        <v>0</v>
      </c>
      <c r="G6" s="105"/>
      <c r="H6" s="108"/>
      <c r="J6" s="43">
        <v>3715</v>
      </c>
      <c r="K6" s="144">
        <v>22444</v>
      </c>
      <c r="L6" s="156">
        <v>3714.8</v>
      </c>
      <c r="M6" s="207"/>
      <c r="N6" s="113" t="s">
        <v>202</v>
      </c>
      <c r="O6" s="207">
        <v>17878</v>
      </c>
      <c r="P6" s="221">
        <v>42152</v>
      </c>
    </row>
    <row r="7" spans="1:17" ht="15.75" x14ac:dyDescent="0.25">
      <c r="A7" s="143">
        <v>42157</v>
      </c>
      <c r="B7" s="144">
        <v>23028</v>
      </c>
      <c r="C7" s="156">
        <v>29685.65</v>
      </c>
      <c r="D7" s="104">
        <v>42165</v>
      </c>
      <c r="E7" s="156">
        <v>29685.65</v>
      </c>
      <c r="F7" s="155">
        <f t="shared" si="0"/>
        <v>0</v>
      </c>
      <c r="G7" s="105"/>
      <c r="H7" s="108"/>
      <c r="J7" s="43">
        <f>17878+2815+6225</f>
        <v>26918</v>
      </c>
      <c r="K7" s="144">
        <v>22539</v>
      </c>
      <c r="L7" s="156">
        <v>26917.93</v>
      </c>
      <c r="M7" s="130"/>
      <c r="N7" s="113" t="s">
        <v>202</v>
      </c>
      <c r="O7" s="207">
        <v>3715</v>
      </c>
      <c r="P7" s="221">
        <v>42152</v>
      </c>
    </row>
    <row r="8" spans="1:17" ht="15.75" x14ac:dyDescent="0.25">
      <c r="A8" s="143">
        <v>42158</v>
      </c>
      <c r="B8" s="144">
        <v>23129</v>
      </c>
      <c r="C8" s="156">
        <v>29697.32</v>
      </c>
      <c r="D8" s="104">
        <v>42165</v>
      </c>
      <c r="E8" s="156">
        <v>29697.32</v>
      </c>
      <c r="F8" s="155">
        <f t="shared" si="0"/>
        <v>0</v>
      </c>
      <c r="G8" s="105"/>
      <c r="H8" s="106"/>
      <c r="J8" s="43">
        <v>22200</v>
      </c>
      <c r="K8" s="144">
        <v>22588</v>
      </c>
      <c r="L8" s="156">
        <v>22200.37</v>
      </c>
      <c r="M8" s="130"/>
      <c r="N8" s="113" t="s">
        <v>202</v>
      </c>
      <c r="O8" s="214">
        <v>24499.5</v>
      </c>
      <c r="P8" s="221">
        <v>42152</v>
      </c>
    </row>
    <row r="9" spans="1:17" ht="15.75" x14ac:dyDescent="0.25">
      <c r="A9" s="243">
        <v>42158</v>
      </c>
      <c r="B9" s="244">
        <v>23142</v>
      </c>
      <c r="C9" s="245">
        <v>24630.14</v>
      </c>
      <c r="D9" s="104">
        <v>42165</v>
      </c>
      <c r="E9" s="245">
        <v>24630.14</v>
      </c>
      <c r="F9" s="155">
        <f t="shared" si="0"/>
        <v>0</v>
      </c>
      <c r="J9" s="43">
        <f>30000+329</f>
        <v>30329</v>
      </c>
      <c r="K9" s="292">
        <v>22603</v>
      </c>
      <c r="L9" s="157">
        <v>30328.78</v>
      </c>
      <c r="M9" s="207"/>
      <c r="N9" s="113" t="s">
        <v>202</v>
      </c>
      <c r="O9" s="207">
        <v>6447.5</v>
      </c>
      <c r="P9" s="221">
        <v>42152</v>
      </c>
    </row>
    <row r="10" spans="1:17" ht="15.75" x14ac:dyDescent="0.25">
      <c r="A10" s="143">
        <v>42158</v>
      </c>
      <c r="B10" s="144">
        <v>23143</v>
      </c>
      <c r="C10" s="156">
        <v>2864</v>
      </c>
      <c r="D10" s="104">
        <v>42165</v>
      </c>
      <c r="E10" s="156">
        <v>2864</v>
      </c>
      <c r="F10" s="155">
        <f t="shared" si="0"/>
        <v>0</v>
      </c>
      <c r="J10" s="43">
        <f>22464+6885.5</f>
        <v>29349.5</v>
      </c>
      <c r="K10" s="292">
        <v>22654</v>
      </c>
      <c r="L10" s="157">
        <v>29349.599999999999</v>
      </c>
      <c r="M10" s="334"/>
      <c r="N10" s="113" t="s">
        <v>202</v>
      </c>
      <c r="O10" s="207">
        <v>30000</v>
      </c>
      <c r="P10" s="221">
        <v>42153</v>
      </c>
    </row>
    <row r="11" spans="1:17" ht="15.75" x14ac:dyDescent="0.25">
      <c r="A11" s="143">
        <v>42159</v>
      </c>
      <c r="B11" s="144">
        <v>23196</v>
      </c>
      <c r="C11" s="156">
        <v>34811.4</v>
      </c>
      <c r="D11" s="104">
        <v>42165</v>
      </c>
      <c r="E11" s="156">
        <v>34811.4</v>
      </c>
      <c r="F11" s="155">
        <f t="shared" si="0"/>
        <v>0</v>
      </c>
      <c r="J11" s="43">
        <f>47071.5+6914.5</f>
        <v>53986</v>
      </c>
      <c r="K11" s="292">
        <v>22661</v>
      </c>
      <c r="L11" s="157">
        <v>53986.400000000001</v>
      </c>
      <c r="M11" s="321"/>
      <c r="N11" s="113" t="s">
        <v>461</v>
      </c>
      <c r="O11" s="207">
        <v>22200</v>
      </c>
      <c r="P11" s="221">
        <v>42154</v>
      </c>
      <c r="Q11" s="21">
        <v>42153</v>
      </c>
    </row>
    <row r="12" spans="1:17" ht="15.75" x14ac:dyDescent="0.25">
      <c r="A12" s="143">
        <v>42159</v>
      </c>
      <c r="B12" s="144">
        <v>23242</v>
      </c>
      <c r="C12" s="156">
        <v>27584.83</v>
      </c>
      <c r="D12" s="104">
        <v>42165</v>
      </c>
      <c r="E12" s="156">
        <v>27584.83</v>
      </c>
      <c r="F12" s="155">
        <f t="shared" si="0"/>
        <v>0</v>
      </c>
      <c r="J12" s="43">
        <f>55618.5+10592.5</f>
        <v>66211</v>
      </c>
      <c r="K12" s="292">
        <v>22772</v>
      </c>
      <c r="L12" s="157">
        <v>66211.100000000006</v>
      </c>
      <c r="M12" s="207"/>
      <c r="N12" s="113" t="s">
        <v>461</v>
      </c>
      <c r="O12" s="207">
        <v>2815</v>
      </c>
      <c r="P12" s="221">
        <v>42154</v>
      </c>
      <c r="Q12" s="21">
        <v>42153</v>
      </c>
    </row>
    <row r="13" spans="1:17" ht="15.75" x14ac:dyDescent="0.25">
      <c r="A13" s="143">
        <v>42160</v>
      </c>
      <c r="B13" s="144">
        <v>23341</v>
      </c>
      <c r="C13" s="156">
        <v>75748.92</v>
      </c>
      <c r="D13" s="104">
        <v>42165</v>
      </c>
      <c r="E13" s="156">
        <v>75748.92</v>
      </c>
      <c r="F13" s="155">
        <f t="shared" si="0"/>
        <v>0</v>
      </c>
      <c r="J13" s="43">
        <v>27190</v>
      </c>
      <c r="K13" s="306">
        <v>22846</v>
      </c>
      <c r="L13" s="88">
        <v>27190.15</v>
      </c>
      <c r="M13" s="207"/>
      <c r="N13" s="113" t="s">
        <v>461</v>
      </c>
      <c r="O13" s="207">
        <v>329</v>
      </c>
      <c r="P13" s="221">
        <v>42154</v>
      </c>
      <c r="Q13" s="21">
        <v>42153</v>
      </c>
    </row>
    <row r="14" spans="1:17" ht="15.75" x14ac:dyDescent="0.25">
      <c r="A14" s="143">
        <v>42161</v>
      </c>
      <c r="B14" s="144">
        <v>23431</v>
      </c>
      <c r="C14" s="156">
        <v>85960.94</v>
      </c>
      <c r="D14" s="104">
        <v>42165</v>
      </c>
      <c r="E14" s="156">
        <v>85960.94</v>
      </c>
      <c r="F14" s="155">
        <f t="shared" si="0"/>
        <v>0</v>
      </c>
      <c r="J14" s="43">
        <v>3079</v>
      </c>
      <c r="K14" s="307">
        <v>22847</v>
      </c>
      <c r="L14" s="207">
        <v>3078.8</v>
      </c>
      <c r="M14" s="207"/>
      <c r="N14" s="113" t="s">
        <v>461</v>
      </c>
      <c r="O14" s="207">
        <v>6225</v>
      </c>
      <c r="P14" s="221">
        <v>42154</v>
      </c>
      <c r="Q14" s="21">
        <v>42153</v>
      </c>
    </row>
    <row r="15" spans="1:17" ht="15.75" x14ac:dyDescent="0.25">
      <c r="A15" s="143">
        <v>42163</v>
      </c>
      <c r="B15" s="144">
        <v>23516</v>
      </c>
      <c r="C15" s="156">
        <v>5768.4</v>
      </c>
      <c r="D15" s="104">
        <v>42165</v>
      </c>
      <c r="E15" s="156">
        <v>5768.4</v>
      </c>
      <c r="F15" s="155">
        <f t="shared" si="0"/>
        <v>0</v>
      </c>
      <c r="J15" s="43">
        <f>19369.5+8132.5+7330.5</f>
        <v>34832.5</v>
      </c>
      <c r="K15" s="244">
        <v>22878</v>
      </c>
      <c r="L15" s="245">
        <v>34832.379999999997</v>
      </c>
      <c r="M15" s="207"/>
      <c r="N15" s="113" t="s">
        <v>461</v>
      </c>
      <c r="O15" s="207">
        <v>47071.5</v>
      </c>
      <c r="P15" s="221">
        <v>42154</v>
      </c>
    </row>
    <row r="16" spans="1:17" ht="15.75" x14ac:dyDescent="0.25">
      <c r="A16" s="143">
        <v>42163</v>
      </c>
      <c r="B16" s="144">
        <v>23599</v>
      </c>
      <c r="C16" s="156">
        <v>36408.5</v>
      </c>
      <c r="D16" s="328" t="s">
        <v>479</v>
      </c>
      <c r="E16" s="156">
        <f>19483.37+16925.13</f>
        <v>36408.5</v>
      </c>
      <c r="F16" s="155">
        <f t="shared" si="0"/>
        <v>0</v>
      </c>
      <c r="J16" s="43">
        <v>3996</v>
      </c>
      <c r="K16" s="144">
        <v>22987</v>
      </c>
      <c r="L16" s="156">
        <v>3996</v>
      </c>
      <c r="M16" s="207"/>
      <c r="N16" s="113" t="s">
        <v>461</v>
      </c>
      <c r="O16" s="207">
        <v>22464</v>
      </c>
      <c r="P16" s="221">
        <v>42154</v>
      </c>
    </row>
    <row r="17" spans="1:17" ht="15.75" x14ac:dyDescent="0.25">
      <c r="A17" s="143">
        <v>42164</v>
      </c>
      <c r="B17" s="144">
        <v>23703</v>
      </c>
      <c r="C17" s="156">
        <v>53043.14</v>
      </c>
      <c r="D17" s="104">
        <v>42177</v>
      </c>
      <c r="E17" s="156">
        <v>53043.14</v>
      </c>
      <c r="F17" s="155">
        <f t="shared" si="0"/>
        <v>0</v>
      </c>
      <c r="J17" s="43">
        <f>23165.5+6520</f>
        <v>29685.5</v>
      </c>
      <c r="K17" s="144">
        <v>23028</v>
      </c>
      <c r="L17" s="156">
        <v>29685.65</v>
      </c>
      <c r="M17" s="334"/>
      <c r="N17" s="113" t="s">
        <v>461</v>
      </c>
      <c r="O17" s="207">
        <v>6914.5</v>
      </c>
      <c r="P17" s="221">
        <v>42154</v>
      </c>
    </row>
    <row r="18" spans="1:17" ht="15.75" x14ac:dyDescent="0.25">
      <c r="A18" s="143">
        <v>42165</v>
      </c>
      <c r="B18" s="144">
        <v>23792</v>
      </c>
      <c r="C18" s="156">
        <v>34394.86</v>
      </c>
      <c r="D18" s="104">
        <v>42177</v>
      </c>
      <c r="E18" s="156">
        <v>34394.86</v>
      </c>
      <c r="F18" s="155">
        <f t="shared" si="0"/>
        <v>0</v>
      </c>
      <c r="J18" s="43">
        <f>23292+6405.5</f>
        <v>29697.5</v>
      </c>
      <c r="K18" s="144">
        <v>23129</v>
      </c>
      <c r="L18" s="156">
        <v>29697.32</v>
      </c>
      <c r="M18" s="207"/>
      <c r="N18" s="113" t="s">
        <v>202</v>
      </c>
      <c r="O18" s="207">
        <v>27190</v>
      </c>
      <c r="P18" s="221">
        <v>42156</v>
      </c>
      <c r="Q18" s="21">
        <v>42155</v>
      </c>
    </row>
    <row r="19" spans="1:17" ht="15.75" x14ac:dyDescent="0.25">
      <c r="A19" s="143">
        <v>42166</v>
      </c>
      <c r="B19" s="144">
        <v>23861</v>
      </c>
      <c r="C19" s="156">
        <v>70083.48</v>
      </c>
      <c r="D19" s="104">
        <v>42177</v>
      </c>
      <c r="E19" s="156">
        <v>70083.48</v>
      </c>
      <c r="F19" s="155">
        <f t="shared" si="0"/>
        <v>0</v>
      </c>
      <c r="J19" s="43">
        <f>8002.5+10286.5+6341</f>
        <v>24630</v>
      </c>
      <c r="K19" s="244">
        <v>23142</v>
      </c>
      <c r="L19" s="245">
        <v>24630.14</v>
      </c>
      <c r="M19" s="207"/>
      <c r="N19" s="113" t="s">
        <v>202</v>
      </c>
      <c r="O19" s="207">
        <v>6885.5</v>
      </c>
      <c r="P19" s="221">
        <v>42156</v>
      </c>
      <c r="Q19" s="21">
        <v>42155</v>
      </c>
    </row>
    <row r="20" spans="1:17" ht="15.75" x14ac:dyDescent="0.25">
      <c r="A20" s="143">
        <v>42167</v>
      </c>
      <c r="B20" s="144">
        <v>24023</v>
      </c>
      <c r="C20" s="156">
        <v>6708.74</v>
      </c>
      <c r="D20" s="104">
        <v>42177</v>
      </c>
      <c r="E20" s="156">
        <v>6708.74</v>
      </c>
      <c r="F20" s="155">
        <f t="shared" si="0"/>
        <v>0</v>
      </c>
      <c r="J20" s="43">
        <v>2864</v>
      </c>
      <c r="K20" s="144">
        <v>23143</v>
      </c>
      <c r="L20" s="156">
        <v>2864</v>
      </c>
      <c r="M20" s="207"/>
      <c r="N20" s="113" t="s">
        <v>202</v>
      </c>
      <c r="O20" s="207">
        <v>3079</v>
      </c>
      <c r="P20" s="221">
        <v>42156</v>
      </c>
      <c r="Q20" s="21">
        <v>42155</v>
      </c>
    </row>
    <row r="21" spans="1:17" ht="15.75" x14ac:dyDescent="0.25">
      <c r="A21" s="143">
        <v>42168</v>
      </c>
      <c r="B21" s="144">
        <v>24039</v>
      </c>
      <c r="C21" s="156">
        <v>50274</v>
      </c>
      <c r="D21" s="104">
        <v>42177</v>
      </c>
      <c r="E21" s="156">
        <v>50274</v>
      </c>
      <c r="F21" s="155">
        <f t="shared" si="0"/>
        <v>0</v>
      </c>
      <c r="J21" s="43">
        <f>25358.5+3445.5+6007.5</f>
        <v>34811.5</v>
      </c>
      <c r="K21" s="144">
        <v>23196</v>
      </c>
      <c r="L21" s="156">
        <v>34811.4</v>
      </c>
      <c r="M21" s="207"/>
      <c r="N21" s="113" t="s">
        <v>202</v>
      </c>
      <c r="O21" s="207">
        <v>55618.5</v>
      </c>
      <c r="P21" s="221">
        <v>42156</v>
      </c>
      <c r="Q21" s="21">
        <v>42155</v>
      </c>
    </row>
    <row r="22" spans="1:17" ht="15.75" x14ac:dyDescent="0.25">
      <c r="A22" s="143">
        <v>42168</v>
      </c>
      <c r="B22" s="144">
        <v>24122</v>
      </c>
      <c r="C22" s="156">
        <v>76630.7</v>
      </c>
      <c r="D22" s="104">
        <v>42177</v>
      </c>
      <c r="E22" s="156">
        <v>76630.7</v>
      </c>
      <c r="F22" s="155">
        <f t="shared" si="0"/>
        <v>0</v>
      </c>
      <c r="J22" s="43">
        <v>27585</v>
      </c>
      <c r="K22" s="144">
        <v>23242</v>
      </c>
      <c r="L22" s="156">
        <v>27584.83</v>
      </c>
      <c r="M22" s="207"/>
      <c r="N22" s="113" t="s">
        <v>202</v>
      </c>
      <c r="O22" s="207">
        <v>10592.5</v>
      </c>
      <c r="P22" s="221">
        <v>42156</v>
      </c>
      <c r="Q22" s="21">
        <v>42155</v>
      </c>
    </row>
    <row r="23" spans="1:17" ht="15.75" x14ac:dyDescent="0.25">
      <c r="A23" s="143">
        <v>42170</v>
      </c>
      <c r="B23" s="144">
        <v>24221</v>
      </c>
      <c r="C23" s="207">
        <v>60227.15</v>
      </c>
      <c r="D23" s="104">
        <v>42177</v>
      </c>
      <c r="E23" s="207">
        <v>60227.15</v>
      </c>
      <c r="F23" s="155">
        <f t="shared" si="0"/>
        <v>0</v>
      </c>
      <c r="J23" s="43">
        <f>11112+55733+8904</f>
        <v>75749</v>
      </c>
      <c r="K23" s="144">
        <v>23341</v>
      </c>
      <c r="L23" s="156">
        <v>75748.92</v>
      </c>
      <c r="M23" s="260"/>
      <c r="N23" s="113" t="s">
        <v>202</v>
      </c>
      <c r="O23" s="207">
        <v>19369.5</v>
      </c>
      <c r="P23" s="221">
        <v>42156</v>
      </c>
    </row>
    <row r="24" spans="1:17" ht="15.75" x14ac:dyDescent="0.25">
      <c r="A24" s="143">
        <v>42171</v>
      </c>
      <c r="B24" s="144">
        <v>24382</v>
      </c>
      <c r="C24" s="156">
        <v>47344.42</v>
      </c>
      <c r="D24" s="104">
        <v>42177</v>
      </c>
      <c r="E24" s="156">
        <v>47344.42</v>
      </c>
      <c r="F24" s="155">
        <f t="shared" si="0"/>
        <v>0</v>
      </c>
      <c r="J24" s="43">
        <f>10213+68864+6884</f>
        <v>85961</v>
      </c>
      <c r="K24" s="144">
        <v>23431</v>
      </c>
      <c r="L24" s="156">
        <v>85960.94</v>
      </c>
      <c r="M24" s="130"/>
      <c r="N24" s="113" t="s">
        <v>202</v>
      </c>
      <c r="O24" s="207">
        <v>8132.5</v>
      </c>
      <c r="P24" s="221">
        <v>42156</v>
      </c>
    </row>
    <row r="25" spans="1:17" ht="15.75" x14ac:dyDescent="0.25">
      <c r="A25" s="143">
        <v>42172</v>
      </c>
      <c r="B25" s="144">
        <v>24493</v>
      </c>
      <c r="C25" s="156">
        <v>36401.300000000003</v>
      </c>
      <c r="D25" s="104">
        <v>42177</v>
      </c>
      <c r="E25" s="156">
        <v>36401.300000000003</v>
      </c>
      <c r="F25" s="155">
        <f t="shared" si="0"/>
        <v>0</v>
      </c>
      <c r="J25" s="43">
        <v>5768.5</v>
      </c>
      <c r="K25" s="144">
        <v>23516</v>
      </c>
      <c r="L25" s="156">
        <v>5768.4</v>
      </c>
      <c r="M25" s="207"/>
      <c r="N25" s="113" t="s">
        <v>202</v>
      </c>
      <c r="O25" s="214">
        <v>7330.5</v>
      </c>
      <c r="P25" s="221">
        <v>42156</v>
      </c>
    </row>
    <row r="26" spans="1:17" ht="15.75" x14ac:dyDescent="0.25">
      <c r="A26" s="143">
        <v>42173</v>
      </c>
      <c r="B26" s="144">
        <v>24575</v>
      </c>
      <c r="C26" s="156">
        <v>29397.919999999998</v>
      </c>
      <c r="D26" s="104">
        <v>42177</v>
      </c>
      <c r="E26" s="156">
        <v>29397.919999999998</v>
      </c>
      <c r="F26" s="155">
        <f t="shared" si="0"/>
        <v>0</v>
      </c>
      <c r="J26" s="43">
        <f>7136+11043.5+1304</f>
        <v>19483.5</v>
      </c>
      <c r="K26" s="144">
        <v>23599</v>
      </c>
      <c r="L26" s="156">
        <v>19483.37</v>
      </c>
      <c r="M26" s="207" t="s">
        <v>361</v>
      </c>
      <c r="N26" s="113" t="s">
        <v>202</v>
      </c>
      <c r="O26" s="207">
        <v>23165.5</v>
      </c>
      <c r="P26" s="221">
        <v>42157</v>
      </c>
    </row>
    <row r="27" spans="1:17" ht="15.75" x14ac:dyDescent="0.25">
      <c r="A27" s="143">
        <v>42173</v>
      </c>
      <c r="B27" s="144">
        <v>24577</v>
      </c>
      <c r="C27" s="156">
        <v>24382.05</v>
      </c>
      <c r="D27" s="104">
        <v>42177</v>
      </c>
      <c r="E27" s="156">
        <v>24382.05</v>
      </c>
      <c r="F27" s="155">
        <f t="shared" si="0"/>
        <v>0</v>
      </c>
      <c r="K27" s="264"/>
      <c r="L27" s="207"/>
      <c r="M27" s="207"/>
      <c r="N27" s="113" t="s">
        <v>202</v>
      </c>
      <c r="O27" s="207">
        <v>3996</v>
      </c>
      <c r="P27" s="221">
        <v>42157</v>
      </c>
    </row>
    <row r="28" spans="1:17" ht="15.75" x14ac:dyDescent="0.25">
      <c r="A28" s="143">
        <v>42174</v>
      </c>
      <c r="B28" s="144">
        <v>24706</v>
      </c>
      <c r="C28" s="156">
        <v>30668.9</v>
      </c>
      <c r="D28" s="104">
        <v>42177</v>
      </c>
      <c r="E28" s="156">
        <v>30668.9</v>
      </c>
      <c r="F28" s="155">
        <f t="shared" si="0"/>
        <v>0</v>
      </c>
      <c r="K28" s="264"/>
      <c r="L28" s="130"/>
      <c r="M28" s="130"/>
      <c r="N28" s="113" t="s">
        <v>202</v>
      </c>
      <c r="O28" s="207">
        <v>6520</v>
      </c>
      <c r="P28" s="221">
        <v>42157</v>
      </c>
    </row>
    <row r="29" spans="1:17" ht="15.75" x14ac:dyDescent="0.25">
      <c r="A29" s="143">
        <v>42174</v>
      </c>
      <c r="B29" s="144">
        <v>24710</v>
      </c>
      <c r="C29" s="156">
        <v>23925</v>
      </c>
      <c r="D29" s="104">
        <v>42177</v>
      </c>
      <c r="E29" s="156">
        <v>23925</v>
      </c>
      <c r="F29" s="155">
        <f t="shared" si="0"/>
        <v>0</v>
      </c>
      <c r="K29" s="193"/>
      <c r="L29" s="207"/>
      <c r="M29" s="207"/>
      <c r="N29" s="113" t="s">
        <v>202</v>
      </c>
      <c r="O29" s="207">
        <v>23292</v>
      </c>
      <c r="P29" s="221">
        <v>42158</v>
      </c>
    </row>
    <row r="30" spans="1:17" ht="15.75" x14ac:dyDescent="0.25">
      <c r="A30" s="143">
        <v>42175</v>
      </c>
      <c r="B30" s="144">
        <v>24807</v>
      </c>
      <c r="C30" s="156">
        <v>34084</v>
      </c>
      <c r="D30" s="104">
        <v>42177</v>
      </c>
      <c r="E30" s="156">
        <v>34084</v>
      </c>
      <c r="F30" s="155">
        <f t="shared" si="0"/>
        <v>0</v>
      </c>
      <c r="K30" s="193"/>
      <c r="L30" s="207"/>
      <c r="M30" s="207"/>
      <c r="N30" s="113" t="s">
        <v>202</v>
      </c>
      <c r="O30" s="214">
        <v>8002.5</v>
      </c>
      <c r="P30" s="221">
        <v>42158</v>
      </c>
    </row>
    <row r="31" spans="1:17" ht="15.75" x14ac:dyDescent="0.25">
      <c r="A31" s="143">
        <v>42175</v>
      </c>
      <c r="B31" s="144">
        <v>24816</v>
      </c>
      <c r="C31" s="156">
        <v>29511.4</v>
      </c>
      <c r="D31" s="104">
        <v>42177</v>
      </c>
      <c r="E31" s="156">
        <v>29511.4</v>
      </c>
      <c r="F31" s="155">
        <f t="shared" si="0"/>
        <v>0</v>
      </c>
      <c r="K31" s="193"/>
      <c r="L31" s="207"/>
      <c r="M31" s="207"/>
      <c r="N31" s="113" t="s">
        <v>202</v>
      </c>
      <c r="O31" s="207">
        <v>6405.5</v>
      </c>
      <c r="P31" s="221">
        <v>42158</v>
      </c>
    </row>
    <row r="32" spans="1:17" ht="15.75" x14ac:dyDescent="0.25">
      <c r="A32" s="143">
        <v>42175</v>
      </c>
      <c r="B32" s="144">
        <v>24821</v>
      </c>
      <c r="C32" s="156">
        <v>24161.5</v>
      </c>
      <c r="D32" s="320" t="s">
        <v>508</v>
      </c>
      <c r="E32" s="184">
        <f>11248.31+12913.19</f>
        <v>24161.5</v>
      </c>
      <c r="F32" s="155">
        <f t="shared" si="0"/>
        <v>0</v>
      </c>
      <c r="K32" s="193"/>
      <c r="L32" s="207"/>
      <c r="M32" s="207"/>
      <c r="N32" s="113" t="s">
        <v>202</v>
      </c>
      <c r="O32" s="207">
        <v>10286.5</v>
      </c>
      <c r="P32" s="221">
        <v>42159</v>
      </c>
    </row>
    <row r="33" spans="1:17" ht="15.75" x14ac:dyDescent="0.25">
      <c r="A33" s="143">
        <v>42176</v>
      </c>
      <c r="B33" s="144">
        <v>24883</v>
      </c>
      <c r="C33" s="156">
        <v>53722.95</v>
      </c>
      <c r="D33" s="320">
        <v>42189</v>
      </c>
      <c r="E33" s="386">
        <v>53722.95</v>
      </c>
      <c r="F33" s="155">
        <f t="shared" si="0"/>
        <v>0</v>
      </c>
      <c r="K33" s="193"/>
      <c r="L33" s="207"/>
      <c r="M33" s="207"/>
      <c r="N33" s="113" t="s">
        <v>202</v>
      </c>
      <c r="O33" s="207">
        <v>25358.5</v>
      </c>
      <c r="P33" s="221">
        <v>42159</v>
      </c>
    </row>
    <row r="34" spans="1:17" ht="15.75" x14ac:dyDescent="0.25">
      <c r="A34" s="143">
        <v>42177</v>
      </c>
      <c r="B34" s="144" t="s">
        <v>482</v>
      </c>
      <c r="C34" s="156">
        <v>33848.199999999997</v>
      </c>
      <c r="D34" s="320">
        <v>42189</v>
      </c>
      <c r="E34" s="386">
        <v>33848.199999999997</v>
      </c>
      <c r="F34" s="155">
        <f t="shared" si="0"/>
        <v>0</v>
      </c>
      <c r="K34" s="206"/>
      <c r="L34" s="207"/>
      <c r="M34" s="207"/>
      <c r="N34" s="113" t="s">
        <v>202</v>
      </c>
      <c r="O34" s="207">
        <v>2864</v>
      </c>
      <c r="P34" s="221">
        <v>42159</v>
      </c>
    </row>
    <row r="35" spans="1:17" ht="15.75" x14ac:dyDescent="0.25">
      <c r="A35" s="143">
        <v>42178</v>
      </c>
      <c r="B35" s="144" t="s">
        <v>483</v>
      </c>
      <c r="C35" s="156">
        <v>35304.050000000003</v>
      </c>
      <c r="D35" s="320">
        <v>42189</v>
      </c>
      <c r="E35" s="386">
        <v>35304.050000000003</v>
      </c>
      <c r="F35" s="155">
        <f t="shared" si="0"/>
        <v>0</v>
      </c>
      <c r="K35" s="206"/>
      <c r="L35" s="207"/>
      <c r="M35" s="207"/>
      <c r="N35" s="113" t="s">
        <v>202</v>
      </c>
      <c r="O35" s="207">
        <v>6341</v>
      </c>
      <c r="P35" s="222">
        <v>42159</v>
      </c>
    </row>
    <row r="36" spans="1:17" ht="15.75" x14ac:dyDescent="0.25">
      <c r="A36" s="143">
        <v>42179</v>
      </c>
      <c r="B36" s="144" t="s">
        <v>484</v>
      </c>
      <c r="C36" s="156">
        <v>34365.360000000001</v>
      </c>
      <c r="D36" s="320">
        <v>42189</v>
      </c>
      <c r="E36" s="386">
        <v>34365.360000000001</v>
      </c>
      <c r="F36" s="155">
        <f t="shared" si="0"/>
        <v>0</v>
      </c>
      <c r="K36" s="193"/>
      <c r="L36" s="207"/>
      <c r="M36" s="207"/>
      <c r="N36" s="113" t="s">
        <v>202</v>
      </c>
      <c r="O36" s="207">
        <v>27585</v>
      </c>
      <c r="P36" s="221">
        <v>42160</v>
      </c>
    </row>
    <row r="37" spans="1:17" ht="15.75" x14ac:dyDescent="0.25">
      <c r="A37" s="143">
        <v>42180</v>
      </c>
      <c r="B37" s="292" t="s">
        <v>485</v>
      </c>
      <c r="C37" s="157">
        <v>106449.26</v>
      </c>
      <c r="D37" s="320">
        <v>42189</v>
      </c>
      <c r="E37" s="387">
        <v>106449.26</v>
      </c>
      <c r="F37" s="155">
        <f t="shared" si="0"/>
        <v>0</v>
      </c>
      <c r="K37" s="119"/>
      <c r="L37" s="121"/>
      <c r="M37" s="121"/>
      <c r="N37" s="113" t="s">
        <v>202</v>
      </c>
      <c r="O37" s="121">
        <v>3445.5</v>
      </c>
      <c r="P37" s="222">
        <v>42160</v>
      </c>
    </row>
    <row r="38" spans="1:17" ht="15.75" x14ac:dyDescent="0.25">
      <c r="A38" s="143">
        <v>42180</v>
      </c>
      <c r="B38" s="292" t="s">
        <v>486</v>
      </c>
      <c r="C38" s="157">
        <v>6843.2</v>
      </c>
      <c r="D38" s="320">
        <v>42189</v>
      </c>
      <c r="E38" s="387">
        <v>6843.2</v>
      </c>
      <c r="F38" s="155">
        <f t="shared" si="0"/>
        <v>0</v>
      </c>
      <c r="K38" s="119"/>
      <c r="L38" s="121"/>
      <c r="M38" s="121"/>
      <c r="N38" s="113" t="s">
        <v>202</v>
      </c>
      <c r="O38" s="121">
        <v>11112</v>
      </c>
      <c r="P38" s="222">
        <v>42160</v>
      </c>
    </row>
    <row r="39" spans="1:17" ht="15.75" x14ac:dyDescent="0.25">
      <c r="A39" s="143">
        <v>42181</v>
      </c>
      <c r="B39" s="292" t="s">
        <v>490</v>
      </c>
      <c r="C39" s="157">
        <v>12844.8</v>
      </c>
      <c r="D39" s="320">
        <v>42189</v>
      </c>
      <c r="E39" s="387">
        <v>12844.8</v>
      </c>
      <c r="F39" s="155">
        <f t="shared" si="0"/>
        <v>0</v>
      </c>
      <c r="K39" s="119"/>
      <c r="L39" s="121"/>
      <c r="M39" s="121"/>
      <c r="N39" s="113" t="s">
        <v>202</v>
      </c>
      <c r="O39" s="121">
        <v>6007.5</v>
      </c>
      <c r="P39" s="222">
        <v>42160</v>
      </c>
    </row>
    <row r="40" spans="1:17" ht="15.75" customHeight="1" x14ac:dyDescent="0.25">
      <c r="A40" s="143">
        <v>42182</v>
      </c>
      <c r="B40" s="292" t="s">
        <v>487</v>
      </c>
      <c r="C40" s="157">
        <v>25121.25</v>
      </c>
      <c r="D40" s="320">
        <v>42189</v>
      </c>
      <c r="E40" s="387">
        <v>25121.25</v>
      </c>
      <c r="F40" s="241">
        <f t="shared" si="0"/>
        <v>0</v>
      </c>
      <c r="K40" s="119"/>
      <c r="L40" s="121"/>
      <c r="M40" s="121"/>
      <c r="N40" s="113" t="s">
        <v>202</v>
      </c>
      <c r="O40" s="121">
        <v>55733</v>
      </c>
      <c r="P40" s="222">
        <v>42161</v>
      </c>
    </row>
    <row r="41" spans="1:17" ht="15.75" customHeight="1" x14ac:dyDescent="0.25">
      <c r="A41" s="305">
        <v>42182</v>
      </c>
      <c r="B41" s="306" t="s">
        <v>488</v>
      </c>
      <c r="C41" s="88">
        <v>50517.5</v>
      </c>
      <c r="D41" s="320">
        <v>42189</v>
      </c>
      <c r="E41" s="318">
        <v>50517.5</v>
      </c>
      <c r="F41" s="241">
        <f t="shared" si="0"/>
        <v>0</v>
      </c>
      <c r="K41" s="119"/>
      <c r="L41" s="121"/>
      <c r="M41" s="121"/>
      <c r="N41" s="113" t="s">
        <v>202</v>
      </c>
      <c r="O41" s="121">
        <v>10213</v>
      </c>
      <c r="P41" s="222">
        <v>42161</v>
      </c>
    </row>
    <row r="42" spans="1:17" ht="15.75" x14ac:dyDescent="0.25">
      <c r="A42" s="143">
        <v>42182</v>
      </c>
      <c r="B42" s="307" t="s">
        <v>489</v>
      </c>
      <c r="C42" s="207">
        <v>4929.3999999999996</v>
      </c>
      <c r="D42" s="320">
        <v>42189</v>
      </c>
      <c r="E42" s="388">
        <v>4929.3999999999996</v>
      </c>
      <c r="F42" s="241">
        <f t="shared" si="0"/>
        <v>0</v>
      </c>
      <c r="K42" s="119"/>
      <c r="L42" s="121"/>
      <c r="M42" s="121"/>
      <c r="N42" s="113" t="s">
        <v>202</v>
      </c>
      <c r="O42" s="121">
        <v>8904</v>
      </c>
      <c r="P42" s="222">
        <v>42161</v>
      </c>
    </row>
    <row r="43" spans="1:17" ht="15.75" x14ac:dyDescent="0.25">
      <c r="A43" s="143">
        <v>42182</v>
      </c>
      <c r="B43" s="307" t="s">
        <v>491</v>
      </c>
      <c r="C43" s="207">
        <v>92028.44</v>
      </c>
      <c r="D43" s="320">
        <v>42189</v>
      </c>
      <c r="E43" s="388">
        <v>92028.44</v>
      </c>
      <c r="F43" s="241">
        <f t="shared" si="0"/>
        <v>0</v>
      </c>
      <c r="K43" s="119"/>
      <c r="L43" s="121"/>
      <c r="M43" s="121"/>
      <c r="N43" s="113" t="s">
        <v>202</v>
      </c>
      <c r="O43" s="121">
        <v>68864</v>
      </c>
      <c r="P43" s="222">
        <v>42163</v>
      </c>
    </row>
    <row r="44" spans="1:17" ht="15.75" x14ac:dyDescent="0.25">
      <c r="A44" s="143">
        <v>42183</v>
      </c>
      <c r="B44" s="282" t="s">
        <v>492</v>
      </c>
      <c r="C44" s="207">
        <v>2229.2800000000002</v>
      </c>
      <c r="D44" s="320">
        <v>42189</v>
      </c>
      <c r="E44" s="388">
        <v>2229.2800000000002</v>
      </c>
      <c r="F44" s="241">
        <f t="shared" si="0"/>
        <v>0</v>
      </c>
      <c r="K44" s="119"/>
      <c r="L44" s="121"/>
      <c r="M44" s="121"/>
      <c r="N44" s="113" t="s">
        <v>202</v>
      </c>
      <c r="O44" s="121">
        <v>7136</v>
      </c>
      <c r="P44" s="222">
        <v>42163</v>
      </c>
      <c r="Q44" s="21">
        <v>42162</v>
      </c>
    </row>
    <row r="45" spans="1:17" ht="16.5" customHeight="1" x14ac:dyDescent="0.25">
      <c r="A45" s="143">
        <v>42183</v>
      </c>
      <c r="B45" s="293" t="s">
        <v>493</v>
      </c>
      <c r="C45" s="130">
        <v>3271.8</v>
      </c>
      <c r="D45" s="320">
        <v>42189</v>
      </c>
      <c r="E45" s="389">
        <v>3271.8</v>
      </c>
      <c r="F45" s="241">
        <f t="shared" si="0"/>
        <v>0</v>
      </c>
      <c r="K45" s="119"/>
      <c r="L45" s="121"/>
      <c r="M45" s="121"/>
      <c r="N45" s="113" t="s">
        <v>202</v>
      </c>
      <c r="O45" s="121">
        <v>6884</v>
      </c>
      <c r="P45" s="222">
        <v>42163</v>
      </c>
    </row>
    <row r="46" spans="1:17" ht="15.75" x14ac:dyDescent="0.25">
      <c r="A46" s="143">
        <v>42184</v>
      </c>
      <c r="B46" s="293" t="s">
        <v>494</v>
      </c>
      <c r="C46" s="130">
        <v>60605.25</v>
      </c>
      <c r="D46" s="320">
        <v>42189</v>
      </c>
      <c r="E46" s="389">
        <v>60605.25</v>
      </c>
      <c r="F46" s="241">
        <f t="shared" si="0"/>
        <v>0</v>
      </c>
      <c r="K46" s="196"/>
      <c r="L46" s="121">
        <v>0</v>
      </c>
      <c r="M46" s="121"/>
      <c r="N46" s="113" t="s">
        <v>202</v>
      </c>
      <c r="O46" s="121">
        <v>5768.5</v>
      </c>
      <c r="P46" s="222">
        <v>42163</v>
      </c>
    </row>
    <row r="47" spans="1:17" ht="17.25" x14ac:dyDescent="0.4">
      <c r="A47" s="295">
        <v>42185</v>
      </c>
      <c r="B47" s="297" t="s">
        <v>495</v>
      </c>
      <c r="C47" s="230">
        <v>36628.75</v>
      </c>
      <c r="D47" s="320">
        <v>42189</v>
      </c>
      <c r="E47" s="390">
        <v>36628.75</v>
      </c>
      <c r="F47" s="241">
        <f t="shared" si="0"/>
        <v>0</v>
      </c>
      <c r="K47" s="119"/>
      <c r="L47" s="121"/>
      <c r="M47" s="338"/>
      <c r="N47" s="339" t="s">
        <v>202</v>
      </c>
      <c r="O47" s="121">
        <v>11043.5</v>
      </c>
      <c r="P47" s="222">
        <v>42163</v>
      </c>
    </row>
    <row r="48" spans="1:17" ht="15.75" thickBot="1" x14ac:dyDescent="0.3">
      <c r="A48" s="143"/>
      <c r="B48" s="293"/>
      <c r="C48" s="207"/>
      <c r="D48" s="300"/>
      <c r="E48" s="121"/>
      <c r="F48" s="332">
        <f t="shared" si="0"/>
        <v>0</v>
      </c>
      <c r="K48" s="336"/>
      <c r="L48" s="337"/>
      <c r="M48" s="337"/>
      <c r="N48" s="337" t="s">
        <v>202</v>
      </c>
      <c r="O48" s="337">
        <v>1304</v>
      </c>
      <c r="P48" s="222">
        <v>42163</v>
      </c>
    </row>
    <row r="49" spans="1:17" ht="18.75" x14ac:dyDescent="0.3">
      <c r="A49" s="285"/>
      <c r="B49" s="290"/>
      <c r="C49" s="150"/>
      <c r="D49" s="300"/>
      <c r="E49" s="121"/>
      <c r="F49" s="332"/>
      <c r="L49" s="131">
        <f>SUM(L4:L47)</f>
        <v>695348.50000000023</v>
      </c>
      <c r="M49" s="131"/>
      <c r="N49" s="131"/>
      <c r="O49" s="131">
        <f>SUM(O4:O48)</f>
        <v>695348.5</v>
      </c>
    </row>
    <row r="50" spans="1:17" x14ac:dyDescent="0.25">
      <c r="A50" s="286"/>
      <c r="B50" s="291"/>
      <c r="C50" s="150"/>
      <c r="D50" s="159"/>
      <c r="E50" s="150"/>
      <c r="F50" s="332"/>
    </row>
    <row r="51" spans="1:17" x14ac:dyDescent="0.25">
      <c r="A51" s="286"/>
      <c r="B51" s="291"/>
      <c r="C51" s="150"/>
      <c r="D51" s="159"/>
      <c r="E51" s="150"/>
      <c r="F51" s="332"/>
    </row>
    <row r="52" spans="1:17" x14ac:dyDescent="0.25">
      <c r="A52" s="285"/>
      <c r="B52" s="290"/>
      <c r="C52" s="150"/>
      <c r="D52" s="300"/>
      <c r="E52" s="121"/>
      <c r="F52" s="332"/>
    </row>
    <row r="53" spans="1:17" ht="15.75" x14ac:dyDescent="0.25">
      <c r="A53" s="285"/>
      <c r="B53" s="290"/>
      <c r="C53" s="150"/>
      <c r="D53" s="150"/>
      <c r="E53" s="121"/>
      <c r="F53" s="332"/>
      <c r="H53" s="28"/>
      <c r="K53" s="104"/>
      <c r="L53" s="333">
        <v>42177</v>
      </c>
      <c r="M53" s="215"/>
      <c r="N53" s="134" t="s">
        <v>200</v>
      </c>
      <c r="O53" s="88"/>
    </row>
    <row r="54" spans="1:17" x14ac:dyDescent="0.25">
      <c r="A54" s="285"/>
      <c r="B54" s="290"/>
      <c r="C54" s="150"/>
      <c r="D54" s="150"/>
      <c r="E54" s="121"/>
      <c r="F54" s="332"/>
      <c r="H54" s="28"/>
      <c r="K54" s="104"/>
      <c r="L54" s="103"/>
      <c r="M54" s="103"/>
      <c r="N54" s="103"/>
      <c r="O54" s="213"/>
    </row>
    <row r="55" spans="1:17" ht="15.75" x14ac:dyDescent="0.25">
      <c r="A55" s="286"/>
      <c r="B55" s="291"/>
      <c r="C55" s="150"/>
      <c r="D55" s="119"/>
      <c r="E55" s="150"/>
      <c r="F55" s="332"/>
      <c r="H55" s="28"/>
      <c r="J55" s="43">
        <v>16925</v>
      </c>
      <c r="K55" s="144">
        <v>23599</v>
      </c>
      <c r="L55" s="156">
        <v>16925.13</v>
      </c>
      <c r="M55" s="348"/>
      <c r="N55" s="113" t="s">
        <v>202</v>
      </c>
      <c r="O55" s="214">
        <v>16925</v>
      </c>
      <c r="P55" s="221">
        <v>42164</v>
      </c>
      <c r="Q55" s="21">
        <v>42163</v>
      </c>
    </row>
    <row r="56" spans="1:17" ht="15.75" x14ac:dyDescent="0.25">
      <c r="A56" s="286"/>
      <c r="B56" s="291"/>
      <c r="C56" s="150"/>
      <c r="D56" s="119"/>
      <c r="E56" s="150"/>
      <c r="F56" s="332"/>
      <c r="H56" s="28"/>
      <c r="J56" s="43">
        <f>15834+14236+12371+10602</f>
        <v>53043</v>
      </c>
      <c r="K56" s="144">
        <v>23703</v>
      </c>
      <c r="L56" s="156">
        <v>53043.14</v>
      </c>
      <c r="M56" s="207"/>
      <c r="N56" s="113" t="s">
        <v>202</v>
      </c>
      <c r="O56" s="207">
        <v>15834</v>
      </c>
      <c r="P56" s="221">
        <v>42164</v>
      </c>
    </row>
    <row r="57" spans="1:17" ht="15.75" x14ac:dyDescent="0.25">
      <c r="A57" s="286"/>
      <c r="B57" s="291"/>
      <c r="C57" s="150"/>
      <c r="D57" s="119"/>
      <c r="E57" s="150"/>
      <c r="F57" s="332"/>
      <c r="H57" s="28"/>
      <c r="J57" s="43">
        <f>25137+9258</f>
        <v>34395</v>
      </c>
      <c r="K57" s="144">
        <v>23792</v>
      </c>
      <c r="L57" s="156">
        <v>34394.86</v>
      </c>
      <c r="M57" s="207"/>
      <c r="N57" s="113" t="s">
        <v>202</v>
      </c>
      <c r="O57" s="207">
        <v>14236</v>
      </c>
      <c r="P57" s="221">
        <v>42164</v>
      </c>
    </row>
    <row r="58" spans="1:17" ht="15.75" x14ac:dyDescent="0.25">
      <c r="A58" s="286"/>
      <c r="B58" s="291"/>
      <c r="C58" s="150"/>
      <c r="D58" s="119"/>
      <c r="E58" s="150"/>
      <c r="F58" s="332"/>
      <c r="H58" s="28"/>
      <c r="J58" s="43">
        <f>32885+6957+22438+7803.5</f>
        <v>70083.5</v>
      </c>
      <c r="K58" s="144">
        <v>23861</v>
      </c>
      <c r="L58" s="156">
        <v>70083.48</v>
      </c>
      <c r="M58" s="130"/>
      <c r="N58" s="113" t="s">
        <v>202</v>
      </c>
      <c r="O58" s="207">
        <v>25137</v>
      </c>
      <c r="P58" s="221">
        <v>42165</v>
      </c>
    </row>
    <row r="59" spans="1:17" ht="15.75" x14ac:dyDescent="0.25">
      <c r="A59" s="286"/>
      <c r="B59" s="289"/>
      <c r="C59" s="150"/>
      <c r="D59" s="119"/>
      <c r="E59" s="150"/>
      <c r="F59" s="332"/>
      <c r="H59" s="28"/>
      <c r="J59" s="43">
        <v>6709</v>
      </c>
      <c r="K59" s="144">
        <v>24023</v>
      </c>
      <c r="L59" s="156">
        <v>6708.74</v>
      </c>
      <c r="M59" s="130"/>
      <c r="N59" s="113" t="s">
        <v>202</v>
      </c>
      <c r="O59" s="214">
        <v>12371</v>
      </c>
      <c r="P59" s="221">
        <v>42165</v>
      </c>
    </row>
    <row r="60" spans="1:17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J60" s="43">
        <f>25908.5+18088+6277.5</f>
        <v>50274</v>
      </c>
      <c r="K60" s="144">
        <v>24039</v>
      </c>
      <c r="L60" s="156">
        <v>50274</v>
      </c>
      <c r="M60" s="207"/>
      <c r="N60" s="113" t="s">
        <v>202</v>
      </c>
      <c r="O60" s="207">
        <v>10602</v>
      </c>
      <c r="P60" s="221">
        <v>42165</v>
      </c>
    </row>
    <row r="61" spans="1:17" ht="16.5" thickTop="1" x14ac:dyDescent="0.25">
      <c r="C61" s="58">
        <f>SUM(C5:C60)</f>
        <v>1581936.5300000003</v>
      </c>
      <c r="D61" s="58"/>
      <c r="E61" s="58">
        <f>SUM(E5:E60)</f>
        <v>1581936.5300000003</v>
      </c>
      <c r="F61" s="242">
        <f>SUM(F5:F60)</f>
        <v>0</v>
      </c>
      <c r="H61" s="28"/>
      <c r="J61" s="43">
        <f>63875.5+5277.5+3622.5+3855.5</f>
        <v>76631</v>
      </c>
      <c r="K61" s="144">
        <v>24122</v>
      </c>
      <c r="L61" s="156">
        <v>76630.7</v>
      </c>
      <c r="M61" s="334"/>
      <c r="N61" s="113" t="s">
        <v>202</v>
      </c>
      <c r="O61" s="207">
        <v>32885</v>
      </c>
      <c r="P61" s="221">
        <v>42166</v>
      </c>
    </row>
    <row r="62" spans="1:17" ht="15.75" x14ac:dyDescent="0.25">
      <c r="A62" s="355"/>
      <c r="B62"/>
      <c r="D62"/>
      <c r="E62" s="43"/>
      <c r="H62" s="28"/>
      <c r="J62" s="43">
        <f>27430.5+22800+8569.5+1427</f>
        <v>60227</v>
      </c>
      <c r="K62" s="144">
        <v>24221</v>
      </c>
      <c r="L62" s="207">
        <v>60227.15</v>
      </c>
      <c r="M62" s="321"/>
      <c r="N62" s="113" t="s">
        <v>202</v>
      </c>
      <c r="O62" s="207">
        <v>9258</v>
      </c>
      <c r="P62" s="221">
        <v>42166</v>
      </c>
    </row>
    <row r="63" spans="1:17" ht="15.75" x14ac:dyDescent="0.25">
      <c r="A63" s="355"/>
      <c r="B63"/>
      <c r="D63"/>
      <c r="E63" s="43"/>
      <c r="H63" s="28"/>
      <c r="J63" s="43">
        <f>27560+6673+5507.5+7604</f>
        <v>47344.5</v>
      </c>
      <c r="K63" s="144">
        <v>24382</v>
      </c>
      <c r="L63" s="156">
        <v>47344.42</v>
      </c>
      <c r="M63" s="207"/>
      <c r="N63" s="113" t="s">
        <v>202</v>
      </c>
      <c r="O63" s="207">
        <v>6957</v>
      </c>
      <c r="P63" s="221">
        <v>42166</v>
      </c>
    </row>
    <row r="64" spans="1:17" ht="15.75" x14ac:dyDescent="0.25">
      <c r="A64" s="355"/>
      <c r="B64"/>
      <c r="D64"/>
      <c r="E64" s="43"/>
      <c r="H64" s="28"/>
      <c r="J64" s="43">
        <f>31188.5+5213</f>
        <v>36401.5</v>
      </c>
      <c r="K64" s="144">
        <v>24493</v>
      </c>
      <c r="L64" s="156">
        <v>36401.300000000003</v>
      </c>
      <c r="M64" s="207"/>
      <c r="N64" s="113" t="s">
        <v>202</v>
      </c>
      <c r="O64" s="207">
        <v>25908.5</v>
      </c>
      <c r="P64" s="221">
        <v>42167</v>
      </c>
    </row>
    <row r="65" spans="1:17" ht="15.75" x14ac:dyDescent="0.25">
      <c r="A65" s="355"/>
      <c r="B65"/>
      <c r="D65"/>
      <c r="E65" s="43"/>
      <c r="H65" s="28"/>
      <c r="J65" s="43">
        <f>22103+6132+1163</f>
        <v>29398</v>
      </c>
      <c r="K65" s="144">
        <v>24575</v>
      </c>
      <c r="L65" s="156">
        <v>29397.919999999998</v>
      </c>
      <c r="M65" s="207"/>
      <c r="N65" s="113" t="s">
        <v>202</v>
      </c>
      <c r="O65" s="207">
        <v>22438</v>
      </c>
      <c r="P65" s="221">
        <v>42167</v>
      </c>
    </row>
    <row r="66" spans="1:17" ht="15.75" x14ac:dyDescent="0.25">
      <c r="A66" s="355"/>
      <c r="B66"/>
      <c r="D66"/>
      <c r="E66" s="43"/>
      <c r="H66" s="28"/>
      <c r="J66" s="43">
        <f>24382</f>
        <v>24382</v>
      </c>
      <c r="K66" s="144">
        <v>24577</v>
      </c>
      <c r="L66" s="156">
        <v>24382.05</v>
      </c>
      <c r="M66" s="207"/>
      <c r="N66" s="113" t="s">
        <v>202</v>
      </c>
      <c r="O66" s="207">
        <v>7803.5</v>
      </c>
      <c r="P66" s="221">
        <v>42167</v>
      </c>
    </row>
    <row r="67" spans="1:17" ht="15.75" x14ac:dyDescent="0.25">
      <c r="A67" s="355"/>
      <c r="B67"/>
      <c r="D67"/>
      <c r="E67" s="43"/>
      <c r="H67" s="28"/>
      <c r="J67" s="43">
        <v>30669</v>
      </c>
      <c r="K67" s="144">
        <v>24706</v>
      </c>
      <c r="L67" s="156">
        <v>30668.9</v>
      </c>
      <c r="M67" s="207"/>
      <c r="N67" s="113" t="s">
        <v>202</v>
      </c>
      <c r="O67" s="207">
        <v>63875.5</v>
      </c>
      <c r="P67" s="221">
        <v>42168</v>
      </c>
    </row>
    <row r="68" spans="1:17" ht="15.75" x14ac:dyDescent="0.25">
      <c r="A68" s="355"/>
      <c r="B68"/>
      <c r="D68"/>
      <c r="E68" s="43"/>
      <c r="H68" s="28"/>
      <c r="J68" s="43">
        <f>22577+1348</f>
        <v>23925</v>
      </c>
      <c r="K68" s="144">
        <v>24710</v>
      </c>
      <c r="L68" s="156">
        <v>23925</v>
      </c>
      <c r="M68" s="334"/>
      <c r="N68" s="113" t="s">
        <v>202</v>
      </c>
      <c r="O68" s="207">
        <v>5277.5</v>
      </c>
      <c r="P68" s="221">
        <v>42168</v>
      </c>
    </row>
    <row r="69" spans="1:17" ht="15.75" x14ac:dyDescent="0.25">
      <c r="A69" s="355"/>
      <c r="B69"/>
      <c r="D69"/>
      <c r="E69" s="43"/>
      <c r="H69" s="28"/>
      <c r="J69" s="43">
        <f>27456.5+6627.5</f>
        <v>34084</v>
      </c>
      <c r="K69" s="144">
        <v>24807</v>
      </c>
      <c r="L69" s="156">
        <v>34084</v>
      </c>
      <c r="M69" s="207"/>
      <c r="N69" s="113" t="s">
        <v>202</v>
      </c>
      <c r="O69" s="207">
        <v>18088</v>
      </c>
      <c r="P69" s="221">
        <v>42168</v>
      </c>
    </row>
    <row r="70" spans="1:17" ht="15.75" x14ac:dyDescent="0.25">
      <c r="A70" s="355"/>
      <c r="B70"/>
      <c r="D70"/>
      <c r="E70" s="43"/>
      <c r="H70" s="28"/>
      <c r="J70" s="43">
        <v>29511.5</v>
      </c>
      <c r="K70" s="144">
        <v>24816</v>
      </c>
      <c r="L70" s="156">
        <v>29511.4</v>
      </c>
      <c r="M70" s="207"/>
      <c r="N70" s="113" t="s">
        <v>202</v>
      </c>
      <c r="O70" s="207">
        <v>3622.5</v>
      </c>
      <c r="P70" s="221">
        <v>42170</v>
      </c>
      <c r="Q70" s="21">
        <v>42168</v>
      </c>
    </row>
    <row r="71" spans="1:17" ht="15.75" x14ac:dyDescent="0.25">
      <c r="A71" s="355"/>
      <c r="B71"/>
      <c r="D71"/>
      <c r="E71" s="43"/>
      <c r="H71" s="28"/>
      <c r="J71" s="43">
        <f>5456.5+5791</f>
        <v>11247.5</v>
      </c>
      <c r="K71" s="144">
        <v>24821</v>
      </c>
      <c r="L71" s="156">
        <v>11248.31</v>
      </c>
      <c r="M71" s="207" t="s">
        <v>242</v>
      </c>
      <c r="N71" s="113" t="s">
        <v>202</v>
      </c>
      <c r="O71" s="207">
        <v>6709</v>
      </c>
      <c r="P71" s="221">
        <v>42168</v>
      </c>
    </row>
    <row r="72" spans="1:17" ht="16.5" thickBot="1" x14ac:dyDescent="0.3">
      <c r="A72" s="355"/>
      <c r="B72"/>
      <c r="D72"/>
      <c r="E72" s="43"/>
      <c r="H72" s="28"/>
      <c r="J72" s="275">
        <v>0</v>
      </c>
      <c r="K72" s="144"/>
      <c r="L72" s="156"/>
      <c r="M72" s="207"/>
      <c r="N72" s="113" t="s">
        <v>202</v>
      </c>
      <c r="O72" s="207">
        <v>6277.5</v>
      </c>
      <c r="P72" s="221">
        <v>42170</v>
      </c>
      <c r="Q72" s="21">
        <v>42168</v>
      </c>
    </row>
    <row r="73" spans="1:17" ht="16.5" thickTop="1" x14ac:dyDescent="0.25">
      <c r="A73" s="355"/>
      <c r="B73"/>
      <c r="D73"/>
      <c r="E73" s="43"/>
      <c r="H73" s="28"/>
      <c r="J73" s="43">
        <f>SUM(J55:J72)</f>
        <v>635250.5</v>
      </c>
      <c r="K73" s="144"/>
      <c r="L73" s="156"/>
      <c r="M73" s="207"/>
      <c r="N73" s="113" t="s">
        <v>202</v>
      </c>
      <c r="O73" s="207">
        <v>3855.5</v>
      </c>
      <c r="P73" s="221">
        <v>42170</v>
      </c>
      <c r="Q73" s="21">
        <v>42169</v>
      </c>
    </row>
    <row r="74" spans="1:17" ht="15.75" x14ac:dyDescent="0.25">
      <c r="A74" s="355"/>
      <c r="B74"/>
      <c r="D74"/>
      <c r="E74" s="43"/>
      <c r="H74" s="28"/>
      <c r="K74" s="144"/>
      <c r="L74" s="156"/>
      <c r="M74" s="260"/>
      <c r="N74" s="113" t="s">
        <v>202</v>
      </c>
      <c r="O74" s="207">
        <v>27430.5</v>
      </c>
      <c r="P74" s="221">
        <v>42170</v>
      </c>
    </row>
    <row r="75" spans="1:17" ht="15.75" x14ac:dyDescent="0.25">
      <c r="H75" s="28"/>
      <c r="K75" s="144"/>
      <c r="L75" s="156"/>
      <c r="M75" s="130"/>
      <c r="N75" s="113" t="s">
        <v>202</v>
      </c>
      <c r="O75" s="207">
        <v>22800</v>
      </c>
      <c r="P75" s="221">
        <v>42171</v>
      </c>
      <c r="Q75" s="21">
        <v>42170</v>
      </c>
    </row>
    <row r="76" spans="1:17" ht="15.75" x14ac:dyDescent="0.25">
      <c r="K76" s="144"/>
      <c r="L76" s="156"/>
      <c r="M76" s="207"/>
      <c r="N76" s="113" t="s">
        <v>202</v>
      </c>
      <c r="O76" s="214">
        <v>8569.5</v>
      </c>
      <c r="P76" s="221">
        <v>42170</v>
      </c>
    </row>
    <row r="77" spans="1:17" ht="15.75" x14ac:dyDescent="0.25">
      <c r="K77" s="144"/>
      <c r="L77" s="156"/>
      <c r="M77" s="207"/>
      <c r="N77" s="113" t="s">
        <v>202</v>
      </c>
      <c r="O77" s="207">
        <v>27560</v>
      </c>
      <c r="P77" s="221">
        <v>42171</v>
      </c>
    </row>
    <row r="78" spans="1:17" ht="15.75" x14ac:dyDescent="0.25">
      <c r="A78" s="355"/>
      <c r="B78"/>
      <c r="C78"/>
      <c r="D78"/>
      <c r="E78"/>
      <c r="F78" s="23"/>
      <c r="K78" s="264"/>
      <c r="L78" s="207"/>
      <c r="M78" s="207"/>
      <c r="N78" s="113" t="s">
        <v>202</v>
      </c>
      <c r="O78" s="207">
        <v>1427</v>
      </c>
      <c r="P78" s="221">
        <v>42171</v>
      </c>
    </row>
    <row r="79" spans="1:17" ht="15.75" x14ac:dyDescent="0.25">
      <c r="A79" s="355"/>
      <c r="B79"/>
      <c r="C79"/>
      <c r="D79"/>
      <c r="E79"/>
      <c r="F79" s="23"/>
      <c r="K79" s="264"/>
      <c r="L79" s="130"/>
      <c r="M79" s="130"/>
      <c r="N79" s="113" t="s">
        <v>202</v>
      </c>
      <c r="O79" s="207">
        <v>6673</v>
      </c>
      <c r="P79" s="221">
        <v>42171</v>
      </c>
    </row>
    <row r="80" spans="1:17" ht="15.75" x14ac:dyDescent="0.25">
      <c r="K80" s="193"/>
      <c r="L80" s="207"/>
      <c r="M80" s="207"/>
      <c r="N80" s="113" t="s">
        <v>202</v>
      </c>
      <c r="O80" s="207">
        <v>31188.5</v>
      </c>
      <c r="P80" s="221">
        <v>42172</v>
      </c>
    </row>
    <row r="81" spans="1:16" ht="15.75" x14ac:dyDescent="0.25">
      <c r="K81" s="193"/>
      <c r="L81" s="207"/>
      <c r="M81" s="207"/>
      <c r="N81" s="113" t="s">
        <v>202</v>
      </c>
      <c r="O81" s="214">
        <v>5507.5</v>
      </c>
      <c r="P81" s="221">
        <v>42172</v>
      </c>
    </row>
    <row r="82" spans="1:16" ht="15.75" x14ac:dyDescent="0.25">
      <c r="K82" s="193"/>
      <c r="L82" s="207"/>
      <c r="M82" s="207"/>
      <c r="N82" s="113" t="s">
        <v>202</v>
      </c>
      <c r="O82" s="207">
        <v>7604</v>
      </c>
      <c r="P82" s="221">
        <v>42172</v>
      </c>
    </row>
    <row r="83" spans="1:16" ht="15.75" x14ac:dyDescent="0.25">
      <c r="A83"/>
      <c r="B83"/>
      <c r="C83"/>
      <c r="D83"/>
      <c r="E83"/>
      <c r="F83"/>
      <c r="G83"/>
      <c r="K83" s="193"/>
      <c r="L83" s="207"/>
      <c r="M83" s="207"/>
      <c r="N83" s="113" t="s">
        <v>202</v>
      </c>
      <c r="O83" s="207">
        <v>24382</v>
      </c>
      <c r="P83" s="221">
        <v>42173</v>
      </c>
    </row>
    <row r="84" spans="1:16" ht="15.75" x14ac:dyDescent="0.25">
      <c r="A84"/>
      <c r="B84"/>
      <c r="C84"/>
      <c r="D84"/>
      <c r="E84"/>
      <c r="F84"/>
      <c r="G84"/>
      <c r="K84" s="193"/>
      <c r="L84" s="207"/>
      <c r="M84" s="207"/>
      <c r="N84" s="113" t="s">
        <v>202</v>
      </c>
      <c r="O84" s="207">
        <v>22103</v>
      </c>
      <c r="P84" s="221">
        <v>42173</v>
      </c>
    </row>
    <row r="85" spans="1:16" ht="15.75" x14ac:dyDescent="0.25">
      <c r="A85"/>
      <c r="B85"/>
      <c r="C85"/>
      <c r="D85"/>
      <c r="E85"/>
      <c r="F85"/>
      <c r="G85"/>
      <c r="K85" s="206"/>
      <c r="L85" s="207"/>
      <c r="M85" s="207"/>
      <c r="N85" s="113" t="s">
        <v>202</v>
      </c>
      <c r="O85" s="207">
        <v>5213</v>
      </c>
      <c r="P85" s="221">
        <v>42173</v>
      </c>
    </row>
    <row r="86" spans="1:16" ht="15.75" x14ac:dyDescent="0.25">
      <c r="A86"/>
      <c r="B86"/>
      <c r="C86"/>
      <c r="D86"/>
      <c r="E86"/>
      <c r="F86"/>
      <c r="G86"/>
      <c r="K86" s="206"/>
      <c r="L86" s="207"/>
      <c r="M86" s="207"/>
      <c r="N86" s="113" t="s">
        <v>202</v>
      </c>
      <c r="O86" s="207">
        <v>6132</v>
      </c>
      <c r="P86" s="222">
        <v>42173</v>
      </c>
    </row>
    <row r="87" spans="1:16" ht="15.75" x14ac:dyDescent="0.25">
      <c r="A87"/>
      <c r="B87"/>
      <c r="C87"/>
      <c r="D87"/>
      <c r="E87"/>
      <c r="F87"/>
      <c r="G87"/>
      <c r="K87" s="193"/>
      <c r="L87" s="207"/>
      <c r="M87" s="207"/>
      <c r="N87" s="113" t="s">
        <v>202</v>
      </c>
      <c r="O87" s="207">
        <v>53246</v>
      </c>
      <c r="P87" s="221">
        <v>42174</v>
      </c>
    </row>
    <row r="88" spans="1:16" ht="15.75" x14ac:dyDescent="0.25">
      <c r="A88"/>
      <c r="B88"/>
      <c r="C88"/>
      <c r="D88"/>
      <c r="E88"/>
      <c r="F88"/>
      <c r="G88"/>
      <c r="K88" s="119"/>
      <c r="L88" s="121"/>
      <c r="M88" s="121"/>
      <c r="N88" s="113" t="s">
        <v>202</v>
      </c>
      <c r="O88" s="121">
        <v>1163</v>
      </c>
      <c r="P88" s="222">
        <v>42174</v>
      </c>
    </row>
    <row r="89" spans="1:16" ht="15.75" x14ac:dyDescent="0.25">
      <c r="A89"/>
      <c r="B89"/>
      <c r="C89"/>
      <c r="D89"/>
      <c r="E89"/>
      <c r="F89"/>
      <c r="G89"/>
      <c r="K89" s="119"/>
      <c r="L89" s="121"/>
      <c r="M89" s="121"/>
      <c r="N89" s="113" t="s">
        <v>202</v>
      </c>
      <c r="O89" s="323">
        <v>5791</v>
      </c>
      <c r="P89" s="222">
        <v>42174</v>
      </c>
    </row>
    <row r="90" spans="1:16" ht="15.75" x14ac:dyDescent="0.25">
      <c r="A90"/>
      <c r="B90"/>
      <c r="C90"/>
      <c r="D90"/>
      <c r="E90"/>
      <c r="F90"/>
      <c r="G90"/>
      <c r="K90" s="119"/>
      <c r="L90" s="121"/>
      <c r="M90" s="121"/>
      <c r="N90" s="113" t="s">
        <v>478</v>
      </c>
      <c r="O90" s="121">
        <v>29511.5</v>
      </c>
      <c r="P90" s="222">
        <v>42175</v>
      </c>
    </row>
    <row r="91" spans="1:16" ht="15.75" x14ac:dyDescent="0.25">
      <c r="A91"/>
      <c r="B91"/>
      <c r="C91"/>
      <c r="D91"/>
      <c r="E91"/>
      <c r="F91"/>
      <c r="G91"/>
      <c r="K91" s="119"/>
      <c r="L91" s="121"/>
      <c r="M91" s="121"/>
      <c r="N91" s="113" t="s">
        <v>478</v>
      </c>
      <c r="O91" s="121">
        <v>27456.5</v>
      </c>
      <c r="P91" s="222">
        <v>42175</v>
      </c>
    </row>
    <row r="92" spans="1:16" ht="15.75" x14ac:dyDescent="0.25">
      <c r="A92"/>
      <c r="B92"/>
      <c r="C92"/>
      <c r="D92"/>
      <c r="E92"/>
      <c r="F92"/>
      <c r="G92"/>
      <c r="K92" s="119"/>
      <c r="L92" s="121"/>
      <c r="M92" s="121"/>
      <c r="N92" s="113" t="s">
        <v>478</v>
      </c>
      <c r="O92" s="121">
        <v>5456.5</v>
      </c>
      <c r="P92" s="222">
        <v>42175</v>
      </c>
    </row>
    <row r="93" spans="1:16" ht="15.75" x14ac:dyDescent="0.25">
      <c r="A93"/>
      <c r="B93"/>
      <c r="C93"/>
      <c r="D93"/>
      <c r="E93"/>
      <c r="F93"/>
      <c r="G93"/>
      <c r="K93" s="119"/>
      <c r="L93" s="121"/>
      <c r="M93" s="121"/>
      <c r="N93" s="113" t="s">
        <v>478</v>
      </c>
      <c r="O93" s="121">
        <v>1348</v>
      </c>
      <c r="P93" s="222">
        <v>42175</v>
      </c>
    </row>
    <row r="94" spans="1:16" ht="15.75" x14ac:dyDescent="0.25">
      <c r="A94"/>
      <c r="B94"/>
      <c r="C94"/>
      <c r="D94"/>
      <c r="E94"/>
      <c r="F94"/>
      <c r="G94"/>
      <c r="K94" s="119"/>
      <c r="L94" s="121"/>
      <c r="M94" s="121"/>
      <c r="N94" s="113" t="s">
        <v>478</v>
      </c>
      <c r="O94" s="121">
        <v>6627.5</v>
      </c>
      <c r="P94" s="222">
        <v>42175</v>
      </c>
    </row>
    <row r="95" spans="1:16" ht="15.75" thickBot="1" x14ac:dyDescent="0.3">
      <c r="A95"/>
      <c r="B95"/>
      <c r="C95"/>
      <c r="D95"/>
      <c r="E95"/>
      <c r="F95"/>
      <c r="G95"/>
      <c r="K95" s="336"/>
      <c r="L95" s="337"/>
      <c r="M95" s="337"/>
      <c r="N95" s="337"/>
      <c r="O95" s="337"/>
      <c r="P95" s="222"/>
    </row>
    <row r="96" spans="1:16" ht="18.75" x14ac:dyDescent="0.3">
      <c r="L96" s="131">
        <f>SUM(L55:L94)</f>
        <v>635250.5</v>
      </c>
      <c r="M96" s="131"/>
      <c r="N96" s="131"/>
      <c r="O96" s="131">
        <f>SUM(O55:O95)</f>
        <v>635250.5</v>
      </c>
    </row>
  </sheetData>
  <sortState ref="A34:C47">
    <sortCondition ref="B34:B47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8"/>
  <sheetViews>
    <sheetView workbookViewId="0">
      <selection activeCell="H26" sqref="H26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</cols>
  <sheetData>
    <row r="1" spans="1:14" ht="23.25" x14ac:dyDescent="0.35">
      <c r="B1" s="37"/>
      <c r="C1" s="397" t="s">
        <v>496</v>
      </c>
      <c r="D1" s="397"/>
      <c r="E1" s="397"/>
      <c r="F1" s="397"/>
      <c r="G1" s="397"/>
      <c r="H1" s="397"/>
      <c r="I1" s="397"/>
      <c r="J1" s="397"/>
      <c r="K1" s="397"/>
      <c r="M1" s="377"/>
      <c r="N1" s="202"/>
    </row>
    <row r="2" spans="1:14" ht="15.75" thickBot="1" x14ac:dyDescent="0.3">
      <c r="B2" s="37"/>
      <c r="C2" s="43"/>
      <c r="E2" s="375"/>
      <c r="F2" s="50"/>
      <c r="I2" s="43"/>
      <c r="J2" s="43"/>
      <c r="M2" s="377"/>
      <c r="N2" s="202"/>
    </row>
    <row r="3" spans="1:14" ht="15.75" thickBot="1" x14ac:dyDescent="0.3">
      <c r="B3" s="37"/>
      <c r="C3" s="44" t="s">
        <v>0</v>
      </c>
      <c r="D3" s="3"/>
      <c r="F3" s="43"/>
      <c r="I3" s="43"/>
      <c r="J3" s="43"/>
      <c r="M3" s="377"/>
      <c r="N3" s="202"/>
    </row>
    <row r="4" spans="1:14" ht="20.25" thickTop="1" thickBot="1" x14ac:dyDescent="0.35">
      <c r="A4" s="96" t="s">
        <v>2</v>
      </c>
      <c r="B4" s="38"/>
      <c r="C4" s="94">
        <v>0</v>
      </c>
      <c r="D4" s="2"/>
      <c r="E4" s="418" t="s">
        <v>14</v>
      </c>
      <c r="F4" s="419"/>
      <c r="I4" s="400" t="s">
        <v>4</v>
      </c>
      <c r="J4" s="401"/>
      <c r="K4" s="401"/>
      <c r="L4" s="401"/>
      <c r="M4" s="69" t="s">
        <v>18</v>
      </c>
      <c r="N4" s="203" t="s">
        <v>264</v>
      </c>
    </row>
    <row r="5" spans="1:14" ht="15.75" thickTop="1" x14ac:dyDescent="0.25">
      <c r="A5" s="21"/>
      <c r="B5" s="39"/>
      <c r="C5" s="45"/>
      <c r="D5" s="22"/>
      <c r="E5" s="26"/>
      <c r="F5" s="51"/>
      <c r="G5" s="23"/>
      <c r="H5" s="24"/>
      <c r="I5" s="60"/>
      <c r="J5" s="87"/>
      <c r="K5" s="34"/>
      <c r="L5" s="34"/>
      <c r="M5" s="67"/>
      <c r="N5" s="75"/>
    </row>
    <row r="6" spans="1:14" x14ac:dyDescent="0.25">
      <c r="A6" s="21"/>
      <c r="B6" s="39"/>
      <c r="C6" s="45"/>
      <c r="D6" s="29"/>
      <c r="E6" s="26"/>
      <c r="F6" s="51"/>
      <c r="G6" s="19"/>
      <c r="H6" s="27"/>
      <c r="I6" s="61"/>
      <c r="J6" s="88"/>
      <c r="K6" s="13" t="s">
        <v>5</v>
      </c>
      <c r="L6" s="20">
        <v>0</v>
      </c>
      <c r="M6" s="67"/>
      <c r="N6" s="75"/>
    </row>
    <row r="7" spans="1:14" x14ac:dyDescent="0.25">
      <c r="A7" s="21"/>
      <c r="B7" s="39"/>
      <c r="C7" s="45"/>
      <c r="D7" s="32"/>
      <c r="E7" s="26"/>
      <c r="F7" s="51"/>
      <c r="G7" s="23"/>
      <c r="H7" s="27"/>
      <c r="I7" s="61"/>
      <c r="J7" s="88"/>
      <c r="K7" s="13" t="s">
        <v>3</v>
      </c>
      <c r="L7" s="20">
        <v>0</v>
      </c>
      <c r="M7" s="67"/>
      <c r="N7" s="75"/>
    </row>
    <row r="8" spans="1:14" x14ac:dyDescent="0.25">
      <c r="A8" s="21"/>
      <c r="B8" s="39"/>
      <c r="C8" s="45"/>
      <c r="D8" s="22"/>
      <c r="E8" s="26"/>
      <c r="F8" s="51"/>
      <c r="G8" s="23"/>
      <c r="H8" s="27"/>
      <c r="I8" s="61"/>
      <c r="J8" s="88"/>
      <c r="K8" s="13" t="s">
        <v>6</v>
      </c>
      <c r="L8" s="20">
        <v>28750</v>
      </c>
      <c r="M8" s="201"/>
      <c r="N8" s="204"/>
    </row>
    <row r="9" spans="1:14" x14ac:dyDescent="0.25">
      <c r="A9" s="21"/>
      <c r="B9" s="39"/>
      <c r="C9" s="45"/>
      <c r="D9" s="22"/>
      <c r="E9" s="26"/>
      <c r="F9" s="51"/>
      <c r="G9" s="23"/>
      <c r="H9" s="27"/>
      <c r="I9" s="61"/>
      <c r="J9" s="88"/>
      <c r="K9" s="13" t="s">
        <v>406</v>
      </c>
      <c r="L9" s="20">
        <v>0</v>
      </c>
      <c r="M9" s="67"/>
      <c r="N9" s="75"/>
    </row>
    <row r="10" spans="1:14" x14ac:dyDescent="0.25">
      <c r="A10" s="21"/>
      <c r="B10" s="39"/>
      <c r="C10" s="45"/>
      <c r="D10" s="32"/>
      <c r="E10" s="26"/>
      <c r="F10" s="51"/>
      <c r="G10" s="23"/>
      <c r="H10" s="27"/>
      <c r="I10" s="61"/>
      <c r="J10" s="88"/>
      <c r="K10" s="13" t="s">
        <v>447</v>
      </c>
      <c r="L10" s="20">
        <v>0</v>
      </c>
      <c r="M10" s="67"/>
      <c r="N10" s="75"/>
    </row>
    <row r="11" spans="1:14" x14ac:dyDescent="0.25">
      <c r="A11" s="21"/>
      <c r="B11" s="39"/>
      <c r="C11" s="45"/>
      <c r="D11" s="32"/>
      <c r="E11" s="26"/>
      <c r="F11" s="51"/>
      <c r="G11" s="23"/>
      <c r="H11" s="27"/>
      <c r="I11" s="62"/>
      <c r="J11" s="88"/>
      <c r="K11" s="13" t="s">
        <v>448</v>
      </c>
      <c r="L11" s="20">
        <v>0</v>
      </c>
      <c r="M11" s="67"/>
      <c r="N11" s="75"/>
    </row>
    <row r="12" spans="1:14" x14ac:dyDescent="0.25">
      <c r="A12" s="21"/>
      <c r="B12" s="39"/>
      <c r="C12" s="45"/>
      <c r="D12" s="32"/>
      <c r="E12" s="26"/>
      <c r="F12" s="51"/>
      <c r="G12" s="23"/>
      <c r="H12" s="27"/>
      <c r="I12" s="62"/>
      <c r="J12" s="88"/>
      <c r="K12" s="13" t="s">
        <v>449</v>
      </c>
      <c r="L12" s="20">
        <v>0</v>
      </c>
      <c r="M12" s="67"/>
      <c r="N12" s="75"/>
    </row>
    <row r="13" spans="1:14" x14ac:dyDescent="0.25">
      <c r="A13" s="21"/>
      <c r="B13" s="39"/>
      <c r="C13" s="45"/>
      <c r="D13" s="32"/>
      <c r="E13" s="26"/>
      <c r="F13" s="51"/>
      <c r="G13" s="23"/>
      <c r="H13" s="27"/>
      <c r="I13" s="62"/>
      <c r="J13" s="88"/>
      <c r="K13" s="13" t="s">
        <v>450</v>
      </c>
      <c r="L13" s="20">
        <v>0</v>
      </c>
      <c r="M13" s="67"/>
      <c r="N13" s="75"/>
    </row>
    <row r="14" spans="1:14" x14ac:dyDescent="0.25">
      <c r="A14" s="21"/>
      <c r="B14" s="39"/>
      <c r="C14" s="45"/>
      <c r="D14" s="29"/>
      <c r="E14" s="26"/>
      <c r="F14" s="51"/>
      <c r="G14" s="23"/>
      <c r="H14" s="27"/>
      <c r="I14" s="62"/>
      <c r="J14" s="88"/>
      <c r="K14" s="35" t="s">
        <v>16</v>
      </c>
      <c r="L14" s="20">
        <v>0</v>
      </c>
      <c r="M14" s="67"/>
      <c r="N14" s="75"/>
    </row>
    <row r="15" spans="1:14" x14ac:dyDescent="0.25">
      <c r="A15" s="21"/>
      <c r="B15" s="39"/>
      <c r="C15" s="45"/>
      <c r="D15" s="29"/>
      <c r="E15" s="26"/>
      <c r="F15" s="51"/>
      <c r="G15" s="23"/>
      <c r="H15" s="27"/>
      <c r="I15" s="62"/>
      <c r="J15" s="88"/>
      <c r="K15" s="28" t="s">
        <v>15</v>
      </c>
      <c r="L15" s="20">
        <v>0</v>
      </c>
      <c r="M15" s="67"/>
      <c r="N15" s="75"/>
    </row>
    <row r="16" spans="1:14" x14ac:dyDescent="0.25">
      <c r="A16" s="21"/>
      <c r="B16" s="39"/>
      <c r="C16" s="45"/>
      <c r="D16" s="29"/>
      <c r="E16" s="26"/>
      <c r="F16" s="51"/>
      <c r="G16" s="23"/>
      <c r="H16" s="27"/>
      <c r="I16" s="62"/>
      <c r="J16" s="88"/>
      <c r="K16" s="73" t="s">
        <v>52</v>
      </c>
      <c r="L16" s="74">
        <v>0</v>
      </c>
      <c r="M16" s="67"/>
      <c r="N16" s="75"/>
    </row>
    <row r="17" spans="1:14" x14ac:dyDescent="0.25">
      <c r="A17" s="21"/>
      <c r="B17" s="39"/>
      <c r="C17" s="45"/>
      <c r="D17" s="29"/>
      <c r="E17" s="26"/>
      <c r="F17" s="51"/>
      <c r="G17" s="23"/>
      <c r="H17" s="27"/>
      <c r="I17" s="62"/>
      <c r="J17" s="88"/>
      <c r="K17" s="28" t="s">
        <v>53</v>
      </c>
      <c r="L17" s="74">
        <v>0</v>
      </c>
      <c r="M17" s="67"/>
      <c r="N17" s="75"/>
    </row>
    <row r="18" spans="1:14" x14ac:dyDescent="0.25">
      <c r="A18" s="21"/>
      <c r="B18" s="39"/>
      <c r="C18" s="45"/>
      <c r="D18" s="22"/>
      <c r="E18" s="26"/>
      <c r="F18" s="51"/>
      <c r="G18" s="23"/>
      <c r="H18" s="27"/>
      <c r="I18" s="62"/>
      <c r="J18" s="89"/>
      <c r="K18" s="28" t="s">
        <v>54</v>
      </c>
      <c r="L18" s="75">
        <v>0</v>
      </c>
      <c r="M18" s="67"/>
      <c r="N18" s="75"/>
    </row>
    <row r="19" spans="1:14" x14ac:dyDescent="0.25">
      <c r="A19" s="21"/>
      <c r="B19" s="39"/>
      <c r="C19" s="45"/>
      <c r="D19" s="29"/>
      <c r="E19" s="26"/>
      <c r="F19" s="51"/>
      <c r="G19" s="23"/>
      <c r="H19" s="27"/>
      <c r="I19" s="62"/>
      <c r="J19" s="88"/>
      <c r="K19" s="28" t="s">
        <v>55</v>
      </c>
      <c r="L19" s="75">
        <v>0</v>
      </c>
      <c r="M19" s="67"/>
      <c r="N19" s="75"/>
    </row>
    <row r="20" spans="1:14" x14ac:dyDescent="0.25">
      <c r="A20" s="21"/>
      <c r="B20" s="39"/>
      <c r="C20" s="45"/>
      <c r="D20" s="22"/>
      <c r="E20" s="26"/>
      <c r="F20" s="51"/>
      <c r="G20" s="23"/>
      <c r="H20" s="27"/>
      <c r="I20" s="62"/>
      <c r="J20" s="90"/>
      <c r="K20" s="314" t="s">
        <v>408</v>
      </c>
      <c r="L20" s="55">
        <v>0</v>
      </c>
      <c r="M20" s="67"/>
      <c r="N20" s="75"/>
    </row>
    <row r="21" spans="1:14" x14ac:dyDescent="0.25">
      <c r="A21" s="21"/>
      <c r="B21" s="39"/>
      <c r="C21" s="45"/>
      <c r="D21" s="22"/>
      <c r="E21" s="26"/>
      <c r="F21" s="51"/>
      <c r="G21" s="23"/>
      <c r="H21" s="27"/>
      <c r="I21" s="62"/>
      <c r="J21" s="88"/>
      <c r="K21" s="25" t="s">
        <v>99</v>
      </c>
      <c r="L21" s="55">
        <v>0</v>
      </c>
      <c r="M21" s="67"/>
      <c r="N21" s="75"/>
    </row>
    <row r="22" spans="1:14" x14ac:dyDescent="0.25">
      <c r="A22" s="21"/>
      <c r="B22" s="39"/>
      <c r="C22" s="45"/>
      <c r="D22" s="22"/>
      <c r="E22" s="26"/>
      <c r="F22" s="51"/>
      <c r="G22" s="23"/>
      <c r="H22" s="27"/>
      <c r="I22" s="62"/>
      <c r="J22" s="90"/>
      <c r="K22" s="122" t="s">
        <v>213</v>
      </c>
      <c r="L22" s="55">
        <v>0</v>
      </c>
      <c r="M22" s="67"/>
      <c r="N22" s="75"/>
    </row>
    <row r="23" spans="1:14" x14ac:dyDescent="0.25">
      <c r="A23" s="21"/>
      <c r="B23" s="39"/>
      <c r="C23" s="45"/>
      <c r="D23" s="22"/>
      <c r="E23" s="26"/>
      <c r="F23" s="51"/>
      <c r="G23" s="23"/>
      <c r="H23" s="27"/>
      <c r="I23" s="62"/>
      <c r="J23" s="88"/>
      <c r="K23" s="11" t="s">
        <v>332</v>
      </c>
      <c r="L23" s="55">
        <v>0</v>
      </c>
      <c r="M23" s="67"/>
      <c r="N23" s="75"/>
    </row>
    <row r="24" spans="1:14" x14ac:dyDescent="0.25">
      <c r="A24" s="21"/>
      <c r="B24" s="39"/>
      <c r="C24" s="45"/>
      <c r="D24" s="29"/>
      <c r="E24" s="26"/>
      <c r="F24" s="51"/>
      <c r="G24" s="23"/>
      <c r="H24" s="27"/>
      <c r="I24" s="62"/>
      <c r="J24" s="88"/>
      <c r="K24" s="365">
        <v>42165</v>
      </c>
      <c r="L24" s="55"/>
      <c r="M24" s="67"/>
      <c r="N24" s="75"/>
    </row>
    <row r="25" spans="1:14" x14ac:dyDescent="0.25">
      <c r="A25" s="21"/>
      <c r="B25" s="39"/>
      <c r="C25" s="45"/>
      <c r="D25" s="22"/>
      <c r="E25" s="26"/>
      <c r="F25" s="51"/>
      <c r="G25" s="23"/>
      <c r="H25" s="27"/>
      <c r="I25" s="62"/>
      <c r="J25" s="88"/>
      <c r="K25" s="11"/>
      <c r="L25" s="55"/>
      <c r="M25" s="67"/>
      <c r="N25" s="75"/>
    </row>
    <row r="26" spans="1:14" x14ac:dyDescent="0.25">
      <c r="A26" s="21"/>
      <c r="B26" s="39"/>
      <c r="C26" s="45"/>
      <c r="D26" s="29"/>
      <c r="E26" s="26"/>
      <c r="F26" s="51"/>
      <c r="G26" s="23"/>
      <c r="H26" s="27"/>
      <c r="I26" s="62"/>
      <c r="J26" s="88"/>
      <c r="K26" s="11"/>
      <c r="L26" s="55"/>
      <c r="M26" s="67"/>
      <c r="N26" s="75"/>
    </row>
    <row r="27" spans="1:14" x14ac:dyDescent="0.25">
      <c r="A27" s="21"/>
      <c r="B27" s="39"/>
      <c r="C27" s="45"/>
      <c r="D27" s="29"/>
      <c r="E27" s="26"/>
      <c r="F27" s="51"/>
      <c r="G27" s="23"/>
      <c r="H27" s="27"/>
      <c r="I27" s="62"/>
      <c r="J27" s="88"/>
      <c r="K27" s="11"/>
      <c r="L27" s="55"/>
      <c r="M27" s="201"/>
      <c r="N27" s="204"/>
    </row>
    <row r="28" spans="1:14" x14ac:dyDescent="0.25">
      <c r="A28" s="21"/>
      <c r="B28" s="39"/>
      <c r="C28" s="45"/>
      <c r="D28" s="29"/>
      <c r="E28" s="26"/>
      <c r="F28" s="51"/>
      <c r="G28" s="23"/>
      <c r="H28" s="27"/>
      <c r="I28" s="62"/>
      <c r="J28" s="88"/>
      <c r="K28" s="11"/>
      <c r="L28" s="55"/>
      <c r="M28" s="201"/>
      <c r="N28" s="204">
        <v>0</v>
      </c>
    </row>
    <row r="29" spans="1:14" x14ac:dyDescent="0.25">
      <c r="A29" s="21"/>
      <c r="B29" s="39"/>
      <c r="C29" s="45"/>
      <c r="D29" s="29"/>
      <c r="E29" s="26"/>
      <c r="F29" s="51"/>
      <c r="G29" s="23"/>
      <c r="H29" s="27"/>
      <c r="I29" s="62"/>
      <c r="J29" s="88"/>
      <c r="K29" s="11"/>
      <c r="L29" s="20"/>
      <c r="M29" s="67"/>
      <c r="N29" s="75">
        <v>0</v>
      </c>
    </row>
    <row r="30" spans="1:14" x14ac:dyDescent="0.25">
      <c r="A30" s="21"/>
      <c r="B30" s="39"/>
      <c r="C30" s="45"/>
      <c r="D30" s="22"/>
      <c r="E30" s="26"/>
      <c r="F30" s="51"/>
      <c r="G30" s="23"/>
      <c r="H30" s="27"/>
      <c r="I30" s="62"/>
      <c r="J30" s="88"/>
      <c r="K30" s="11"/>
      <c r="L30" s="20"/>
      <c r="M30" s="201"/>
      <c r="N30" s="204">
        <v>0</v>
      </c>
    </row>
    <row r="31" spans="1:14" x14ac:dyDescent="0.25">
      <c r="A31" s="21"/>
      <c r="B31" s="39"/>
      <c r="C31" s="45"/>
      <c r="D31" s="22"/>
      <c r="E31" s="26"/>
      <c r="F31" s="51"/>
      <c r="G31" s="23"/>
      <c r="H31" s="27"/>
      <c r="I31" s="62"/>
      <c r="J31" s="88"/>
      <c r="K31" s="11"/>
      <c r="L31" s="20"/>
      <c r="M31" s="201"/>
      <c r="N31" s="204">
        <v>0</v>
      </c>
    </row>
    <row r="32" spans="1:14" x14ac:dyDescent="0.25">
      <c r="A32" s="21"/>
      <c r="B32" s="39"/>
      <c r="C32" s="45"/>
      <c r="D32" s="22"/>
      <c r="E32" s="26"/>
      <c r="F32" s="51"/>
      <c r="G32" s="23"/>
      <c r="H32" s="27"/>
      <c r="I32" s="62"/>
      <c r="J32" s="88"/>
      <c r="K32" s="11"/>
      <c r="L32" s="20"/>
      <c r="M32" s="67"/>
      <c r="N32" s="75">
        <v>0</v>
      </c>
    </row>
    <row r="33" spans="1:14" x14ac:dyDescent="0.25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</row>
    <row r="34" spans="1:14" x14ac:dyDescent="0.25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02">
        <v>0</v>
      </c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>
        <v>0</v>
      </c>
    </row>
    <row r="36" spans="1:14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77"/>
      <c r="N36" s="346">
        <v>0</v>
      </c>
    </row>
    <row r="37" spans="1:14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77"/>
      <c r="N37" s="345">
        <f>SUM(N5:N36)</f>
        <v>0</v>
      </c>
    </row>
    <row r="38" spans="1:14" x14ac:dyDescent="0.25">
      <c r="B38" s="42" t="s">
        <v>1</v>
      </c>
      <c r="C38" s="48">
        <f>SUM(C5:C37)</f>
        <v>0</v>
      </c>
      <c r="E38" s="373" t="s">
        <v>1</v>
      </c>
      <c r="F38" s="54">
        <f>SUM(F5:F37)</f>
        <v>0</v>
      </c>
      <c r="H38" s="375" t="s">
        <v>1</v>
      </c>
      <c r="I38" s="58">
        <f>SUM(I5:I37)</f>
        <v>0</v>
      </c>
      <c r="J38" s="58"/>
      <c r="K38" s="17" t="s">
        <v>1</v>
      </c>
      <c r="L38" s="4">
        <f t="shared" ref="L38" si="0">SUM(L5:L37)</f>
        <v>28750</v>
      </c>
      <c r="M38" s="377"/>
      <c r="N38" s="202"/>
    </row>
    <row r="39" spans="1:14" x14ac:dyDescent="0.25">
      <c r="B39" s="37"/>
      <c r="C39" s="43"/>
      <c r="F39" s="43"/>
      <c r="I39" s="43"/>
      <c r="J39" s="43"/>
      <c r="M39" s="377"/>
      <c r="N39" s="202"/>
    </row>
    <row r="40" spans="1:14" ht="15.75" x14ac:dyDescent="0.25">
      <c r="A40" s="5"/>
      <c r="B40" s="37"/>
      <c r="C40" s="49">
        <v>0</v>
      </c>
      <c r="D40" s="13"/>
      <c r="E40" s="13"/>
      <c r="F40" s="55"/>
      <c r="H40" s="402" t="s">
        <v>7</v>
      </c>
      <c r="I40" s="403"/>
      <c r="J40" s="374"/>
      <c r="K40" s="404">
        <f>I38+L38</f>
        <v>28750</v>
      </c>
      <c r="L40" s="405"/>
      <c r="M40" s="377"/>
      <c r="N40" s="202"/>
    </row>
    <row r="41" spans="1:14" ht="15.75" x14ac:dyDescent="0.25">
      <c r="B41" s="37"/>
      <c r="C41" s="43"/>
      <c r="D41" s="396" t="s">
        <v>8</v>
      </c>
      <c r="E41" s="396"/>
      <c r="F41" s="56">
        <f>F38-K40</f>
        <v>-28750</v>
      </c>
      <c r="I41" s="65"/>
      <c r="J41" s="65"/>
      <c r="M41" s="377"/>
      <c r="N41" s="202"/>
    </row>
    <row r="42" spans="1:14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377"/>
      <c r="N42" s="202"/>
    </row>
    <row r="43" spans="1:14" ht="15.75" thickBot="1" x14ac:dyDescent="0.3">
      <c r="B43" s="37"/>
      <c r="C43" s="43" t="s">
        <v>12</v>
      </c>
      <c r="D43" t="s">
        <v>303</v>
      </c>
      <c r="F43" s="125">
        <v>-1110798.19</v>
      </c>
      <c r="I43" s="406"/>
      <c r="J43" s="406"/>
      <c r="K43" s="406"/>
      <c r="L43" s="2"/>
      <c r="M43" s="377"/>
      <c r="N43" s="202"/>
    </row>
    <row r="44" spans="1:14" ht="16.5" thickTop="1" x14ac:dyDescent="0.25">
      <c r="B44" s="37"/>
      <c r="C44" s="43"/>
      <c r="E44" s="5" t="s">
        <v>10</v>
      </c>
      <c r="F44" s="58">
        <f>SUM(F41:F43)</f>
        <v>-1139548.19</v>
      </c>
      <c r="I44" s="438" t="s">
        <v>251</v>
      </c>
      <c r="J44" s="438"/>
      <c r="K44" s="423">
        <f>F46</f>
        <v>-1035917.75</v>
      </c>
      <c r="L44" s="424"/>
      <c r="M44" s="377"/>
      <c r="N44" s="202"/>
    </row>
    <row r="45" spans="1:14" ht="16.5" thickBot="1" x14ac:dyDescent="0.3">
      <c r="B45" s="37"/>
      <c r="C45" s="43"/>
      <c r="D45" s="373" t="s">
        <v>9</v>
      </c>
      <c r="E45" s="373"/>
      <c r="F45" s="366">
        <v>103630.44</v>
      </c>
      <c r="I45" s="432" t="s">
        <v>2</v>
      </c>
      <c r="J45" s="432"/>
      <c r="K45" s="425">
        <v>-125131.74</v>
      </c>
      <c r="L45" s="425"/>
      <c r="M45" s="377"/>
      <c r="N45" s="202"/>
    </row>
    <row r="46" spans="1:14" ht="19.5" thickBot="1" x14ac:dyDescent="0.3">
      <c r="B46" s="37"/>
      <c r="C46" s="43"/>
      <c r="E46" s="6" t="s">
        <v>347</v>
      </c>
      <c r="F46" s="48">
        <f>F45+F44</f>
        <v>-1035917.75</v>
      </c>
      <c r="J46" s="178"/>
      <c r="K46" s="426">
        <v>0</v>
      </c>
      <c r="L46" s="426"/>
      <c r="M46" s="377"/>
      <c r="N46" s="202"/>
    </row>
    <row r="47" spans="1:14" ht="19.5" thickBot="1" x14ac:dyDescent="0.3">
      <c r="B47" s="37"/>
      <c r="C47" s="43"/>
      <c r="E47" s="5"/>
      <c r="F47" s="56"/>
      <c r="I47" s="436" t="s">
        <v>468</v>
      </c>
      <c r="J47" s="437"/>
      <c r="K47" s="429">
        <f>SUM(K44:L46)</f>
        <v>-1161049.49</v>
      </c>
      <c r="L47" s="430"/>
      <c r="M47" s="377"/>
      <c r="N47" s="202"/>
    </row>
    <row r="48" spans="1:14" x14ac:dyDescent="0.25">
      <c r="B48" s="37"/>
      <c r="C48" s="43"/>
      <c r="D48" s="406"/>
      <c r="E48" s="406"/>
      <c r="F48" s="58"/>
      <c r="I48" s="43"/>
      <c r="J48" s="43"/>
      <c r="M48" s="377"/>
      <c r="N48" s="202"/>
    </row>
  </sheetData>
  <mergeCells count="15">
    <mergeCell ref="D41:E41"/>
    <mergeCell ref="C1:K1"/>
    <mergeCell ref="E4:F4"/>
    <mergeCell ref="I4:L4"/>
    <mergeCell ref="H40:I40"/>
    <mergeCell ref="K40:L40"/>
    <mergeCell ref="I47:J47"/>
    <mergeCell ref="K47:L47"/>
    <mergeCell ref="D48:E48"/>
    <mergeCell ref="I43:K43"/>
    <mergeCell ref="I44:J44"/>
    <mergeCell ref="K44:L44"/>
    <mergeCell ref="I45:J45"/>
    <mergeCell ref="K45:L45"/>
    <mergeCell ref="K46:L4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Q89"/>
  <sheetViews>
    <sheetView tabSelected="1" workbookViewId="0">
      <selection activeCell="B17" sqref="B17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7.42578125" bestFit="1" customWidth="1"/>
  </cols>
  <sheetData>
    <row r="2" spans="1:17" ht="16.5" thickBot="1" x14ac:dyDescent="0.3">
      <c r="K2" s="104"/>
      <c r="L2" s="351">
        <v>42189</v>
      </c>
      <c r="M2" s="215"/>
      <c r="N2" s="134" t="s">
        <v>200</v>
      </c>
      <c r="O2" s="88"/>
    </row>
    <row r="3" spans="1:17" ht="16.5" thickBot="1" x14ac:dyDescent="0.3">
      <c r="C3" s="433" t="s">
        <v>240</v>
      </c>
      <c r="D3" s="434"/>
      <c r="E3" s="435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76" t="s">
        <v>297</v>
      </c>
      <c r="D4" s="376"/>
      <c r="E4" s="376" t="s">
        <v>298</v>
      </c>
      <c r="F4" s="331" t="s">
        <v>299</v>
      </c>
      <c r="J4" s="43">
        <f>18705</f>
        <v>18705</v>
      </c>
      <c r="K4" s="144">
        <v>24821</v>
      </c>
      <c r="L4" s="156">
        <v>12913.19</v>
      </c>
      <c r="M4" s="348"/>
      <c r="N4" s="113" t="s">
        <v>202</v>
      </c>
      <c r="O4" s="214">
        <v>8382</v>
      </c>
      <c r="P4" s="221">
        <v>42177</v>
      </c>
      <c r="Q4" s="21">
        <v>42176</v>
      </c>
    </row>
    <row r="5" spans="1:17" ht="15.75" x14ac:dyDescent="0.25">
      <c r="A5" s="243">
        <v>42187</v>
      </c>
      <c r="B5" s="244" t="s">
        <v>497</v>
      </c>
      <c r="C5" s="245">
        <v>104690.78</v>
      </c>
      <c r="D5" s="104">
        <v>42189</v>
      </c>
      <c r="E5" s="391">
        <v>5792.82</v>
      </c>
      <c r="F5" s="392">
        <f t="shared" ref="F5:F38" si="0">C5-E5</f>
        <v>98897.959999999992</v>
      </c>
      <c r="G5" s="105"/>
      <c r="H5" s="106"/>
      <c r="J5" s="43">
        <f>8382+45341</f>
        <v>53723</v>
      </c>
      <c r="K5" s="144">
        <v>24883</v>
      </c>
      <c r="L5" s="156">
        <v>53722.95</v>
      </c>
      <c r="M5" s="207"/>
      <c r="N5" s="113" t="s">
        <v>202</v>
      </c>
      <c r="O5" s="207">
        <v>18705</v>
      </c>
      <c r="P5" s="221">
        <v>42177</v>
      </c>
      <c r="Q5" s="21">
        <v>42176</v>
      </c>
    </row>
    <row r="6" spans="1:17" ht="15.75" x14ac:dyDescent="0.25">
      <c r="A6" s="143">
        <v>42188</v>
      </c>
      <c r="B6" s="144" t="s">
        <v>509</v>
      </c>
      <c r="C6" s="156">
        <v>43946.82</v>
      </c>
      <c r="D6" s="104"/>
      <c r="E6" s="156"/>
      <c r="F6" s="154">
        <f t="shared" si="0"/>
        <v>43946.82</v>
      </c>
      <c r="G6" s="105"/>
      <c r="H6" s="108"/>
      <c r="J6" s="43">
        <f>24909+7091+1848</f>
        <v>33848</v>
      </c>
      <c r="K6" s="144" t="s">
        <v>482</v>
      </c>
      <c r="L6" s="156">
        <v>33848.199999999997</v>
      </c>
      <c r="M6" s="207"/>
      <c r="N6" s="113" t="s">
        <v>202</v>
      </c>
      <c r="O6" s="207">
        <v>45341</v>
      </c>
      <c r="P6" s="221">
        <v>42177</v>
      </c>
      <c r="Q6" s="21">
        <v>42176</v>
      </c>
    </row>
    <row r="7" spans="1:17" ht="15.75" x14ac:dyDescent="0.25">
      <c r="A7" s="143">
        <v>42188</v>
      </c>
      <c r="B7" s="144" t="s">
        <v>510</v>
      </c>
      <c r="C7" s="156">
        <v>62146.51</v>
      </c>
      <c r="D7" s="104"/>
      <c r="E7" s="156"/>
      <c r="F7" s="155">
        <f t="shared" si="0"/>
        <v>62146.51</v>
      </c>
      <c r="G7" s="105"/>
      <c r="H7" s="108"/>
      <c r="J7" s="43">
        <f>9263.5+26040.5</f>
        <v>35304</v>
      </c>
      <c r="K7" s="144" t="s">
        <v>483</v>
      </c>
      <c r="L7" s="156">
        <v>35304.050000000003</v>
      </c>
      <c r="M7" s="130"/>
      <c r="N7" s="113" t="s">
        <v>202</v>
      </c>
      <c r="O7" s="207">
        <v>24909</v>
      </c>
      <c r="P7" s="221">
        <v>42177</v>
      </c>
    </row>
    <row r="8" spans="1:17" ht="15.75" x14ac:dyDescent="0.25">
      <c r="A8" s="143"/>
      <c r="B8" s="393">
        <v>25922</v>
      </c>
      <c r="C8" s="156">
        <v>0</v>
      </c>
      <c r="D8" s="104"/>
      <c r="E8" s="156"/>
      <c r="F8" s="155">
        <f t="shared" si="0"/>
        <v>0</v>
      </c>
      <c r="G8" s="105"/>
      <c r="H8" s="106"/>
      <c r="J8" s="43">
        <f>6920.5+27445</f>
        <v>34365.5</v>
      </c>
      <c r="K8" s="144" t="s">
        <v>484</v>
      </c>
      <c r="L8" s="156">
        <v>34365.360000000001</v>
      </c>
      <c r="M8" s="130"/>
      <c r="N8" s="113" t="s">
        <v>202</v>
      </c>
      <c r="O8" s="214">
        <v>7091</v>
      </c>
      <c r="P8" s="221">
        <v>42177</v>
      </c>
    </row>
    <row r="9" spans="1:17" ht="15.75" x14ac:dyDescent="0.25">
      <c r="A9" s="243">
        <v>42189</v>
      </c>
      <c r="B9" s="244" t="s">
        <v>511</v>
      </c>
      <c r="C9" s="245">
        <v>27111.7</v>
      </c>
      <c r="D9" s="104"/>
      <c r="E9" s="245"/>
      <c r="F9" s="155">
        <f t="shared" si="0"/>
        <v>27111.7</v>
      </c>
      <c r="J9" s="43">
        <f>34614.5+9045.5+7300.5+51899.5+3589.5</f>
        <v>106449.5</v>
      </c>
      <c r="K9" s="292" t="s">
        <v>485</v>
      </c>
      <c r="L9" s="157">
        <v>106449.26</v>
      </c>
      <c r="M9" s="207"/>
      <c r="N9" s="113" t="s">
        <v>202</v>
      </c>
      <c r="O9" s="207">
        <v>9263.5</v>
      </c>
      <c r="P9" s="221">
        <v>42178</v>
      </c>
    </row>
    <row r="10" spans="1:17" ht="15.75" x14ac:dyDescent="0.25">
      <c r="A10" s="143">
        <v>42189</v>
      </c>
      <c r="B10" s="144" t="s">
        <v>512</v>
      </c>
      <c r="C10" s="156">
        <v>37830.6</v>
      </c>
      <c r="D10" s="104"/>
      <c r="E10" s="156"/>
      <c r="F10" s="155">
        <f t="shared" si="0"/>
        <v>37830.6</v>
      </c>
      <c r="J10" s="43">
        <v>6843</v>
      </c>
      <c r="K10" s="292" t="s">
        <v>486</v>
      </c>
      <c r="L10" s="157">
        <v>6843.2</v>
      </c>
      <c r="M10" s="334"/>
      <c r="N10" s="113" t="s">
        <v>202</v>
      </c>
      <c r="O10" s="207">
        <v>1848</v>
      </c>
      <c r="P10" s="221">
        <v>42178</v>
      </c>
    </row>
    <row r="11" spans="1:17" ht="15.75" x14ac:dyDescent="0.25">
      <c r="A11" s="143">
        <v>42191</v>
      </c>
      <c r="B11" s="144" t="s">
        <v>513</v>
      </c>
      <c r="C11" s="156">
        <v>31287.58</v>
      </c>
      <c r="D11" s="104"/>
      <c r="E11" s="156"/>
      <c r="F11" s="155">
        <f t="shared" si="0"/>
        <v>31287.58</v>
      </c>
      <c r="J11" s="43">
        <f>7807.5+5037.5</f>
        <v>12845</v>
      </c>
      <c r="K11" s="292" t="s">
        <v>490</v>
      </c>
      <c r="L11" s="157">
        <v>12844.8</v>
      </c>
      <c r="M11" s="321"/>
      <c r="N11" s="113" t="s">
        <v>202</v>
      </c>
      <c r="O11" s="207">
        <v>26040.5</v>
      </c>
      <c r="P11" s="221">
        <v>42178</v>
      </c>
      <c r="Q11" s="21"/>
    </row>
    <row r="12" spans="1:17" ht="15.75" x14ac:dyDescent="0.25">
      <c r="A12" s="143">
        <v>42186</v>
      </c>
      <c r="B12" s="144" t="s">
        <v>514</v>
      </c>
      <c r="C12" s="156">
        <v>4077</v>
      </c>
      <c r="D12" s="104"/>
      <c r="E12" s="156"/>
      <c r="F12" s="155">
        <f t="shared" si="0"/>
        <v>4077</v>
      </c>
      <c r="J12" s="43">
        <f>23002+2119.5</f>
        <v>25121.5</v>
      </c>
      <c r="K12" s="292" t="s">
        <v>487</v>
      </c>
      <c r="L12" s="157">
        <v>25121.25</v>
      </c>
      <c r="M12" s="207"/>
      <c r="N12" s="113" t="s">
        <v>202</v>
      </c>
      <c r="O12" s="207">
        <v>34614.5</v>
      </c>
      <c r="P12" s="221">
        <v>42179</v>
      </c>
      <c r="Q12" s="21"/>
    </row>
    <row r="13" spans="1:17" ht="15.75" x14ac:dyDescent="0.25">
      <c r="A13" s="143">
        <v>42192</v>
      </c>
      <c r="B13" s="144" t="s">
        <v>515</v>
      </c>
      <c r="C13" s="156">
        <v>54743.6</v>
      </c>
      <c r="D13" s="104"/>
      <c r="E13" s="156"/>
      <c r="F13" s="155">
        <f t="shared" si="0"/>
        <v>54743.6</v>
      </c>
      <c r="J13" s="43">
        <v>50517.5</v>
      </c>
      <c r="K13" s="306" t="s">
        <v>488</v>
      </c>
      <c r="L13" s="88">
        <v>50517.5</v>
      </c>
      <c r="M13" s="207"/>
      <c r="N13" s="113" t="s">
        <v>202</v>
      </c>
      <c r="O13" s="207">
        <v>9045.5</v>
      </c>
      <c r="P13" s="221">
        <v>42179</v>
      </c>
      <c r="Q13" s="21"/>
    </row>
    <row r="14" spans="1:17" ht="15.75" x14ac:dyDescent="0.25">
      <c r="A14" s="143">
        <v>42193</v>
      </c>
      <c r="B14" s="144" t="s">
        <v>516</v>
      </c>
      <c r="C14" s="156">
        <v>67359.12</v>
      </c>
      <c r="D14" s="104"/>
      <c r="E14" s="156"/>
      <c r="F14" s="155">
        <f t="shared" si="0"/>
        <v>67359.12</v>
      </c>
      <c r="J14" s="43">
        <v>4929.5</v>
      </c>
      <c r="K14" s="307" t="s">
        <v>489</v>
      </c>
      <c r="L14" s="207">
        <v>4929.3999999999996</v>
      </c>
      <c r="M14" s="207"/>
      <c r="N14" s="113" t="s">
        <v>202</v>
      </c>
      <c r="O14" s="207">
        <v>7300.5</v>
      </c>
      <c r="P14" s="221">
        <v>42180</v>
      </c>
      <c r="Q14" s="21"/>
    </row>
    <row r="15" spans="1:17" ht="15.75" x14ac:dyDescent="0.25">
      <c r="A15" s="143">
        <v>42195</v>
      </c>
      <c r="B15" s="144" t="s">
        <v>517</v>
      </c>
      <c r="C15" s="156">
        <v>69655.06</v>
      </c>
      <c r="D15" s="104"/>
      <c r="E15" s="156"/>
      <c r="F15" s="155">
        <f t="shared" si="0"/>
        <v>69655.06</v>
      </c>
      <c r="J15" s="43">
        <f>8100+12588.5+8273+63067</f>
        <v>92028.5</v>
      </c>
      <c r="K15" s="307" t="s">
        <v>491</v>
      </c>
      <c r="L15" s="207">
        <v>92028.44</v>
      </c>
      <c r="M15" s="207"/>
      <c r="N15" s="113" t="s">
        <v>202</v>
      </c>
      <c r="O15" s="207">
        <v>51899.5</v>
      </c>
      <c r="P15" s="221">
        <v>42180</v>
      </c>
    </row>
    <row r="16" spans="1:17" ht="15.75" x14ac:dyDescent="0.25">
      <c r="A16" s="143">
        <v>42196</v>
      </c>
      <c r="B16" s="144" t="s">
        <v>518</v>
      </c>
      <c r="C16" s="156">
        <v>76226.3</v>
      </c>
      <c r="D16" s="328"/>
      <c r="E16" s="156"/>
      <c r="F16" s="155">
        <f t="shared" si="0"/>
        <v>76226.3</v>
      </c>
      <c r="J16" s="43">
        <v>2229.5</v>
      </c>
      <c r="K16" s="282" t="s">
        <v>492</v>
      </c>
      <c r="L16" s="207">
        <v>2229.2800000000002</v>
      </c>
      <c r="M16" s="207"/>
      <c r="N16" s="113" t="s">
        <v>202</v>
      </c>
      <c r="O16" s="207">
        <v>6920.5</v>
      </c>
      <c r="P16" s="221">
        <v>42181</v>
      </c>
    </row>
    <row r="17" spans="1:17" ht="15.75" x14ac:dyDescent="0.25">
      <c r="A17" s="143"/>
      <c r="B17" s="144"/>
      <c r="C17" s="156"/>
      <c r="D17" s="104"/>
      <c r="E17" s="156"/>
      <c r="F17" s="155">
        <f t="shared" si="0"/>
        <v>0</v>
      </c>
      <c r="J17" s="43">
        <v>3272</v>
      </c>
      <c r="K17" s="293" t="s">
        <v>493</v>
      </c>
      <c r="L17" s="130">
        <v>3271.8</v>
      </c>
      <c r="M17" s="334"/>
      <c r="N17" s="113" t="s">
        <v>202</v>
      </c>
      <c r="O17" s="207">
        <v>6843</v>
      </c>
      <c r="P17" s="221">
        <v>42181</v>
      </c>
    </row>
    <row r="18" spans="1:17" ht="15.75" x14ac:dyDescent="0.25">
      <c r="A18" s="143"/>
      <c r="B18" s="144"/>
      <c r="C18" s="156"/>
      <c r="D18" s="104"/>
      <c r="E18" s="156"/>
      <c r="F18" s="155">
        <f t="shared" si="0"/>
        <v>0</v>
      </c>
      <c r="J18" s="43">
        <f>10456+22000+21744+6405</f>
        <v>60605</v>
      </c>
      <c r="K18" s="293" t="s">
        <v>494</v>
      </c>
      <c r="L18" s="130">
        <v>60605.25</v>
      </c>
      <c r="M18" s="207"/>
      <c r="N18" s="113" t="s">
        <v>202</v>
      </c>
      <c r="O18" s="207">
        <v>3589.5</v>
      </c>
      <c r="P18" s="221">
        <v>42181</v>
      </c>
      <c r="Q18" s="21"/>
    </row>
    <row r="19" spans="1:17" ht="15.75" x14ac:dyDescent="0.25">
      <c r="A19" s="143"/>
      <c r="B19" s="144"/>
      <c r="C19" s="156"/>
      <c r="D19" s="104"/>
      <c r="E19" s="156"/>
      <c r="F19" s="155">
        <f t="shared" si="0"/>
        <v>0</v>
      </c>
      <c r="J19" s="43">
        <f>27628+9001</f>
        <v>36629</v>
      </c>
      <c r="K19" s="297" t="s">
        <v>495</v>
      </c>
      <c r="L19" s="230">
        <v>36628.75</v>
      </c>
      <c r="M19" s="207"/>
      <c r="N19" s="113" t="s">
        <v>202</v>
      </c>
      <c r="O19" s="207">
        <v>23002</v>
      </c>
      <c r="P19" s="221">
        <v>42181</v>
      </c>
      <c r="Q19" s="21"/>
    </row>
    <row r="20" spans="1:17" ht="15.75" x14ac:dyDescent="0.25">
      <c r="A20" s="143"/>
      <c r="B20" s="144"/>
      <c r="C20" s="156"/>
      <c r="D20" s="104"/>
      <c r="E20" s="156"/>
      <c r="F20" s="155">
        <f t="shared" si="0"/>
        <v>0</v>
      </c>
      <c r="J20" s="43">
        <v>0</v>
      </c>
      <c r="K20" s="144" t="s">
        <v>507</v>
      </c>
      <c r="L20" s="156">
        <v>5792.82</v>
      </c>
      <c r="M20" s="207" t="s">
        <v>361</v>
      </c>
      <c r="N20" s="113" t="s">
        <v>202</v>
      </c>
      <c r="O20" s="207">
        <v>27445</v>
      </c>
      <c r="P20" s="221">
        <v>42181</v>
      </c>
      <c r="Q20" s="21"/>
    </row>
    <row r="21" spans="1:17" ht="15.75" x14ac:dyDescent="0.25">
      <c r="A21" s="143"/>
      <c r="B21" s="144"/>
      <c r="C21" s="156"/>
      <c r="D21" s="104"/>
      <c r="E21" s="156"/>
      <c r="F21" s="155">
        <f t="shared" si="0"/>
        <v>0</v>
      </c>
      <c r="J21" s="43">
        <f>SUM(J4:J20)</f>
        <v>577415.5</v>
      </c>
      <c r="K21" s="144"/>
      <c r="L21" s="156"/>
      <c r="M21" s="207"/>
      <c r="N21" s="113" t="s">
        <v>202</v>
      </c>
      <c r="O21" s="207">
        <v>8100</v>
      </c>
      <c r="P21" s="221">
        <v>42184</v>
      </c>
      <c r="Q21" s="21">
        <v>42182</v>
      </c>
    </row>
    <row r="22" spans="1:17" ht="15.75" x14ac:dyDescent="0.25">
      <c r="A22" s="143"/>
      <c r="B22" s="144"/>
      <c r="C22" s="156"/>
      <c r="D22" s="104"/>
      <c r="E22" s="156"/>
      <c r="F22" s="155">
        <f t="shared" si="0"/>
        <v>0</v>
      </c>
      <c r="K22" s="144"/>
      <c r="L22" s="156"/>
      <c r="M22" s="207"/>
      <c r="N22" s="113" t="s">
        <v>461</v>
      </c>
      <c r="O22" s="207">
        <v>7807.5</v>
      </c>
      <c r="P22" s="221">
        <v>42182</v>
      </c>
      <c r="Q22" s="21"/>
    </row>
    <row r="23" spans="1:17" ht="15.75" x14ac:dyDescent="0.25">
      <c r="A23" s="143"/>
      <c r="B23" s="144"/>
      <c r="C23" s="207"/>
      <c r="D23" s="104"/>
      <c r="E23" s="207"/>
      <c r="F23" s="155">
        <f t="shared" si="0"/>
        <v>0</v>
      </c>
      <c r="K23" s="144"/>
      <c r="L23" s="156"/>
      <c r="M23" s="260"/>
      <c r="N23" s="113" t="s">
        <v>461</v>
      </c>
      <c r="O23" s="207">
        <v>2119.5</v>
      </c>
      <c r="P23" s="221">
        <v>42182</v>
      </c>
    </row>
    <row r="24" spans="1:17" ht="15.75" x14ac:dyDescent="0.25">
      <c r="A24" s="143"/>
      <c r="B24" s="144"/>
      <c r="C24" s="156"/>
      <c r="D24" s="104"/>
      <c r="E24" s="156"/>
      <c r="F24" s="155">
        <f t="shared" si="0"/>
        <v>0</v>
      </c>
      <c r="K24" s="144"/>
      <c r="L24" s="156"/>
      <c r="M24" s="130"/>
      <c r="N24" s="113" t="s">
        <v>461</v>
      </c>
      <c r="O24" s="207">
        <v>4929.5</v>
      </c>
      <c r="P24" s="221">
        <v>42182</v>
      </c>
    </row>
    <row r="25" spans="1:17" ht="15.75" x14ac:dyDescent="0.25">
      <c r="A25" s="143"/>
      <c r="B25" s="144"/>
      <c r="C25" s="156"/>
      <c r="D25" s="104"/>
      <c r="E25" s="156"/>
      <c r="F25" s="155">
        <f t="shared" si="0"/>
        <v>0</v>
      </c>
      <c r="K25" s="144"/>
      <c r="L25" s="156"/>
      <c r="M25" s="207"/>
      <c r="N25" s="113" t="s">
        <v>461</v>
      </c>
      <c r="O25" s="214">
        <v>5037.5</v>
      </c>
      <c r="P25" s="221">
        <v>42182</v>
      </c>
    </row>
    <row r="26" spans="1:17" ht="15.75" x14ac:dyDescent="0.25">
      <c r="A26" s="143"/>
      <c r="B26" s="144"/>
      <c r="C26" s="156"/>
      <c r="D26" s="104"/>
      <c r="E26" s="156"/>
      <c r="F26" s="155">
        <f t="shared" si="0"/>
        <v>0</v>
      </c>
      <c r="K26" s="144"/>
      <c r="L26" s="156"/>
      <c r="M26" s="207"/>
      <c r="N26" s="113" t="s">
        <v>506</v>
      </c>
      <c r="O26" s="207">
        <v>12588.5</v>
      </c>
      <c r="P26" s="221">
        <v>42182</v>
      </c>
    </row>
    <row r="27" spans="1:17" ht="15.75" x14ac:dyDescent="0.25">
      <c r="A27" s="143"/>
      <c r="B27" s="144"/>
      <c r="C27" s="156"/>
      <c r="D27" s="104"/>
      <c r="E27" s="156"/>
      <c r="F27" s="155">
        <f t="shared" si="0"/>
        <v>0</v>
      </c>
      <c r="K27" s="264"/>
      <c r="L27" s="207"/>
      <c r="M27" s="207"/>
      <c r="N27" s="113" t="s">
        <v>506</v>
      </c>
      <c r="O27" s="207">
        <v>50517.5</v>
      </c>
      <c r="P27" s="221">
        <v>42182</v>
      </c>
    </row>
    <row r="28" spans="1:17" ht="15.75" x14ac:dyDescent="0.25">
      <c r="A28" s="143"/>
      <c r="B28" s="144"/>
      <c r="C28" s="156"/>
      <c r="D28" s="104"/>
      <c r="E28" s="156"/>
      <c r="F28" s="155">
        <f t="shared" si="0"/>
        <v>0</v>
      </c>
      <c r="K28" s="264"/>
      <c r="L28" s="130"/>
      <c r="M28" s="130"/>
      <c r="N28" s="113" t="s">
        <v>202</v>
      </c>
      <c r="O28" s="207">
        <v>8273</v>
      </c>
      <c r="P28" s="221">
        <v>42184</v>
      </c>
      <c r="Q28" s="21">
        <v>42183</v>
      </c>
    </row>
    <row r="29" spans="1:17" ht="15.75" x14ac:dyDescent="0.25">
      <c r="A29" s="143"/>
      <c r="B29" s="144"/>
      <c r="C29" s="156"/>
      <c r="D29" s="104"/>
      <c r="E29" s="156"/>
      <c r="F29" s="155">
        <f t="shared" si="0"/>
        <v>0</v>
      </c>
      <c r="K29" s="193"/>
      <c r="L29" s="207"/>
      <c r="M29" s="207"/>
      <c r="N29" s="113" t="s">
        <v>202</v>
      </c>
      <c r="O29" s="207">
        <v>2229.5</v>
      </c>
      <c r="P29" s="221">
        <v>42184</v>
      </c>
      <c r="Q29" s="21">
        <v>42183</v>
      </c>
    </row>
    <row r="30" spans="1:17" ht="15.75" x14ac:dyDescent="0.25">
      <c r="A30" s="143"/>
      <c r="B30" s="144"/>
      <c r="C30" s="156"/>
      <c r="D30" s="104"/>
      <c r="E30" s="156"/>
      <c r="F30" s="155">
        <f t="shared" si="0"/>
        <v>0</v>
      </c>
      <c r="K30" s="193"/>
      <c r="L30" s="207"/>
      <c r="M30" s="207"/>
      <c r="N30" s="113" t="s">
        <v>202</v>
      </c>
      <c r="O30" s="214">
        <v>3272</v>
      </c>
      <c r="P30" s="221">
        <v>42184</v>
      </c>
      <c r="Q30" s="21">
        <v>42183</v>
      </c>
    </row>
    <row r="31" spans="1:17" ht="15.75" x14ac:dyDescent="0.25">
      <c r="A31" s="143"/>
      <c r="B31" s="144"/>
      <c r="C31" s="156"/>
      <c r="D31" s="104"/>
      <c r="E31" s="103"/>
      <c r="F31" s="155">
        <f t="shared" si="0"/>
        <v>0</v>
      </c>
      <c r="K31" s="193"/>
      <c r="L31" s="207"/>
      <c r="M31" s="207"/>
      <c r="N31" s="113" t="s">
        <v>202</v>
      </c>
      <c r="O31" s="207">
        <v>63067</v>
      </c>
      <c r="P31" s="221">
        <v>42184</v>
      </c>
      <c r="Q31" s="21">
        <v>42183</v>
      </c>
    </row>
    <row r="32" spans="1:17" ht="15.75" x14ac:dyDescent="0.25">
      <c r="A32" s="143"/>
      <c r="B32" s="144"/>
      <c r="C32" s="156"/>
      <c r="D32" s="104"/>
      <c r="E32" s="88"/>
      <c r="F32" s="155">
        <f t="shared" si="0"/>
        <v>0</v>
      </c>
      <c r="K32" s="193"/>
      <c r="L32" s="207"/>
      <c r="M32" s="207"/>
      <c r="N32" s="113" t="s">
        <v>202</v>
      </c>
      <c r="O32" s="207">
        <v>10456</v>
      </c>
      <c r="P32" s="221">
        <v>42184</v>
      </c>
    </row>
    <row r="33" spans="1:17" ht="15.75" x14ac:dyDescent="0.25">
      <c r="A33" s="143"/>
      <c r="B33" s="144"/>
      <c r="C33" s="156"/>
      <c r="D33" s="104"/>
      <c r="E33" s="88"/>
      <c r="F33" s="155">
        <f t="shared" si="0"/>
        <v>0</v>
      </c>
      <c r="K33" s="206"/>
      <c r="L33" s="207"/>
      <c r="M33" s="207"/>
      <c r="N33" s="113" t="s">
        <v>202</v>
      </c>
      <c r="O33" s="207">
        <v>22000</v>
      </c>
      <c r="P33" s="221">
        <v>42185</v>
      </c>
      <c r="Q33" s="21">
        <v>42184</v>
      </c>
    </row>
    <row r="34" spans="1:17" ht="15.75" x14ac:dyDescent="0.25">
      <c r="A34" s="143"/>
      <c r="B34" s="144"/>
      <c r="C34" s="156"/>
      <c r="D34" s="104"/>
      <c r="E34" s="103"/>
      <c r="F34" s="155">
        <f t="shared" si="0"/>
        <v>0</v>
      </c>
      <c r="K34" s="206"/>
      <c r="L34" s="207"/>
      <c r="M34" s="207"/>
      <c r="N34" s="113" t="s">
        <v>202</v>
      </c>
      <c r="O34" s="207">
        <v>21744</v>
      </c>
      <c r="P34" s="222">
        <v>42184</v>
      </c>
    </row>
    <row r="35" spans="1:17" ht="15.75" x14ac:dyDescent="0.25">
      <c r="A35" s="143"/>
      <c r="B35" s="144"/>
      <c r="C35" s="156"/>
      <c r="D35" s="104"/>
      <c r="E35" s="103"/>
      <c r="F35" s="155">
        <f t="shared" si="0"/>
        <v>0</v>
      </c>
      <c r="K35" s="193"/>
      <c r="L35" s="207"/>
      <c r="M35" s="207"/>
      <c r="N35" s="113" t="s">
        <v>202</v>
      </c>
      <c r="O35" s="207">
        <v>27628</v>
      </c>
      <c r="P35" s="221">
        <v>42185</v>
      </c>
    </row>
    <row r="36" spans="1:17" ht="15.75" x14ac:dyDescent="0.25">
      <c r="A36" s="143"/>
      <c r="B36" s="292"/>
      <c r="C36" s="157"/>
      <c r="D36" s="104"/>
      <c r="E36" s="103"/>
      <c r="F36" s="155">
        <f t="shared" si="0"/>
        <v>0</v>
      </c>
      <c r="K36" s="119"/>
      <c r="L36" s="121"/>
      <c r="M36" s="121"/>
      <c r="N36" s="113" t="s">
        <v>202</v>
      </c>
      <c r="O36" s="121">
        <v>6405</v>
      </c>
      <c r="P36" s="222">
        <v>42185</v>
      </c>
    </row>
    <row r="37" spans="1:17" ht="15.75" x14ac:dyDescent="0.25">
      <c r="A37" s="143"/>
      <c r="B37" s="292"/>
      <c r="C37" s="157"/>
      <c r="D37" s="298"/>
      <c r="E37" s="88"/>
      <c r="F37" s="155">
        <f t="shared" si="0"/>
        <v>0</v>
      </c>
      <c r="K37" s="237"/>
      <c r="L37" s="238"/>
      <c r="M37" s="238"/>
      <c r="N37" s="132" t="s">
        <v>202</v>
      </c>
      <c r="O37" s="238">
        <v>9001</v>
      </c>
      <c r="P37" s="382">
        <v>42185</v>
      </c>
    </row>
    <row r="38" spans="1:17" ht="15.75" thickBot="1" x14ac:dyDescent="0.3">
      <c r="A38" s="143"/>
      <c r="B38" s="293"/>
      <c r="C38" s="207"/>
      <c r="D38" s="300"/>
      <c r="E38" s="121"/>
      <c r="F38" s="332">
        <f t="shared" si="0"/>
        <v>0</v>
      </c>
      <c r="K38" s="383"/>
      <c r="L38" s="384"/>
      <c r="M38" s="384"/>
      <c r="N38" s="384"/>
      <c r="O38" s="384">
        <v>0</v>
      </c>
      <c r="P38" s="385"/>
    </row>
    <row r="39" spans="1:17" ht="18.75" x14ac:dyDescent="0.3">
      <c r="A39" s="285"/>
      <c r="B39" s="290"/>
      <c r="C39" s="150"/>
      <c r="D39" s="300"/>
      <c r="E39" s="121"/>
      <c r="F39" s="332"/>
      <c r="L39" s="131">
        <f>SUM(L4:L37)</f>
        <v>577415.5</v>
      </c>
      <c r="M39" s="131"/>
      <c r="N39" s="131"/>
      <c r="O39" s="131">
        <f>SUM(O4:O38)</f>
        <v>577415.5</v>
      </c>
    </row>
    <row r="40" spans="1:17" x14ac:dyDescent="0.25">
      <c r="A40" s="286"/>
      <c r="B40" s="291"/>
      <c r="C40" s="150"/>
      <c r="D40" s="159"/>
      <c r="E40" s="150"/>
      <c r="F40" s="332"/>
    </row>
    <row r="41" spans="1:17" x14ac:dyDescent="0.25">
      <c r="A41" s="286"/>
      <c r="B41" s="291"/>
      <c r="C41" s="150"/>
      <c r="D41" s="159"/>
      <c r="E41" s="150"/>
      <c r="F41" s="332"/>
    </row>
    <row r="42" spans="1:17" x14ac:dyDescent="0.25">
      <c r="A42" s="285"/>
      <c r="B42" s="290"/>
      <c r="C42" s="150"/>
      <c r="D42" s="300"/>
      <c r="E42" s="121"/>
      <c r="F42" s="332"/>
    </row>
    <row r="43" spans="1:17" ht="15.75" x14ac:dyDescent="0.25">
      <c r="A43" s="285"/>
      <c r="B43" s="290"/>
      <c r="C43" s="150"/>
      <c r="D43" s="150"/>
      <c r="E43" s="121"/>
      <c r="F43" s="332"/>
      <c r="H43" s="28"/>
      <c r="J43" s="49"/>
      <c r="K43" s="104"/>
      <c r="L43" s="215"/>
      <c r="M43" s="215"/>
      <c r="N43" s="134"/>
      <c r="O43" s="88"/>
      <c r="P43" s="28"/>
      <c r="Q43" s="28"/>
    </row>
    <row r="44" spans="1:17" x14ac:dyDescent="0.25">
      <c r="A44" s="285"/>
      <c r="B44" s="290"/>
      <c r="C44" s="150"/>
      <c r="D44" s="150"/>
      <c r="E44" s="121"/>
      <c r="F44" s="332"/>
      <c r="H44" s="28"/>
      <c r="J44" s="49"/>
      <c r="K44" s="104"/>
      <c r="L44" s="103"/>
      <c r="M44" s="103"/>
      <c r="N44" s="103"/>
      <c r="O44" s="213"/>
      <c r="P44" s="28"/>
      <c r="Q44" s="28"/>
    </row>
    <row r="45" spans="1:17" ht="15.75" x14ac:dyDescent="0.25">
      <c r="A45" s="286"/>
      <c r="B45" s="291"/>
      <c r="C45" s="150"/>
      <c r="D45" s="119"/>
      <c r="E45" s="150"/>
      <c r="F45" s="332"/>
      <c r="H45" s="28"/>
      <c r="J45" s="49"/>
      <c r="K45" s="105"/>
      <c r="L45" s="103"/>
      <c r="M45" s="378"/>
      <c r="N45" s="135"/>
      <c r="O45" s="213"/>
      <c r="P45" s="250"/>
      <c r="Q45" s="252"/>
    </row>
    <row r="46" spans="1:17" ht="15.75" x14ac:dyDescent="0.25">
      <c r="A46" s="286"/>
      <c r="B46" s="291"/>
      <c r="C46" s="150"/>
      <c r="D46" s="119"/>
      <c r="E46" s="150"/>
      <c r="F46" s="332"/>
      <c r="H46" s="28"/>
      <c r="J46" s="49"/>
      <c r="K46" s="105"/>
      <c r="L46" s="103"/>
      <c r="M46" s="88"/>
      <c r="N46" s="135"/>
      <c r="O46" s="88"/>
      <c r="P46" s="250"/>
      <c r="Q46" s="28"/>
    </row>
    <row r="47" spans="1:17" ht="15.75" x14ac:dyDescent="0.25">
      <c r="A47" s="286"/>
      <c r="B47" s="291"/>
      <c r="C47" s="150"/>
      <c r="D47" s="119"/>
      <c r="E47" s="150"/>
      <c r="F47" s="332"/>
      <c r="H47" s="28"/>
      <c r="J47" s="49"/>
      <c r="K47" s="105"/>
      <c r="L47" s="103"/>
      <c r="M47" s="88"/>
      <c r="N47" s="135"/>
      <c r="O47" s="88"/>
      <c r="P47" s="250"/>
      <c r="Q47" s="28"/>
    </row>
    <row r="48" spans="1:17" ht="15.75" x14ac:dyDescent="0.25">
      <c r="A48" s="286"/>
      <c r="B48" s="291"/>
      <c r="C48" s="150"/>
      <c r="D48" s="119"/>
      <c r="E48" s="150"/>
      <c r="F48" s="332"/>
      <c r="H48" s="28"/>
      <c r="J48" s="49"/>
      <c r="K48" s="105"/>
      <c r="L48" s="103"/>
      <c r="M48" s="103"/>
      <c r="N48" s="135"/>
      <c r="O48" s="88"/>
      <c r="P48" s="250"/>
      <c r="Q48" s="28"/>
    </row>
    <row r="49" spans="1:17" ht="15.75" x14ac:dyDescent="0.25">
      <c r="A49" s="286"/>
      <c r="B49" s="289"/>
      <c r="C49" s="150"/>
      <c r="D49" s="119"/>
      <c r="E49" s="150"/>
      <c r="F49" s="332"/>
      <c r="H49" s="28"/>
      <c r="J49" s="49"/>
      <c r="K49" s="105"/>
      <c r="L49" s="103"/>
      <c r="M49" s="103"/>
      <c r="N49" s="135"/>
      <c r="O49" s="213"/>
      <c r="P49" s="250"/>
      <c r="Q49" s="28"/>
    </row>
    <row r="50" spans="1:17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28"/>
      <c r="J50" s="49"/>
      <c r="K50" s="105"/>
      <c r="L50" s="103"/>
      <c r="M50" s="88"/>
      <c r="N50" s="135"/>
      <c r="O50" s="88"/>
      <c r="P50" s="250"/>
      <c r="Q50" s="28"/>
    </row>
    <row r="51" spans="1:17" ht="16.5" thickTop="1" x14ac:dyDescent="0.25">
      <c r="C51" s="58">
        <f>SUM(C5:C50)</f>
        <v>579075.07000000007</v>
      </c>
      <c r="D51" s="58"/>
      <c r="E51" s="58">
        <f>SUM(E5:E50)</f>
        <v>5792.82</v>
      </c>
      <c r="F51" s="242">
        <f>SUM(F5:F50)</f>
        <v>573282.25</v>
      </c>
      <c r="H51" s="28"/>
      <c r="J51" s="49"/>
      <c r="K51" s="105"/>
      <c r="L51" s="103"/>
      <c r="M51" s="379"/>
      <c r="N51" s="135"/>
      <c r="O51" s="88"/>
      <c r="P51" s="250"/>
      <c r="Q51" s="28"/>
    </row>
    <row r="52" spans="1:17" ht="15.75" x14ac:dyDescent="0.25">
      <c r="A52" s="377"/>
      <c r="B52"/>
      <c r="D52"/>
      <c r="E52" s="43"/>
      <c r="H52" s="28"/>
      <c r="J52" s="49"/>
      <c r="K52" s="105"/>
      <c r="L52" s="88"/>
      <c r="M52" s="90"/>
      <c r="N52" s="135"/>
      <c r="O52" s="88"/>
      <c r="P52" s="250"/>
      <c r="Q52" s="28"/>
    </row>
    <row r="53" spans="1:17" ht="15.75" x14ac:dyDescent="0.25">
      <c r="A53" s="377"/>
      <c r="B53"/>
      <c r="D53"/>
      <c r="E53" s="43"/>
      <c r="H53" s="28"/>
      <c r="J53" s="49"/>
      <c r="K53" s="105"/>
      <c r="L53" s="103"/>
      <c r="M53" s="88"/>
      <c r="N53" s="135"/>
      <c r="O53" s="88"/>
      <c r="P53" s="250"/>
      <c r="Q53" s="28"/>
    </row>
    <row r="54" spans="1:17" ht="15.75" x14ac:dyDescent="0.25">
      <c r="A54" s="377"/>
      <c r="B54"/>
      <c r="D54"/>
      <c r="E54" s="43"/>
      <c r="H54" s="28"/>
      <c r="J54" s="49"/>
      <c r="K54" s="105"/>
      <c r="L54" s="103"/>
      <c r="M54" s="88"/>
      <c r="N54" s="135"/>
      <c r="O54" s="88"/>
      <c r="P54" s="250"/>
      <c r="Q54" s="28"/>
    </row>
    <row r="55" spans="1:17" ht="15.75" x14ac:dyDescent="0.25">
      <c r="A55" s="377"/>
      <c r="B55"/>
      <c r="D55"/>
      <c r="E55" s="43"/>
      <c r="H55" s="28"/>
      <c r="J55" s="49"/>
      <c r="K55" s="105"/>
      <c r="L55" s="103"/>
      <c r="M55" s="88"/>
      <c r="N55" s="135"/>
      <c r="O55" s="88"/>
      <c r="P55" s="250"/>
      <c r="Q55" s="28"/>
    </row>
    <row r="56" spans="1:17" ht="15.75" x14ac:dyDescent="0.25">
      <c r="A56" s="377"/>
      <c r="B56"/>
      <c r="D56"/>
      <c r="E56" s="43"/>
      <c r="H56" s="28"/>
      <c r="J56" s="49"/>
      <c r="K56" s="105"/>
      <c r="L56" s="103"/>
      <c r="M56" s="88"/>
      <c r="N56" s="135"/>
      <c r="O56" s="88"/>
      <c r="P56" s="250"/>
      <c r="Q56" s="28"/>
    </row>
    <row r="57" spans="1:17" ht="15.75" x14ac:dyDescent="0.25">
      <c r="A57" s="377"/>
      <c r="B57"/>
      <c r="D57"/>
      <c r="E57" s="43"/>
      <c r="H57" s="28"/>
      <c r="J57" s="49"/>
      <c r="K57" s="105"/>
      <c r="L57" s="103"/>
      <c r="M57" s="88"/>
      <c r="N57" s="135"/>
      <c r="O57" s="88"/>
      <c r="P57" s="250"/>
      <c r="Q57" s="28"/>
    </row>
    <row r="58" spans="1:17" ht="15.75" x14ac:dyDescent="0.25">
      <c r="A58" s="377"/>
      <c r="B58"/>
      <c r="D58"/>
      <c r="E58" s="43"/>
      <c r="H58" s="28"/>
      <c r="J58" s="49"/>
      <c r="K58" s="105"/>
      <c r="L58" s="103"/>
      <c r="M58" s="379"/>
      <c r="N58" s="135"/>
      <c r="O58" s="88"/>
      <c r="P58" s="250"/>
      <c r="Q58" s="28"/>
    </row>
    <row r="59" spans="1:17" ht="15.75" x14ac:dyDescent="0.25">
      <c r="A59" s="377"/>
      <c r="B59"/>
      <c r="D59"/>
      <c r="E59" s="43"/>
      <c r="H59" s="28"/>
      <c r="J59" s="49"/>
      <c r="K59" s="105"/>
      <c r="L59" s="103"/>
      <c r="M59" s="88"/>
      <c r="N59" s="135"/>
      <c r="O59" s="88"/>
      <c r="P59" s="250"/>
      <c r="Q59" s="28"/>
    </row>
    <row r="60" spans="1:17" ht="15.75" x14ac:dyDescent="0.25">
      <c r="A60" s="377"/>
      <c r="B60"/>
      <c r="D60"/>
      <c r="E60" s="43"/>
      <c r="H60" s="28"/>
      <c r="J60" s="49"/>
      <c r="K60" s="105"/>
      <c r="L60" s="103"/>
      <c r="M60" s="88"/>
      <c r="N60" s="135"/>
      <c r="O60" s="88"/>
      <c r="P60" s="250"/>
      <c r="Q60" s="252"/>
    </row>
    <row r="61" spans="1:17" ht="15.75" x14ac:dyDescent="0.25">
      <c r="A61" s="377"/>
      <c r="B61"/>
      <c r="D61"/>
      <c r="E61" s="43"/>
      <c r="H61" s="28"/>
      <c r="J61" s="49"/>
      <c r="K61" s="105"/>
      <c r="L61" s="103"/>
      <c r="M61" s="88"/>
      <c r="N61" s="135"/>
      <c r="O61" s="88"/>
      <c r="P61" s="250"/>
      <c r="Q61" s="28"/>
    </row>
    <row r="62" spans="1:17" ht="15.75" x14ac:dyDescent="0.25">
      <c r="A62" s="377"/>
      <c r="B62"/>
      <c r="D62"/>
      <c r="E62" s="43"/>
      <c r="H62" s="28"/>
      <c r="J62" s="49"/>
      <c r="K62" s="105"/>
      <c r="L62" s="103"/>
      <c r="M62" s="88"/>
      <c r="N62" s="135"/>
      <c r="O62" s="88"/>
      <c r="P62" s="250"/>
      <c r="Q62" s="252"/>
    </row>
    <row r="63" spans="1:17" ht="15.75" x14ac:dyDescent="0.25">
      <c r="A63" s="377"/>
      <c r="B63"/>
      <c r="D63"/>
      <c r="E63" s="43"/>
      <c r="H63" s="28"/>
      <c r="J63" s="49"/>
      <c r="K63" s="105"/>
      <c r="L63" s="103"/>
      <c r="M63" s="88"/>
      <c r="N63" s="135"/>
      <c r="O63" s="88"/>
      <c r="P63" s="250"/>
      <c r="Q63" s="252"/>
    </row>
    <row r="64" spans="1:17" ht="15.75" x14ac:dyDescent="0.25">
      <c r="A64" s="377"/>
      <c r="B64"/>
      <c r="D64"/>
      <c r="E64" s="43"/>
      <c r="H64" s="28"/>
      <c r="J64" s="49"/>
      <c r="K64" s="105"/>
      <c r="L64" s="103"/>
      <c r="M64" s="215"/>
      <c r="N64" s="135"/>
      <c r="O64" s="88"/>
      <c r="P64" s="250"/>
      <c r="Q64" s="28"/>
    </row>
    <row r="65" spans="1:17" ht="15.75" x14ac:dyDescent="0.25">
      <c r="H65" s="28"/>
      <c r="J65" s="49"/>
      <c r="K65" s="105"/>
      <c r="L65" s="103"/>
      <c r="M65" s="103"/>
      <c r="N65" s="135"/>
      <c r="O65" s="88"/>
      <c r="P65" s="250"/>
      <c r="Q65" s="252"/>
    </row>
    <row r="66" spans="1:17" ht="15.75" x14ac:dyDescent="0.25">
      <c r="J66" s="49"/>
      <c r="K66" s="105"/>
      <c r="L66" s="103"/>
      <c r="M66" s="88"/>
      <c r="N66" s="135"/>
      <c r="O66" s="213"/>
      <c r="P66" s="250"/>
      <c r="Q66" s="28"/>
    </row>
    <row r="67" spans="1:17" ht="15.75" x14ac:dyDescent="0.25">
      <c r="J67" s="49"/>
      <c r="K67" s="105"/>
      <c r="L67" s="103"/>
      <c r="M67" s="88"/>
      <c r="N67" s="135"/>
      <c r="O67" s="88"/>
      <c r="P67" s="250"/>
      <c r="Q67" s="28"/>
    </row>
    <row r="68" spans="1:17" ht="15.75" x14ac:dyDescent="0.25">
      <c r="A68" s="377"/>
      <c r="B68"/>
      <c r="C68"/>
      <c r="D68"/>
      <c r="E68"/>
      <c r="F68" s="23"/>
      <c r="J68" s="49"/>
      <c r="K68" s="380"/>
      <c r="L68" s="88"/>
      <c r="M68" s="88"/>
      <c r="N68" s="135"/>
      <c r="O68" s="88"/>
      <c r="P68" s="250"/>
      <c r="Q68" s="28"/>
    </row>
    <row r="69" spans="1:17" ht="15.75" x14ac:dyDescent="0.25">
      <c r="A69" s="377"/>
      <c r="B69"/>
      <c r="C69"/>
      <c r="D69"/>
      <c r="E69"/>
      <c r="F69" s="23"/>
      <c r="J69" s="49"/>
      <c r="K69" s="380"/>
      <c r="L69" s="103"/>
      <c r="M69" s="103"/>
      <c r="N69" s="135"/>
      <c r="O69" s="88"/>
      <c r="P69" s="250"/>
      <c r="Q69" s="28"/>
    </row>
    <row r="70" spans="1:17" ht="15.75" x14ac:dyDescent="0.25">
      <c r="J70" s="49"/>
      <c r="K70" s="249"/>
      <c r="L70" s="88"/>
      <c r="M70" s="88"/>
      <c r="N70" s="135"/>
      <c r="O70" s="88"/>
      <c r="P70" s="250"/>
      <c r="Q70" s="28"/>
    </row>
    <row r="71" spans="1:17" ht="15.75" x14ac:dyDescent="0.25">
      <c r="J71" s="49"/>
      <c r="K71" s="249"/>
      <c r="L71" s="88"/>
      <c r="M71" s="88"/>
      <c r="N71" s="135"/>
      <c r="O71" s="213"/>
      <c r="P71" s="250"/>
      <c r="Q71" s="28"/>
    </row>
    <row r="72" spans="1:17" ht="15.75" x14ac:dyDescent="0.25">
      <c r="J72" s="49"/>
      <c r="K72" s="249"/>
      <c r="L72" s="88"/>
      <c r="M72" s="88"/>
      <c r="N72" s="135"/>
      <c r="O72" s="88"/>
      <c r="P72" s="250"/>
      <c r="Q72" s="28"/>
    </row>
    <row r="73" spans="1:17" ht="15.75" x14ac:dyDescent="0.25">
      <c r="A73"/>
      <c r="B73"/>
      <c r="C73"/>
      <c r="D73"/>
      <c r="E73"/>
      <c r="F73"/>
      <c r="G73"/>
      <c r="J73" s="49"/>
      <c r="K73" s="249"/>
      <c r="L73" s="88"/>
      <c r="M73" s="88"/>
      <c r="N73" s="135"/>
      <c r="O73" s="88"/>
      <c r="P73" s="250"/>
      <c r="Q73" s="28"/>
    </row>
    <row r="74" spans="1:17" ht="15.75" x14ac:dyDescent="0.25">
      <c r="A74"/>
      <c r="B74"/>
      <c r="C74"/>
      <c r="D74"/>
      <c r="E74"/>
      <c r="F74"/>
      <c r="G74"/>
      <c r="J74" s="49"/>
      <c r="K74" s="249"/>
      <c r="L74" s="88"/>
      <c r="M74" s="88"/>
      <c r="N74" s="135"/>
      <c r="O74" s="88"/>
      <c r="P74" s="250"/>
      <c r="Q74" s="28"/>
    </row>
    <row r="75" spans="1:17" ht="15.75" x14ac:dyDescent="0.25">
      <c r="A75"/>
      <c r="B75"/>
      <c r="C75"/>
      <c r="D75"/>
      <c r="E75"/>
      <c r="F75"/>
      <c r="G75"/>
      <c r="J75" s="49"/>
      <c r="K75" s="28"/>
      <c r="L75" s="88"/>
      <c r="M75" s="88"/>
      <c r="N75" s="135"/>
      <c r="O75" s="88"/>
      <c r="P75" s="250"/>
      <c r="Q75" s="28"/>
    </row>
    <row r="76" spans="1:17" ht="15.75" x14ac:dyDescent="0.25">
      <c r="A76"/>
      <c r="B76"/>
      <c r="C76"/>
      <c r="D76"/>
      <c r="E76"/>
      <c r="F76"/>
      <c r="G76"/>
      <c r="J76" s="49"/>
      <c r="K76" s="28"/>
      <c r="L76" s="88"/>
      <c r="M76" s="88"/>
      <c r="N76" s="135"/>
      <c r="O76" s="88"/>
      <c r="P76" s="250"/>
      <c r="Q76" s="28"/>
    </row>
    <row r="77" spans="1:17" ht="15.75" x14ac:dyDescent="0.25">
      <c r="A77"/>
      <c r="B77"/>
      <c r="C77"/>
      <c r="D77"/>
      <c r="E77"/>
      <c r="F77"/>
      <c r="G77"/>
      <c r="J77" s="49"/>
      <c r="K77" s="249"/>
      <c r="L77" s="88"/>
      <c r="M77" s="88"/>
      <c r="N77" s="135"/>
      <c r="O77" s="88"/>
      <c r="P77" s="250"/>
      <c r="Q77" s="28"/>
    </row>
    <row r="78" spans="1:17" ht="15.75" x14ac:dyDescent="0.25">
      <c r="A78"/>
      <c r="B78"/>
      <c r="C78"/>
      <c r="D78"/>
      <c r="E78"/>
      <c r="F78"/>
      <c r="G78"/>
      <c r="J78" s="49"/>
      <c r="K78" s="28"/>
      <c r="L78" s="88"/>
      <c r="M78" s="88"/>
      <c r="N78" s="135"/>
      <c r="O78" s="88"/>
      <c r="P78" s="250"/>
      <c r="Q78" s="28"/>
    </row>
    <row r="79" spans="1:17" ht="15.75" x14ac:dyDescent="0.25">
      <c r="A79"/>
      <c r="B79"/>
      <c r="C79"/>
      <c r="D79"/>
      <c r="E79"/>
      <c r="F79"/>
      <c r="G79"/>
      <c r="J79" s="49"/>
      <c r="K79" s="28"/>
      <c r="L79" s="88"/>
      <c r="M79" s="88"/>
      <c r="N79" s="135"/>
      <c r="O79" s="88"/>
      <c r="P79" s="250"/>
      <c r="Q79" s="28"/>
    </row>
    <row r="80" spans="1:17" ht="15.75" x14ac:dyDescent="0.25">
      <c r="A80"/>
      <c r="B80"/>
      <c r="C80"/>
      <c r="D80"/>
      <c r="E80"/>
      <c r="F80"/>
      <c r="G80"/>
      <c r="J80" s="49"/>
      <c r="K80" s="28"/>
      <c r="L80" s="88"/>
      <c r="M80" s="88"/>
      <c r="N80" s="135"/>
      <c r="O80" s="88"/>
      <c r="P80" s="250"/>
      <c r="Q80" s="28"/>
    </row>
    <row r="81" spans="1:17" ht="15.75" x14ac:dyDescent="0.25">
      <c r="A81"/>
      <c r="B81"/>
      <c r="C81"/>
      <c r="D81"/>
      <c r="E81"/>
      <c r="F81"/>
      <c r="G81"/>
      <c r="J81" s="49"/>
      <c r="K81" s="28"/>
      <c r="L81" s="88"/>
      <c r="M81" s="88"/>
      <c r="N81" s="135"/>
      <c r="O81" s="88"/>
      <c r="P81" s="250"/>
      <c r="Q81" s="28"/>
    </row>
    <row r="82" spans="1:17" ht="15.75" x14ac:dyDescent="0.25">
      <c r="A82"/>
      <c r="B82"/>
      <c r="C82"/>
      <c r="D82"/>
      <c r="E82"/>
      <c r="F82"/>
      <c r="G82"/>
      <c r="J82" s="49"/>
      <c r="K82" s="28"/>
      <c r="L82" s="88"/>
      <c r="M82" s="88"/>
      <c r="N82" s="135"/>
      <c r="O82" s="88"/>
      <c r="P82" s="250"/>
      <c r="Q82" s="28"/>
    </row>
    <row r="83" spans="1:17" ht="15.75" x14ac:dyDescent="0.25">
      <c r="A83"/>
      <c r="B83"/>
      <c r="C83"/>
      <c r="D83"/>
      <c r="E83"/>
      <c r="F83"/>
      <c r="G83"/>
      <c r="J83" s="49"/>
      <c r="K83" s="28"/>
      <c r="L83" s="88"/>
      <c r="M83" s="88"/>
      <c r="N83" s="135"/>
      <c r="O83" s="88"/>
      <c r="P83" s="250"/>
      <c r="Q83" s="28"/>
    </row>
    <row r="84" spans="1:17" ht="15.75" x14ac:dyDescent="0.25">
      <c r="A84"/>
      <c r="B84"/>
      <c r="C84"/>
      <c r="D84"/>
      <c r="E84"/>
      <c r="F84"/>
      <c r="G84"/>
      <c r="J84" s="49"/>
      <c r="K84" s="28"/>
      <c r="L84" s="88"/>
      <c r="M84" s="88"/>
      <c r="N84" s="135"/>
      <c r="O84" s="88"/>
      <c r="P84" s="250"/>
      <c r="Q84" s="28"/>
    </row>
    <row r="85" spans="1:17" x14ac:dyDescent="0.25">
      <c r="A85"/>
      <c r="B85"/>
      <c r="C85"/>
      <c r="D85"/>
      <c r="E85"/>
      <c r="F85"/>
      <c r="G85"/>
      <c r="J85" s="49"/>
      <c r="K85" s="28"/>
      <c r="L85" s="88"/>
      <c r="M85" s="88"/>
      <c r="N85" s="88"/>
      <c r="O85" s="88"/>
      <c r="P85" s="250"/>
      <c r="Q85" s="28"/>
    </row>
    <row r="86" spans="1:17" ht="18.75" x14ac:dyDescent="0.3">
      <c r="J86" s="49"/>
      <c r="K86" s="28"/>
      <c r="L86" s="381"/>
      <c r="M86" s="381"/>
      <c r="N86" s="381"/>
      <c r="O86" s="381"/>
      <c r="P86" s="28"/>
      <c r="Q86" s="28"/>
    </row>
    <row r="87" spans="1:17" x14ac:dyDescent="0.25">
      <c r="J87" s="49"/>
      <c r="K87" s="28"/>
      <c r="L87" s="28"/>
      <c r="M87" s="28"/>
      <c r="N87" s="28"/>
      <c r="O87" s="28"/>
      <c r="P87" s="28"/>
      <c r="Q87" s="28"/>
    </row>
    <row r="88" spans="1:17" x14ac:dyDescent="0.25">
      <c r="J88" s="49"/>
      <c r="K88" s="28"/>
      <c r="L88" s="28"/>
      <c r="M88" s="28"/>
      <c r="N88" s="28"/>
      <c r="O88" s="28"/>
      <c r="P88" s="28"/>
      <c r="Q88" s="28"/>
    </row>
    <row r="89" spans="1:17" x14ac:dyDescent="0.25">
      <c r="J89" s="49"/>
      <c r="K89" s="28"/>
      <c r="L89" s="28"/>
      <c r="M89" s="28"/>
      <c r="N89" s="28"/>
      <c r="O89" s="28"/>
      <c r="P89" s="28"/>
      <c r="Q89" s="28"/>
    </row>
  </sheetData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397" t="s">
        <v>56</v>
      </c>
      <c r="D1" s="397"/>
      <c r="E1" s="397"/>
      <c r="F1" s="397"/>
      <c r="G1" s="397"/>
      <c r="H1" s="397"/>
      <c r="I1" s="397"/>
      <c r="J1" s="397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398" t="s">
        <v>14</v>
      </c>
      <c r="F4" s="399"/>
      <c r="I4" s="400" t="s">
        <v>4</v>
      </c>
      <c r="J4" s="401"/>
      <c r="K4" s="401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402" t="s">
        <v>7</v>
      </c>
      <c r="I40" s="403"/>
      <c r="J40" s="404">
        <f>I38+K38</f>
        <v>74761.744999999995</v>
      </c>
      <c r="K40" s="405"/>
      <c r="N40" s="43">
        <v>97788.05</v>
      </c>
    </row>
    <row r="41" spans="1:14" ht="15.75" x14ac:dyDescent="0.25">
      <c r="D41" s="396" t="s">
        <v>8</v>
      </c>
      <c r="E41" s="396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406"/>
      <c r="J43" s="406"/>
      <c r="K43" s="2"/>
      <c r="N43" s="43">
        <v>32473.27</v>
      </c>
    </row>
    <row r="44" spans="1:14" ht="16.5" thickBot="1" x14ac:dyDescent="0.3">
      <c r="D44" s="395" t="s">
        <v>9</v>
      </c>
      <c r="E44" s="395"/>
      <c r="F44" s="59">
        <v>232988.59</v>
      </c>
      <c r="I44" s="407"/>
      <c r="J44" s="407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408" t="s">
        <v>13</v>
      </c>
      <c r="J45" s="409"/>
      <c r="K45" s="412">
        <f>F45+K44</f>
        <v>20895.104999999661</v>
      </c>
      <c r="N45" s="43">
        <v>64614.3</v>
      </c>
    </row>
    <row r="46" spans="1:14" ht="15.75" thickBot="1" x14ac:dyDescent="0.3">
      <c r="D46" s="394"/>
      <c r="E46" s="394"/>
      <c r="F46" s="55"/>
      <c r="I46" s="410"/>
      <c r="J46" s="411"/>
      <c r="K46" s="413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I43:J43"/>
    <mergeCell ref="D44:E44"/>
    <mergeCell ref="I44:J44"/>
    <mergeCell ref="I45:J46"/>
    <mergeCell ref="K45:K46"/>
    <mergeCell ref="D46:E46"/>
    <mergeCell ref="D41:E41"/>
    <mergeCell ref="C1:J1"/>
    <mergeCell ref="E4:F4"/>
    <mergeCell ref="I4:K4"/>
    <mergeCell ref="H40:I40"/>
    <mergeCell ref="J40:K40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397" t="s">
        <v>103</v>
      </c>
      <c r="D1" s="397"/>
      <c r="E1" s="397"/>
      <c r="F1" s="397"/>
      <c r="G1" s="397"/>
      <c r="H1" s="397"/>
      <c r="I1" s="397"/>
      <c r="J1" s="397"/>
      <c r="K1" s="397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418" t="s">
        <v>14</v>
      </c>
      <c r="F4" s="419"/>
      <c r="I4" s="400" t="s">
        <v>4</v>
      </c>
      <c r="J4" s="401"/>
      <c r="K4" s="401"/>
      <c r="L4" s="401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414" t="s">
        <v>173</v>
      </c>
      <c r="P17" s="415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416"/>
      <c r="P18" s="417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402" t="s">
        <v>7</v>
      </c>
      <c r="I40" s="403"/>
      <c r="J40" s="86"/>
      <c r="K40" s="404">
        <f>I38+L38</f>
        <v>53434.49</v>
      </c>
      <c r="L40" s="405"/>
      <c r="O40" t="s">
        <v>169</v>
      </c>
      <c r="P40" s="43">
        <v>16673.759999999998</v>
      </c>
    </row>
    <row r="41" spans="1:16" ht="15.75" x14ac:dyDescent="0.25">
      <c r="D41" s="396" t="s">
        <v>8</v>
      </c>
      <c r="E41" s="396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406"/>
      <c r="J43" s="406"/>
      <c r="K43" s="406"/>
      <c r="L43" s="2"/>
      <c r="O43" t="s">
        <v>172</v>
      </c>
      <c r="P43" s="43">
        <v>58093</v>
      </c>
    </row>
    <row r="44" spans="1:16" ht="16.5" thickBot="1" x14ac:dyDescent="0.3">
      <c r="D44" s="395" t="s">
        <v>9</v>
      </c>
      <c r="E44" s="395"/>
      <c r="F44" s="59">
        <v>174723.71</v>
      </c>
      <c r="I44" s="407"/>
      <c r="J44" s="407"/>
      <c r="K44" s="407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408" t="s">
        <v>13</v>
      </c>
      <c r="J45" s="409"/>
      <c r="K45" s="409"/>
      <c r="L45" s="412">
        <f>F45+L44</f>
        <v>-119565.35599999988</v>
      </c>
    </row>
    <row r="46" spans="1:16" ht="15.75" thickBot="1" x14ac:dyDescent="0.3">
      <c r="D46" s="394"/>
      <c r="E46" s="394"/>
      <c r="F46" s="55"/>
      <c r="I46" s="410"/>
      <c r="J46" s="411"/>
      <c r="K46" s="411"/>
      <c r="L46" s="413"/>
    </row>
    <row r="47" spans="1:16" ht="15.75" thickTop="1" x14ac:dyDescent="0.25"/>
  </sheetData>
  <mergeCells count="13">
    <mergeCell ref="I43:K43"/>
    <mergeCell ref="D44:E44"/>
    <mergeCell ref="I44:K44"/>
    <mergeCell ref="I45:K46"/>
    <mergeCell ref="L45:L46"/>
    <mergeCell ref="D46:E46"/>
    <mergeCell ref="O17:P18"/>
    <mergeCell ref="D41:E41"/>
    <mergeCell ref="C1:K1"/>
    <mergeCell ref="E4:F4"/>
    <mergeCell ref="I4:L4"/>
    <mergeCell ref="H40:I40"/>
    <mergeCell ref="K40:L40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7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397" t="s">
        <v>176</v>
      </c>
      <c r="D1" s="397"/>
      <c r="E1" s="397"/>
      <c r="F1" s="397"/>
      <c r="G1" s="397"/>
      <c r="H1" s="397"/>
      <c r="I1" s="397"/>
      <c r="J1" s="397"/>
      <c r="K1" s="397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420" t="s">
        <v>240</v>
      </c>
      <c r="R3" s="421"/>
      <c r="S3" s="422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418" t="s">
        <v>14</v>
      </c>
      <c r="F4" s="419"/>
      <c r="I4" s="400" t="s">
        <v>4</v>
      </c>
      <c r="J4" s="401"/>
      <c r="K4" s="401"/>
      <c r="L4" s="401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402" t="s">
        <v>7</v>
      </c>
      <c r="I40" s="403"/>
      <c r="J40" s="98"/>
      <c r="K40" s="404">
        <f>I38+L38</f>
        <v>81575.08</v>
      </c>
      <c r="L40" s="405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396" t="s">
        <v>8</v>
      </c>
      <c r="E41" s="396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423">
        <f>F46</f>
        <v>423444.86999999988</v>
      </c>
      <c r="K43" s="424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407" t="s">
        <v>257</v>
      </c>
      <c r="I44" s="407"/>
      <c r="J44" s="425">
        <v>-174723.71</v>
      </c>
      <c r="K44" s="425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426">
        <v>0</v>
      </c>
      <c r="K45" s="426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394" t="s">
        <v>250</v>
      </c>
      <c r="E46" s="394"/>
      <c r="F46" s="55">
        <f>F44+F45</f>
        <v>423444.86999999988</v>
      </c>
      <c r="I46" s="178" t="s">
        <v>13</v>
      </c>
      <c r="J46" s="427">
        <f t="shared" ref="J46" si="1">SUM(J43:K45)</f>
        <v>248721.15999999989</v>
      </c>
      <c r="K46" s="428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F51" sqref="F5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397" t="s">
        <v>241</v>
      </c>
      <c r="D1" s="397"/>
      <c r="E1" s="397"/>
      <c r="F1" s="397"/>
      <c r="G1" s="397"/>
      <c r="H1" s="397"/>
      <c r="I1" s="397"/>
      <c r="J1" s="397"/>
      <c r="K1" s="397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420" t="s">
        <v>240</v>
      </c>
      <c r="S3" s="421"/>
      <c r="T3" s="422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418" t="s">
        <v>14</v>
      </c>
      <c r="F4" s="419"/>
      <c r="I4" s="400" t="s">
        <v>4</v>
      </c>
      <c r="J4" s="401"/>
      <c r="K4" s="401"/>
      <c r="L4" s="401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402" t="s">
        <v>7</v>
      </c>
      <c r="I40" s="403"/>
      <c r="J40" s="256"/>
      <c r="K40" s="404">
        <f>I38+L38</f>
        <v>70568.180000000008</v>
      </c>
      <c r="L40" s="405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396" t="s">
        <v>8</v>
      </c>
      <c r="E41" s="396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406"/>
      <c r="J43" s="406"/>
      <c r="K43" s="406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423">
        <f>F46</f>
        <v>284330.06000000035</v>
      </c>
      <c r="L44" s="424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432" t="s">
        <v>2</v>
      </c>
      <c r="J45" s="432"/>
      <c r="K45" s="425">
        <v>-218235.22</v>
      </c>
      <c r="L45" s="425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426">
        <v>0</v>
      </c>
      <c r="L46" s="426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431"/>
      <c r="E47" s="431"/>
      <c r="I47"/>
      <c r="J47" s="304" t="s">
        <v>13</v>
      </c>
      <c r="K47" s="429">
        <f t="shared" ref="K47" si="2">SUM(K44:L46)</f>
        <v>66094.840000000346</v>
      </c>
      <c r="L47" s="430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opLeftCell="A22" workbookViewId="0">
      <selection activeCell="F44" sqref="F44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397" t="s">
        <v>304</v>
      </c>
      <c r="D1" s="397"/>
      <c r="E1" s="397"/>
      <c r="F1" s="397"/>
      <c r="G1" s="397"/>
      <c r="H1" s="397"/>
      <c r="I1" s="397"/>
      <c r="J1" s="397"/>
      <c r="K1" s="397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418" t="s">
        <v>14</v>
      </c>
      <c r="F4" s="419"/>
      <c r="I4" s="400" t="s">
        <v>4</v>
      </c>
      <c r="J4" s="401"/>
      <c r="K4" s="401"/>
      <c r="L4" s="401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02" t="s">
        <v>7</v>
      </c>
      <c r="I40" s="403"/>
      <c r="J40" s="256"/>
      <c r="K40" s="404">
        <f>I38+L38</f>
        <v>79594.55</v>
      </c>
      <c r="L40" s="405"/>
    </row>
    <row r="41" spans="1:15" ht="15.75" customHeight="1" x14ac:dyDescent="0.25">
      <c r="D41" s="396" t="s">
        <v>8</v>
      </c>
      <c r="E41" s="396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-1289618.5900000001</v>
      </c>
      <c r="I43" s="406"/>
      <c r="J43" s="406"/>
      <c r="K43" s="406"/>
      <c r="L43" s="2"/>
    </row>
    <row r="44" spans="1:15" ht="16.5" thickTop="1" x14ac:dyDescent="0.25">
      <c r="E44" s="5" t="s">
        <v>10</v>
      </c>
      <c r="F44" s="58">
        <f>SUM(F41:F43)</f>
        <v>81908.059999999823</v>
      </c>
      <c r="I44"/>
      <c r="J44" s="182" t="s">
        <v>251</v>
      </c>
      <c r="K44" s="423">
        <f>F48</f>
        <v>226327.02999999982</v>
      </c>
      <c r="L44" s="424"/>
    </row>
    <row r="45" spans="1:15" ht="15.75" customHeight="1" thickBot="1" x14ac:dyDescent="0.3">
      <c r="D45" s="301" t="s">
        <v>9</v>
      </c>
      <c r="E45" s="301"/>
      <c r="F45" s="59">
        <v>141644.97</v>
      </c>
      <c r="I45" s="432" t="s">
        <v>2</v>
      </c>
      <c r="J45" s="432"/>
      <c r="K45" s="425">
        <v>-181901.18</v>
      </c>
      <c r="L45" s="425"/>
    </row>
    <row r="46" spans="1:15" ht="15.75" customHeight="1" thickBot="1" x14ac:dyDescent="0.3">
      <c r="E46" s="6" t="s">
        <v>347</v>
      </c>
      <c r="F46" s="48">
        <f>F45+F44</f>
        <v>223553.02999999982</v>
      </c>
      <c r="I46"/>
      <c r="J46" s="178"/>
      <c r="K46" s="426">
        <v>0</v>
      </c>
      <c r="L46" s="426"/>
    </row>
    <row r="47" spans="1:15" ht="19.5" thickBot="1" x14ac:dyDescent="0.3">
      <c r="E47" s="5" t="s">
        <v>346</v>
      </c>
      <c r="F47" s="125">
        <v>2774</v>
      </c>
      <c r="I47"/>
      <c r="J47" s="304" t="s">
        <v>13</v>
      </c>
      <c r="K47" s="429">
        <f t="shared" ref="K47" si="1">SUM(K44:L46)</f>
        <v>44425.849999999831</v>
      </c>
      <c r="L47" s="430"/>
    </row>
    <row r="48" spans="1:15" ht="15.75" thickTop="1" x14ac:dyDescent="0.25">
      <c r="D48" s="406" t="s">
        <v>251</v>
      </c>
      <c r="E48" s="406"/>
      <c r="F48" s="58">
        <f>F47+F46</f>
        <v>226327.02999999982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0" workbookViewId="0">
      <selection activeCell="E50" sqref="E5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433" t="s">
        <v>240</v>
      </c>
      <c r="D3" s="434"/>
      <c r="E3" s="435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298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298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16" t="s">
        <v>377</v>
      </c>
      <c r="E40" s="318">
        <f>20609.54+29964.5+5879.87</f>
        <v>56453.91</v>
      </c>
      <c r="F40" s="241">
        <f t="shared" si="0"/>
        <v>0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17">
        <v>42103</v>
      </c>
      <c r="E41" s="318">
        <v>48340.9</v>
      </c>
      <c r="F41" s="241">
        <f t="shared" si="0"/>
        <v>0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19">
        <v>42103</v>
      </c>
      <c r="E42" s="277">
        <v>565</v>
      </c>
      <c r="F42" s="241">
        <f t="shared" si="0"/>
        <v>0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27" t="s">
        <v>378</v>
      </c>
      <c r="E43" s="318">
        <f>51631.5+1123.35</f>
        <v>52754.85</v>
      </c>
      <c r="F43" s="241">
        <f t="shared" si="0"/>
        <v>0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19">
        <v>42103</v>
      </c>
      <c r="E44" s="277">
        <v>8076.4</v>
      </c>
      <c r="F44" s="241">
        <f t="shared" si="0"/>
        <v>0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16496</v>
      </c>
      <c r="C45" s="130">
        <v>3507.2</v>
      </c>
      <c r="D45" s="320">
        <v>42103</v>
      </c>
      <c r="E45" s="184">
        <v>3507.2</v>
      </c>
      <c r="F45" s="241">
        <f t="shared" si="0"/>
        <v>0</v>
      </c>
      <c r="I45" s="103"/>
      <c r="J45" s="104"/>
      <c r="K45" s="103"/>
      <c r="L45" s="103"/>
      <c r="M45" s="103"/>
      <c r="N45" s="213"/>
    </row>
    <row r="46" spans="1:16" ht="15.75" x14ac:dyDescent="0.25">
      <c r="A46" s="143">
        <v>42094</v>
      </c>
      <c r="B46" s="293">
        <v>16522</v>
      </c>
      <c r="C46" s="130">
        <v>42297.82</v>
      </c>
      <c r="D46" s="320">
        <v>42103</v>
      </c>
      <c r="E46" s="184">
        <v>42297.82</v>
      </c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0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0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1289618.5899999999</v>
      </c>
      <c r="D61" s="58"/>
      <c r="E61" s="58">
        <f>SUM(E5:E60)</f>
        <v>1289618.5899999999</v>
      </c>
      <c r="F61" s="43">
        <f>SUM(F5:F60)</f>
        <v>0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42:D46">
    <sortCondition ref="B42:B46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7"/>
  <sheetViews>
    <sheetView topLeftCell="A27" workbookViewId="0">
      <selection activeCell="F47" sqref="F47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6.28515625" style="43" customWidth="1"/>
    <col min="12" max="12" width="14.85546875" customWidth="1"/>
    <col min="13" max="13" width="22.5703125" style="68" customWidth="1"/>
    <col min="14" max="14" width="16.28515625" style="202" customWidth="1"/>
  </cols>
  <sheetData>
    <row r="1" spans="1:15" ht="23.25" x14ac:dyDescent="0.35">
      <c r="C1" s="397" t="s">
        <v>348</v>
      </c>
      <c r="D1" s="397"/>
      <c r="E1" s="397"/>
      <c r="F1" s="397"/>
      <c r="G1" s="397"/>
      <c r="H1" s="397"/>
      <c r="I1" s="397"/>
      <c r="J1" s="397"/>
      <c r="K1" s="397"/>
    </row>
    <row r="2" spans="1:15" ht="15.75" thickBot="1" x14ac:dyDescent="0.3">
      <c r="E2" s="30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418" t="s">
        <v>14</v>
      </c>
      <c r="F4" s="419"/>
      <c r="I4" s="400" t="s">
        <v>4</v>
      </c>
      <c r="J4" s="401"/>
      <c r="K4" s="401"/>
      <c r="L4" s="401"/>
      <c r="M4" s="69" t="s">
        <v>18</v>
      </c>
      <c r="N4" s="347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889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09"/>
      <c r="E7" s="310">
        <v>42097</v>
      </c>
      <c r="F7" s="92">
        <v>0</v>
      </c>
      <c r="G7" s="311"/>
      <c r="H7" s="312">
        <v>42097</v>
      </c>
      <c r="I7" s="313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7662.72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8562.7199999999993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4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>
        <v>0</v>
      </c>
      <c r="D24" s="29"/>
      <c r="E24" s="26">
        <v>42114</v>
      </c>
      <c r="F24" s="51">
        <v>35623.5</v>
      </c>
      <c r="G24" s="23"/>
      <c r="H24" s="27">
        <v>42114</v>
      </c>
      <c r="I24" s="62">
        <v>232</v>
      </c>
      <c r="J24" s="88"/>
      <c r="K24" s="25">
        <v>42111</v>
      </c>
      <c r="L24" s="55"/>
      <c r="M24" s="67" t="s">
        <v>384</v>
      </c>
      <c r="N24" s="75">
        <v>33900</v>
      </c>
      <c r="O24" s="80"/>
    </row>
    <row r="25" spans="1:15" x14ac:dyDescent="0.25">
      <c r="A25" s="21"/>
      <c r="B25" s="39">
        <v>42115</v>
      </c>
      <c r="C25" s="45">
        <v>0</v>
      </c>
      <c r="D25" s="22"/>
      <c r="E25" s="26">
        <v>42115</v>
      </c>
      <c r="F25" s="51">
        <v>31524</v>
      </c>
      <c r="G25" s="23"/>
      <c r="H25" s="27">
        <v>42115</v>
      </c>
      <c r="I25" s="62">
        <v>200</v>
      </c>
      <c r="J25" s="88"/>
      <c r="K25" s="11"/>
      <c r="L25" s="55"/>
      <c r="M25" s="67" t="s">
        <v>385</v>
      </c>
      <c r="N25" s="75">
        <v>31590</v>
      </c>
      <c r="O25" s="80"/>
    </row>
    <row r="26" spans="1:15" x14ac:dyDescent="0.25">
      <c r="A26" s="21"/>
      <c r="B26" s="39">
        <v>42116</v>
      </c>
      <c r="C26" s="45">
        <v>0</v>
      </c>
      <c r="D26" s="29"/>
      <c r="E26" s="26">
        <v>42116</v>
      </c>
      <c r="F26" s="51">
        <v>36676</v>
      </c>
      <c r="G26" s="23"/>
      <c r="H26" s="27">
        <v>42116</v>
      </c>
      <c r="I26" s="62">
        <v>200</v>
      </c>
      <c r="J26" s="88"/>
      <c r="K26" s="11"/>
      <c r="L26" s="55"/>
      <c r="M26" s="67" t="s">
        <v>386</v>
      </c>
      <c r="N26" s="75">
        <v>38290</v>
      </c>
      <c r="O26" s="80"/>
    </row>
    <row r="27" spans="1:15" x14ac:dyDescent="0.25">
      <c r="A27" s="21"/>
      <c r="B27" s="39">
        <v>42117</v>
      </c>
      <c r="C27" s="45">
        <v>0</v>
      </c>
      <c r="D27" s="29"/>
      <c r="E27" s="26">
        <v>42117</v>
      </c>
      <c r="F27" s="51">
        <v>42331.5</v>
      </c>
      <c r="G27" s="23"/>
      <c r="H27" s="27">
        <v>42117</v>
      </c>
      <c r="I27" s="62">
        <v>200</v>
      </c>
      <c r="J27" s="88"/>
      <c r="K27" s="11"/>
      <c r="L27" s="55"/>
      <c r="M27" s="201" t="s">
        <v>387</v>
      </c>
      <c r="N27" s="204">
        <v>42099.5</v>
      </c>
      <c r="O27" s="80"/>
    </row>
    <row r="28" spans="1:15" x14ac:dyDescent="0.25">
      <c r="A28" s="21"/>
      <c r="B28" s="39">
        <v>42118</v>
      </c>
      <c r="C28" s="45">
        <v>0</v>
      </c>
      <c r="D28" s="29"/>
      <c r="E28" s="26">
        <v>42118</v>
      </c>
      <c r="F28" s="51">
        <v>61135</v>
      </c>
      <c r="G28" s="23"/>
      <c r="H28" s="27">
        <v>42118</v>
      </c>
      <c r="I28" s="62">
        <v>200</v>
      </c>
      <c r="J28" s="88"/>
      <c r="K28" s="11"/>
      <c r="L28" s="55"/>
      <c r="M28" s="201" t="s">
        <v>388</v>
      </c>
      <c r="N28" s="204">
        <v>61650</v>
      </c>
      <c r="O28" s="80"/>
    </row>
    <row r="29" spans="1:15" x14ac:dyDescent="0.25">
      <c r="A29" s="21"/>
      <c r="B29" s="39">
        <v>42119</v>
      </c>
      <c r="C29" s="45">
        <v>3960</v>
      </c>
      <c r="D29" s="29" t="s">
        <v>389</v>
      </c>
      <c r="E29" s="26">
        <v>42119</v>
      </c>
      <c r="F29" s="51">
        <v>79125</v>
      </c>
      <c r="G29" s="23"/>
      <c r="H29" s="27">
        <v>42119</v>
      </c>
      <c r="I29" s="62">
        <v>200</v>
      </c>
      <c r="J29" s="88"/>
      <c r="K29" s="11"/>
      <c r="L29" s="20"/>
      <c r="M29" s="67" t="s">
        <v>390</v>
      </c>
      <c r="N29" s="75">
        <v>74400</v>
      </c>
      <c r="O29" s="80"/>
    </row>
    <row r="30" spans="1:15" x14ac:dyDescent="0.25">
      <c r="A30" s="21"/>
      <c r="B30" s="39">
        <v>42120</v>
      </c>
      <c r="C30" s="45">
        <v>0</v>
      </c>
      <c r="D30" s="22"/>
      <c r="E30" s="26">
        <v>42120</v>
      </c>
      <c r="F30" s="51">
        <v>68920.5</v>
      </c>
      <c r="G30" s="23"/>
      <c r="H30" s="27">
        <v>42120</v>
      </c>
      <c r="I30" s="62">
        <v>200</v>
      </c>
      <c r="J30" s="88"/>
      <c r="K30" s="11"/>
      <c r="L30" s="20"/>
      <c r="M30" s="201" t="s">
        <v>391</v>
      </c>
      <c r="N30" s="204">
        <v>67349.5</v>
      </c>
      <c r="O30" s="80"/>
    </row>
    <row r="31" spans="1:15" x14ac:dyDescent="0.25">
      <c r="A31" s="21"/>
      <c r="B31" s="39">
        <v>42121</v>
      </c>
      <c r="C31" s="45">
        <v>0</v>
      </c>
      <c r="D31" s="22"/>
      <c r="E31" s="26">
        <v>42121</v>
      </c>
      <c r="F31" s="51">
        <v>43995</v>
      </c>
      <c r="G31" s="23"/>
      <c r="H31" s="27">
        <v>42121</v>
      </c>
      <c r="I31" s="62">
        <v>200</v>
      </c>
      <c r="J31" s="88"/>
      <c r="K31" s="11"/>
      <c r="L31" s="20"/>
      <c r="M31" s="201" t="s">
        <v>392</v>
      </c>
      <c r="N31" s="204">
        <v>44010</v>
      </c>
      <c r="O31" s="80"/>
    </row>
    <row r="32" spans="1:15" x14ac:dyDescent="0.25">
      <c r="A32" s="21"/>
      <c r="B32" s="39">
        <v>42122</v>
      </c>
      <c r="C32" s="45">
        <v>0</v>
      </c>
      <c r="D32" s="22"/>
      <c r="E32" s="26">
        <v>42122</v>
      </c>
      <c r="F32" s="51">
        <v>31389</v>
      </c>
      <c r="G32" s="23"/>
      <c r="H32" s="27">
        <v>42122</v>
      </c>
      <c r="I32" s="62">
        <v>200</v>
      </c>
      <c r="J32" s="88"/>
      <c r="K32" s="11"/>
      <c r="L32" s="20"/>
      <c r="M32" s="67" t="s">
        <v>393</v>
      </c>
      <c r="N32" s="75">
        <v>31400</v>
      </c>
      <c r="O32" s="80"/>
    </row>
    <row r="33" spans="1:15" x14ac:dyDescent="0.25">
      <c r="A33" s="21"/>
      <c r="B33" s="39">
        <v>42123</v>
      </c>
      <c r="C33" s="45">
        <v>0</v>
      </c>
      <c r="D33" s="32"/>
      <c r="E33" s="26">
        <v>42123</v>
      </c>
      <c r="F33" s="51">
        <v>39525</v>
      </c>
      <c r="G33" s="23"/>
      <c r="H33" s="27">
        <v>42123</v>
      </c>
      <c r="I33" s="62">
        <v>200</v>
      </c>
      <c r="J33" s="88"/>
      <c r="K33" s="11"/>
      <c r="L33" s="20"/>
      <c r="M33" s="67" t="s">
        <v>394</v>
      </c>
      <c r="N33" s="75">
        <v>39300</v>
      </c>
      <c r="O33" s="80"/>
    </row>
    <row r="34" spans="1:15" x14ac:dyDescent="0.25">
      <c r="A34" s="21"/>
      <c r="B34" s="39">
        <v>42124</v>
      </c>
      <c r="C34" s="45">
        <v>0</v>
      </c>
      <c r="D34" s="72"/>
      <c r="E34" s="26">
        <v>42124</v>
      </c>
      <c r="F34" s="51">
        <v>96064</v>
      </c>
      <c r="G34" s="23"/>
      <c r="H34" s="27">
        <v>42124</v>
      </c>
      <c r="I34" s="62">
        <v>200</v>
      </c>
      <c r="J34" s="88"/>
      <c r="K34" s="11"/>
      <c r="L34" s="20"/>
      <c r="M34" s="258" t="s">
        <v>398</v>
      </c>
      <c r="N34" s="202">
        <v>93850</v>
      </c>
      <c r="O34" s="80"/>
    </row>
    <row r="35" spans="1:15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SUM(N5:N34)</f>
        <v>1419236</v>
      </c>
    </row>
    <row r="38" spans="1:15" x14ac:dyDescent="0.25">
      <c r="B38" s="42" t="s">
        <v>1</v>
      </c>
      <c r="C38" s="48">
        <f>SUM(C5:C37)</f>
        <v>4665.96</v>
      </c>
      <c r="E38" s="301" t="s">
        <v>1</v>
      </c>
      <c r="F38" s="54">
        <f>SUM(F5:F37)</f>
        <v>1435217</v>
      </c>
      <c r="H38" s="303" t="s">
        <v>1</v>
      </c>
      <c r="I38" s="58">
        <f>SUM(I5:I37)</f>
        <v>7560</v>
      </c>
      <c r="J38" s="58"/>
      <c r="K38" s="17" t="s">
        <v>1</v>
      </c>
      <c r="L38" s="4">
        <f t="shared" ref="L38" si="0">SUM(L5:L37)</f>
        <v>71806.69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02" t="s">
        <v>7</v>
      </c>
      <c r="I40" s="403"/>
      <c r="J40" s="302"/>
      <c r="K40" s="404">
        <f>I38+L38</f>
        <v>79366.69</v>
      </c>
      <c r="L40" s="405"/>
    </row>
    <row r="41" spans="1:15" ht="15.75" customHeight="1" x14ac:dyDescent="0.25">
      <c r="D41" s="396" t="s">
        <v>8</v>
      </c>
      <c r="E41" s="396"/>
      <c r="F41" s="56">
        <f>F38-K40</f>
        <v>1355850.31</v>
      </c>
      <c r="I41" s="65"/>
      <c r="J41" s="65"/>
    </row>
    <row r="42" spans="1:15" x14ac:dyDescent="0.25">
      <c r="D42" s="13"/>
      <c r="E42" s="13" t="s">
        <v>0</v>
      </c>
      <c r="F42" s="55">
        <f>-C38</f>
        <v>-4665.96</v>
      </c>
    </row>
    <row r="43" spans="1:15" ht="15.75" thickBot="1" x14ac:dyDescent="0.3">
      <c r="C43" s="43" t="s">
        <v>12</v>
      </c>
      <c r="D43" t="s">
        <v>303</v>
      </c>
      <c r="F43" s="57">
        <v>-1331717.32</v>
      </c>
      <c r="I43" s="406"/>
      <c r="J43" s="406"/>
      <c r="K43" s="406"/>
      <c r="L43" s="2"/>
    </row>
    <row r="44" spans="1:15" ht="16.5" thickTop="1" x14ac:dyDescent="0.25">
      <c r="E44" s="5" t="s">
        <v>10</v>
      </c>
      <c r="F44" s="58">
        <f>SUM(F41:F43)</f>
        <v>19467.030000000028</v>
      </c>
      <c r="I44"/>
      <c r="J44" s="344" t="s">
        <v>251</v>
      </c>
      <c r="K44" s="423">
        <f>F48</f>
        <v>169383.28000000003</v>
      </c>
      <c r="L44" s="424"/>
    </row>
    <row r="45" spans="1:15" ht="15.75" customHeight="1" thickBot="1" x14ac:dyDescent="0.3">
      <c r="D45" s="301" t="s">
        <v>9</v>
      </c>
      <c r="E45" s="301"/>
      <c r="F45" s="59">
        <v>149916.25</v>
      </c>
      <c r="I45" s="432" t="s">
        <v>2</v>
      </c>
      <c r="J45" s="432"/>
      <c r="K45" s="425">
        <v>-181901.18</v>
      </c>
      <c r="L45" s="425"/>
    </row>
    <row r="46" spans="1:15" ht="15.75" customHeight="1" thickBot="1" x14ac:dyDescent="0.3">
      <c r="E46" s="6" t="s">
        <v>347</v>
      </c>
      <c r="F46" s="48">
        <f>F45+F44</f>
        <v>169383.28000000003</v>
      </c>
      <c r="I46"/>
      <c r="J46" s="178"/>
      <c r="K46" s="426">
        <v>0</v>
      </c>
      <c r="L46" s="426"/>
    </row>
    <row r="47" spans="1:15" ht="19.5" thickBot="1" x14ac:dyDescent="0.3">
      <c r="E47" s="5"/>
      <c r="F47" s="125">
        <v>0</v>
      </c>
      <c r="I47" s="436" t="s">
        <v>401</v>
      </c>
      <c r="J47" s="437"/>
      <c r="K47" s="429">
        <f t="shared" ref="K47" si="1">SUM(K44:L46)</f>
        <v>-12517.899999999965</v>
      </c>
      <c r="L47" s="430"/>
    </row>
    <row r="48" spans="1:15" ht="15.75" thickTop="1" x14ac:dyDescent="0.25">
      <c r="D48" s="406" t="s">
        <v>251</v>
      </c>
      <c r="E48" s="406"/>
      <c r="F48" s="58">
        <f>F47+F46</f>
        <v>169383.28000000003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31496062992125984" right="0.11811023622047245" top="0.15748031496062992" bottom="0.19685039370078741" header="0.31496062992125984" footer="0.31496062992125984"/>
  <pageSetup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28"/>
  <sheetViews>
    <sheetView topLeftCell="A48" workbookViewId="0">
      <selection activeCell="D39" sqref="D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42103</v>
      </c>
      <c r="L2" s="215"/>
      <c r="M2" s="134" t="s">
        <v>200</v>
      </c>
      <c r="N2" s="88"/>
    </row>
    <row r="3" spans="1:16" ht="16.5" thickBot="1" x14ac:dyDescent="0.3">
      <c r="C3" s="433" t="s">
        <v>240</v>
      </c>
      <c r="D3" s="434"/>
      <c r="E3" s="435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40" t="s">
        <v>297</v>
      </c>
      <c r="D4" s="340"/>
      <c r="E4" s="340" t="s">
        <v>298</v>
      </c>
      <c r="F4" s="341" t="s">
        <v>299</v>
      </c>
      <c r="I4" s="242">
        <v>29964.5</v>
      </c>
      <c r="J4" s="193">
        <v>16025</v>
      </c>
      <c r="K4" s="130">
        <v>29964.5</v>
      </c>
      <c r="L4" s="130" t="s">
        <v>361</v>
      </c>
      <c r="M4" s="113" t="s">
        <v>202</v>
      </c>
      <c r="N4" s="214">
        <v>29964.5</v>
      </c>
      <c r="O4" s="221">
        <v>42090</v>
      </c>
      <c r="P4" s="21">
        <v>42090</v>
      </c>
    </row>
    <row r="5" spans="1:16" ht="15.75" x14ac:dyDescent="0.25">
      <c r="A5" s="243">
        <v>42096</v>
      </c>
      <c r="B5" s="244">
        <v>16668</v>
      </c>
      <c r="C5" s="245">
        <v>87045.74</v>
      </c>
      <c r="D5" s="104">
        <v>42103</v>
      </c>
      <c r="E5" s="103">
        <v>87045.74</v>
      </c>
      <c r="F5" s="246">
        <f t="shared" ref="F5:F48" si="0">C5-E5</f>
        <v>0</v>
      </c>
      <c r="G5" s="105"/>
      <c r="H5" s="106"/>
      <c r="I5" s="315">
        <f>2000+7344+3950+35047</f>
        <v>48341</v>
      </c>
      <c r="J5" s="194">
        <v>16091</v>
      </c>
      <c r="K5" s="207">
        <v>48340.9</v>
      </c>
      <c r="L5" s="207"/>
      <c r="M5" s="113" t="s">
        <v>202</v>
      </c>
      <c r="N5" s="207">
        <v>565</v>
      </c>
      <c r="O5" s="221">
        <v>42090</v>
      </c>
      <c r="P5" s="21">
        <v>42090</v>
      </c>
    </row>
    <row r="6" spans="1:16" ht="15.75" x14ac:dyDescent="0.25">
      <c r="A6" s="143">
        <v>42098</v>
      </c>
      <c r="B6" s="144">
        <v>16782</v>
      </c>
      <c r="C6" s="156">
        <v>48339.199999999997</v>
      </c>
      <c r="D6" s="104">
        <v>42103</v>
      </c>
      <c r="E6" s="103">
        <v>48339.199999999997</v>
      </c>
      <c r="F6" s="154">
        <f t="shared" si="0"/>
        <v>0</v>
      </c>
      <c r="G6" s="105"/>
      <c r="H6" s="108"/>
      <c r="I6" s="315">
        <v>565</v>
      </c>
      <c r="J6" s="193">
        <v>16094</v>
      </c>
      <c r="K6" s="207">
        <v>565</v>
      </c>
      <c r="L6" s="207"/>
      <c r="M6" s="113" t="s">
        <v>202</v>
      </c>
      <c r="N6" s="207">
        <v>2000</v>
      </c>
      <c r="O6" s="221">
        <v>42090</v>
      </c>
      <c r="P6" s="21">
        <v>42090</v>
      </c>
    </row>
    <row r="7" spans="1:16" ht="15.75" x14ac:dyDescent="0.25">
      <c r="A7" s="143">
        <v>42100</v>
      </c>
      <c r="B7" s="144">
        <v>16959</v>
      </c>
      <c r="C7" s="156">
        <v>43005.14</v>
      </c>
      <c r="D7" s="328" t="s">
        <v>379</v>
      </c>
      <c r="E7" s="103">
        <f>42283.5+721.64</f>
        <v>43005.14</v>
      </c>
      <c r="F7" s="155">
        <f t="shared" si="0"/>
        <v>0</v>
      </c>
      <c r="G7" s="105"/>
      <c r="H7" s="108"/>
      <c r="I7" s="242">
        <f>16360+5178+12000+13000+2500+2593.5</f>
        <v>51631.5</v>
      </c>
      <c r="J7" s="193">
        <v>16197</v>
      </c>
      <c r="K7" s="130">
        <v>51631.5</v>
      </c>
      <c r="L7" s="130" t="s">
        <v>242</v>
      </c>
      <c r="M7" s="113" t="s">
        <v>202</v>
      </c>
      <c r="N7" s="207">
        <v>7344</v>
      </c>
      <c r="O7" s="221">
        <v>42090</v>
      </c>
      <c r="P7" s="21">
        <v>42090</v>
      </c>
    </row>
    <row r="8" spans="1:16" ht="15.75" x14ac:dyDescent="0.25">
      <c r="A8" s="143">
        <v>42101</v>
      </c>
      <c r="B8" s="144">
        <v>17088</v>
      </c>
      <c r="C8" s="156">
        <v>18142.400000000001</v>
      </c>
      <c r="D8" s="104">
        <v>42103</v>
      </c>
      <c r="E8" s="103">
        <v>18142.400000000001</v>
      </c>
      <c r="F8" s="155">
        <f t="shared" si="0"/>
        <v>0</v>
      </c>
      <c r="G8" s="105"/>
      <c r="H8" s="106"/>
      <c r="I8" s="315">
        <v>8076.4</v>
      </c>
      <c r="J8" s="193">
        <v>16219</v>
      </c>
      <c r="K8" s="207">
        <v>8076.4</v>
      </c>
      <c r="L8" s="207"/>
      <c r="M8" s="113" t="s">
        <v>202</v>
      </c>
      <c r="N8" s="207">
        <v>3950</v>
      </c>
      <c r="O8" s="221">
        <v>42091</v>
      </c>
      <c r="P8" s="21">
        <v>42090</v>
      </c>
    </row>
    <row r="9" spans="1:16" ht="15.75" x14ac:dyDescent="0.25">
      <c r="A9" s="143">
        <v>42102</v>
      </c>
      <c r="B9" s="144">
        <v>17131</v>
      </c>
      <c r="C9" s="156">
        <v>34822.720000000001</v>
      </c>
      <c r="D9" s="328" t="s">
        <v>379</v>
      </c>
      <c r="E9" s="103">
        <f>14727.5+20095.22</f>
        <v>34822.720000000001</v>
      </c>
      <c r="F9" s="155">
        <f t="shared" si="0"/>
        <v>0</v>
      </c>
      <c r="I9" s="315">
        <f>6365+28535+1498+5900</f>
        <v>42298</v>
      </c>
      <c r="J9" s="193">
        <v>16522</v>
      </c>
      <c r="K9" s="207">
        <v>42297.82</v>
      </c>
      <c r="L9" s="207"/>
      <c r="M9" s="113" t="s">
        <v>202</v>
      </c>
      <c r="N9" s="207">
        <v>16360</v>
      </c>
      <c r="O9" s="221">
        <v>42093</v>
      </c>
      <c r="P9" s="21">
        <v>42091</v>
      </c>
    </row>
    <row r="10" spans="1:16" ht="15.75" x14ac:dyDescent="0.25">
      <c r="A10" s="143">
        <v>42103</v>
      </c>
      <c r="B10" s="144">
        <v>17292</v>
      </c>
      <c r="C10" s="156">
        <v>1835</v>
      </c>
      <c r="D10" s="104">
        <v>42114</v>
      </c>
      <c r="E10" s="103">
        <v>1835</v>
      </c>
      <c r="F10" s="155">
        <f t="shared" si="0"/>
        <v>0</v>
      </c>
      <c r="I10" s="315">
        <v>3507</v>
      </c>
      <c r="J10" s="193">
        <v>16496</v>
      </c>
      <c r="K10" s="207">
        <v>3507.2</v>
      </c>
      <c r="L10" s="207"/>
      <c r="M10" s="113" t="s">
        <v>202</v>
      </c>
      <c r="N10" s="207">
        <v>5178</v>
      </c>
      <c r="O10" s="221">
        <v>42091</v>
      </c>
      <c r="P10" s="21">
        <v>42091</v>
      </c>
    </row>
    <row r="11" spans="1:16" ht="15.75" x14ac:dyDescent="0.25">
      <c r="A11" s="143">
        <v>42105</v>
      </c>
      <c r="B11" s="144">
        <v>17303</v>
      </c>
      <c r="C11" s="156">
        <v>55500.800000000003</v>
      </c>
      <c r="D11" s="104">
        <v>42114</v>
      </c>
      <c r="E11" s="103">
        <v>55500.800000000003</v>
      </c>
      <c r="F11" s="155">
        <f t="shared" si="0"/>
        <v>0</v>
      </c>
      <c r="I11" s="315">
        <f>14686+6364+39450+5980.5+20565</f>
        <v>87045.5</v>
      </c>
      <c r="J11" s="193">
        <v>16668</v>
      </c>
      <c r="K11" s="207">
        <v>87045.74</v>
      </c>
      <c r="L11" s="207"/>
      <c r="M11" s="113" t="s">
        <v>202</v>
      </c>
      <c r="N11" s="207">
        <v>12000</v>
      </c>
      <c r="O11" s="221">
        <v>42091</v>
      </c>
      <c r="P11" s="21">
        <v>42091</v>
      </c>
    </row>
    <row r="12" spans="1:16" ht="15.75" x14ac:dyDescent="0.25">
      <c r="A12" s="143">
        <v>42104</v>
      </c>
      <c r="B12" s="325">
        <v>17425</v>
      </c>
      <c r="C12" s="326">
        <v>51412.6</v>
      </c>
      <c r="D12" s="104">
        <v>42114</v>
      </c>
      <c r="E12" s="103">
        <v>51412.6</v>
      </c>
      <c r="F12" s="155">
        <f t="shared" si="0"/>
        <v>0</v>
      </c>
      <c r="I12" s="315">
        <f>35053.5+5471.5+7814</f>
        <v>48339</v>
      </c>
      <c r="J12" s="193">
        <v>16782</v>
      </c>
      <c r="K12" s="207">
        <v>48339.199999999997</v>
      </c>
      <c r="L12" s="207"/>
      <c r="M12" s="113" t="s">
        <v>202</v>
      </c>
      <c r="N12" s="207">
        <v>13000</v>
      </c>
      <c r="O12" s="221">
        <v>42091</v>
      </c>
      <c r="P12" s="21">
        <v>42091</v>
      </c>
    </row>
    <row r="13" spans="1:16" ht="15.75" x14ac:dyDescent="0.25">
      <c r="A13" s="143">
        <v>42105</v>
      </c>
      <c r="B13" s="144">
        <v>17493</v>
      </c>
      <c r="C13" s="156">
        <v>22642.2</v>
      </c>
      <c r="D13" s="276" t="s">
        <v>399</v>
      </c>
      <c r="E13" s="103">
        <f>20829.6+1812.6</f>
        <v>22642.199999999997</v>
      </c>
      <c r="F13" s="155">
        <f t="shared" si="0"/>
        <v>0</v>
      </c>
      <c r="G13" s="343" t="s">
        <v>400</v>
      </c>
      <c r="I13" s="242">
        <f>6283.5+36000</f>
        <v>42283.5</v>
      </c>
      <c r="J13" s="193">
        <v>16959</v>
      </c>
      <c r="K13" s="207">
        <v>42283.5</v>
      </c>
      <c r="L13" s="207" t="s">
        <v>242</v>
      </c>
      <c r="M13" s="113" t="s">
        <v>202</v>
      </c>
      <c r="N13" s="207">
        <v>2500</v>
      </c>
      <c r="O13" s="221">
        <v>42091</v>
      </c>
      <c r="P13" s="21">
        <v>42091</v>
      </c>
    </row>
    <row r="14" spans="1:16" ht="15.75" x14ac:dyDescent="0.25">
      <c r="A14" s="143">
        <v>42105</v>
      </c>
      <c r="B14" s="144">
        <v>17558</v>
      </c>
      <c r="C14" s="156">
        <v>21323.3</v>
      </c>
      <c r="D14" s="104">
        <v>42114</v>
      </c>
      <c r="E14" s="103">
        <v>21323.3</v>
      </c>
      <c r="F14" s="155">
        <f t="shared" si="0"/>
        <v>0</v>
      </c>
      <c r="I14" s="315">
        <v>18142.5</v>
      </c>
      <c r="J14" s="193">
        <v>17088</v>
      </c>
      <c r="K14" s="207">
        <v>18142.400000000001</v>
      </c>
      <c r="L14" s="207"/>
      <c r="M14" s="113" t="s">
        <v>202</v>
      </c>
      <c r="N14" s="207">
        <v>35047</v>
      </c>
      <c r="O14" s="221">
        <v>42091</v>
      </c>
      <c r="P14" s="21">
        <v>42091</v>
      </c>
    </row>
    <row r="15" spans="1:16" ht="15.75" x14ac:dyDescent="0.25">
      <c r="A15" s="143">
        <v>42105</v>
      </c>
      <c r="B15" s="144">
        <v>17562</v>
      </c>
      <c r="C15" s="156">
        <v>64147.23</v>
      </c>
      <c r="D15" s="104">
        <v>42114</v>
      </c>
      <c r="E15" s="103">
        <v>64147.23</v>
      </c>
      <c r="F15" s="155">
        <f t="shared" si="0"/>
        <v>0</v>
      </c>
      <c r="I15" s="315" t="s">
        <v>12</v>
      </c>
      <c r="J15" s="193">
        <v>17131</v>
      </c>
      <c r="K15" s="207">
        <v>14727.5</v>
      </c>
      <c r="L15" s="207" t="s">
        <v>242</v>
      </c>
      <c r="M15" s="113" t="s">
        <v>202</v>
      </c>
      <c r="N15" s="207">
        <v>2593.5</v>
      </c>
      <c r="O15" s="221">
        <v>42093</v>
      </c>
      <c r="P15" s="21">
        <v>42092</v>
      </c>
    </row>
    <row r="16" spans="1:16" ht="15.75" x14ac:dyDescent="0.25">
      <c r="A16" s="143">
        <v>42106</v>
      </c>
      <c r="B16" s="144">
        <v>17645</v>
      </c>
      <c r="C16" s="156">
        <v>51347.1</v>
      </c>
      <c r="D16" s="104">
        <v>42114</v>
      </c>
      <c r="E16" s="103">
        <v>51347.1</v>
      </c>
      <c r="F16" s="155">
        <f t="shared" si="0"/>
        <v>0</v>
      </c>
      <c r="I16" s="242">
        <v>0</v>
      </c>
      <c r="J16" s="193"/>
      <c r="K16" s="207"/>
      <c r="L16" s="207"/>
      <c r="M16" s="113" t="s">
        <v>202</v>
      </c>
      <c r="N16" s="207">
        <v>8076.4</v>
      </c>
      <c r="O16" s="221">
        <v>42093</v>
      </c>
      <c r="P16" s="21">
        <v>42092</v>
      </c>
    </row>
    <row r="17" spans="1:16" ht="15.75" x14ac:dyDescent="0.25">
      <c r="A17" s="143">
        <v>42107</v>
      </c>
      <c r="B17" s="144">
        <v>17724</v>
      </c>
      <c r="C17" s="156">
        <v>34876.9</v>
      </c>
      <c r="D17" s="276" t="s">
        <v>399</v>
      </c>
      <c r="E17" s="88">
        <f>15093.84+19783.06</f>
        <v>34876.9</v>
      </c>
      <c r="F17" s="155">
        <f t="shared" si="0"/>
        <v>0</v>
      </c>
      <c r="I17" s="242">
        <f>SUM(I4:I16)</f>
        <v>380193.9</v>
      </c>
      <c r="J17" s="193"/>
      <c r="K17" s="207"/>
      <c r="L17" s="207"/>
      <c r="M17" s="113" t="s">
        <v>202</v>
      </c>
      <c r="N17" s="207">
        <v>6365</v>
      </c>
      <c r="O17" s="221">
        <v>42093</v>
      </c>
      <c r="P17" s="21">
        <v>42093</v>
      </c>
    </row>
    <row r="18" spans="1:16" ht="15.75" x14ac:dyDescent="0.25">
      <c r="A18" s="143">
        <v>42108</v>
      </c>
      <c r="B18" s="144">
        <v>17836</v>
      </c>
      <c r="C18" s="156">
        <v>4078.2</v>
      </c>
      <c r="D18" s="104">
        <v>42114</v>
      </c>
      <c r="E18" s="103">
        <v>4078.2</v>
      </c>
      <c r="F18" s="155">
        <f t="shared" si="0"/>
        <v>0</v>
      </c>
      <c r="I18" s="242"/>
      <c r="J18" s="262"/>
      <c r="K18" s="207"/>
      <c r="L18" s="207"/>
      <c r="M18" s="113" t="s">
        <v>202</v>
      </c>
      <c r="N18" s="207">
        <v>28535</v>
      </c>
      <c r="O18" s="222">
        <v>42093</v>
      </c>
      <c r="P18" s="21">
        <v>42093</v>
      </c>
    </row>
    <row r="19" spans="1:16" ht="15.75" x14ac:dyDescent="0.25">
      <c r="A19" s="143">
        <v>42108</v>
      </c>
      <c r="B19" s="144">
        <v>17860</v>
      </c>
      <c r="C19" s="156">
        <v>43380.3</v>
      </c>
      <c r="D19" s="104">
        <v>42114</v>
      </c>
      <c r="E19" s="103">
        <v>43380.3</v>
      </c>
      <c r="F19" s="155">
        <f t="shared" si="0"/>
        <v>0</v>
      </c>
      <c r="I19" s="242"/>
      <c r="J19" s="262"/>
      <c r="K19" s="207"/>
      <c r="L19" s="207"/>
      <c r="M19" s="113" t="s">
        <v>202</v>
      </c>
      <c r="N19" s="207">
        <v>5900</v>
      </c>
      <c r="O19" s="222">
        <v>42094</v>
      </c>
      <c r="P19" s="21">
        <v>42093</v>
      </c>
    </row>
    <row r="20" spans="1:16" ht="15.75" x14ac:dyDescent="0.25">
      <c r="A20" s="143">
        <v>42109</v>
      </c>
      <c r="B20" s="144">
        <v>17948</v>
      </c>
      <c r="C20" s="156">
        <v>10767.3</v>
      </c>
      <c r="D20" s="104">
        <v>42114</v>
      </c>
      <c r="E20" s="103">
        <v>10767.3</v>
      </c>
      <c r="F20" s="155">
        <f t="shared" si="0"/>
        <v>0</v>
      </c>
      <c r="I20" s="242"/>
      <c r="J20" s="282"/>
      <c r="K20" s="207"/>
      <c r="L20" s="207"/>
      <c r="M20" s="113" t="s">
        <v>202</v>
      </c>
      <c r="N20" s="207">
        <v>1498</v>
      </c>
      <c r="O20" s="222">
        <v>42094</v>
      </c>
      <c r="P20" s="21">
        <v>42094</v>
      </c>
    </row>
    <row r="21" spans="1:16" ht="15.75" x14ac:dyDescent="0.25">
      <c r="A21" s="143">
        <v>42110</v>
      </c>
      <c r="B21" s="144">
        <v>17997</v>
      </c>
      <c r="C21" s="156">
        <v>47428.67</v>
      </c>
      <c r="D21" s="320">
        <v>42126</v>
      </c>
      <c r="E21" s="156">
        <v>47428.67</v>
      </c>
      <c r="F21" s="155">
        <f t="shared" si="0"/>
        <v>0</v>
      </c>
      <c r="I21" s="242"/>
      <c r="J21" s="262"/>
      <c r="K21" s="207"/>
      <c r="L21" s="207"/>
      <c r="M21" s="113" t="s">
        <v>202</v>
      </c>
      <c r="N21" s="207">
        <v>3507</v>
      </c>
      <c r="O21" s="221">
        <v>42094</v>
      </c>
      <c r="P21" s="21">
        <v>42094</v>
      </c>
    </row>
    <row r="22" spans="1:16" ht="16.5" thickBot="1" x14ac:dyDescent="0.3">
      <c r="A22" s="143">
        <v>42111</v>
      </c>
      <c r="B22" s="144">
        <v>18162</v>
      </c>
      <c r="C22" s="156">
        <v>63583.4</v>
      </c>
      <c r="D22" s="320">
        <v>42126</v>
      </c>
      <c r="E22" s="156">
        <v>63583.4</v>
      </c>
      <c r="F22" s="155">
        <f t="shared" si="0"/>
        <v>0</v>
      </c>
      <c r="I22" s="308"/>
      <c r="J22" s="262"/>
      <c r="K22" s="207"/>
      <c r="L22" s="207"/>
      <c r="M22" s="113" t="s">
        <v>202</v>
      </c>
      <c r="N22" s="207">
        <v>14686</v>
      </c>
      <c r="O22" s="221">
        <v>42095</v>
      </c>
      <c r="P22" s="252">
        <v>42095</v>
      </c>
    </row>
    <row r="23" spans="1:16" ht="16.5" thickTop="1" x14ac:dyDescent="0.25">
      <c r="A23" s="143">
        <v>42112</v>
      </c>
      <c r="B23" s="144">
        <v>18293</v>
      </c>
      <c r="C23" s="207">
        <v>55922.400000000001</v>
      </c>
      <c r="D23" s="320">
        <v>42126</v>
      </c>
      <c r="E23" s="207">
        <v>55922.400000000001</v>
      </c>
      <c r="F23" s="155">
        <f t="shared" si="0"/>
        <v>0</v>
      </c>
      <c r="I23" s="242"/>
      <c r="J23" s="263"/>
      <c r="K23" s="260"/>
      <c r="L23" s="260"/>
      <c r="M23" s="113" t="s">
        <v>202</v>
      </c>
      <c r="N23" s="207">
        <v>6364</v>
      </c>
      <c r="O23" s="221">
        <v>42095</v>
      </c>
      <c r="P23" s="252">
        <v>42095</v>
      </c>
    </row>
    <row r="24" spans="1:16" ht="15.75" x14ac:dyDescent="0.25">
      <c r="A24" s="143">
        <v>42113</v>
      </c>
      <c r="B24" s="144">
        <v>18337</v>
      </c>
      <c r="C24" s="156">
        <v>22575.56</v>
      </c>
      <c r="D24" s="320">
        <v>42126</v>
      </c>
      <c r="E24" s="156">
        <v>22575.56</v>
      </c>
      <c r="F24" s="155">
        <f t="shared" si="0"/>
        <v>0</v>
      </c>
      <c r="I24" s="242"/>
      <c r="J24" s="263"/>
      <c r="K24" s="130"/>
      <c r="L24" s="130"/>
      <c r="M24" s="191">
        <v>2720565</v>
      </c>
      <c r="N24" s="207">
        <v>39450</v>
      </c>
      <c r="O24" s="221">
        <v>42096</v>
      </c>
      <c r="P24" s="252">
        <v>42096</v>
      </c>
    </row>
    <row r="25" spans="1:16" ht="15.75" x14ac:dyDescent="0.25">
      <c r="A25" s="143">
        <v>42114</v>
      </c>
      <c r="B25" s="144">
        <v>18448</v>
      </c>
      <c r="C25" s="156">
        <v>21185.5</v>
      </c>
      <c r="D25" s="320">
        <v>42126</v>
      </c>
      <c r="E25" s="156">
        <v>21185.5</v>
      </c>
      <c r="F25" s="155">
        <f t="shared" si="0"/>
        <v>0</v>
      </c>
      <c r="I25" s="242"/>
      <c r="J25" s="262"/>
      <c r="K25" s="207"/>
      <c r="L25" s="207"/>
      <c r="M25" s="113" t="s">
        <v>202</v>
      </c>
      <c r="N25" s="214">
        <v>5980.5</v>
      </c>
      <c r="O25" s="221">
        <v>42098</v>
      </c>
      <c r="P25" s="252">
        <v>42098</v>
      </c>
    </row>
    <row r="26" spans="1:16" ht="15.75" x14ac:dyDescent="0.25">
      <c r="A26" s="143">
        <v>42115</v>
      </c>
      <c r="B26" s="144">
        <v>18556</v>
      </c>
      <c r="C26" s="156">
        <v>3756.8</v>
      </c>
      <c r="D26" s="320">
        <v>42126</v>
      </c>
      <c r="E26" s="156">
        <v>3756.8</v>
      </c>
      <c r="F26" s="155">
        <f t="shared" si="0"/>
        <v>0</v>
      </c>
      <c r="I26" s="242"/>
      <c r="J26" s="262"/>
      <c r="K26" s="207"/>
      <c r="L26" s="207"/>
      <c r="M26" s="113" t="s">
        <v>202</v>
      </c>
      <c r="N26" s="207">
        <v>35053.5</v>
      </c>
      <c r="O26" s="222">
        <v>42098</v>
      </c>
      <c r="P26" s="252">
        <v>42098</v>
      </c>
    </row>
    <row r="27" spans="1:16" ht="15.75" x14ac:dyDescent="0.25">
      <c r="A27" s="143">
        <v>42115</v>
      </c>
      <c r="B27" s="144">
        <v>18609</v>
      </c>
      <c r="C27" s="156">
        <v>55759.4</v>
      </c>
      <c r="D27" s="320">
        <v>42126</v>
      </c>
      <c r="E27" s="156">
        <v>55759.4</v>
      </c>
      <c r="F27" s="155">
        <f t="shared" si="0"/>
        <v>0</v>
      </c>
      <c r="I27" s="242"/>
      <c r="J27" s="264"/>
      <c r="K27" s="207"/>
      <c r="L27" s="207"/>
      <c r="M27" s="113" t="s">
        <v>202</v>
      </c>
      <c r="N27" s="207">
        <v>20565</v>
      </c>
      <c r="O27" s="222">
        <v>42098</v>
      </c>
      <c r="P27" s="252">
        <v>42098</v>
      </c>
    </row>
    <row r="28" spans="1:16" ht="15.75" x14ac:dyDescent="0.25">
      <c r="A28" s="143">
        <v>42116</v>
      </c>
      <c r="B28" s="144">
        <v>18687</v>
      </c>
      <c r="C28" s="156">
        <v>6453.9</v>
      </c>
      <c r="D28" s="320">
        <v>42126</v>
      </c>
      <c r="E28" s="156">
        <v>6453.9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5471.5</v>
      </c>
      <c r="O28" s="221">
        <v>42100</v>
      </c>
      <c r="P28" s="252">
        <v>42099</v>
      </c>
    </row>
    <row r="29" spans="1:16" ht="15.75" x14ac:dyDescent="0.25">
      <c r="A29" s="143">
        <v>42116</v>
      </c>
      <c r="B29" s="144">
        <v>18688</v>
      </c>
      <c r="C29" s="156">
        <v>24740.1</v>
      </c>
      <c r="D29" s="320">
        <v>42126</v>
      </c>
      <c r="E29" s="156">
        <v>24740.1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07">
        <v>7814</v>
      </c>
      <c r="O29" s="221">
        <v>42100</v>
      </c>
      <c r="P29" s="252">
        <v>42099</v>
      </c>
    </row>
    <row r="30" spans="1:16" ht="15.75" x14ac:dyDescent="0.25">
      <c r="A30" s="143">
        <v>42117</v>
      </c>
      <c r="B30" s="144">
        <v>18754</v>
      </c>
      <c r="C30" s="156">
        <v>87301.5</v>
      </c>
      <c r="D30" s="320">
        <v>42126</v>
      </c>
      <c r="E30" s="156">
        <v>87301.5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6283.5</v>
      </c>
      <c r="O30" s="221">
        <v>42100</v>
      </c>
      <c r="P30" s="252">
        <v>42100</v>
      </c>
    </row>
    <row r="31" spans="1:16" ht="15.75" x14ac:dyDescent="0.25">
      <c r="A31" s="143">
        <v>42118</v>
      </c>
      <c r="B31" s="144">
        <v>18943</v>
      </c>
      <c r="C31" s="156">
        <v>13911.88</v>
      </c>
      <c r="D31" s="320">
        <v>42126</v>
      </c>
      <c r="E31" s="156">
        <v>13911.88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36000</v>
      </c>
      <c r="O31" s="221">
        <v>42100</v>
      </c>
      <c r="P31" s="252">
        <v>42100</v>
      </c>
    </row>
    <row r="32" spans="1:16" ht="15.75" x14ac:dyDescent="0.25">
      <c r="A32" s="143">
        <v>42118</v>
      </c>
      <c r="B32" s="144">
        <v>18951</v>
      </c>
      <c r="C32" s="156">
        <v>22506.12</v>
      </c>
      <c r="D32" s="320">
        <v>42126</v>
      </c>
      <c r="E32" s="156">
        <v>22506.12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8121.5</v>
      </c>
      <c r="O32" s="221">
        <v>42101</v>
      </c>
      <c r="P32" s="252">
        <v>42101</v>
      </c>
    </row>
    <row r="33" spans="1:16" ht="15.75" x14ac:dyDescent="0.25">
      <c r="A33" s="143">
        <v>42119</v>
      </c>
      <c r="B33" s="144">
        <v>19030</v>
      </c>
      <c r="C33" s="156">
        <v>10343.799999999999</v>
      </c>
      <c r="D33" s="320">
        <v>42126</v>
      </c>
      <c r="E33" s="156">
        <v>10343.799999999999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18142.5</v>
      </c>
      <c r="O33" s="221">
        <v>42101</v>
      </c>
      <c r="P33" s="252">
        <v>42101</v>
      </c>
    </row>
    <row r="34" spans="1:16" ht="15.75" x14ac:dyDescent="0.25">
      <c r="A34" s="143">
        <v>42119</v>
      </c>
      <c r="B34" s="144">
        <v>19032</v>
      </c>
      <c r="C34" s="156">
        <v>89228.52</v>
      </c>
      <c r="D34" s="320">
        <v>42126</v>
      </c>
      <c r="E34" s="156">
        <v>89228.52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6606</v>
      </c>
      <c r="O34" s="221">
        <v>42101</v>
      </c>
      <c r="P34" s="252">
        <v>42101</v>
      </c>
    </row>
    <row r="35" spans="1:16" ht="15.75" x14ac:dyDescent="0.25">
      <c r="A35" s="143">
        <v>42121</v>
      </c>
      <c r="B35" s="144">
        <v>19213</v>
      </c>
      <c r="C35" s="156">
        <v>32688.560000000001</v>
      </c>
      <c r="D35" s="320">
        <v>42126</v>
      </c>
      <c r="E35" s="156">
        <v>32688.560000000001</v>
      </c>
      <c r="F35" s="155">
        <f t="shared" si="0"/>
        <v>0</v>
      </c>
      <c r="I35" s="153"/>
      <c r="J35" s="206"/>
      <c r="K35" s="207"/>
      <c r="L35" s="207"/>
      <c r="M35" s="113"/>
      <c r="N35" s="207">
        <v>0</v>
      </c>
      <c r="O35" s="222"/>
      <c r="P35" s="252"/>
    </row>
    <row r="36" spans="1:16" ht="15.75" x14ac:dyDescent="0.25">
      <c r="A36" s="143">
        <v>42122</v>
      </c>
      <c r="B36" s="144">
        <v>19302</v>
      </c>
      <c r="C36" s="156">
        <v>42464.5</v>
      </c>
      <c r="D36" s="320">
        <v>42126</v>
      </c>
      <c r="E36" s="156">
        <v>42464.5</v>
      </c>
      <c r="F36" s="155">
        <f t="shared" si="0"/>
        <v>0</v>
      </c>
      <c r="I36" s="153"/>
      <c r="J36" s="193"/>
      <c r="K36" s="207"/>
      <c r="L36" s="207"/>
      <c r="M36" s="113"/>
      <c r="N36" s="207">
        <v>0</v>
      </c>
      <c r="O36" s="221"/>
      <c r="P36" s="252"/>
    </row>
    <row r="37" spans="1:16" ht="15.75" x14ac:dyDescent="0.25">
      <c r="A37" s="143">
        <v>42123</v>
      </c>
      <c r="B37" s="292">
        <v>19455</v>
      </c>
      <c r="C37" s="157">
        <v>54450.1</v>
      </c>
      <c r="D37" s="276" t="s">
        <v>424</v>
      </c>
      <c r="E37" s="157">
        <f>29849.49+24600.61</f>
        <v>54450.100000000006</v>
      </c>
      <c r="F37" s="155">
        <f t="shared" si="0"/>
        <v>0</v>
      </c>
      <c r="I37" s="153"/>
      <c r="J37" s="196"/>
      <c r="K37" s="121">
        <v>0</v>
      </c>
      <c r="L37" s="121"/>
      <c r="M37" s="113"/>
      <c r="N37" s="121">
        <v>0</v>
      </c>
      <c r="O37" s="119"/>
      <c r="P37" s="252"/>
    </row>
    <row r="38" spans="1:16" ht="18.75" x14ac:dyDescent="0.3">
      <c r="A38" s="143">
        <v>42124</v>
      </c>
      <c r="B38" s="292">
        <v>19536</v>
      </c>
      <c r="C38" s="157">
        <v>84750.48</v>
      </c>
      <c r="D38" s="298">
        <v>42140</v>
      </c>
      <c r="E38" s="88">
        <v>84750.48</v>
      </c>
      <c r="F38" s="155">
        <f t="shared" si="0"/>
        <v>0</v>
      </c>
      <c r="I38" s="153"/>
      <c r="K38" s="131">
        <f>SUM(K4:K37)</f>
        <v>394921.66000000003</v>
      </c>
      <c r="L38" s="131"/>
      <c r="M38" s="131"/>
      <c r="N38" s="131">
        <f>SUM(N4:N37)</f>
        <v>394921.4</v>
      </c>
      <c r="P38" s="252"/>
    </row>
    <row r="39" spans="1:16" ht="15.75" x14ac:dyDescent="0.25">
      <c r="A39" s="143"/>
      <c r="B39" s="292"/>
      <c r="C39" s="157"/>
      <c r="D39" s="298"/>
      <c r="E39" s="88"/>
      <c r="F39" s="155">
        <f t="shared" si="0"/>
        <v>0</v>
      </c>
      <c r="I39" s="153"/>
      <c r="J39" s="28"/>
      <c r="K39" s="88"/>
      <c r="L39" s="88"/>
      <c r="M39" s="135"/>
      <c r="N39" s="88"/>
      <c r="O39" s="250"/>
      <c r="P39" s="252"/>
    </row>
    <row r="40" spans="1:16" ht="15.75" customHeight="1" x14ac:dyDescent="0.25">
      <c r="A40" s="143"/>
      <c r="B40" s="292"/>
      <c r="C40" s="157"/>
      <c r="D40" s="298"/>
      <c r="E40" s="88"/>
      <c r="F40" s="241">
        <f t="shared" si="0"/>
        <v>0</v>
      </c>
      <c r="I40" s="153"/>
      <c r="J40" s="13"/>
      <c r="K40" s="56"/>
      <c r="L40" s="56"/>
      <c r="M40" s="56"/>
      <c r="N40" s="56"/>
      <c r="O40" s="13"/>
      <c r="P40" s="28"/>
    </row>
    <row r="41" spans="1:16" ht="15.75" customHeight="1" x14ac:dyDescent="0.25">
      <c r="A41" s="305"/>
      <c r="B41" s="306"/>
      <c r="C41" s="88"/>
      <c r="D41" s="299"/>
      <c r="E41" s="88"/>
      <c r="F41" s="241">
        <f t="shared" si="0"/>
        <v>0</v>
      </c>
      <c r="I41" s="153"/>
      <c r="P41" s="28"/>
    </row>
    <row r="42" spans="1:16" ht="15.75" x14ac:dyDescent="0.25">
      <c r="A42" s="143"/>
      <c r="B42" s="307"/>
      <c r="C42" s="207"/>
      <c r="D42" s="299"/>
      <c r="E42" s="88"/>
      <c r="F42" s="241">
        <f t="shared" si="0"/>
        <v>0</v>
      </c>
      <c r="I42" s="49"/>
      <c r="J42" s="104"/>
      <c r="K42" s="288">
        <v>42114</v>
      </c>
      <c r="L42" s="215"/>
      <c r="M42" s="134" t="s">
        <v>200</v>
      </c>
      <c r="N42" s="88"/>
    </row>
    <row r="43" spans="1:16" x14ac:dyDescent="0.25">
      <c r="A43" s="143"/>
      <c r="B43" s="307"/>
      <c r="C43" s="207"/>
      <c r="D43" s="299"/>
      <c r="E43" s="88"/>
      <c r="F43" s="241">
        <f t="shared" si="0"/>
        <v>0</v>
      </c>
      <c r="I43" s="49"/>
      <c r="J43" s="104"/>
      <c r="K43" s="103"/>
      <c r="L43" s="103"/>
      <c r="M43" s="103"/>
      <c r="N43" s="213"/>
    </row>
    <row r="44" spans="1:16" ht="15.75" x14ac:dyDescent="0.25">
      <c r="A44" s="143"/>
      <c r="B44" s="282"/>
      <c r="C44" s="207"/>
      <c r="D44" s="299"/>
      <c r="E44" s="88"/>
      <c r="F44" s="241">
        <f t="shared" si="0"/>
        <v>0</v>
      </c>
      <c r="I44" s="49">
        <v>5880</v>
      </c>
      <c r="J44" s="193">
        <v>16025</v>
      </c>
      <c r="K44" s="130">
        <v>5879.87</v>
      </c>
      <c r="L44" s="130"/>
      <c r="M44" s="113" t="s">
        <v>202</v>
      </c>
      <c r="N44" s="214">
        <v>721.5</v>
      </c>
      <c r="O44" s="221">
        <v>42103</v>
      </c>
      <c r="P44" s="21">
        <v>42100</v>
      </c>
    </row>
    <row r="45" spans="1:16" ht="16.5" customHeight="1" x14ac:dyDescent="0.25">
      <c r="A45" s="143"/>
      <c r="B45" s="293"/>
      <c r="C45" s="130"/>
      <c r="D45" s="104"/>
      <c r="E45" s="103"/>
      <c r="F45" s="241">
        <f t="shared" si="0"/>
        <v>0</v>
      </c>
      <c r="I45" s="103">
        <v>1123.3499999999999</v>
      </c>
      <c r="J45" s="194">
        <v>16197</v>
      </c>
      <c r="K45" s="207">
        <v>1123.3499999999999</v>
      </c>
      <c r="L45" s="207"/>
      <c r="M45" s="113" t="s">
        <v>202</v>
      </c>
      <c r="N45" s="207">
        <v>13083</v>
      </c>
      <c r="O45" s="221">
        <v>42102</v>
      </c>
      <c r="P45" s="21">
        <v>42102</v>
      </c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9">
        <v>721.5</v>
      </c>
      <c r="J46" s="193">
        <v>16959</v>
      </c>
      <c r="K46" s="207">
        <v>721.64</v>
      </c>
      <c r="L46" s="207"/>
      <c r="M46" s="113" t="s">
        <v>202</v>
      </c>
      <c r="N46" s="207">
        <v>7012.5</v>
      </c>
      <c r="O46" s="221">
        <v>42102</v>
      </c>
      <c r="P46" s="21">
        <v>42102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9">
        <f>13083+7012.5</f>
        <v>20095.5</v>
      </c>
      <c r="J47" s="193">
        <v>17131</v>
      </c>
      <c r="K47" s="130">
        <v>20095.22</v>
      </c>
      <c r="L47" s="130"/>
      <c r="M47" s="113" t="s">
        <v>202</v>
      </c>
      <c r="N47" s="207">
        <v>5880</v>
      </c>
      <c r="O47" s="221">
        <v>42103</v>
      </c>
      <c r="P47" s="21">
        <v>42103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9">
        <v>1835</v>
      </c>
      <c r="J48" s="193">
        <v>17292</v>
      </c>
      <c r="K48" s="130">
        <v>1835</v>
      </c>
      <c r="L48" s="130"/>
      <c r="M48" s="113" t="s">
        <v>202</v>
      </c>
      <c r="N48" s="207">
        <v>25569.5</v>
      </c>
      <c r="O48" s="221">
        <v>42103</v>
      </c>
      <c r="P48" s="21">
        <v>42103</v>
      </c>
    </row>
    <row r="49" spans="1:16" ht="15.75" x14ac:dyDescent="0.25">
      <c r="A49" s="285"/>
      <c r="B49" s="290"/>
      <c r="C49" s="150"/>
      <c r="D49" s="300"/>
      <c r="E49" s="121"/>
      <c r="F49" s="150"/>
      <c r="I49" s="49">
        <f>25569.5+6305.5+18347+5279</f>
        <v>55501</v>
      </c>
      <c r="J49" s="193">
        <v>17303</v>
      </c>
      <c r="K49" s="207">
        <v>55500.800000000003</v>
      </c>
      <c r="L49" s="207"/>
      <c r="M49" s="113" t="s">
        <v>202</v>
      </c>
      <c r="N49" s="207">
        <v>1835</v>
      </c>
      <c r="O49" s="221">
        <v>42103</v>
      </c>
      <c r="P49" s="21">
        <v>42103</v>
      </c>
    </row>
    <row r="50" spans="1:16" ht="15.75" x14ac:dyDescent="0.25">
      <c r="A50" s="286"/>
      <c r="B50" s="291"/>
      <c r="C50" s="150"/>
      <c r="D50" s="159"/>
      <c r="E50" s="150"/>
      <c r="F50" s="150"/>
      <c r="I50" s="49">
        <f>3101.5+5651.5+11485.5+31174</f>
        <v>51412.5</v>
      </c>
      <c r="J50" s="193">
        <v>17425</v>
      </c>
      <c r="K50" s="207">
        <v>51412.6</v>
      </c>
      <c r="L50" s="324" t="s">
        <v>375</v>
      </c>
      <c r="M50" s="113" t="s">
        <v>202</v>
      </c>
      <c r="N50" s="207">
        <v>6305.5</v>
      </c>
      <c r="O50" s="221">
        <v>42103</v>
      </c>
      <c r="P50" s="21">
        <v>42103</v>
      </c>
    </row>
    <row r="51" spans="1:16" ht="15.75" x14ac:dyDescent="0.25">
      <c r="A51" s="286"/>
      <c r="B51" s="291"/>
      <c r="C51" s="150"/>
      <c r="D51" s="159"/>
      <c r="E51" s="150"/>
      <c r="F51" s="150"/>
      <c r="I51" s="49">
        <v>20829.5</v>
      </c>
      <c r="J51" s="193">
        <v>17493</v>
      </c>
      <c r="K51" s="322">
        <v>20829.599999999999</v>
      </c>
      <c r="L51" s="321" t="s">
        <v>374</v>
      </c>
      <c r="M51" s="113" t="s">
        <v>202</v>
      </c>
      <c r="N51" s="323">
        <v>31174</v>
      </c>
      <c r="O51" s="221">
        <v>42104</v>
      </c>
      <c r="P51" s="21">
        <v>42104</v>
      </c>
    </row>
    <row r="52" spans="1:16" ht="15.75" x14ac:dyDescent="0.25">
      <c r="A52" s="285"/>
      <c r="B52" s="290"/>
      <c r="C52" s="150"/>
      <c r="D52" s="300"/>
      <c r="E52" s="121"/>
      <c r="F52" s="150"/>
      <c r="I52" s="49">
        <f>20533.5+790</f>
        <v>21323.5</v>
      </c>
      <c r="J52" s="193">
        <v>17558</v>
      </c>
      <c r="K52" s="207">
        <v>21323.3</v>
      </c>
      <c r="L52" s="207"/>
      <c r="M52" s="113" t="s">
        <v>202</v>
      </c>
      <c r="N52" s="207">
        <v>18347</v>
      </c>
      <c r="O52" s="221">
        <v>42104</v>
      </c>
      <c r="P52" s="21">
        <v>42104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9">
        <f>6453+55657+2037</f>
        <v>64147</v>
      </c>
      <c r="J53" s="193">
        <v>17562</v>
      </c>
      <c r="K53" s="207">
        <v>64147.23</v>
      </c>
      <c r="L53" s="207"/>
      <c r="M53" s="113" t="s">
        <v>202</v>
      </c>
      <c r="N53" s="207">
        <v>5279</v>
      </c>
      <c r="O53" s="221">
        <v>42104</v>
      </c>
      <c r="P53" s="21">
        <v>42104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9">
        <f>29000+8000+6649+7698</f>
        <v>51347</v>
      </c>
      <c r="J54" s="193">
        <v>17645</v>
      </c>
      <c r="K54" s="207">
        <v>51347.1</v>
      </c>
      <c r="L54" s="207"/>
      <c r="M54" s="113" t="s">
        <v>202</v>
      </c>
      <c r="N54" s="207">
        <v>20829.5</v>
      </c>
      <c r="O54" s="221">
        <v>42105</v>
      </c>
      <c r="P54" s="21">
        <v>42105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9">
        <f>15093.5</f>
        <v>15093.5</v>
      </c>
      <c r="J55" s="193">
        <v>17724</v>
      </c>
      <c r="K55" s="207">
        <v>15093.84</v>
      </c>
      <c r="L55" s="207" t="s">
        <v>376</v>
      </c>
      <c r="M55" s="113" t="s">
        <v>202</v>
      </c>
      <c r="N55" s="207">
        <v>20533.5</v>
      </c>
      <c r="O55" s="221">
        <v>42105</v>
      </c>
      <c r="P55" s="21">
        <v>42105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9">
        <v>4078</v>
      </c>
      <c r="J56" s="193">
        <v>17836</v>
      </c>
      <c r="K56" s="207">
        <v>4078.2</v>
      </c>
      <c r="L56" s="207"/>
      <c r="M56" s="113" t="s">
        <v>202</v>
      </c>
      <c r="N56" s="323">
        <v>11485.5</v>
      </c>
      <c r="O56" s="221">
        <v>42105</v>
      </c>
      <c r="P56" s="21">
        <v>42105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9">
        <f>16511.5+6962.5+5403.5+14503</f>
        <v>43380.5</v>
      </c>
      <c r="J57" s="193">
        <v>17860</v>
      </c>
      <c r="K57" s="207">
        <v>43380.3</v>
      </c>
      <c r="L57" s="207"/>
      <c r="M57" s="113" t="s">
        <v>202</v>
      </c>
      <c r="N57" s="323">
        <v>5651.5</v>
      </c>
      <c r="O57" s="221">
        <v>42105</v>
      </c>
      <c r="P57" s="21">
        <v>42105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9">
        <v>10767.5</v>
      </c>
      <c r="J58" s="193">
        <v>17948</v>
      </c>
      <c r="K58" s="207">
        <v>10767.3</v>
      </c>
      <c r="L58" s="207"/>
      <c r="M58" s="113" t="s">
        <v>202</v>
      </c>
      <c r="N58" s="207">
        <v>790</v>
      </c>
      <c r="O58" s="222">
        <v>42107</v>
      </c>
      <c r="P58" s="21">
        <v>42106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9">
        <v>0</v>
      </c>
      <c r="J59" s="262"/>
      <c r="K59" s="207"/>
      <c r="L59" s="207"/>
      <c r="M59" s="113" t="s">
        <v>202</v>
      </c>
      <c r="N59" s="207">
        <v>6453</v>
      </c>
      <c r="O59" s="222">
        <v>42107</v>
      </c>
      <c r="P59" s="21">
        <v>42106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88">
        <f>SUM(I44:I59)</f>
        <v>367535.35</v>
      </c>
      <c r="J60" s="282"/>
      <c r="K60" s="207"/>
      <c r="L60" s="207"/>
      <c r="M60" s="113" t="s">
        <v>202</v>
      </c>
      <c r="N60" s="207">
        <v>55657</v>
      </c>
      <c r="O60" s="222">
        <v>42107</v>
      </c>
      <c r="P60" s="21">
        <v>42106</v>
      </c>
    </row>
    <row r="61" spans="1:16" ht="16.5" thickTop="1" x14ac:dyDescent="0.25">
      <c r="C61" s="58">
        <f>SUM(C5:C60)</f>
        <v>1331717.3200000003</v>
      </c>
      <c r="D61" s="58"/>
      <c r="E61" s="58">
        <f>SUM(E5:E60)</f>
        <v>1331717.3200000003</v>
      </c>
      <c r="F61" s="43">
        <f>SUM(F5:F60)</f>
        <v>0</v>
      </c>
      <c r="H61" s="28"/>
      <c r="I61" s="49"/>
      <c r="J61" s="262"/>
      <c r="K61" s="207"/>
      <c r="L61" s="207"/>
      <c r="M61" s="113" t="s">
        <v>202</v>
      </c>
      <c r="N61" s="207">
        <v>2037</v>
      </c>
      <c r="O61" s="221">
        <v>42107</v>
      </c>
      <c r="P61" s="21">
        <v>42107</v>
      </c>
    </row>
    <row r="62" spans="1:16" ht="15.75" x14ac:dyDescent="0.25">
      <c r="A62" s="342"/>
      <c r="B62"/>
      <c r="D62"/>
      <c r="E62" s="43"/>
      <c r="H62" s="28"/>
      <c r="I62" s="49"/>
      <c r="J62" s="262"/>
      <c r="K62" s="207"/>
      <c r="L62" s="207"/>
      <c r="M62" s="113" t="s">
        <v>202</v>
      </c>
      <c r="N62" s="207">
        <v>29000</v>
      </c>
      <c r="O62" s="221">
        <v>42107</v>
      </c>
      <c r="P62" s="252">
        <v>42107</v>
      </c>
    </row>
    <row r="63" spans="1:16" ht="15.75" x14ac:dyDescent="0.25">
      <c r="A63" s="342"/>
      <c r="B63"/>
      <c r="D63"/>
      <c r="E63" s="43"/>
      <c r="H63" s="28"/>
      <c r="I63" s="49"/>
      <c r="J63" s="263"/>
      <c r="K63" s="260"/>
      <c r="L63" s="260"/>
      <c r="M63" s="113" t="s">
        <v>202</v>
      </c>
      <c r="N63" s="207">
        <v>8000</v>
      </c>
      <c r="O63" s="221">
        <v>42109</v>
      </c>
      <c r="P63" s="252">
        <v>42107</v>
      </c>
    </row>
    <row r="64" spans="1:16" ht="15.75" x14ac:dyDescent="0.25">
      <c r="A64" s="342"/>
      <c r="B64"/>
      <c r="D64"/>
      <c r="E64" s="43"/>
      <c r="H64" s="28"/>
      <c r="I64" s="49"/>
      <c r="J64" s="263"/>
      <c r="K64" s="130"/>
      <c r="L64" s="130"/>
      <c r="M64" s="191" t="s">
        <v>202</v>
      </c>
      <c r="N64" s="207">
        <v>6649</v>
      </c>
      <c r="O64" s="221">
        <v>42107</v>
      </c>
      <c r="P64" s="252">
        <v>42107</v>
      </c>
    </row>
    <row r="65" spans="1:16" ht="15.75" x14ac:dyDescent="0.25">
      <c r="A65" s="342"/>
      <c r="B65"/>
      <c r="D65"/>
      <c r="E65" s="43"/>
      <c r="H65" s="28"/>
      <c r="I65" s="49"/>
      <c r="J65" s="262"/>
      <c r="K65" s="207"/>
      <c r="L65" s="207"/>
      <c r="M65" s="113" t="s">
        <v>202</v>
      </c>
      <c r="N65" s="214">
        <v>16511.5</v>
      </c>
      <c r="O65" s="221">
        <v>42108</v>
      </c>
      <c r="P65" s="252">
        <v>42108</v>
      </c>
    </row>
    <row r="66" spans="1:16" ht="15.75" x14ac:dyDescent="0.25">
      <c r="A66" s="342"/>
      <c r="B66"/>
      <c r="D66"/>
      <c r="E66" s="43"/>
      <c r="H66" s="28"/>
      <c r="I66" s="49"/>
      <c r="J66" s="262"/>
      <c r="K66" s="207"/>
      <c r="L66" s="207"/>
      <c r="M66" s="113" t="s">
        <v>202</v>
      </c>
      <c r="N66" s="207">
        <v>7698</v>
      </c>
      <c r="O66" s="222">
        <v>42108</v>
      </c>
      <c r="P66" s="252">
        <v>42108</v>
      </c>
    </row>
    <row r="67" spans="1:16" ht="15.75" x14ac:dyDescent="0.25">
      <c r="A67" s="342"/>
      <c r="B67"/>
      <c r="D67"/>
      <c r="E67" s="43"/>
      <c r="H67" s="28"/>
      <c r="I67" s="49"/>
      <c r="J67" s="264"/>
      <c r="K67" s="207"/>
      <c r="L67" s="207"/>
      <c r="M67" s="113" t="s">
        <v>202</v>
      </c>
      <c r="N67" s="207">
        <v>4078</v>
      </c>
      <c r="O67" s="222">
        <v>42108</v>
      </c>
      <c r="P67" s="252">
        <v>42108</v>
      </c>
    </row>
    <row r="68" spans="1:16" ht="15.75" x14ac:dyDescent="0.25">
      <c r="A68" s="342"/>
      <c r="B68"/>
      <c r="D68"/>
      <c r="E68" s="43"/>
      <c r="H68" s="28"/>
      <c r="I68" s="49"/>
      <c r="J68" s="264"/>
      <c r="K68" s="130"/>
      <c r="L68" s="130"/>
      <c r="M68" s="113" t="s">
        <v>202</v>
      </c>
      <c r="N68" s="207">
        <v>6962.5</v>
      </c>
      <c r="O68" s="221">
        <v>42108</v>
      </c>
      <c r="P68" s="252">
        <v>42108</v>
      </c>
    </row>
    <row r="69" spans="1:16" ht="15.75" x14ac:dyDescent="0.25">
      <c r="A69" s="342"/>
      <c r="B69"/>
      <c r="D69"/>
      <c r="E69" s="43"/>
      <c r="H69" s="28"/>
      <c r="I69" s="49"/>
      <c r="J69" s="193"/>
      <c r="K69" s="207"/>
      <c r="L69" s="207"/>
      <c r="M69" s="113" t="s">
        <v>202</v>
      </c>
      <c r="N69" s="207">
        <v>5403.5</v>
      </c>
      <c r="O69" s="221">
        <v>42109</v>
      </c>
      <c r="P69" s="252">
        <v>42109</v>
      </c>
    </row>
    <row r="70" spans="1:16" ht="15.75" x14ac:dyDescent="0.25">
      <c r="A70" s="342"/>
      <c r="B70"/>
      <c r="D70"/>
      <c r="E70" s="43"/>
      <c r="H70" s="28"/>
      <c r="I70" s="153"/>
      <c r="J70" s="193"/>
      <c r="K70" s="207"/>
      <c r="L70" s="207"/>
      <c r="M70" s="113" t="s">
        <v>202</v>
      </c>
      <c r="N70" s="214">
        <v>10767.5</v>
      </c>
      <c r="O70" s="221">
        <v>42109</v>
      </c>
      <c r="P70" s="252">
        <v>42109</v>
      </c>
    </row>
    <row r="71" spans="1:16" ht="15.75" x14ac:dyDescent="0.25">
      <c r="A71" s="342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14503</v>
      </c>
      <c r="O71" s="221">
        <v>42109</v>
      </c>
      <c r="P71" s="252">
        <v>42109</v>
      </c>
    </row>
    <row r="72" spans="1:16" ht="15.75" x14ac:dyDescent="0.25">
      <c r="A72" s="342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15093.5</v>
      </c>
      <c r="O72" s="221">
        <v>42109</v>
      </c>
      <c r="P72" s="252">
        <v>42109</v>
      </c>
    </row>
    <row r="73" spans="1:16" ht="15.75" x14ac:dyDescent="0.25">
      <c r="A73" s="342"/>
      <c r="B73"/>
      <c r="D73"/>
      <c r="E73" s="43"/>
      <c r="H73" s="28"/>
      <c r="I73" s="153"/>
      <c r="J73" s="193"/>
      <c r="K73" s="207"/>
      <c r="L73" s="207"/>
      <c r="M73" s="113" t="s">
        <v>372</v>
      </c>
      <c r="N73" s="207">
        <v>1123.3499999999999</v>
      </c>
      <c r="O73" s="221" t="s">
        <v>373</v>
      </c>
      <c r="P73" s="252"/>
    </row>
    <row r="74" spans="1:16" ht="15.75" x14ac:dyDescent="0.25">
      <c r="A74" s="342"/>
      <c r="B74"/>
      <c r="D74"/>
      <c r="E74" s="43"/>
      <c r="H74" s="28"/>
      <c r="I74" s="153"/>
      <c r="J74" s="206"/>
      <c r="K74" s="207"/>
      <c r="L74" s="207"/>
      <c r="M74" s="113" t="s">
        <v>370</v>
      </c>
      <c r="N74" s="207">
        <v>3101.5</v>
      </c>
      <c r="O74" s="221" t="s">
        <v>371</v>
      </c>
      <c r="P74" s="252"/>
    </row>
    <row r="75" spans="1:16" ht="15.75" x14ac:dyDescent="0.25">
      <c r="H75" s="28"/>
      <c r="I75" s="153"/>
      <c r="J75" s="206"/>
      <c r="K75" s="207"/>
      <c r="L75" s="207"/>
      <c r="M75" s="113"/>
      <c r="N75" s="207">
        <v>0</v>
      </c>
      <c r="O75" s="222"/>
      <c r="P75" s="252"/>
    </row>
    <row r="76" spans="1:16" ht="15.75" x14ac:dyDescent="0.25">
      <c r="I76" s="153"/>
      <c r="J76" s="193"/>
      <c r="K76" s="207"/>
      <c r="L76" s="207"/>
      <c r="M76" s="113"/>
      <c r="N76" s="207">
        <v>0</v>
      </c>
      <c r="O76" s="221"/>
      <c r="P76" s="252"/>
    </row>
    <row r="77" spans="1:16" ht="15.75" x14ac:dyDescent="0.25">
      <c r="I77" s="153"/>
      <c r="J77" s="196"/>
      <c r="K77" s="121">
        <v>0</v>
      </c>
      <c r="L77" s="121"/>
      <c r="M77" s="113"/>
      <c r="N77" s="121">
        <v>0</v>
      </c>
      <c r="O77" s="119"/>
      <c r="P77" s="252"/>
    </row>
    <row r="78" spans="1:16" ht="18.75" x14ac:dyDescent="0.3">
      <c r="I78" s="153"/>
      <c r="K78" s="131">
        <f>SUM(K44:K77)</f>
        <v>367535.35000000003</v>
      </c>
      <c r="L78" s="131"/>
      <c r="M78" s="131"/>
      <c r="N78" s="131">
        <f>SUM(N44:N77)</f>
        <v>367535.35</v>
      </c>
      <c r="P78" s="252"/>
    </row>
    <row r="79" spans="1:16" ht="15.75" x14ac:dyDescent="0.25">
      <c r="I79" s="153"/>
      <c r="J79" s="28"/>
      <c r="K79" s="88"/>
      <c r="L79" s="88"/>
      <c r="M79" s="135"/>
      <c r="N79" s="88"/>
      <c r="O79" s="250"/>
      <c r="P79" s="252"/>
    </row>
    <row r="80" spans="1:16" ht="15.75" x14ac:dyDescent="0.25">
      <c r="I80" s="153"/>
      <c r="J80" s="249"/>
      <c r="K80" s="88"/>
      <c r="L80" s="88"/>
      <c r="M80" s="135"/>
      <c r="N80" s="88"/>
      <c r="O80" s="250"/>
      <c r="P80" s="252"/>
    </row>
    <row r="81" spans="1:16" ht="15.75" x14ac:dyDescent="0.25">
      <c r="A81" s="342"/>
      <c r="B81"/>
      <c r="C81"/>
      <c r="D81"/>
      <c r="E81"/>
      <c r="F81"/>
      <c r="I81" s="49"/>
      <c r="J81" s="104"/>
      <c r="K81" s="333">
        <v>42126</v>
      </c>
      <c r="L81" s="215"/>
      <c r="M81" s="134" t="s">
        <v>200</v>
      </c>
      <c r="N81" s="88"/>
    </row>
    <row r="82" spans="1:16" x14ac:dyDescent="0.25">
      <c r="A82" s="342"/>
      <c r="B82"/>
      <c r="C82"/>
      <c r="D82"/>
      <c r="E82"/>
      <c r="F82"/>
      <c r="I82" s="49"/>
      <c r="J82" s="104"/>
      <c r="K82" s="103"/>
      <c r="L82" s="103"/>
      <c r="M82" s="103"/>
      <c r="N82" s="213"/>
    </row>
    <row r="83" spans="1:16" ht="34.5" x14ac:dyDescent="0.25">
      <c r="A83" s="342"/>
      <c r="B83"/>
      <c r="C83"/>
      <c r="D83"/>
      <c r="E83"/>
      <c r="F83"/>
      <c r="I83" s="49"/>
      <c r="J83" s="193">
        <v>17493</v>
      </c>
      <c r="K83" s="130">
        <v>1812.6</v>
      </c>
      <c r="L83" s="335" t="s">
        <v>395</v>
      </c>
      <c r="M83" s="113" t="s">
        <v>202</v>
      </c>
      <c r="N83" s="214">
        <v>33216.5</v>
      </c>
      <c r="O83" s="221">
        <v>42110</v>
      </c>
      <c r="P83" s="281"/>
    </row>
    <row r="84" spans="1:16" ht="15.75" x14ac:dyDescent="0.25">
      <c r="A84" s="342"/>
      <c r="B84"/>
      <c r="C84"/>
      <c r="D84"/>
      <c r="E84"/>
      <c r="F84"/>
      <c r="I84" s="103">
        <f>5186.5+14597</f>
        <v>19783.5</v>
      </c>
      <c r="J84" s="194">
        <v>17724</v>
      </c>
      <c r="K84" s="207">
        <v>19783.400000000001</v>
      </c>
      <c r="L84" s="207"/>
      <c r="M84" s="113" t="s">
        <v>202</v>
      </c>
      <c r="N84" s="207">
        <v>14597</v>
      </c>
      <c r="O84" s="221">
        <v>42110</v>
      </c>
      <c r="P84" s="281"/>
    </row>
    <row r="85" spans="1:16" ht="15.75" x14ac:dyDescent="0.25">
      <c r="A85" s="342"/>
      <c r="B85"/>
      <c r="C85"/>
      <c r="D85"/>
      <c r="E85"/>
      <c r="F85"/>
      <c r="I85" s="49">
        <f>4893.5+9318.5+33216.5</f>
        <v>47428.5</v>
      </c>
      <c r="J85" s="144">
        <v>17997</v>
      </c>
      <c r="K85" s="156">
        <v>47428.67</v>
      </c>
      <c r="L85" s="207"/>
      <c r="M85" s="113" t="s">
        <v>202</v>
      </c>
      <c r="N85" s="207">
        <v>5186.5</v>
      </c>
      <c r="O85" s="221">
        <v>42110</v>
      </c>
      <c r="P85" s="281"/>
    </row>
    <row r="86" spans="1:16" ht="15.75" x14ac:dyDescent="0.25">
      <c r="A86" s="342"/>
      <c r="B86"/>
      <c r="C86"/>
      <c r="D86"/>
      <c r="E86"/>
      <c r="F86"/>
      <c r="I86" s="49">
        <f>5245.5+23050+35288</f>
        <v>63583.5</v>
      </c>
      <c r="J86" s="144">
        <v>18162</v>
      </c>
      <c r="K86" s="156">
        <v>63583.4</v>
      </c>
      <c r="L86" s="130"/>
      <c r="M86" s="113" t="s">
        <v>202</v>
      </c>
      <c r="N86" s="207">
        <v>9318.5</v>
      </c>
      <c r="O86" s="221">
        <v>42111</v>
      </c>
      <c r="P86" s="281"/>
    </row>
    <row r="87" spans="1:16" ht="15.75" x14ac:dyDescent="0.25">
      <c r="A87" s="342"/>
      <c r="B87"/>
      <c r="C87"/>
      <c r="D87"/>
      <c r="E87"/>
      <c r="F87"/>
      <c r="I87" s="49">
        <f>16251.5+6266.5+33404.5</f>
        <v>55922.5</v>
      </c>
      <c r="J87" s="144">
        <v>18293</v>
      </c>
      <c r="K87" s="207">
        <v>55922.400000000001</v>
      </c>
      <c r="L87" s="130"/>
      <c r="M87" s="113" t="s">
        <v>202</v>
      </c>
      <c r="N87" s="207">
        <v>35288</v>
      </c>
      <c r="O87" s="221">
        <v>42111</v>
      </c>
      <c r="P87" s="281"/>
    </row>
    <row r="88" spans="1:16" ht="15.75" x14ac:dyDescent="0.25">
      <c r="A88" s="342"/>
      <c r="B88"/>
      <c r="C88"/>
      <c r="D88"/>
      <c r="E88"/>
      <c r="F88"/>
      <c r="I88" s="49">
        <v>22575.5</v>
      </c>
      <c r="J88" s="144">
        <v>18337</v>
      </c>
      <c r="K88" s="156">
        <v>22575.56</v>
      </c>
      <c r="L88" s="207"/>
      <c r="M88" s="113" t="s">
        <v>202</v>
      </c>
      <c r="N88" s="207">
        <v>4893.5</v>
      </c>
      <c r="O88" s="221">
        <v>42111</v>
      </c>
      <c r="P88" s="281"/>
    </row>
    <row r="89" spans="1:16" ht="15.75" x14ac:dyDescent="0.25">
      <c r="A89" s="342"/>
      <c r="B89"/>
      <c r="C89"/>
      <c r="D89"/>
      <c r="E89"/>
      <c r="F89"/>
      <c r="I89" s="49">
        <v>21185.5</v>
      </c>
      <c r="J89" s="144">
        <v>18448</v>
      </c>
      <c r="K89" s="156">
        <v>21185.5</v>
      </c>
      <c r="L89" s="334"/>
      <c r="M89" s="113" t="s">
        <v>202</v>
      </c>
      <c r="N89" s="207">
        <v>33404.5</v>
      </c>
      <c r="O89" s="221">
        <v>42112</v>
      </c>
      <c r="P89" s="281"/>
    </row>
    <row r="90" spans="1:16" ht="15.75" x14ac:dyDescent="0.25">
      <c r="A90" s="342"/>
      <c r="B90"/>
      <c r="C90"/>
      <c r="D90"/>
      <c r="E90"/>
      <c r="F90"/>
      <c r="I90" s="49">
        <v>3757</v>
      </c>
      <c r="J90" s="144">
        <v>18556</v>
      </c>
      <c r="K90" s="156">
        <v>3756.8</v>
      </c>
      <c r="L90" s="321"/>
      <c r="M90" s="113" t="s">
        <v>202</v>
      </c>
      <c r="N90" s="207">
        <v>23050</v>
      </c>
      <c r="O90" s="221">
        <v>42112</v>
      </c>
      <c r="P90" s="281"/>
    </row>
    <row r="91" spans="1:16" ht="15.75" x14ac:dyDescent="0.25">
      <c r="A91" s="342"/>
      <c r="B91"/>
      <c r="C91"/>
      <c r="D91"/>
      <c r="E91"/>
      <c r="F91"/>
      <c r="I91" s="49">
        <f>20235+7691+7691.5+20141.5</f>
        <v>55759</v>
      </c>
      <c r="J91" s="144">
        <v>18609</v>
      </c>
      <c r="K91" s="156">
        <v>55759.4</v>
      </c>
      <c r="L91" s="207"/>
      <c r="M91" s="113" t="s">
        <v>202</v>
      </c>
      <c r="N91" s="207">
        <v>5245.5</v>
      </c>
      <c r="O91" s="221">
        <v>42112</v>
      </c>
      <c r="P91" s="281"/>
    </row>
    <row r="92" spans="1:16" ht="15.75" x14ac:dyDescent="0.25">
      <c r="A92" s="342"/>
      <c r="B92"/>
      <c r="C92"/>
      <c r="D92"/>
      <c r="E92"/>
      <c r="F92"/>
      <c r="I92" s="49">
        <v>6454</v>
      </c>
      <c r="J92" s="144">
        <v>18687</v>
      </c>
      <c r="K92" s="156">
        <v>6453.9</v>
      </c>
      <c r="L92" s="207"/>
      <c r="M92" s="113" t="s">
        <v>202</v>
      </c>
      <c r="N92" s="207">
        <v>6266.5</v>
      </c>
      <c r="O92" s="221">
        <v>42114</v>
      </c>
      <c r="P92" s="281">
        <v>42113</v>
      </c>
    </row>
    <row r="93" spans="1:16" ht="15.75" x14ac:dyDescent="0.25">
      <c r="A93" s="342"/>
      <c r="B93"/>
      <c r="C93"/>
      <c r="D93"/>
      <c r="E93"/>
      <c r="F93"/>
      <c r="I93" s="49">
        <f>15218.5+5611.5+3910</f>
        <v>24740</v>
      </c>
      <c r="J93" s="144">
        <v>18688</v>
      </c>
      <c r="K93" s="156">
        <v>24740.1</v>
      </c>
      <c r="L93" s="207"/>
      <c r="M93" s="113" t="s">
        <v>202</v>
      </c>
      <c r="N93" s="207">
        <v>22575.5</v>
      </c>
      <c r="O93" s="221">
        <v>42114</v>
      </c>
      <c r="P93" s="281">
        <v>42113</v>
      </c>
    </row>
    <row r="94" spans="1:16" ht="15.75" x14ac:dyDescent="0.25">
      <c r="A94" s="342"/>
      <c r="B94"/>
      <c r="C94"/>
      <c r="D94"/>
      <c r="E94"/>
      <c r="F94"/>
      <c r="I94" s="49">
        <f>4381+5643+56007+21270</f>
        <v>87301</v>
      </c>
      <c r="J94" s="144">
        <v>18754</v>
      </c>
      <c r="K94" s="156">
        <v>87301.5</v>
      </c>
      <c r="L94" s="207"/>
      <c r="M94" s="113" t="s">
        <v>202</v>
      </c>
      <c r="N94" s="207">
        <v>16251.5</v>
      </c>
      <c r="O94" s="221">
        <v>42114</v>
      </c>
      <c r="P94" s="281">
        <v>42113</v>
      </c>
    </row>
    <row r="95" spans="1:16" ht="15.75" x14ac:dyDescent="0.25">
      <c r="A95" s="342"/>
      <c r="B95"/>
      <c r="C95"/>
      <c r="D95"/>
      <c r="E95"/>
      <c r="F95"/>
      <c r="I95" s="49">
        <v>13912</v>
      </c>
      <c r="J95" s="144">
        <v>18943</v>
      </c>
      <c r="K95" s="156">
        <v>13911.88</v>
      </c>
      <c r="L95" s="207"/>
      <c r="M95" s="113" t="s">
        <v>202</v>
      </c>
      <c r="N95" s="207">
        <v>21185.5</v>
      </c>
      <c r="O95" s="221">
        <v>42114</v>
      </c>
      <c r="P95" s="281"/>
    </row>
    <row r="96" spans="1:16" ht="15.75" x14ac:dyDescent="0.25">
      <c r="A96" s="342"/>
      <c r="B96"/>
      <c r="C96"/>
      <c r="D96"/>
      <c r="E96"/>
      <c r="F96"/>
      <c r="I96" s="49">
        <f>17578+4928</f>
        <v>22506</v>
      </c>
      <c r="J96" s="144">
        <v>18951</v>
      </c>
      <c r="K96" s="156">
        <v>22506.12</v>
      </c>
      <c r="L96" s="207"/>
      <c r="M96" s="113" t="s">
        <v>202</v>
      </c>
      <c r="N96" s="207">
        <v>1614.5</v>
      </c>
      <c r="O96" s="221">
        <v>42114</v>
      </c>
      <c r="P96" s="281"/>
    </row>
    <row r="97" spans="1:16" ht="15.75" x14ac:dyDescent="0.25">
      <c r="A97" s="342"/>
      <c r="B97"/>
      <c r="C97"/>
      <c r="D97"/>
      <c r="E97"/>
      <c r="F97"/>
      <c r="I97" s="49">
        <v>10344</v>
      </c>
      <c r="J97" s="144">
        <v>19030</v>
      </c>
      <c r="K97" s="156">
        <v>10343.799999999999</v>
      </c>
      <c r="L97" s="207"/>
      <c r="M97" s="113" t="s">
        <v>202</v>
      </c>
      <c r="N97" s="207">
        <v>20141.5</v>
      </c>
      <c r="O97" s="221">
        <v>42115</v>
      </c>
      <c r="P97" s="281"/>
    </row>
    <row r="98" spans="1:16" ht="15.75" x14ac:dyDescent="0.25">
      <c r="A98" s="342"/>
      <c r="B98"/>
      <c r="C98"/>
      <c r="D98"/>
      <c r="E98"/>
      <c r="F98"/>
      <c r="I98" s="49">
        <f>60478.5+5493+10201+13056</f>
        <v>89228.5</v>
      </c>
      <c r="J98" s="144">
        <v>19032</v>
      </c>
      <c r="K98" s="156">
        <v>89228.52</v>
      </c>
      <c r="L98" s="207"/>
      <c r="M98" s="113" t="s">
        <v>202</v>
      </c>
      <c r="N98" s="207">
        <v>7691.5</v>
      </c>
      <c r="O98" s="221">
        <v>42115</v>
      </c>
      <c r="P98" s="281"/>
    </row>
    <row r="99" spans="1:16" ht="15.75" x14ac:dyDescent="0.25">
      <c r="A99" s="342"/>
      <c r="B99"/>
      <c r="C99"/>
      <c r="D99"/>
      <c r="E99"/>
      <c r="F99"/>
      <c r="I99" s="88">
        <f>6680.5+2008+24000</f>
        <v>32688.5</v>
      </c>
      <c r="J99" s="144">
        <v>19213</v>
      </c>
      <c r="K99" s="156">
        <v>32688.560000000001</v>
      </c>
      <c r="L99" s="207"/>
      <c r="M99" s="113" t="s">
        <v>202</v>
      </c>
      <c r="N99" s="207">
        <v>3757</v>
      </c>
      <c r="O99" s="221">
        <v>42115</v>
      </c>
      <c r="P99" s="281"/>
    </row>
    <row r="100" spans="1:16" ht="15.75" x14ac:dyDescent="0.25">
      <c r="A100" s="342"/>
      <c r="B100"/>
      <c r="C100"/>
      <c r="D100"/>
      <c r="E100"/>
      <c r="F100"/>
      <c r="I100" s="49">
        <f>4810+6254.5+6465.5+24934.5</f>
        <v>42464.5</v>
      </c>
      <c r="J100" s="144">
        <v>19302</v>
      </c>
      <c r="K100" s="156">
        <v>42464.5</v>
      </c>
      <c r="L100" s="207"/>
      <c r="M100" s="113" t="s">
        <v>202</v>
      </c>
      <c r="N100" s="207">
        <v>6454</v>
      </c>
      <c r="O100" s="221">
        <v>42116</v>
      </c>
      <c r="P100" s="281"/>
    </row>
    <row r="101" spans="1:16" ht="15.75" x14ac:dyDescent="0.25">
      <c r="I101" s="49">
        <f>28235.5+1614.5</f>
        <v>29850</v>
      </c>
      <c r="J101" s="292">
        <v>19455</v>
      </c>
      <c r="K101" s="157">
        <v>29849.49</v>
      </c>
      <c r="L101" s="207"/>
      <c r="M101" s="113" t="s">
        <v>202</v>
      </c>
      <c r="N101" s="207">
        <v>7691</v>
      </c>
      <c r="O101" s="221">
        <v>42116</v>
      </c>
      <c r="P101" s="252"/>
    </row>
    <row r="102" spans="1:16" ht="15.75" x14ac:dyDescent="0.25">
      <c r="I102" s="49">
        <v>0</v>
      </c>
      <c r="J102" s="292"/>
      <c r="K102" s="157"/>
      <c r="L102" s="260"/>
      <c r="M102" s="113" t="s">
        <v>202</v>
      </c>
      <c r="N102" s="207">
        <v>20235</v>
      </c>
      <c r="O102" s="221">
        <v>42116</v>
      </c>
      <c r="P102" s="252"/>
    </row>
    <row r="103" spans="1:16" ht="15.75" x14ac:dyDescent="0.25">
      <c r="I103" s="88">
        <f>SUM(I84:I102)</f>
        <v>649483.5</v>
      </c>
      <c r="J103" s="263"/>
      <c r="K103" s="130"/>
      <c r="L103" s="130"/>
      <c r="M103" s="113" t="s">
        <v>202</v>
      </c>
      <c r="N103" s="207">
        <v>3910</v>
      </c>
      <c r="O103" s="221">
        <v>42116</v>
      </c>
      <c r="P103" s="252"/>
    </row>
    <row r="104" spans="1:16" ht="15.75" x14ac:dyDescent="0.25">
      <c r="I104" s="49"/>
      <c r="J104" s="262"/>
      <c r="K104" s="207"/>
      <c r="L104" s="207"/>
      <c r="M104" s="113" t="s">
        <v>202</v>
      </c>
      <c r="N104" s="214">
        <v>21270</v>
      </c>
      <c r="O104" s="221">
        <v>42117</v>
      </c>
      <c r="P104" s="252"/>
    </row>
    <row r="105" spans="1:16" ht="15.75" x14ac:dyDescent="0.25">
      <c r="I105" s="49"/>
      <c r="J105" s="262"/>
      <c r="K105" s="207"/>
      <c r="L105" s="207"/>
      <c r="M105" s="113" t="s">
        <v>202</v>
      </c>
      <c r="N105" s="207">
        <v>5611.5</v>
      </c>
      <c r="O105" s="221">
        <v>42117</v>
      </c>
      <c r="P105" s="252"/>
    </row>
    <row r="106" spans="1:16" ht="15.75" x14ac:dyDescent="0.25">
      <c r="I106" s="49"/>
      <c r="J106" s="264"/>
      <c r="K106" s="207"/>
      <c r="L106" s="207"/>
      <c r="M106" s="113" t="s">
        <v>202</v>
      </c>
      <c r="N106" s="207">
        <v>15218.5</v>
      </c>
      <c r="O106" s="221">
        <v>42117</v>
      </c>
      <c r="P106" s="252"/>
    </row>
    <row r="107" spans="1:16" ht="15.75" x14ac:dyDescent="0.25">
      <c r="I107" s="49"/>
      <c r="J107" s="264"/>
      <c r="K107" s="130"/>
      <c r="L107" s="130"/>
      <c r="M107" s="113" t="s">
        <v>202</v>
      </c>
      <c r="N107" s="207">
        <v>56007</v>
      </c>
      <c r="O107" s="221">
        <v>42118</v>
      </c>
      <c r="P107" s="252"/>
    </row>
    <row r="108" spans="1:16" ht="15.75" x14ac:dyDescent="0.25">
      <c r="I108" s="49"/>
      <c r="J108" s="193"/>
      <c r="K108" s="207"/>
      <c r="L108" s="207"/>
      <c r="M108" s="113" t="s">
        <v>202</v>
      </c>
      <c r="N108" s="207">
        <v>5643</v>
      </c>
      <c r="O108" s="221">
        <v>42118</v>
      </c>
      <c r="P108" s="252"/>
    </row>
    <row r="109" spans="1:16" ht="15.75" x14ac:dyDescent="0.25">
      <c r="I109" s="153"/>
      <c r="J109" s="193"/>
      <c r="K109" s="207"/>
      <c r="L109" s="207"/>
      <c r="M109" s="113" t="s">
        <v>202</v>
      </c>
      <c r="N109" s="214">
        <v>4381</v>
      </c>
      <c r="O109" s="221">
        <v>42119</v>
      </c>
      <c r="P109" s="252"/>
    </row>
    <row r="110" spans="1:16" ht="15.75" x14ac:dyDescent="0.25">
      <c r="I110" s="208"/>
      <c r="J110" s="193"/>
      <c r="K110" s="207"/>
      <c r="L110" s="207"/>
      <c r="M110" s="113" t="s">
        <v>202</v>
      </c>
      <c r="N110" s="207">
        <v>10344</v>
      </c>
      <c r="O110" s="221">
        <v>42119</v>
      </c>
      <c r="P110" s="252"/>
    </row>
    <row r="111" spans="1:16" ht="15.75" x14ac:dyDescent="0.25">
      <c r="I111" s="153"/>
      <c r="J111" s="193"/>
      <c r="K111" s="207"/>
      <c r="L111" s="207"/>
      <c r="M111" s="113" t="s">
        <v>202</v>
      </c>
      <c r="N111" s="207">
        <v>13912</v>
      </c>
      <c r="O111" s="221">
        <v>42119</v>
      </c>
      <c r="P111" s="252"/>
    </row>
    <row r="112" spans="1:16" ht="15.75" x14ac:dyDescent="0.25">
      <c r="I112" s="153"/>
      <c r="J112" s="193"/>
      <c r="K112" s="207"/>
      <c r="L112" s="207"/>
      <c r="M112" s="113" t="s">
        <v>202</v>
      </c>
      <c r="N112" s="207">
        <v>13056</v>
      </c>
      <c r="O112" s="221">
        <v>42119</v>
      </c>
      <c r="P112" s="252"/>
    </row>
    <row r="113" spans="9:16" ht="15.75" x14ac:dyDescent="0.25">
      <c r="I113" s="153"/>
      <c r="J113" s="206"/>
      <c r="K113" s="207"/>
      <c r="L113" s="207"/>
      <c r="M113" s="113" t="s">
        <v>202</v>
      </c>
      <c r="N113" s="207">
        <v>10201</v>
      </c>
      <c r="O113" s="221">
        <v>42119</v>
      </c>
      <c r="P113" s="252"/>
    </row>
    <row r="114" spans="9:16" ht="15.75" x14ac:dyDescent="0.25">
      <c r="I114" s="153"/>
      <c r="J114" s="206"/>
      <c r="K114" s="207"/>
      <c r="L114" s="207"/>
      <c r="M114" s="113" t="s">
        <v>202</v>
      </c>
      <c r="N114" s="207">
        <v>4928</v>
      </c>
      <c r="O114" s="222">
        <v>42119</v>
      </c>
      <c r="P114" s="252"/>
    </row>
    <row r="115" spans="9:16" ht="15.75" x14ac:dyDescent="0.25">
      <c r="I115" s="153"/>
      <c r="J115" s="193"/>
      <c r="K115" s="207"/>
      <c r="L115" s="207"/>
      <c r="M115" s="113" t="s">
        <v>202</v>
      </c>
      <c r="N115" s="207">
        <v>17578</v>
      </c>
      <c r="O115" s="221">
        <v>42119</v>
      </c>
      <c r="P115" s="252"/>
    </row>
    <row r="116" spans="9:16" ht="15.75" x14ac:dyDescent="0.25">
      <c r="I116" s="153"/>
      <c r="J116" s="119"/>
      <c r="K116" s="121"/>
      <c r="L116" s="121"/>
      <c r="M116" s="113" t="s">
        <v>202</v>
      </c>
      <c r="N116" s="121">
        <v>5493</v>
      </c>
      <c r="O116" s="222">
        <v>42121</v>
      </c>
      <c r="P116" s="252">
        <v>42120</v>
      </c>
    </row>
    <row r="117" spans="9:16" ht="15.75" x14ac:dyDescent="0.25">
      <c r="I117" s="153"/>
      <c r="J117" s="119"/>
      <c r="K117" s="121"/>
      <c r="L117" s="121"/>
      <c r="M117" s="113" t="s">
        <v>202</v>
      </c>
      <c r="N117" s="121">
        <v>60478.5</v>
      </c>
      <c r="O117" s="222">
        <v>42121</v>
      </c>
      <c r="P117" s="252">
        <v>42120</v>
      </c>
    </row>
    <row r="118" spans="9:16" ht="15.75" x14ac:dyDescent="0.25">
      <c r="J118" s="119"/>
      <c r="K118" s="121"/>
      <c r="L118" s="121"/>
      <c r="M118" s="113" t="s">
        <v>202</v>
      </c>
      <c r="N118" s="121">
        <v>24000</v>
      </c>
      <c r="O118" s="222">
        <v>42121</v>
      </c>
    </row>
    <row r="119" spans="9:16" ht="15.75" x14ac:dyDescent="0.25">
      <c r="J119" s="119"/>
      <c r="K119" s="121"/>
      <c r="L119" s="121"/>
      <c r="M119" s="113" t="s">
        <v>202</v>
      </c>
      <c r="N119" s="121">
        <v>2008</v>
      </c>
      <c r="O119" s="222">
        <v>42121</v>
      </c>
    </row>
    <row r="120" spans="9:16" ht="15.75" x14ac:dyDescent="0.25">
      <c r="J120" s="119"/>
      <c r="K120" s="121"/>
      <c r="L120" s="121"/>
      <c r="M120" s="113" t="s">
        <v>202</v>
      </c>
      <c r="N120" s="121">
        <v>6680.5</v>
      </c>
      <c r="O120" s="222">
        <v>42121</v>
      </c>
    </row>
    <row r="121" spans="9:16" ht="15.75" x14ac:dyDescent="0.25">
      <c r="J121" s="119"/>
      <c r="K121" s="121"/>
      <c r="L121" s="121"/>
      <c r="M121" s="113" t="s">
        <v>202</v>
      </c>
      <c r="N121" s="121">
        <v>24934.5</v>
      </c>
      <c r="O121" s="222">
        <v>42122</v>
      </c>
    </row>
    <row r="122" spans="9:16" ht="15.75" x14ac:dyDescent="0.25">
      <c r="J122" s="119"/>
      <c r="K122" s="121"/>
      <c r="L122" s="121"/>
      <c r="M122" s="113" t="s">
        <v>202</v>
      </c>
      <c r="N122" s="121">
        <v>6465.5</v>
      </c>
      <c r="O122" s="222">
        <v>42122</v>
      </c>
    </row>
    <row r="123" spans="9:16" ht="15.75" x14ac:dyDescent="0.25">
      <c r="J123" s="119"/>
      <c r="K123" s="121"/>
      <c r="L123" s="121"/>
      <c r="M123" s="113" t="s">
        <v>202</v>
      </c>
      <c r="N123" s="121">
        <v>28235.5</v>
      </c>
      <c r="O123" s="222">
        <v>42123</v>
      </c>
    </row>
    <row r="124" spans="9:16" ht="15.75" x14ac:dyDescent="0.25">
      <c r="J124" s="119"/>
      <c r="K124" s="121"/>
      <c r="L124" s="121"/>
      <c r="M124" s="113" t="s">
        <v>202</v>
      </c>
      <c r="N124" s="121">
        <v>6254.5</v>
      </c>
      <c r="O124" s="222">
        <v>42123</v>
      </c>
    </row>
    <row r="125" spans="9:16" ht="15.75" x14ac:dyDescent="0.25">
      <c r="J125" s="196"/>
      <c r="K125" s="121">
        <v>0</v>
      </c>
      <c r="L125" s="121"/>
      <c r="M125" s="113" t="s">
        <v>202</v>
      </c>
      <c r="N125" s="121">
        <v>4810</v>
      </c>
      <c r="O125" s="222">
        <v>42123</v>
      </c>
    </row>
    <row r="126" spans="9:16" ht="17.25" x14ac:dyDescent="0.4">
      <c r="J126" s="119"/>
      <c r="K126" s="121"/>
      <c r="L126" s="338" t="s">
        <v>397</v>
      </c>
      <c r="M126" s="339"/>
      <c r="N126" s="121">
        <v>1812.6</v>
      </c>
      <c r="O126" s="128" t="s">
        <v>396</v>
      </c>
    </row>
    <row r="127" spans="9:16" ht="15.75" thickBot="1" x14ac:dyDescent="0.3">
      <c r="J127" s="336"/>
      <c r="K127" s="337"/>
      <c r="L127" s="337"/>
      <c r="M127" s="337"/>
      <c r="N127" s="337"/>
      <c r="O127" s="336"/>
    </row>
    <row r="128" spans="9:16" ht="18.75" x14ac:dyDescent="0.3">
      <c r="K128" s="131">
        <f>SUM(K83:K125)</f>
        <v>651296.1</v>
      </c>
      <c r="L128" s="131"/>
      <c r="M128" s="131"/>
      <c r="N128" s="131">
        <f>SUM(N83:N126)</f>
        <v>651296.1</v>
      </c>
    </row>
  </sheetData>
  <sortState ref="A10:D22">
    <sortCondition ref="B10:B22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ABRIL   2015</vt:lpstr>
      <vt:lpstr>Remisiones  ABRIL  2015</vt:lpstr>
      <vt:lpstr>M A Y O    2015</vt:lpstr>
      <vt:lpstr>REMISIONES MAYO 2015</vt:lpstr>
      <vt:lpstr> J U N I O    2015  </vt:lpstr>
      <vt:lpstr>REMISIONES  J U N IO 2015</vt:lpstr>
      <vt:lpstr>J u  l i o      2015</vt:lpstr>
      <vt:lpstr>Remisiones Julio 2015</vt:lpstr>
      <vt:lpstr>Hoja1</vt:lpstr>
      <vt:lpstr>Hoja5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2015-07-04T20:01:28Z</cp:lastPrinted>
  <dcterms:created xsi:type="dcterms:W3CDTF">2009-02-04T18:28:43Z</dcterms:created>
  <dcterms:modified xsi:type="dcterms:W3CDTF">2015-07-13T16:34:17Z</dcterms:modified>
</cp:coreProperties>
</file>