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-60" windowWidth="23715" windowHeight="10035" activeTab="1"/>
  </bookViews>
  <sheets>
    <sheet name="Deuda" sheetId="1" r:id="rId1"/>
    <sheet name="compras" sheetId="2" r:id="rId2"/>
    <sheet name="Alm Gral" sheetId="8" r:id="rId3"/>
    <sheet name="obrador" sheetId="6" r:id="rId4"/>
    <sheet name="Central" sheetId="10" r:id="rId5"/>
    <sheet name="CIC" sheetId="7" r:id="rId6"/>
  </sheets>
  <definedNames>
    <definedName name="_xlnm.Print_Area" localSheetId="2">'Alm Gral'!$A$1:$F$28</definedName>
    <definedName name="_xlnm.Print_Area" localSheetId="4">Central!$A$1:$J$6</definedName>
  </definedNames>
  <calcPr calcId="144525"/>
</workbook>
</file>

<file path=xl/calcChain.xml><?xml version="1.0" encoding="utf-8"?>
<calcChain xmlns="http://schemas.openxmlformats.org/spreadsheetml/2006/main">
  <c r="D59" i="1" l="1"/>
  <c r="D55" i="1"/>
  <c r="D52" i="1"/>
  <c r="C41" i="1"/>
  <c r="C40" i="1"/>
  <c r="C39" i="1"/>
  <c r="C38" i="1"/>
  <c r="C37" i="1"/>
  <c r="C35" i="1"/>
  <c r="C30" i="1"/>
  <c r="C29" i="1"/>
  <c r="C26" i="1"/>
  <c r="C25" i="1"/>
  <c r="C24" i="1"/>
  <c r="C21" i="1"/>
  <c r="D54" i="1" s="1"/>
  <c r="C18" i="1"/>
  <c r="C13" i="1"/>
  <c r="C49" i="1" s="1"/>
  <c r="C11" i="1"/>
  <c r="C9" i="1"/>
  <c r="C8" i="1"/>
  <c r="C7" i="1"/>
  <c r="C4" i="1"/>
  <c r="C3" i="1"/>
  <c r="C64" i="1" s="1"/>
  <c r="X89" i="2"/>
  <c r="Y89" i="2" s="1"/>
  <c r="W89" i="2"/>
  <c r="H89" i="2"/>
  <c r="G88" i="2"/>
  <c r="H88" i="2" s="1"/>
  <c r="E88" i="2"/>
  <c r="U88" i="2" s="1"/>
  <c r="W87" i="2"/>
  <c r="F87" i="2"/>
  <c r="T87" i="2" s="1"/>
  <c r="X87" i="2" s="1"/>
  <c r="Y87" i="2" s="1"/>
  <c r="P86" i="2"/>
  <c r="F86" i="2"/>
  <c r="H86" i="2" s="1"/>
  <c r="U85" i="2"/>
  <c r="S85" i="2"/>
  <c r="R85" i="2"/>
  <c r="G85" i="2"/>
  <c r="H85" i="2" s="1"/>
  <c r="X84" i="2"/>
  <c r="W84" i="2"/>
  <c r="F84" i="2"/>
  <c r="H84" i="2" s="1"/>
  <c r="U83" i="2"/>
  <c r="X83" i="2" s="1"/>
  <c r="Y83" i="2" s="1"/>
  <c r="H83" i="2"/>
  <c r="U82" i="2"/>
  <c r="S82" i="2"/>
  <c r="R82" i="2"/>
  <c r="G82" i="2"/>
  <c r="H82" i="2" s="1"/>
  <c r="W80" i="2"/>
  <c r="F80" i="2"/>
  <c r="T80" i="2" s="1"/>
  <c r="X80" i="2" s="1"/>
  <c r="Y80" i="2" s="1"/>
  <c r="W79" i="2"/>
  <c r="F79" i="2"/>
  <c r="T79" i="2" s="1"/>
  <c r="X79" i="2" s="1"/>
  <c r="Y79" i="2" s="1"/>
  <c r="P78" i="2"/>
  <c r="F78" i="2"/>
  <c r="H78" i="2" s="1"/>
  <c r="P77" i="2"/>
  <c r="X77" i="2" s="1"/>
  <c r="F77" i="2"/>
  <c r="H77" i="2" s="1"/>
  <c r="X76" i="2"/>
  <c r="Y76" i="2" s="1"/>
  <c r="W76" i="2"/>
  <c r="H76" i="2"/>
  <c r="X75" i="2"/>
  <c r="Y75" i="2" s="1"/>
  <c r="W75" i="2"/>
  <c r="H75" i="2"/>
  <c r="U74" i="2"/>
  <c r="S74" i="2"/>
  <c r="R74" i="2"/>
  <c r="H74" i="2"/>
  <c r="U73" i="2"/>
  <c r="S73" i="2"/>
  <c r="R73" i="2"/>
  <c r="H73" i="2"/>
  <c r="P72" i="2"/>
  <c r="F72" i="2"/>
  <c r="H72" i="2" s="1"/>
  <c r="U71" i="2"/>
  <c r="S71" i="2"/>
  <c r="R71" i="2"/>
  <c r="G71" i="2"/>
  <c r="H71" i="2" s="1"/>
  <c r="P70" i="2"/>
  <c r="F70" i="2"/>
  <c r="H70" i="2" s="1"/>
  <c r="X69" i="2"/>
  <c r="Y69" i="2" s="1"/>
  <c r="W69" i="2"/>
  <c r="H69" i="2"/>
  <c r="U68" i="2"/>
  <c r="S68" i="2"/>
  <c r="R68" i="2"/>
  <c r="G68" i="2"/>
  <c r="H68" i="2" s="1"/>
  <c r="W67" i="2"/>
  <c r="F67" i="2"/>
  <c r="T67" i="2" s="1"/>
  <c r="X67" i="2" s="1"/>
  <c r="Y67" i="2" s="1"/>
  <c r="P66" i="2"/>
  <c r="X66" i="2" s="1"/>
  <c r="F66" i="2"/>
  <c r="H66" i="2" s="1"/>
  <c r="U65" i="2"/>
  <c r="S65" i="2"/>
  <c r="R65" i="2"/>
  <c r="G65" i="2"/>
  <c r="H65" i="2" s="1"/>
  <c r="W64" i="2"/>
  <c r="F64" i="2"/>
  <c r="T64" i="2" s="1"/>
  <c r="X64" i="2" s="1"/>
  <c r="Y64" i="2" s="1"/>
  <c r="P63" i="2"/>
  <c r="F63" i="2"/>
  <c r="H63" i="2" s="1"/>
  <c r="U62" i="2"/>
  <c r="S62" i="2"/>
  <c r="R62" i="2"/>
  <c r="G62" i="2"/>
  <c r="H62" i="2" s="1"/>
  <c r="U61" i="2"/>
  <c r="X61" i="2" s="1"/>
  <c r="Y61" i="2" s="1"/>
  <c r="H61" i="2"/>
  <c r="U60" i="2"/>
  <c r="S60" i="2"/>
  <c r="R60" i="2"/>
  <c r="G60" i="2"/>
  <c r="H60" i="2" s="1"/>
  <c r="W58" i="2"/>
  <c r="F58" i="2"/>
  <c r="T58" i="2" s="1"/>
  <c r="X58" i="2" s="1"/>
  <c r="Y58" i="2" s="1"/>
  <c r="W57" i="2"/>
  <c r="F57" i="2"/>
  <c r="T57" i="2" s="1"/>
  <c r="X57" i="2" s="1"/>
  <c r="Y57" i="2" s="1"/>
  <c r="P56" i="2"/>
  <c r="F56" i="2"/>
  <c r="H56" i="2" s="1"/>
  <c r="P55" i="2"/>
  <c r="X55" i="2" s="1"/>
  <c r="F55" i="2"/>
  <c r="H55" i="2" s="1"/>
  <c r="X54" i="2"/>
  <c r="Y54" i="2" s="1"/>
  <c r="W54" i="2"/>
  <c r="H54" i="2"/>
  <c r="U53" i="2"/>
  <c r="S53" i="2"/>
  <c r="R53" i="2"/>
  <c r="G53" i="2"/>
  <c r="H53" i="2" s="1"/>
  <c r="P52" i="2"/>
  <c r="F52" i="2"/>
  <c r="H52" i="2" s="1"/>
  <c r="U51" i="2"/>
  <c r="S51" i="2"/>
  <c r="R51" i="2"/>
  <c r="G51" i="2"/>
  <c r="H51" i="2" s="1"/>
  <c r="P50" i="2"/>
  <c r="F50" i="2"/>
  <c r="H50" i="2" s="1"/>
  <c r="U49" i="2"/>
  <c r="S49" i="2"/>
  <c r="R49" i="2"/>
  <c r="G49" i="2"/>
  <c r="H49" i="2" s="1"/>
  <c r="W48" i="2"/>
  <c r="F48" i="2"/>
  <c r="T48" i="2" s="1"/>
  <c r="X48" i="2" s="1"/>
  <c r="Y48" i="2" s="1"/>
  <c r="P47" i="2"/>
  <c r="X47" i="2" s="1"/>
  <c r="F47" i="2"/>
  <c r="H47" i="2" s="1"/>
  <c r="U46" i="2"/>
  <c r="S46" i="2"/>
  <c r="R46" i="2"/>
  <c r="G46" i="2"/>
  <c r="H46" i="2" s="1"/>
  <c r="W45" i="2"/>
  <c r="F45" i="2"/>
  <c r="T45" i="2" s="1"/>
  <c r="X45" i="2" s="1"/>
  <c r="Y45" i="2" s="1"/>
  <c r="P44" i="2"/>
  <c r="F44" i="2"/>
  <c r="H44" i="2" s="1"/>
  <c r="U43" i="2"/>
  <c r="S43" i="2"/>
  <c r="R43" i="2"/>
  <c r="G43" i="2"/>
  <c r="H43" i="2" s="1"/>
  <c r="U42" i="2"/>
  <c r="S42" i="2"/>
  <c r="R42" i="2"/>
  <c r="G42" i="2"/>
  <c r="H42" i="2" s="1"/>
  <c r="P40" i="2"/>
  <c r="F40" i="2"/>
  <c r="H40" i="2" s="1"/>
  <c r="W39" i="2"/>
  <c r="F39" i="2"/>
  <c r="T39" i="2" s="1"/>
  <c r="X39" i="2" s="1"/>
  <c r="Y39" i="2" s="1"/>
  <c r="P38" i="2"/>
  <c r="F38" i="2"/>
  <c r="H38" i="2" s="1"/>
  <c r="P37" i="2"/>
  <c r="X37" i="2" s="1"/>
  <c r="F37" i="2"/>
  <c r="H37" i="2" s="1"/>
  <c r="X36" i="2"/>
  <c r="Y36" i="2" s="1"/>
  <c r="W36" i="2"/>
  <c r="H36" i="2"/>
  <c r="U35" i="2"/>
  <c r="S35" i="2"/>
  <c r="R35" i="2"/>
  <c r="G35" i="2"/>
  <c r="H35" i="2" s="1"/>
  <c r="P34" i="2"/>
  <c r="F34" i="2"/>
  <c r="H34" i="2" s="1"/>
  <c r="U33" i="2"/>
  <c r="S33" i="2"/>
  <c r="R33" i="2"/>
  <c r="G33" i="2"/>
  <c r="H33" i="2" s="1"/>
  <c r="P32" i="2"/>
  <c r="F32" i="2"/>
  <c r="H32" i="2" s="1"/>
  <c r="X31" i="2"/>
  <c r="Y31" i="2" s="1"/>
  <c r="W31" i="2"/>
  <c r="H31" i="2"/>
  <c r="X30" i="2"/>
  <c r="Y30" i="2" s="1"/>
  <c r="W30" i="2"/>
  <c r="H30" i="2"/>
  <c r="U29" i="2"/>
  <c r="S29" i="2"/>
  <c r="R29" i="2"/>
  <c r="G29" i="2"/>
  <c r="H29" i="2" s="1"/>
  <c r="W28" i="2"/>
  <c r="F28" i="2"/>
  <c r="T28" i="2" s="1"/>
  <c r="X28" i="2" s="1"/>
  <c r="Y28" i="2" s="1"/>
  <c r="P27" i="2"/>
  <c r="X27" i="2" s="1"/>
  <c r="F27" i="2"/>
  <c r="H27" i="2" s="1"/>
  <c r="U26" i="2"/>
  <c r="S26" i="2"/>
  <c r="R26" i="2"/>
  <c r="G26" i="2"/>
  <c r="H26" i="2" s="1"/>
  <c r="P25" i="2"/>
  <c r="F25" i="2"/>
  <c r="H25" i="2" s="1"/>
  <c r="P24" i="2"/>
  <c r="F24" i="2"/>
  <c r="H24" i="2" s="1"/>
  <c r="U23" i="2"/>
  <c r="G23" i="2"/>
  <c r="H23" i="2" s="1"/>
  <c r="U22" i="2"/>
  <c r="X22" i="2" s="1"/>
  <c r="Y22" i="2" s="1"/>
  <c r="H22" i="2"/>
  <c r="U21" i="2"/>
  <c r="S21" i="2"/>
  <c r="R21" i="2"/>
  <c r="G21" i="2"/>
  <c r="H21" i="2" s="1"/>
  <c r="W19" i="2"/>
  <c r="F19" i="2"/>
  <c r="T19" i="2" s="1"/>
  <c r="X19" i="2" s="1"/>
  <c r="Y19" i="2" s="1"/>
  <c r="W18" i="2"/>
  <c r="F18" i="2"/>
  <c r="T18" i="2" s="1"/>
  <c r="X18" i="2" s="1"/>
  <c r="Y18" i="2" s="1"/>
  <c r="P17" i="2"/>
  <c r="F17" i="2"/>
  <c r="H17" i="2" s="1"/>
  <c r="P16" i="2"/>
  <c r="X16" i="2" s="1"/>
  <c r="F16" i="2"/>
  <c r="H16" i="2" s="1"/>
  <c r="X15" i="2"/>
  <c r="Y15" i="2" s="1"/>
  <c r="W15" i="2"/>
  <c r="H15" i="2"/>
  <c r="U14" i="2"/>
  <c r="S14" i="2"/>
  <c r="R14" i="2"/>
  <c r="G14" i="2"/>
  <c r="H14" i="2" s="1"/>
  <c r="P13" i="2"/>
  <c r="F13" i="2"/>
  <c r="H13" i="2" s="1"/>
  <c r="X12" i="2"/>
  <c r="Y12" i="2" s="1"/>
  <c r="W12" i="2"/>
  <c r="H12" i="2"/>
  <c r="U11" i="2"/>
  <c r="S11" i="2"/>
  <c r="R11" i="2"/>
  <c r="G11" i="2"/>
  <c r="H11" i="2" s="1"/>
  <c r="P10" i="2"/>
  <c r="F10" i="2"/>
  <c r="H10" i="2" s="1"/>
  <c r="U9" i="2"/>
  <c r="S9" i="2"/>
  <c r="R9" i="2"/>
  <c r="G9" i="2"/>
  <c r="H9" i="2" s="1"/>
  <c r="W8" i="2"/>
  <c r="F8" i="2"/>
  <c r="T8" i="2" s="1"/>
  <c r="X8" i="2" s="1"/>
  <c r="Y8" i="2" s="1"/>
  <c r="G7" i="2"/>
  <c r="H7" i="2" s="1"/>
  <c r="E7" i="2"/>
  <c r="U7" i="2" s="1"/>
  <c r="W6" i="2"/>
  <c r="F6" i="2"/>
  <c r="T6" i="2" s="1"/>
  <c r="X6" i="2" s="1"/>
  <c r="Y6" i="2" s="1"/>
  <c r="P5" i="2"/>
  <c r="F5" i="2"/>
  <c r="H5" i="2" s="1"/>
  <c r="U4" i="2"/>
  <c r="S4" i="2"/>
  <c r="R4" i="2"/>
  <c r="G4" i="2"/>
  <c r="H4" i="2" s="1"/>
  <c r="X3" i="2"/>
  <c r="Y3" i="2" s="1"/>
  <c r="W3" i="2"/>
  <c r="H3" i="2"/>
  <c r="D58" i="1" l="1"/>
  <c r="D60" i="1" s="1"/>
  <c r="D53" i="1"/>
  <c r="D56" i="1"/>
  <c r="X9" i="2"/>
  <c r="Y9" i="2" s="1"/>
  <c r="Y16" i="2"/>
  <c r="X23" i="2"/>
  <c r="Y23" i="2" s="1"/>
  <c r="Y27" i="2"/>
  <c r="X29" i="2"/>
  <c r="Y29" i="2" s="1"/>
  <c r="Y37" i="2"/>
  <c r="Y47" i="2"/>
  <c r="X49" i="2"/>
  <c r="Y49" i="2" s="1"/>
  <c r="Y55" i="2"/>
  <c r="Y66" i="2"/>
  <c r="X68" i="2"/>
  <c r="Y68" i="2" s="1"/>
  <c r="Y77" i="2"/>
  <c r="Y84" i="2"/>
  <c r="W4" i="2"/>
  <c r="T4" i="2" s="1"/>
  <c r="X4" i="2" s="1"/>
  <c r="Y4" i="2" s="1"/>
  <c r="W5" i="2"/>
  <c r="T5" i="2" s="1"/>
  <c r="X5" i="2" s="1"/>
  <c r="Y5" i="2" s="1"/>
  <c r="H6" i="2"/>
  <c r="R7" i="2"/>
  <c r="S7" i="2"/>
  <c r="H8" i="2"/>
  <c r="W9" i="2"/>
  <c r="W10" i="2"/>
  <c r="T10" i="2" s="1"/>
  <c r="X10" i="2" s="1"/>
  <c r="Y10" i="2" s="1"/>
  <c r="W11" i="2"/>
  <c r="T11" i="2" s="1"/>
  <c r="X11" i="2" s="1"/>
  <c r="Y11" i="2" s="1"/>
  <c r="W13" i="2"/>
  <c r="T13" i="2" s="1"/>
  <c r="X13" i="2" s="1"/>
  <c r="Y13" i="2" s="1"/>
  <c r="W14" i="2"/>
  <c r="T14" i="2" s="1"/>
  <c r="X14" i="2" s="1"/>
  <c r="Y14" i="2" s="1"/>
  <c r="W16" i="2"/>
  <c r="W17" i="2"/>
  <c r="T17" i="2" s="1"/>
  <c r="X17" i="2" s="1"/>
  <c r="Y17" i="2" s="1"/>
  <c r="H18" i="2"/>
  <c r="H19" i="2"/>
  <c r="W21" i="2"/>
  <c r="T21" i="2" s="1"/>
  <c r="X21" i="2" s="1"/>
  <c r="Y21" i="2" s="1"/>
  <c r="W22" i="2"/>
  <c r="W23" i="2"/>
  <c r="W24" i="2"/>
  <c r="T24" i="2" s="1"/>
  <c r="X24" i="2" s="1"/>
  <c r="Y24" i="2" s="1"/>
  <c r="W25" i="2"/>
  <c r="T25" i="2" s="1"/>
  <c r="X25" i="2" s="1"/>
  <c r="Y25" i="2" s="1"/>
  <c r="W26" i="2"/>
  <c r="T26" i="2" s="1"/>
  <c r="X26" i="2" s="1"/>
  <c r="Y26" i="2" s="1"/>
  <c r="W27" i="2"/>
  <c r="H28" i="2"/>
  <c r="W29" i="2"/>
  <c r="W32" i="2"/>
  <c r="T32" i="2" s="1"/>
  <c r="X32" i="2" s="1"/>
  <c r="Y32" i="2" s="1"/>
  <c r="W33" i="2"/>
  <c r="T33" i="2" s="1"/>
  <c r="X33" i="2" s="1"/>
  <c r="Y33" i="2" s="1"/>
  <c r="W34" i="2"/>
  <c r="T34" i="2" s="1"/>
  <c r="X34" i="2" s="1"/>
  <c r="Y34" i="2" s="1"/>
  <c r="W35" i="2"/>
  <c r="T35" i="2" s="1"/>
  <c r="X35" i="2" s="1"/>
  <c r="Y35" i="2" s="1"/>
  <c r="W37" i="2"/>
  <c r="W38" i="2"/>
  <c r="T38" i="2" s="1"/>
  <c r="X38" i="2" s="1"/>
  <c r="Y38" i="2" s="1"/>
  <c r="H39" i="2"/>
  <c r="W40" i="2"/>
  <c r="T40" i="2" s="1"/>
  <c r="X40" i="2" s="1"/>
  <c r="Y40" i="2" s="1"/>
  <c r="W42" i="2"/>
  <c r="T42" i="2" s="1"/>
  <c r="X42" i="2" s="1"/>
  <c r="Y42" i="2" s="1"/>
  <c r="W43" i="2"/>
  <c r="T43" i="2" s="1"/>
  <c r="X43" i="2" s="1"/>
  <c r="Y43" i="2" s="1"/>
  <c r="W44" i="2"/>
  <c r="T44" i="2" s="1"/>
  <c r="X44" i="2" s="1"/>
  <c r="Y44" i="2" s="1"/>
  <c r="H45" i="2"/>
  <c r="W46" i="2"/>
  <c r="T46" i="2" s="1"/>
  <c r="X46" i="2" s="1"/>
  <c r="Y46" i="2" s="1"/>
  <c r="W47" i="2"/>
  <c r="H48" i="2"/>
  <c r="W49" i="2"/>
  <c r="W50" i="2"/>
  <c r="T50" i="2" s="1"/>
  <c r="X50" i="2" s="1"/>
  <c r="Y50" i="2" s="1"/>
  <c r="W51" i="2"/>
  <c r="T51" i="2" s="1"/>
  <c r="X51" i="2" s="1"/>
  <c r="Y51" i="2" s="1"/>
  <c r="W52" i="2"/>
  <c r="T52" i="2" s="1"/>
  <c r="X52" i="2" s="1"/>
  <c r="Y52" i="2" s="1"/>
  <c r="W53" i="2"/>
  <c r="T53" i="2" s="1"/>
  <c r="X53" i="2" s="1"/>
  <c r="Y53" i="2" s="1"/>
  <c r="W55" i="2"/>
  <c r="W56" i="2"/>
  <c r="T56" i="2" s="1"/>
  <c r="X56" i="2" s="1"/>
  <c r="Y56" i="2" s="1"/>
  <c r="H57" i="2"/>
  <c r="H58" i="2"/>
  <c r="W60" i="2"/>
  <c r="T60" i="2" s="1"/>
  <c r="X60" i="2" s="1"/>
  <c r="Y60" i="2" s="1"/>
  <c r="W61" i="2"/>
  <c r="W62" i="2"/>
  <c r="T62" i="2" s="1"/>
  <c r="X62" i="2" s="1"/>
  <c r="Y62" i="2" s="1"/>
  <c r="W63" i="2"/>
  <c r="T63" i="2" s="1"/>
  <c r="X63" i="2" s="1"/>
  <c r="Y63" i="2" s="1"/>
  <c r="H64" i="2"/>
  <c r="W65" i="2"/>
  <c r="T65" i="2" s="1"/>
  <c r="X65" i="2" s="1"/>
  <c r="Y65" i="2" s="1"/>
  <c r="W66" i="2"/>
  <c r="H67" i="2"/>
  <c r="W68" i="2"/>
  <c r="W70" i="2"/>
  <c r="T70" i="2" s="1"/>
  <c r="X70" i="2" s="1"/>
  <c r="Y70" i="2" s="1"/>
  <c r="W71" i="2"/>
  <c r="T71" i="2" s="1"/>
  <c r="X71" i="2" s="1"/>
  <c r="Y71" i="2" s="1"/>
  <c r="W72" i="2"/>
  <c r="T72" i="2" s="1"/>
  <c r="X72" i="2" s="1"/>
  <c r="Y72" i="2" s="1"/>
  <c r="W73" i="2"/>
  <c r="T73" i="2" s="1"/>
  <c r="X73" i="2" s="1"/>
  <c r="Y73" i="2" s="1"/>
  <c r="W74" i="2"/>
  <c r="T74" i="2" s="1"/>
  <c r="X74" i="2" s="1"/>
  <c r="Y74" i="2" s="1"/>
  <c r="W77" i="2"/>
  <c r="W78" i="2"/>
  <c r="T78" i="2" s="1"/>
  <c r="X78" i="2" s="1"/>
  <c r="Y78" i="2" s="1"/>
  <c r="H79" i="2"/>
  <c r="H80" i="2"/>
  <c r="W82" i="2"/>
  <c r="T82" i="2" s="1"/>
  <c r="X82" i="2" s="1"/>
  <c r="Y82" i="2" s="1"/>
  <c r="W83" i="2"/>
  <c r="W85" i="2"/>
  <c r="T85" i="2" s="1"/>
  <c r="X85" i="2" s="1"/>
  <c r="Y85" i="2" s="1"/>
  <c r="W86" i="2"/>
  <c r="T86" i="2" s="1"/>
  <c r="X86" i="2" s="1"/>
  <c r="Y86" i="2" s="1"/>
  <c r="H87" i="2"/>
  <c r="R88" i="2"/>
  <c r="S88" i="2"/>
  <c r="E122" i="6"/>
  <c r="E121" i="6"/>
  <c r="E120" i="6"/>
  <c r="E119" i="6"/>
  <c r="E118" i="6"/>
  <c r="E117" i="6"/>
  <c r="E116" i="6"/>
  <c r="E115" i="6"/>
  <c r="E114" i="6"/>
  <c r="E113" i="6"/>
  <c r="E112" i="6"/>
  <c r="E124" i="6" s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108" i="6" s="1"/>
  <c r="E76" i="6"/>
  <c r="E77" i="6" s="1"/>
  <c r="E72" i="6"/>
  <c r="E71" i="6"/>
  <c r="E70" i="6"/>
  <c r="E69" i="6"/>
  <c r="E68" i="6"/>
  <c r="E73" i="6" s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61" i="6" s="1"/>
  <c r="E17" i="6"/>
  <c r="E16" i="6"/>
  <c r="E12" i="6"/>
  <c r="E11" i="6"/>
  <c r="E10" i="6"/>
  <c r="E13" i="6" s="1"/>
  <c r="W88" i="2" l="1"/>
  <c r="T88" i="2" s="1"/>
  <c r="X88" i="2" s="1"/>
  <c r="Y88" i="2" s="1"/>
  <c r="W7" i="2"/>
  <c r="T7" i="2" s="1"/>
  <c r="X7" i="2" s="1"/>
  <c r="Y7" i="2" s="1"/>
  <c r="E63" i="6"/>
  <c r="E79" i="6"/>
  <c r="E127" i="6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10"/>
            <color indexed="81"/>
            <rFont val="Tahoma"/>
            <family val="2"/>
          </rPr>
          <t>Matanza
Puebla</t>
        </r>
      </text>
    </comment>
    <comment ref="S9" authorId="0">
      <text>
        <r>
          <rPr>
            <b/>
            <sz val="10"/>
            <color indexed="81"/>
            <rFont val="Tahoma"/>
            <family val="2"/>
          </rPr>
          <t>Pago visceras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U2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>
      <text>
        <r>
          <rPr>
            <b/>
            <sz val="10"/>
            <color indexed="81"/>
            <rFont val="Tahoma"/>
            <family val="2"/>
          </rPr>
          <t>Matanza
Puebla</t>
        </r>
      </text>
    </comment>
    <comment ref="S29" authorId="0">
      <text>
        <r>
          <rPr>
            <b/>
            <sz val="10"/>
            <color indexed="81"/>
            <rFont val="Tahoma"/>
            <family val="2"/>
          </rPr>
          <t>Pago visceras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>
      <text>
        <r>
          <rPr>
            <b/>
            <sz val="10"/>
            <color indexed="81"/>
            <rFont val="Tahoma"/>
            <family val="2"/>
          </rPr>
          <t>Pago visceras</t>
        </r>
      </text>
    </comment>
    <comment ref="U4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>
      <text>
        <r>
          <rPr>
            <b/>
            <sz val="10"/>
            <color indexed="81"/>
            <rFont val="Tahoma"/>
            <family val="2"/>
          </rPr>
          <t>Pago visceras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U8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<sst xmlns="http://schemas.openxmlformats.org/spreadsheetml/2006/main" count="876" uniqueCount="379">
  <si>
    <t>Producto</t>
  </si>
  <si>
    <t>Marca</t>
  </si>
  <si>
    <t>Proveedor</t>
  </si>
  <si>
    <t>unidades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</si>
  <si>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</si>
  <si>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</si>
  <si>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</si>
  <si>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</si>
  <si>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</si>
  <si>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</si>
  <si>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</si>
  <si>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</si>
  <si>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</si>
  <si>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</si>
  <si>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seguro carga</t>
  </si>
  <si>
    <t>cargada</t>
  </si>
  <si>
    <t>com</t>
  </si>
  <si>
    <t>costo integrado</t>
  </si>
  <si>
    <t>costo real</t>
  </si>
  <si>
    <t>$ carga total</t>
  </si>
  <si>
    <t>Pernil con piel</t>
  </si>
  <si>
    <t>Farmland</t>
  </si>
  <si>
    <t>mi</t>
  </si>
  <si>
    <t>Canal de cerdo</t>
  </si>
  <si>
    <t>GF</t>
  </si>
  <si>
    <t>Swift</t>
  </si>
  <si>
    <t>ju</t>
  </si>
  <si>
    <t>Nu3</t>
  </si>
  <si>
    <t>Agrop El Topete</t>
  </si>
  <si>
    <t>Seaboard</t>
  </si>
  <si>
    <t>21 combos</t>
  </si>
  <si>
    <t>vi</t>
  </si>
  <si>
    <t>sa</t>
  </si>
  <si>
    <t>do</t>
  </si>
  <si>
    <t>lu</t>
  </si>
  <si>
    <t>ma</t>
  </si>
  <si>
    <t>Agrop Las Reses</t>
  </si>
  <si>
    <t>22 combos</t>
  </si>
  <si>
    <t>Agrop La Gaby</t>
  </si>
  <si>
    <t>TOTAL CONGELADO</t>
  </si>
  <si>
    <t>Garcia</t>
  </si>
  <si>
    <t>PRODUCTO</t>
  </si>
  <si>
    <t>INVENTARIO OBRADOR</t>
  </si>
  <si>
    <t>fecha</t>
  </si>
  <si>
    <t>CERDO</t>
  </si>
  <si>
    <t>Kg</t>
  </si>
  <si>
    <t>piezas</t>
  </si>
  <si>
    <t>$</t>
  </si>
  <si>
    <t>VALOR $</t>
  </si>
  <si>
    <t xml:space="preserve">Combos Pernil c/piel </t>
  </si>
  <si>
    <t>SUBTOTAL</t>
  </si>
  <si>
    <t>CORTES CERDO</t>
  </si>
  <si>
    <t>Abierta, pierna Bagdad</t>
  </si>
  <si>
    <t>Carrillera</t>
  </si>
  <si>
    <t>Chuleta natural</t>
  </si>
  <si>
    <t>Cabezas de cerdo</t>
  </si>
  <si>
    <t>Cabeza de lomo</t>
  </si>
  <si>
    <t>Cabeza de lomo ame s/h</t>
  </si>
  <si>
    <t>Cabeza de lomo ame c/h</t>
  </si>
  <si>
    <t>Caña de lomo</t>
  </si>
  <si>
    <t>Capote</t>
  </si>
  <si>
    <t xml:space="preserve">Codillo </t>
  </si>
  <si>
    <t>Codillo con cuero (chamorro)</t>
  </si>
  <si>
    <t>Codillo con perico</t>
  </si>
  <si>
    <t>Cuero de pierna</t>
  </si>
  <si>
    <t>Cuero entero</t>
  </si>
  <si>
    <t>Recorte cerdos golpeados</t>
  </si>
  <si>
    <t xml:space="preserve">Descarne </t>
  </si>
  <si>
    <t>Espaldilla sin hueso</t>
  </si>
  <si>
    <t>Espaldilla con hueso</t>
  </si>
  <si>
    <t>Espinazos entero</t>
  </si>
  <si>
    <t>Espinazos colas y cabeza</t>
  </si>
  <si>
    <t>Espinazo huesudo</t>
  </si>
  <si>
    <t>Filetes de cerdo y lomos</t>
  </si>
  <si>
    <t>Grasa</t>
  </si>
  <si>
    <t>Jamon con hueso limpio fco</t>
  </si>
  <si>
    <t>Jamon con hueso y grasa fco</t>
  </si>
  <si>
    <t>Jamon con hueso limpio</t>
  </si>
  <si>
    <t>Jamon con 1/2 grasa</t>
  </si>
  <si>
    <t>Jamon con grasa</t>
  </si>
  <si>
    <t>Jamon vaciado con 1/2 grasa</t>
  </si>
  <si>
    <t xml:space="preserve">Jamon sin hueso limpio </t>
  </si>
  <si>
    <t>Jamon vaciado limpio</t>
  </si>
  <si>
    <t>Jamon fresco con grasa</t>
  </si>
  <si>
    <t>Jamon fresco limpio</t>
  </si>
  <si>
    <t>Papada</t>
  </si>
  <si>
    <t>Patas</t>
  </si>
  <si>
    <t>Pechos</t>
  </si>
  <si>
    <t>Pernil con grasa</t>
  </si>
  <si>
    <t>Pernil limpio</t>
  </si>
  <si>
    <t>Pierna con cuero</t>
  </si>
  <si>
    <t>Plancha</t>
  </si>
  <si>
    <t>Pulpa para molida</t>
  </si>
  <si>
    <t>Riñon</t>
  </si>
  <si>
    <t>Tocino crudo</t>
  </si>
  <si>
    <t>Unto</t>
  </si>
  <si>
    <t>TOTAL CERDO</t>
  </si>
  <si>
    <t>RES</t>
  </si>
  <si>
    <t>Canal entero</t>
  </si>
  <si>
    <t>Piña</t>
  </si>
  <si>
    <t>Medias</t>
  </si>
  <si>
    <t>Pata</t>
  </si>
  <si>
    <t>Delanteros</t>
  </si>
  <si>
    <t>CORTES RES</t>
  </si>
  <si>
    <t>Aguayon</t>
  </si>
  <si>
    <t>TOTAL RES</t>
  </si>
  <si>
    <t>CONGELADO</t>
  </si>
  <si>
    <t>cajas</t>
  </si>
  <si>
    <t xml:space="preserve">Buche </t>
  </si>
  <si>
    <t>Cabeza de cerdo Premium</t>
  </si>
  <si>
    <t>Carnero en canal</t>
  </si>
  <si>
    <t>Contra Swift</t>
  </si>
  <si>
    <t>Contra Sukarne</t>
  </si>
  <si>
    <t>Corbata Farmland</t>
  </si>
  <si>
    <t>Corbata Seaboard</t>
  </si>
  <si>
    <t>Cuero s/g belly Farmland</t>
  </si>
  <si>
    <t>Cuero s/g belly reempacado</t>
  </si>
  <si>
    <t>Cuero s/g belly reemp San Mateo</t>
  </si>
  <si>
    <t>Cuero s/g belly combo fresco</t>
  </si>
  <si>
    <t>Espaldilla de Carnero Alliance</t>
  </si>
  <si>
    <t>Filete de pescado BASA</t>
  </si>
  <si>
    <t xml:space="preserve">Lengua de cerdo </t>
  </si>
  <si>
    <t>Lengua de cerdo IBP</t>
  </si>
  <si>
    <t>Lengua de res ibp</t>
  </si>
  <si>
    <t>Menudo Excel</t>
  </si>
  <si>
    <t>Menudo IBP</t>
  </si>
  <si>
    <t>Patita de cerdo</t>
  </si>
  <si>
    <t>Sesos de marqueta</t>
  </si>
  <si>
    <t>Sesos en copa Farmland</t>
  </si>
  <si>
    <t>VARIOS</t>
  </si>
  <si>
    <t>Jamon sin hueso ahumado</t>
  </si>
  <si>
    <t>Jamon con hueso ahumado</t>
  </si>
  <si>
    <t>Manteca americana</t>
  </si>
  <si>
    <t>Manteca</t>
  </si>
  <si>
    <t>Pavo ahumado</t>
  </si>
  <si>
    <t xml:space="preserve">Pavo  </t>
  </si>
  <si>
    <t>Chuleta ahumada</t>
  </si>
  <si>
    <t xml:space="preserve">Sancocho </t>
  </si>
  <si>
    <t>Sancocho de canal</t>
  </si>
  <si>
    <t>Tocino ahumado</t>
  </si>
  <si>
    <t>Tripas</t>
  </si>
  <si>
    <t>TOTAL VARIOS</t>
  </si>
  <si>
    <t>TOTAL OBRADOR</t>
  </si>
  <si>
    <t>Smith Farm</t>
  </si>
  <si>
    <t>Sanchez</t>
  </si>
  <si>
    <t>Adams</t>
  </si>
  <si>
    <t>Contra</t>
  </si>
  <si>
    <t>Porc San Bernardo</t>
  </si>
  <si>
    <t>San Fandila</t>
  </si>
  <si>
    <t>Tamez</t>
  </si>
  <si>
    <t>Peso total factura</t>
  </si>
  <si>
    <t>Peso recib real</t>
  </si>
  <si>
    <t>$ aduanal / matanzas</t>
  </si>
  <si>
    <t>tipo cambio / visceras</t>
  </si>
  <si>
    <t>Ryc Alimentos</t>
  </si>
  <si>
    <t>Impeg</t>
  </si>
  <si>
    <t>Granjero Feliz</t>
  </si>
  <si>
    <t>1 combo</t>
  </si>
  <si>
    <t>Buche</t>
  </si>
  <si>
    <t>2 combos</t>
  </si>
  <si>
    <t xml:space="preserve">indiana </t>
  </si>
  <si>
    <t>Andes</t>
  </si>
  <si>
    <t>19 combos</t>
  </si>
  <si>
    <t>Esp de carnero</t>
  </si>
  <si>
    <t>Wagstaff</t>
  </si>
  <si>
    <t>L</t>
  </si>
  <si>
    <t>cerdo vivo y matanza</t>
  </si>
  <si>
    <t>transfer odelpa</t>
  </si>
  <si>
    <t>M</t>
  </si>
  <si>
    <t>Mi</t>
  </si>
  <si>
    <t>transfer santander</t>
  </si>
  <si>
    <t>transfer bancomer</t>
  </si>
  <si>
    <t>J</t>
  </si>
  <si>
    <t xml:space="preserve">buche   </t>
  </si>
  <si>
    <t>V</t>
  </si>
  <si>
    <t>S</t>
  </si>
  <si>
    <t>D</t>
  </si>
  <si>
    <t>IMPEG</t>
  </si>
  <si>
    <t>deuda NLP</t>
  </si>
  <si>
    <t>SMITHFIELD FARMLAND</t>
  </si>
  <si>
    <t>NU3 CERDO Y MATANZA</t>
  </si>
  <si>
    <t>deuda CICODELPA</t>
  </si>
  <si>
    <t>TOTAL CANALES</t>
  </si>
  <si>
    <t>Junio 15</t>
  </si>
  <si>
    <t xml:space="preserve">Contra </t>
  </si>
  <si>
    <t>Excell</t>
  </si>
  <si>
    <t>661 cajas</t>
  </si>
  <si>
    <t>fact 765747</t>
  </si>
  <si>
    <t xml:space="preserve">Agrop El Topete </t>
  </si>
  <si>
    <t>fact 3464, 3484</t>
  </si>
  <si>
    <t>nl15-88</t>
  </si>
  <si>
    <t>hoja + 10.5 ju 28 may</t>
  </si>
  <si>
    <t>nl15-89</t>
  </si>
  <si>
    <t>fact 3455, 3467</t>
  </si>
  <si>
    <t>nl15-90</t>
  </si>
  <si>
    <t>Sagot</t>
  </si>
  <si>
    <t>fact 5140</t>
  </si>
  <si>
    <t>nlp15-66</t>
  </si>
  <si>
    <t>hoja + 10.5 vi 29 may</t>
  </si>
  <si>
    <t>fact 4582, 4592</t>
  </si>
  <si>
    <t>Cuero Belly Fco</t>
  </si>
  <si>
    <t>fact 33205</t>
  </si>
  <si>
    <t>nlp15-67</t>
  </si>
  <si>
    <t>hoja + 10.5 lu 1 jun</t>
  </si>
  <si>
    <t>fact 3479</t>
  </si>
  <si>
    <t>fact 33256</t>
  </si>
  <si>
    <t>hoja + 16 lu 1 jun</t>
  </si>
  <si>
    <t>nlp15-68</t>
  </si>
  <si>
    <t>hoja + 10.5 ma 2 jun</t>
  </si>
  <si>
    <t>nlp15-69</t>
  </si>
  <si>
    <t>nl15-91</t>
  </si>
  <si>
    <t>fact 1517 y 1533</t>
  </si>
  <si>
    <t>fact 4895</t>
  </si>
  <si>
    <t>fact 4900</t>
  </si>
  <si>
    <t>nl15-92</t>
  </si>
  <si>
    <t xml:space="preserve">Sanchez </t>
  </si>
  <si>
    <t>hoja + 10.5 ju 4 jun</t>
  </si>
  <si>
    <t>nl15-93</t>
  </si>
  <si>
    <t>fact 1521</t>
  </si>
  <si>
    <t>hoja + 16 ju 4 jun</t>
  </si>
  <si>
    <t>nl15-94</t>
  </si>
  <si>
    <t>fact 5221</t>
  </si>
  <si>
    <t>Esp de Carnero</t>
  </si>
  <si>
    <t>266 cajas</t>
  </si>
  <si>
    <t>fact 33365</t>
  </si>
  <si>
    <t>fact 33349</t>
  </si>
  <si>
    <t>nlp15-70</t>
  </si>
  <si>
    <t>160.77kg</t>
  </si>
  <si>
    <t>hoja + 10.5 vi 5 jun</t>
  </si>
  <si>
    <t>fact 3475, 3478</t>
  </si>
  <si>
    <t>nlp15-71</t>
  </si>
  <si>
    <t>284.32kg</t>
  </si>
  <si>
    <t>hoja + 10.5 lu 8 jun</t>
  </si>
  <si>
    <t>fact 4606, 4609</t>
  </si>
  <si>
    <t>Sukarne</t>
  </si>
  <si>
    <t>633 cajas</t>
  </si>
  <si>
    <t>fact 10986</t>
  </si>
  <si>
    <t>hoja + 16 lu 8 jun</t>
  </si>
  <si>
    <t>nlp15-72</t>
  </si>
  <si>
    <t>hoja + 10.5 ma 9 jun</t>
  </si>
  <si>
    <t>nlp15-73</t>
  </si>
  <si>
    <t>nl15-95</t>
  </si>
  <si>
    <t>fact 3500, 3520</t>
  </si>
  <si>
    <t>fact 3505</t>
  </si>
  <si>
    <t>nl15-96</t>
  </si>
  <si>
    <t>hoja + 10.5 ju 11 jun</t>
  </si>
  <si>
    <t>nl15-97</t>
  </si>
  <si>
    <t>fact 3481, 3488</t>
  </si>
  <si>
    <t>hoja + 16 ju 11 jun</t>
  </si>
  <si>
    <t>nl15-98</t>
  </si>
  <si>
    <t>fact 5254</t>
  </si>
  <si>
    <t>nlp15-74</t>
  </si>
  <si>
    <t>hoja + 10.5 vi 12 jun</t>
  </si>
  <si>
    <t>fact 3511</t>
  </si>
  <si>
    <t>nlp15-75</t>
  </si>
  <si>
    <t>hoja + 10.5 lu 15 jun</t>
  </si>
  <si>
    <t>fact 3517</t>
  </si>
  <si>
    <t>fact 33594</t>
  </si>
  <si>
    <t>hoja + 16 lu 15 jun</t>
  </si>
  <si>
    <t>la pagamos nosostros por compensacion de combos prestados</t>
  </si>
  <si>
    <t>nlp15-76</t>
  </si>
  <si>
    <t>hoja + 10.5 ma 16 jun</t>
  </si>
  <si>
    <t>nlp15-77</t>
  </si>
  <si>
    <t>nl15-99</t>
  </si>
  <si>
    <t>Vaca</t>
  </si>
  <si>
    <t>fact 1551</t>
  </si>
  <si>
    <t>fact 1551, 1559</t>
  </si>
  <si>
    <t>fact 5006</t>
  </si>
  <si>
    <t>fact 3523</t>
  </si>
  <si>
    <t>fact 3523, 3539</t>
  </si>
  <si>
    <t>nl15-100</t>
  </si>
  <si>
    <t>hoja + 10.5 ju 18 jun</t>
  </si>
  <si>
    <t>nl15-101</t>
  </si>
  <si>
    <t>fact 3526</t>
  </si>
  <si>
    <t>hoja + 16 ju 18 jun</t>
  </si>
  <si>
    <t>nl15-102</t>
  </si>
  <si>
    <t>fact 5304</t>
  </si>
  <si>
    <t>74 cajas</t>
  </si>
  <si>
    <t>fact 205198</t>
  </si>
  <si>
    <t>nlp15-78</t>
  </si>
  <si>
    <t>hoja + 10.5 vi 19 jun</t>
  </si>
  <si>
    <t>fact 3532</t>
  </si>
  <si>
    <t>nlp15-79</t>
  </si>
  <si>
    <t>hoja + 10.5 lu 22 jun</t>
  </si>
  <si>
    <t>fact 3535</t>
  </si>
  <si>
    <t>fact 3536, 3540</t>
  </si>
  <si>
    <t>Wasgstaff</t>
  </si>
  <si>
    <t xml:space="preserve">fact 33721 </t>
  </si>
  <si>
    <t>dif por cambio de mercancia</t>
  </si>
  <si>
    <t>fact 33722</t>
  </si>
  <si>
    <t>hoja + 16 lu 22 jun</t>
  </si>
  <si>
    <t>nlp15-80</t>
  </si>
  <si>
    <t>hoja + 10.5 ma 23 jun</t>
  </si>
  <si>
    <t>nlp15-81</t>
  </si>
  <si>
    <t>Refrilogistica</t>
  </si>
  <si>
    <t>nl15-103</t>
  </si>
  <si>
    <t>Agrop La Chemita</t>
  </si>
  <si>
    <t>fact 2069</t>
  </si>
  <si>
    <t>fact 5061</t>
  </si>
  <si>
    <t>fact 773393</t>
  </si>
  <si>
    <t>hoja + 16 ma 23 jun</t>
  </si>
  <si>
    <t>fact 3509</t>
  </si>
  <si>
    <t>nl15-104</t>
  </si>
  <si>
    <t>nl15-105</t>
  </si>
  <si>
    <t>fact 2073</t>
  </si>
  <si>
    <t>fact 205511</t>
  </si>
  <si>
    <t>DEUDA AL CIERRE DEL 30 DE JUNIO DE 2015</t>
  </si>
  <si>
    <t>Seaboard ju 04/07/15 nlp15-82</t>
  </si>
  <si>
    <t>fact 1159144</t>
  </si>
  <si>
    <t>intercam $30,000.00</t>
  </si>
  <si>
    <t>Seaboard vi 05/07/15 nlp15-83</t>
  </si>
  <si>
    <t>fact 1159322</t>
  </si>
  <si>
    <t>Seaboard vi 05/07/15 nlp15-84</t>
  </si>
  <si>
    <t>fact 1159323</t>
  </si>
  <si>
    <t>intercam $29,000.00</t>
  </si>
  <si>
    <t>Seaboard vi 05/07/15 nlp15-85</t>
  </si>
  <si>
    <t>fact 1159324</t>
  </si>
  <si>
    <t>Mansiva  sa 27/06/15</t>
  </si>
  <si>
    <t>fact 3647</t>
  </si>
  <si>
    <t>intercam $32,771.38</t>
  </si>
  <si>
    <t>Granjero feliz  do 21/06/15</t>
  </si>
  <si>
    <t>Agrop El Topete  do 14/06/15</t>
  </si>
  <si>
    <t>Agrop El Topete  lu 15/06/15</t>
  </si>
  <si>
    <t>Agrop La Gaby ma 16/06/15</t>
  </si>
  <si>
    <t>Adams  vi 26/06/15</t>
  </si>
  <si>
    <t>fact 33721</t>
  </si>
  <si>
    <t>diferencia esp de carnero</t>
  </si>
  <si>
    <t>Adams  vi 26/06/16</t>
  </si>
  <si>
    <t>cuero belly en combo</t>
  </si>
  <si>
    <t>Impeg  mi 24/06/15</t>
  </si>
  <si>
    <t>julio 2015</t>
  </si>
  <si>
    <t>Smith Farm sa 20/06/15 nl15-99</t>
  </si>
  <si>
    <t>fact 94944557</t>
  </si>
  <si>
    <t>intercam $28,766.40</t>
  </si>
  <si>
    <t>Agrop El Topete ju 18/06/15</t>
  </si>
  <si>
    <t>Agrop El Topete  vi 19/06/15</t>
  </si>
  <si>
    <t>Ryc Alimentos  lu 29/06/15</t>
  </si>
  <si>
    <t>intercam $32,994.25</t>
  </si>
  <si>
    <t>27.67  ALB 27.97</t>
  </si>
  <si>
    <t>Impeg   ma 30/6/15</t>
  </si>
  <si>
    <t>Sukarne  vi 12/06/15</t>
  </si>
  <si>
    <t>Smith Farm  ma 23/06/15 nl15-100</t>
  </si>
  <si>
    <t>fact 94947662</t>
  </si>
  <si>
    <t>intercam $29,861.23</t>
  </si>
  <si>
    <t>Smith Farm  ma 23/06/15 nl15-101</t>
  </si>
  <si>
    <t>fact 94948420</t>
  </si>
  <si>
    <t>intercam $28,772.55</t>
  </si>
  <si>
    <t>Smith Farm  mi 24/06/15 nl15-102</t>
  </si>
  <si>
    <t>fact 94947663</t>
  </si>
  <si>
    <t>intercam $29,631.14</t>
  </si>
  <si>
    <t>Porc San Bernardo  do 21/06/15</t>
  </si>
  <si>
    <t>Agrop El Topete lu 22/06/15</t>
  </si>
  <si>
    <t>Agrop El Topete ma 23/06/15</t>
  </si>
  <si>
    <t>Granjero Feliz  do 28/06/15</t>
  </si>
  <si>
    <t>Agrop El Topete  ju 25/06/15</t>
  </si>
  <si>
    <t>Smith Farm sa 27/06/15 nl15-103</t>
  </si>
  <si>
    <t>fact 94952762</t>
  </si>
  <si>
    <t>intercam $29,312.78</t>
  </si>
  <si>
    <t>Agrop El Topete vi 26/06/15</t>
  </si>
  <si>
    <t>Smith Farm  ma 30/06/15 nl15-104</t>
  </si>
  <si>
    <t>fact 94956100</t>
  </si>
  <si>
    <t>intercam $26,189.81</t>
  </si>
  <si>
    <t>Smith Farm  ma 30/06/15 nl15-105</t>
  </si>
  <si>
    <t>fact 94956101</t>
  </si>
  <si>
    <t>intercam $27,566.13</t>
  </si>
  <si>
    <t>Smith Farm  mi 01/07/15 nl15-106</t>
  </si>
  <si>
    <t>fact 94956102</t>
  </si>
  <si>
    <t>intercam $27,111.93</t>
  </si>
  <si>
    <t>Smith Farm ju 02/07/15 nltf15-06</t>
  </si>
  <si>
    <t>fact 94957898</t>
  </si>
  <si>
    <t>intercam $27,296.42</t>
  </si>
  <si>
    <t>Agrop La Chemita  do 28/06/15</t>
  </si>
  <si>
    <t>Agrop La Gaby  lu 29/06/15</t>
  </si>
  <si>
    <t>Agrop La Chemita  ma 30/06/15</t>
  </si>
  <si>
    <t>DEUDA AL 30 DE JUNIO DE 2015</t>
  </si>
  <si>
    <t>RYC ALIMENTOS</t>
  </si>
  <si>
    <t>SUKARNE</t>
  </si>
  <si>
    <t>GRANJERO FELIZ</t>
  </si>
  <si>
    <t>PAGOS ANTICIPADOS SEABOAD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</si>
</sst>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  <numFmt numFmtId="167" formatCode="_-&quot;$&quot;* #,##0.000_-;\-&quot;$&quot;* #,##0.0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name val="Arial"/>
      <family val="2"/>
    </font>
    <font>
      <sz val="1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0"/>
      <color indexed="81"/>
      <name val="Tahoma"/>
      <family val="2"/>
    </font>
    <font>
      <b/>
      <i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4" fontId="2" fillId="0" borderId="0" xfId="0" applyNumberFormat="1" applyFont="1"/>
    <xf numFmtId="44" fontId="0" fillId="0" borderId="0" xfId="0" applyNumberFormat="1"/>
    <xf numFmtId="0" fontId="4" fillId="0" borderId="0" xfId="0" applyFont="1"/>
    <xf numFmtId="0" fontId="2" fillId="0" borderId="0" xfId="0" applyFont="1" applyBorder="1"/>
    <xf numFmtId="4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0" fontId="4" fillId="0" borderId="0" xfId="0" applyFont="1" applyBorder="1"/>
    <xf numFmtId="164" fontId="0" fillId="0" borderId="0" xfId="0" applyNumberFormat="1"/>
    <xf numFmtId="0" fontId="0" fillId="0" borderId="0" xfId="0" applyFill="1" applyBorder="1"/>
    <xf numFmtId="0" fontId="4" fillId="0" borderId="0" xfId="0" applyFont="1" applyFill="1"/>
    <xf numFmtId="0" fontId="0" fillId="0" borderId="0" xfId="0" applyFont="1" applyFill="1" applyBorder="1"/>
    <xf numFmtId="4" fontId="0" fillId="0" borderId="0" xfId="0" applyNumberFormat="1"/>
    <xf numFmtId="44" fontId="0" fillId="0" borderId="0" xfId="1" applyFont="1"/>
    <xf numFmtId="14" fontId="2" fillId="0" borderId="7" xfId="0" applyNumberFormat="1" applyFont="1" applyBorder="1" applyAlignment="1">
      <alignment horizontal="right"/>
    </xf>
    <xf numFmtId="44" fontId="0" fillId="0" borderId="0" xfId="1" applyFont="1" applyAlignment="1">
      <alignment horizontal="right"/>
    </xf>
    <xf numFmtId="44" fontId="2" fillId="0" borderId="0" xfId="1" quotePrefix="1" applyFont="1"/>
    <xf numFmtId="0" fontId="2" fillId="0" borderId="8" xfId="0" applyFont="1" applyBorder="1"/>
    <xf numFmtId="4" fontId="0" fillId="0" borderId="9" xfId="0" applyNumberFormat="1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2" fillId="0" borderId="11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0" fontId="4" fillId="0" borderId="11" xfId="0" applyFont="1" applyBorder="1"/>
    <xf numFmtId="4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4" fontId="4" fillId="0" borderId="0" xfId="1" applyFont="1" applyBorder="1" applyAlignment="1">
      <alignment horizontal="center"/>
    </xf>
    <xf numFmtId="44" fontId="0" fillId="0" borderId="12" xfId="1" applyFont="1" applyBorder="1"/>
    <xf numFmtId="44" fontId="2" fillId="0" borderId="12" xfId="1" applyFont="1" applyBorder="1"/>
    <xf numFmtId="4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4" fontId="4" fillId="0" borderId="12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44" fontId="4" fillId="0" borderId="0" xfId="1" applyFont="1" applyBorder="1" applyAlignment="1">
      <alignment horizontal="right"/>
    </xf>
    <xf numFmtId="44" fontId="4" fillId="0" borderId="12" xfId="1" applyFont="1" applyBorder="1" applyAlignment="1">
      <alignment horizontal="right"/>
    </xf>
    <xf numFmtId="0" fontId="0" fillId="0" borderId="11" xfId="0" applyBorder="1"/>
    <xf numFmtId="44" fontId="2" fillId="0" borderId="0" xfId="1" applyFont="1" applyBorder="1"/>
    <xf numFmtId="44" fontId="2" fillId="0" borderId="0" xfId="1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44" fontId="0" fillId="0" borderId="14" xfId="1" applyFont="1" applyBorder="1"/>
    <xf numFmtId="44" fontId="0" fillId="0" borderId="15" xfId="1" applyFont="1" applyBorder="1"/>
    <xf numFmtId="0" fontId="0" fillId="0" borderId="8" xfId="0" applyBorder="1"/>
    <xf numFmtId="0" fontId="9" fillId="0" borderId="0" xfId="0" applyFont="1"/>
    <xf numFmtId="0" fontId="0" fillId="0" borderId="0" xfId="0" applyFont="1" applyFill="1"/>
    <xf numFmtId="4" fontId="0" fillId="0" borderId="0" xfId="0" applyNumberFormat="1" applyFont="1" applyFill="1"/>
    <xf numFmtId="44" fontId="1" fillId="0" borderId="0" xfId="1" applyFont="1" applyFill="1"/>
    <xf numFmtId="0" fontId="0" fillId="0" borderId="0" xfId="0" applyFont="1"/>
    <xf numFmtId="0" fontId="0" fillId="0" borderId="2" xfId="0" applyFont="1" applyFill="1" applyBorder="1"/>
    <xf numFmtId="4" fontId="0" fillId="0" borderId="2" xfId="0" applyNumberFormat="1" applyFont="1" applyFill="1" applyBorder="1"/>
    <xf numFmtId="3" fontId="0" fillId="0" borderId="2" xfId="0" applyNumberFormat="1" applyFont="1" applyFill="1" applyBorder="1"/>
    <xf numFmtId="15" fontId="0" fillId="0" borderId="2" xfId="0" applyNumberFormat="1" applyFont="1" applyFill="1" applyBorder="1"/>
    <xf numFmtId="164" fontId="0" fillId="0" borderId="2" xfId="0" applyNumberFormat="1" applyFont="1" applyFill="1" applyBorder="1"/>
    <xf numFmtId="165" fontId="0" fillId="0" borderId="2" xfId="0" applyNumberFormat="1" applyFont="1" applyFill="1" applyBorder="1"/>
    <xf numFmtId="0" fontId="0" fillId="0" borderId="3" xfId="0" applyFont="1" applyFill="1" applyBorder="1"/>
    <xf numFmtId="4" fontId="0" fillId="0" borderId="0" xfId="0" applyNumberFormat="1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4" fontId="0" fillId="0" borderId="4" xfId="0" applyNumberFormat="1" applyFont="1" applyFill="1" applyBorder="1"/>
    <xf numFmtId="0" fontId="0" fillId="2" borderId="0" xfId="0" applyFont="1" applyFill="1" applyBorder="1"/>
    <xf numFmtId="0" fontId="0" fillId="0" borderId="6" xfId="0" applyFont="1" applyFill="1" applyBorder="1"/>
    <xf numFmtId="14" fontId="0" fillId="0" borderId="5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164" fontId="9" fillId="0" borderId="0" xfId="0" applyNumberFormat="1" applyFont="1" applyFill="1"/>
    <xf numFmtId="14" fontId="10" fillId="0" borderId="0" xfId="0" applyNumberFormat="1" applyFont="1"/>
    <xf numFmtId="0" fontId="11" fillId="3" borderId="0" xfId="0" applyFont="1" applyFill="1"/>
    <xf numFmtId="0" fontId="11" fillId="0" borderId="0" xfId="0" applyFont="1"/>
    <xf numFmtId="0" fontId="12" fillId="0" borderId="0" xfId="0" applyFont="1"/>
    <xf numFmtId="44" fontId="10" fillId="0" borderId="0" xfId="1" applyFont="1" applyBorder="1" applyAlignment="1">
      <alignment horizontal="right"/>
    </xf>
    <xf numFmtId="44" fontId="10" fillId="0" borderId="12" xfId="1" applyFont="1" applyBorder="1"/>
    <xf numFmtId="166" fontId="0" fillId="0" borderId="0" xfId="0" applyNumberFormat="1" applyFont="1" applyFill="1" applyBorder="1"/>
    <xf numFmtId="4" fontId="2" fillId="0" borderId="0" xfId="0" applyNumberFormat="1" applyFont="1" applyAlignment="1">
      <alignment horizontal="right"/>
    </xf>
    <xf numFmtId="14" fontId="2" fillId="0" borderId="0" xfId="0" applyNumberFormat="1" applyFont="1"/>
    <xf numFmtId="15" fontId="3" fillId="0" borderId="0" xfId="0" applyNumberFormat="1" applyFont="1"/>
    <xf numFmtId="0" fontId="2" fillId="0" borderId="17" xfId="0" applyFont="1" applyBorder="1"/>
    <xf numFmtId="0" fontId="2" fillId="0" borderId="18" xfId="0" applyFont="1" applyBorder="1"/>
    <xf numFmtId="4" fontId="0" fillId="0" borderId="19" xfId="0" applyNumberFormat="1" applyBorder="1"/>
    <xf numFmtId="0" fontId="0" fillId="0" borderId="19" xfId="0" applyBorder="1"/>
    <xf numFmtId="44" fontId="0" fillId="0" borderId="19" xfId="1" applyFont="1" applyFill="1" applyBorder="1"/>
    <xf numFmtId="44" fontId="0" fillId="0" borderId="19" xfId="1" applyFont="1" applyBorder="1"/>
    <xf numFmtId="0" fontId="13" fillId="0" borderId="0" xfId="0" applyFont="1"/>
    <xf numFmtId="0" fontId="2" fillId="0" borderId="1" xfId="0" applyFont="1" applyBorder="1"/>
    <xf numFmtId="4" fontId="0" fillId="0" borderId="1" xfId="0" applyNumberFormat="1" applyBorder="1"/>
    <xf numFmtId="0" fontId="0" fillId="0" borderId="1" xfId="0" applyBorder="1"/>
    <xf numFmtId="44" fontId="0" fillId="0" borderId="1" xfId="1" applyFont="1" applyFill="1" applyBorder="1"/>
    <xf numFmtId="44" fontId="0" fillId="0" borderId="1" xfId="1" applyFont="1" applyBorder="1"/>
    <xf numFmtId="4" fontId="2" fillId="0" borderId="19" xfId="0" applyNumberFormat="1" applyFont="1" applyBorder="1"/>
    <xf numFmtId="44" fontId="0" fillId="0" borderId="0" xfId="1" applyFont="1" applyFill="1" applyBorder="1"/>
    <xf numFmtId="44" fontId="0" fillId="0" borderId="0" xfId="0" applyNumberFormat="1" applyBorder="1"/>
    <xf numFmtId="44" fontId="4" fillId="0" borderId="0" xfId="0" applyNumberFormat="1" applyFont="1"/>
    <xf numFmtId="164" fontId="9" fillId="0" borderId="0" xfId="0" applyNumberFormat="1" applyFont="1"/>
    <xf numFmtId="164" fontId="4" fillId="0" borderId="0" xfId="0" applyNumberFormat="1" applyFont="1" applyFill="1"/>
    <xf numFmtId="164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 applyFill="1" applyBorder="1" applyAlignment="1">
      <alignment horizontal="right"/>
    </xf>
    <xf numFmtId="0" fontId="0" fillId="0" borderId="0" xfId="0" applyFont="1" applyBorder="1"/>
    <xf numFmtId="44" fontId="1" fillId="0" borderId="0" xfId="1" applyFont="1" applyBorder="1"/>
    <xf numFmtId="3" fontId="2" fillId="0" borderId="19" xfId="0" applyNumberFormat="1" applyFont="1" applyBorder="1"/>
    <xf numFmtId="44" fontId="2" fillId="0" borderId="19" xfId="1" applyFont="1" applyBorder="1"/>
    <xf numFmtId="0" fontId="14" fillId="0" borderId="0" xfId="0" applyFont="1" applyFill="1" applyBorder="1"/>
    <xf numFmtId="4" fontId="14" fillId="0" borderId="0" xfId="0" applyNumberFormat="1" applyFont="1" applyFill="1" applyBorder="1"/>
    <xf numFmtId="165" fontId="14" fillId="0" borderId="0" xfId="0" applyNumberFormat="1" applyFont="1" applyFill="1" applyBorder="1"/>
    <xf numFmtId="164" fontId="14" fillId="0" borderId="0" xfId="0" applyNumberFormat="1" applyFont="1" applyFill="1" applyBorder="1"/>
    <xf numFmtId="0" fontId="14" fillId="0" borderId="21" xfId="0" applyFont="1" applyFill="1" applyBorder="1"/>
    <xf numFmtId="0" fontId="0" fillId="0" borderId="21" xfId="0" applyFont="1" applyFill="1" applyBorder="1"/>
    <xf numFmtId="4" fontId="14" fillId="0" borderId="21" xfId="0" applyNumberFormat="1" applyFont="1" applyFill="1" applyBorder="1"/>
    <xf numFmtId="4" fontId="0" fillId="0" borderId="21" xfId="0" applyNumberFormat="1" applyFont="1" applyFill="1" applyBorder="1"/>
    <xf numFmtId="15" fontId="0" fillId="0" borderId="21" xfId="0" applyNumberFormat="1" applyFont="1" applyFill="1" applyBorder="1"/>
    <xf numFmtId="164" fontId="0" fillId="0" borderId="21" xfId="0" applyNumberFormat="1" applyFont="1" applyFill="1" applyBorder="1"/>
    <xf numFmtId="165" fontId="0" fillId="0" borderId="21" xfId="0" applyNumberFormat="1" applyFont="1" applyFill="1" applyBorder="1"/>
    <xf numFmtId="165" fontId="14" fillId="0" borderId="21" xfId="0" applyNumberFormat="1" applyFont="1" applyFill="1" applyBorder="1"/>
    <xf numFmtId="14" fontId="0" fillId="0" borderId="22" xfId="0" applyNumberFormat="1" applyFont="1" applyFill="1" applyBorder="1"/>
    <xf numFmtId="44" fontId="0" fillId="2" borderId="0" xfId="1" applyFont="1" applyFill="1"/>
    <xf numFmtId="0" fontId="0" fillId="2" borderId="0" xfId="0" applyFill="1"/>
    <xf numFmtId="14" fontId="0" fillId="2" borderId="0" xfId="0" applyNumberFormat="1" applyFill="1"/>
    <xf numFmtId="44" fontId="12" fillId="0" borderId="0" xfId="0" applyNumberFormat="1" applyFont="1"/>
    <xf numFmtId="0" fontId="15" fillId="0" borderId="0" xfId="0" applyFont="1"/>
    <xf numFmtId="17" fontId="0" fillId="0" borderId="0" xfId="0" quotePrefix="1" applyNumberFormat="1"/>
    <xf numFmtId="3" fontId="0" fillId="0" borderId="0" xfId="0" applyNumberFormat="1" applyFont="1" applyFill="1" applyBorder="1"/>
    <xf numFmtId="164" fontId="0" fillId="4" borderId="0" xfId="0" applyNumberFormat="1" applyFont="1" applyFill="1" applyBorder="1"/>
    <xf numFmtId="3" fontId="0" fillId="0" borderId="0" xfId="0" applyNumberFormat="1" applyBorder="1"/>
    <xf numFmtId="4" fontId="0" fillId="0" borderId="0" xfId="0" applyNumberFormat="1" applyFill="1" applyBorder="1"/>
    <xf numFmtId="2" fontId="0" fillId="0" borderId="0" xfId="0" applyNumberFormat="1" applyBorder="1"/>
    <xf numFmtId="0" fontId="8" fillId="0" borderId="0" xfId="0" applyFont="1" applyBorder="1" applyAlignment="1">
      <alignment horizontal="center"/>
    </xf>
    <xf numFmtId="164" fontId="14" fillId="0" borderId="21" xfId="0" applyNumberFormat="1" applyFont="1" applyFill="1" applyBorder="1"/>
    <xf numFmtId="44" fontId="12" fillId="7" borderId="0" xfId="0" applyNumberFormat="1" applyFont="1" applyFill="1"/>
    <xf numFmtId="0" fontId="0" fillId="7" borderId="0" xfId="0" applyFill="1"/>
    <xf numFmtId="44" fontId="0" fillId="0" borderId="0" xfId="1" applyFont="1" applyFill="1"/>
    <xf numFmtId="0" fontId="0" fillId="0" borderId="23" xfId="0" applyFont="1" applyFill="1" applyBorder="1"/>
    <xf numFmtId="164" fontId="0" fillId="4" borderId="21" xfId="0" applyNumberFormat="1" applyFont="1" applyFill="1" applyBorder="1"/>
    <xf numFmtId="44" fontId="0" fillId="0" borderId="21" xfId="1" applyFont="1" applyFill="1" applyBorder="1"/>
    <xf numFmtId="4" fontId="0" fillId="0" borderId="0" xfId="0" applyNumberFormat="1" applyFont="1" applyFill="1" applyBorder="1" applyAlignment="1">
      <alignment wrapText="1"/>
    </xf>
    <xf numFmtId="164" fontId="0" fillId="0" borderId="0" xfId="0" applyNumberFormat="1" applyFont="1" applyFill="1" applyBorder="1" applyAlignment="1">
      <alignment wrapText="1"/>
    </xf>
    <xf numFmtId="166" fontId="0" fillId="0" borderId="21" xfId="0" applyNumberFormat="1" applyFont="1" applyFill="1" applyBorder="1"/>
    <xf numFmtId="0" fontId="0" fillId="0" borderId="21" xfId="0" applyFont="1" applyBorder="1"/>
    <xf numFmtId="164" fontId="14" fillId="4" borderId="0" xfId="0" applyNumberFormat="1" applyFont="1" applyFill="1" applyBorder="1"/>
    <xf numFmtId="165" fontId="14" fillId="6" borderId="0" xfId="0" applyNumberFormat="1" applyFont="1" applyFill="1" applyBorder="1"/>
    <xf numFmtId="0" fontId="0" fillId="8" borderId="16" xfId="0" applyFont="1" applyFill="1" applyBorder="1" applyAlignment="1">
      <alignment textRotation="255"/>
    </xf>
    <xf numFmtId="164" fontId="0" fillId="9" borderId="0" xfId="0" applyNumberFormat="1" applyFont="1" applyFill="1" applyBorder="1"/>
    <xf numFmtId="0" fontId="0" fillId="8" borderId="20" xfId="0" applyFont="1" applyFill="1" applyBorder="1" applyAlignment="1">
      <alignment textRotation="255"/>
    </xf>
    <xf numFmtId="0" fontId="0" fillId="2" borderId="16" xfId="0" applyFont="1" applyFill="1" applyBorder="1" applyAlignment="1">
      <alignment textRotation="255"/>
    </xf>
    <xf numFmtId="15" fontId="0" fillId="5" borderId="0" xfId="0" applyNumberFormat="1" applyFont="1" applyFill="1" applyBorder="1"/>
    <xf numFmtId="0" fontId="0" fillId="10" borderId="16" xfId="0" applyFont="1" applyFill="1" applyBorder="1" applyAlignment="1">
      <alignment textRotation="255"/>
    </xf>
    <xf numFmtId="0" fontId="0" fillId="11" borderId="16" xfId="0" applyFont="1" applyFill="1" applyBorder="1" applyAlignment="1">
      <alignment textRotation="255"/>
    </xf>
    <xf numFmtId="0" fontId="0" fillId="12" borderId="16" xfId="0" applyFont="1" applyFill="1" applyBorder="1" applyAlignment="1">
      <alignment textRotation="255"/>
    </xf>
    <xf numFmtId="0" fontId="0" fillId="5" borderId="0" xfId="0" applyFont="1" applyFill="1" applyBorder="1"/>
    <xf numFmtId="0" fontId="11" fillId="0" borderId="0" xfId="0" applyFont="1" applyFill="1"/>
    <xf numFmtId="44" fontId="0" fillId="6" borderId="0" xfId="1" applyFont="1" applyFill="1"/>
    <xf numFmtId="0" fontId="0" fillId="6" borderId="0" xfId="0" applyFill="1"/>
    <xf numFmtId="167" fontId="0" fillId="6" borderId="0" xfId="1" applyNumberFormat="1" applyFont="1" applyFill="1"/>
    <xf numFmtId="14" fontId="0" fillId="6" borderId="0" xfId="0" applyNumberFormat="1" applyFill="1"/>
    <xf numFmtId="14" fontId="0" fillId="0" borderId="0" xfId="0" applyNumberFormat="1"/>
    <xf numFmtId="14" fontId="0" fillId="0" borderId="0" xfId="0" applyNumberFormat="1" applyFill="1"/>
    <xf numFmtId="44" fontId="17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38097</xdr:colOff>
      <xdr:row>0</xdr:row>
      <xdr:rowOff>19050</xdr:rowOff>
    </xdr:from>
    <xdr:to>
      <xdr:col>0</xdr:col>
      <xdr:colOff>1085850</xdr:colOff>
      <xdr:row>5</xdr:row>
      <xdr:rowOff>0</xdr:rowOff>
    </xdr:to>
    <xdr:pic>
      <xdr:nvPicPr>
        <xdr:cNvPr id="2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7" y="19050"/>
          <a:ext cx="1047753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0" zoomScale="78" zoomScaleNormal="78" workbookViewId="0">
      <selection activeCell="J69" sqref="J69"/>
    </sheetView>
  </sheetViews>
  <sheetFormatPr baseColWidth="10" defaultRowHeight="15" x14ac:dyDescent="0.25"/>
  <cols>
    <col min="1" max="1" width="3.85546875" style="51" customWidth="1"/>
    <col min="2" max="2" width="6.28515625" style="51" customWidth="1"/>
    <col min="3" max="3" width="19.42578125" style="51" customWidth="1"/>
    <col min="4" max="4" width="28.7109375" style="51" customWidth="1"/>
    <col min="5" max="5" width="20.28515625" style="51" customWidth="1"/>
    <col min="6" max="6" width="22.28515625" style="51" customWidth="1"/>
    <col min="7" max="7" width="14.85546875" style="51" customWidth="1"/>
    <col min="8" max="8" width="35.5703125" style="51" customWidth="1"/>
    <col min="9" max="9" width="12.5703125" style="51" customWidth="1"/>
    <col min="10" max="10" width="21.85546875" style="51" customWidth="1"/>
    <col min="11" max="11" width="11.42578125" style="51"/>
    <col min="12" max="12" width="23.140625" style="51" customWidth="1"/>
    <col min="13" max="16384" width="11.42578125" style="51"/>
  </cols>
  <sheetData>
    <row r="1" spans="1:10" x14ac:dyDescent="0.25">
      <c r="A1" s="12"/>
      <c r="D1" s="52"/>
      <c r="E1" s="53"/>
      <c r="F1" s="53"/>
    </row>
    <row r="2" spans="1:10" customFormat="1" x14ac:dyDescent="0.25">
      <c r="A2" s="76" t="s">
        <v>306</v>
      </c>
    </row>
    <row r="3" spans="1:10" customFormat="1" x14ac:dyDescent="0.25">
      <c r="A3" t="s">
        <v>174</v>
      </c>
      <c r="B3" s="155">
        <v>26</v>
      </c>
      <c r="C3" s="156">
        <f>30000*G3</f>
        <v>467700</v>
      </c>
      <c r="D3" s="157" t="s">
        <v>307</v>
      </c>
      <c r="E3" s="157" t="s">
        <v>308</v>
      </c>
      <c r="F3" s="157" t="s">
        <v>309</v>
      </c>
      <c r="G3" s="158">
        <v>15.59</v>
      </c>
      <c r="H3" s="156">
        <v>24.92</v>
      </c>
      <c r="I3" s="159">
        <v>42181</v>
      </c>
      <c r="J3" s="157" t="s">
        <v>171</v>
      </c>
    </row>
    <row r="4" spans="1:10" customFormat="1" x14ac:dyDescent="0.25">
      <c r="A4" t="s">
        <v>174</v>
      </c>
      <c r="B4" s="155">
        <v>26</v>
      </c>
      <c r="C4" s="156">
        <f>30000*G4</f>
        <v>467700</v>
      </c>
      <c r="D4" s="157" t="s">
        <v>310</v>
      </c>
      <c r="E4" s="157" t="s">
        <v>311</v>
      </c>
      <c r="F4" s="157" t="s">
        <v>309</v>
      </c>
      <c r="G4" s="158">
        <v>15.59</v>
      </c>
      <c r="H4" s="156">
        <v>25.38</v>
      </c>
      <c r="I4" s="159">
        <v>42181</v>
      </c>
      <c r="J4" s="157" t="s">
        <v>170</v>
      </c>
    </row>
    <row r="5" spans="1:10" customFormat="1" x14ac:dyDescent="0.25">
      <c r="A5" s="74" t="s">
        <v>175</v>
      </c>
      <c r="B5" s="155">
        <v>27</v>
      </c>
      <c r="C5" s="15"/>
    </row>
    <row r="6" spans="1:10" customFormat="1" x14ac:dyDescent="0.25">
      <c r="A6" s="74" t="s">
        <v>176</v>
      </c>
      <c r="B6" s="155">
        <v>28</v>
      </c>
      <c r="C6" s="15"/>
    </row>
    <row r="7" spans="1:10" s="70" customFormat="1" x14ac:dyDescent="0.25">
      <c r="A7" s="155" t="s">
        <v>165</v>
      </c>
      <c r="B7" s="155">
        <v>28</v>
      </c>
      <c r="C7" s="156">
        <f>29000*G7</f>
        <v>454720</v>
      </c>
      <c r="D7" s="157" t="s">
        <v>312</v>
      </c>
      <c r="E7" s="157" t="s">
        <v>313</v>
      </c>
      <c r="F7" s="157" t="s">
        <v>314</v>
      </c>
      <c r="G7" s="158">
        <v>15.68</v>
      </c>
      <c r="H7" s="156">
        <v>25.56</v>
      </c>
      <c r="I7" s="159">
        <v>42184</v>
      </c>
      <c r="J7" s="157" t="s">
        <v>170</v>
      </c>
    </row>
    <row r="8" spans="1:10" s="70" customFormat="1" x14ac:dyDescent="0.25">
      <c r="A8" s="155" t="s">
        <v>165</v>
      </c>
      <c r="B8" s="155">
        <v>28</v>
      </c>
      <c r="C8" s="156">
        <f>29000*G8</f>
        <v>454720</v>
      </c>
      <c r="D8" s="157" t="s">
        <v>315</v>
      </c>
      <c r="E8" s="157" t="s">
        <v>316</v>
      </c>
      <c r="F8" s="157" t="s">
        <v>314</v>
      </c>
      <c r="G8" s="158">
        <v>15.68</v>
      </c>
      <c r="H8" s="156">
        <v>25.52</v>
      </c>
      <c r="I8" s="159">
        <v>42184</v>
      </c>
      <c r="J8" s="157" t="s">
        <v>170</v>
      </c>
    </row>
    <row r="9" spans="1:10" customFormat="1" x14ac:dyDescent="0.25">
      <c r="A9" t="s">
        <v>165</v>
      </c>
      <c r="B9" s="75">
        <v>29</v>
      </c>
      <c r="C9" s="121">
        <f>32771.38*G9</f>
        <v>513855.23839999997</v>
      </c>
      <c r="D9" s="122" t="s">
        <v>317</v>
      </c>
      <c r="E9" s="122" t="s">
        <v>318</v>
      </c>
      <c r="F9" s="122" t="s">
        <v>319</v>
      </c>
      <c r="G9" s="121">
        <v>15.68</v>
      </c>
      <c r="H9" s="122">
        <v>27.46</v>
      </c>
      <c r="I9" s="123">
        <v>42185</v>
      </c>
      <c r="J9" s="122" t="s">
        <v>170</v>
      </c>
    </row>
    <row r="10" spans="1:10" s="70" customFormat="1" x14ac:dyDescent="0.25">
      <c r="A10" s="70" t="s">
        <v>165</v>
      </c>
      <c r="B10" s="155">
        <v>29</v>
      </c>
      <c r="C10" s="121">
        <v>450001.44</v>
      </c>
      <c r="D10" s="122" t="s">
        <v>320</v>
      </c>
      <c r="E10" s="122" t="s">
        <v>267</v>
      </c>
      <c r="F10" s="122" t="s">
        <v>23</v>
      </c>
      <c r="G10" s="123">
        <v>42184</v>
      </c>
      <c r="H10" s="121" t="s">
        <v>167</v>
      </c>
    </row>
    <row r="11" spans="1:10" customFormat="1" x14ac:dyDescent="0.25">
      <c r="A11" t="s">
        <v>165</v>
      </c>
      <c r="B11" s="75">
        <v>29</v>
      </c>
      <c r="C11" s="121">
        <f>750480+59269.84</f>
        <v>809749.84</v>
      </c>
      <c r="D11" s="122" t="s">
        <v>321</v>
      </c>
      <c r="E11" s="122" t="s">
        <v>242</v>
      </c>
      <c r="F11" s="122" t="s">
        <v>166</v>
      </c>
      <c r="G11" s="123">
        <v>42184</v>
      </c>
      <c r="H11" s="121" t="s">
        <v>167</v>
      </c>
    </row>
    <row r="12" spans="1:10" customFormat="1" x14ac:dyDescent="0.25">
      <c r="A12" t="s">
        <v>165</v>
      </c>
      <c r="B12" s="75">
        <v>29</v>
      </c>
      <c r="C12" s="121">
        <v>777245</v>
      </c>
      <c r="D12" s="122" t="s">
        <v>322</v>
      </c>
      <c r="E12" s="122" t="s">
        <v>243</v>
      </c>
      <c r="F12" s="122" t="s">
        <v>166</v>
      </c>
      <c r="G12" s="123">
        <v>42185</v>
      </c>
      <c r="H12" s="121" t="s">
        <v>167</v>
      </c>
    </row>
    <row r="13" spans="1:10" customFormat="1" x14ac:dyDescent="0.25">
      <c r="A13" t="s">
        <v>165</v>
      </c>
      <c r="B13" s="75">
        <v>29</v>
      </c>
      <c r="C13" s="15">
        <f>813815+14817.53</f>
        <v>828632.53</v>
      </c>
      <c r="D13" s="70" t="s">
        <v>323</v>
      </c>
      <c r="E13" t="s">
        <v>247</v>
      </c>
      <c r="F13" t="s">
        <v>166</v>
      </c>
      <c r="G13" s="160">
        <v>42187</v>
      </c>
      <c r="H13" s="121" t="s">
        <v>167</v>
      </c>
    </row>
    <row r="14" spans="1:10" customFormat="1" x14ac:dyDescent="0.25">
      <c r="A14" t="s">
        <v>168</v>
      </c>
      <c r="B14" s="75">
        <v>30</v>
      </c>
      <c r="C14" s="121">
        <v>1258.3499999999999</v>
      </c>
      <c r="D14" s="122" t="s">
        <v>324</v>
      </c>
      <c r="E14" s="122" t="s">
        <v>325</v>
      </c>
      <c r="F14" s="122" t="s">
        <v>326</v>
      </c>
      <c r="G14" s="123">
        <v>42185</v>
      </c>
      <c r="H14" s="122" t="s">
        <v>170</v>
      </c>
    </row>
    <row r="15" spans="1:10" customFormat="1" x14ac:dyDescent="0.25">
      <c r="A15" t="s">
        <v>168</v>
      </c>
      <c r="B15" s="75">
        <v>30</v>
      </c>
      <c r="C15" s="121">
        <v>28478.400000000001</v>
      </c>
      <c r="D15" s="122" t="s">
        <v>327</v>
      </c>
      <c r="E15" s="122" t="s">
        <v>289</v>
      </c>
      <c r="F15" s="122" t="s">
        <v>328</v>
      </c>
      <c r="G15" s="123">
        <v>42185</v>
      </c>
      <c r="H15" s="122" t="s">
        <v>170</v>
      </c>
    </row>
    <row r="16" spans="1:10" customFormat="1" x14ac:dyDescent="0.25">
      <c r="A16" t="s">
        <v>168</v>
      </c>
      <c r="B16" s="75">
        <v>30</v>
      </c>
      <c r="C16" s="121">
        <v>38271.32</v>
      </c>
      <c r="D16" s="122" t="s">
        <v>329</v>
      </c>
      <c r="E16" s="122" t="s">
        <v>278</v>
      </c>
      <c r="F16" s="122" t="s">
        <v>173</v>
      </c>
      <c r="G16" s="123">
        <v>42185</v>
      </c>
      <c r="H16" s="122" t="s">
        <v>170</v>
      </c>
    </row>
    <row r="17" spans="1:10" customFormat="1" x14ac:dyDescent="0.25">
      <c r="A17" s="126" t="s">
        <v>330</v>
      </c>
      <c r="C17" s="15"/>
    </row>
    <row r="18" spans="1:10" customFormat="1" x14ac:dyDescent="0.25">
      <c r="A18" t="s">
        <v>169</v>
      </c>
      <c r="B18" s="75">
        <v>1</v>
      </c>
      <c r="C18" s="121">
        <f>28766.4*G18</f>
        <v>439838.25599999999</v>
      </c>
      <c r="D18" s="122" t="s">
        <v>331</v>
      </c>
      <c r="E18" s="122" t="s">
        <v>332</v>
      </c>
      <c r="F18" s="122" t="s">
        <v>333</v>
      </c>
      <c r="G18" s="122">
        <v>15.29</v>
      </c>
      <c r="H18" s="122">
        <v>25.66</v>
      </c>
      <c r="I18" s="123">
        <v>42173</v>
      </c>
      <c r="J18" s="122" t="s">
        <v>170</v>
      </c>
    </row>
    <row r="19" spans="1:10" s="70" customFormat="1" x14ac:dyDescent="0.25">
      <c r="A19" s="70" t="s">
        <v>169</v>
      </c>
      <c r="B19" s="155">
        <v>1</v>
      </c>
      <c r="C19" s="136">
        <v>791555</v>
      </c>
      <c r="D19" s="70" t="s">
        <v>334</v>
      </c>
      <c r="E19" s="70" t="s">
        <v>253</v>
      </c>
      <c r="F19" s="70" t="s">
        <v>166</v>
      </c>
      <c r="G19" s="161"/>
      <c r="H19" s="136"/>
      <c r="I19" s="161"/>
    </row>
    <row r="20" spans="1:10" customFormat="1" x14ac:dyDescent="0.25">
      <c r="A20" t="s">
        <v>172</v>
      </c>
      <c r="B20" s="75">
        <v>2</v>
      </c>
      <c r="C20" s="15">
        <v>788456</v>
      </c>
      <c r="D20" s="70" t="s">
        <v>335</v>
      </c>
      <c r="E20" s="70" t="s">
        <v>256</v>
      </c>
      <c r="F20" s="70" t="s">
        <v>166</v>
      </c>
      <c r="G20" s="161"/>
      <c r="H20" s="136"/>
    </row>
    <row r="21" spans="1:10" customFormat="1" x14ac:dyDescent="0.25">
      <c r="A21" t="s">
        <v>172</v>
      </c>
      <c r="B21" s="75">
        <v>2</v>
      </c>
      <c r="C21" s="15">
        <f>32994.25*G21</f>
        <v>517613.79399999999</v>
      </c>
      <c r="D21" s="70" t="s">
        <v>336</v>
      </c>
      <c r="E21" s="70" t="s">
        <v>299</v>
      </c>
      <c r="F21" s="70" t="s">
        <v>337</v>
      </c>
      <c r="G21">
        <v>15.688000000000001</v>
      </c>
      <c r="H21" t="s">
        <v>338</v>
      </c>
      <c r="I21" s="160">
        <v>42187</v>
      </c>
      <c r="J21" s="122" t="s">
        <v>170</v>
      </c>
    </row>
    <row r="22" spans="1:10" customFormat="1" x14ac:dyDescent="0.25">
      <c r="A22" t="s">
        <v>174</v>
      </c>
      <c r="B22" s="75">
        <v>3</v>
      </c>
      <c r="C22" s="15">
        <v>38271.32</v>
      </c>
      <c r="D22" s="70" t="s">
        <v>339</v>
      </c>
      <c r="E22" s="70" t="s">
        <v>305</v>
      </c>
      <c r="F22" s="70" t="s">
        <v>173</v>
      </c>
      <c r="I22" s="160"/>
      <c r="J22" s="70"/>
    </row>
    <row r="23" spans="1:10" customFormat="1" x14ac:dyDescent="0.25">
      <c r="A23" t="s">
        <v>174</v>
      </c>
      <c r="B23" s="75">
        <v>3</v>
      </c>
      <c r="C23" s="15">
        <v>1647724.5</v>
      </c>
      <c r="D23" t="s">
        <v>340</v>
      </c>
      <c r="E23" t="s">
        <v>236</v>
      </c>
      <c r="F23" t="s">
        <v>111</v>
      </c>
    </row>
    <row r="24" spans="1:10" customFormat="1" x14ac:dyDescent="0.25">
      <c r="A24" t="s">
        <v>174</v>
      </c>
      <c r="B24" s="75">
        <v>3</v>
      </c>
      <c r="C24" s="121">
        <f>29861.23*G24</f>
        <v>462550.45270000002</v>
      </c>
      <c r="D24" s="122" t="s">
        <v>341</v>
      </c>
      <c r="E24" s="122" t="s">
        <v>342</v>
      </c>
      <c r="F24" s="122" t="s">
        <v>343</v>
      </c>
      <c r="G24" s="122">
        <v>15.49</v>
      </c>
      <c r="H24" s="122">
        <v>26.8</v>
      </c>
      <c r="I24" s="123">
        <v>42180</v>
      </c>
      <c r="J24" s="122" t="s">
        <v>170</v>
      </c>
    </row>
    <row r="25" spans="1:10" customFormat="1" x14ac:dyDescent="0.25">
      <c r="A25" t="s">
        <v>174</v>
      </c>
      <c r="B25" s="75">
        <v>3</v>
      </c>
      <c r="C25" s="121">
        <f>28772.55*G25</f>
        <v>445686.79950000002</v>
      </c>
      <c r="D25" s="122" t="s">
        <v>344</v>
      </c>
      <c r="E25" s="122" t="s">
        <v>345</v>
      </c>
      <c r="F25" s="122" t="s">
        <v>346</v>
      </c>
      <c r="G25" s="122">
        <v>15.49</v>
      </c>
      <c r="H25" s="122">
        <v>26.86</v>
      </c>
      <c r="I25" s="123">
        <v>42180</v>
      </c>
      <c r="J25" s="122" t="s">
        <v>171</v>
      </c>
    </row>
    <row r="26" spans="1:10" customFormat="1" x14ac:dyDescent="0.25">
      <c r="A26" t="s">
        <v>174</v>
      </c>
      <c r="B26" s="75">
        <v>3</v>
      </c>
      <c r="C26" s="121">
        <f>29631.14*G26</f>
        <v>458986.35859999998</v>
      </c>
      <c r="D26" s="122" t="s">
        <v>347</v>
      </c>
      <c r="E26" s="122" t="s">
        <v>348</v>
      </c>
      <c r="F26" s="122" t="s">
        <v>349</v>
      </c>
      <c r="G26" s="122">
        <v>15.49</v>
      </c>
      <c r="H26" s="122">
        <v>26.81</v>
      </c>
      <c r="I26" s="123">
        <v>42180</v>
      </c>
      <c r="J26" s="122" t="s">
        <v>170</v>
      </c>
    </row>
    <row r="27" spans="1:10" customFormat="1" x14ac:dyDescent="0.25">
      <c r="A27" s="74" t="s">
        <v>175</v>
      </c>
      <c r="B27" s="75">
        <v>4</v>
      </c>
      <c r="C27" s="15"/>
    </row>
    <row r="28" spans="1:10" customFormat="1" x14ac:dyDescent="0.25">
      <c r="A28" s="74" t="s">
        <v>176</v>
      </c>
      <c r="B28" s="75">
        <v>5</v>
      </c>
      <c r="C28" s="15"/>
    </row>
    <row r="29" spans="1:10" customFormat="1" x14ac:dyDescent="0.25">
      <c r="A29" t="s">
        <v>165</v>
      </c>
      <c r="B29" s="75">
        <v>6</v>
      </c>
      <c r="C29" s="15">
        <f>747720+14876.85</f>
        <v>762596.85</v>
      </c>
      <c r="D29" s="70" t="s">
        <v>350</v>
      </c>
      <c r="E29" s="70" t="s">
        <v>266</v>
      </c>
      <c r="F29" s="70" t="s">
        <v>166</v>
      </c>
    </row>
    <row r="30" spans="1:10" customFormat="1" x14ac:dyDescent="0.25">
      <c r="A30" t="s">
        <v>165</v>
      </c>
      <c r="B30" s="75">
        <v>6</v>
      </c>
      <c r="C30" s="15">
        <f>790332+44215.38</f>
        <v>834547.38</v>
      </c>
      <c r="D30" s="70" t="s">
        <v>351</v>
      </c>
      <c r="E30" s="70" t="s">
        <v>269</v>
      </c>
      <c r="F30" s="70" t="s">
        <v>166</v>
      </c>
    </row>
    <row r="31" spans="1:10" customFormat="1" x14ac:dyDescent="0.25">
      <c r="A31" t="s">
        <v>165</v>
      </c>
      <c r="B31" s="75">
        <v>6</v>
      </c>
      <c r="C31" s="15">
        <v>819410</v>
      </c>
      <c r="D31" s="70" t="s">
        <v>352</v>
      </c>
      <c r="E31" s="70" t="s">
        <v>273</v>
      </c>
      <c r="F31" s="70" t="s">
        <v>166</v>
      </c>
    </row>
    <row r="32" spans="1:10" customFormat="1" x14ac:dyDescent="0.25">
      <c r="A32" t="s">
        <v>165</v>
      </c>
      <c r="B32" s="75">
        <v>6</v>
      </c>
      <c r="C32" s="15">
        <v>404652.79999999999</v>
      </c>
      <c r="D32" s="70" t="s">
        <v>353</v>
      </c>
      <c r="E32" s="70" t="s">
        <v>298</v>
      </c>
      <c r="F32" s="70" t="s">
        <v>23</v>
      </c>
    </row>
    <row r="33" spans="1:10" customFormat="1" x14ac:dyDescent="0.25">
      <c r="A33" t="s">
        <v>168</v>
      </c>
      <c r="B33" s="75">
        <v>7</v>
      </c>
      <c r="C33" s="15"/>
    </row>
    <row r="34" spans="1:10" customFormat="1" x14ac:dyDescent="0.25">
      <c r="A34" t="s">
        <v>169</v>
      </c>
      <c r="B34" s="75">
        <v>8</v>
      </c>
      <c r="C34" s="15">
        <v>840582</v>
      </c>
      <c r="D34" t="s">
        <v>354</v>
      </c>
      <c r="E34" t="s">
        <v>281</v>
      </c>
      <c r="F34" t="s">
        <v>166</v>
      </c>
    </row>
    <row r="35" spans="1:10" customFormat="1" x14ac:dyDescent="0.25">
      <c r="A35" t="s">
        <v>169</v>
      </c>
      <c r="B35" s="75">
        <v>8</v>
      </c>
      <c r="C35" s="121">
        <f>29312.78*G35</f>
        <v>459624.39039999997</v>
      </c>
      <c r="D35" s="122" t="s">
        <v>355</v>
      </c>
      <c r="E35" s="122" t="s">
        <v>356</v>
      </c>
      <c r="F35" s="122" t="s">
        <v>357</v>
      </c>
      <c r="G35" s="122">
        <v>15.68</v>
      </c>
      <c r="H35" s="122">
        <v>27.3</v>
      </c>
      <c r="I35" s="123">
        <v>42181</v>
      </c>
      <c r="J35" s="122" t="s">
        <v>170</v>
      </c>
    </row>
    <row r="36" spans="1:10" customFormat="1" x14ac:dyDescent="0.25">
      <c r="A36" t="s">
        <v>172</v>
      </c>
      <c r="B36" s="75">
        <v>9</v>
      </c>
      <c r="C36" s="15">
        <v>802928</v>
      </c>
      <c r="D36" t="s">
        <v>358</v>
      </c>
      <c r="E36" t="s">
        <v>284</v>
      </c>
      <c r="F36" t="s">
        <v>166</v>
      </c>
    </row>
    <row r="37" spans="1:10" customFormat="1" x14ac:dyDescent="0.25">
      <c r="A37" t="s">
        <v>172</v>
      </c>
      <c r="B37" s="75">
        <v>9</v>
      </c>
      <c r="C37" s="15">
        <f>410040+22648</f>
        <v>432688</v>
      </c>
      <c r="D37" t="s">
        <v>358</v>
      </c>
      <c r="E37" t="s">
        <v>285</v>
      </c>
      <c r="F37" t="s">
        <v>166</v>
      </c>
    </row>
    <row r="38" spans="1:10" customFormat="1" x14ac:dyDescent="0.25">
      <c r="A38" t="s">
        <v>174</v>
      </c>
      <c r="B38" s="75">
        <v>10</v>
      </c>
      <c r="C38" s="121">
        <f>26189.81*G38</f>
        <v>411180.01699999999</v>
      </c>
      <c r="D38" s="122" t="s">
        <v>359</v>
      </c>
      <c r="E38" s="122" t="s">
        <v>360</v>
      </c>
      <c r="F38" s="122" t="s">
        <v>361</v>
      </c>
      <c r="G38" s="122">
        <v>15.7</v>
      </c>
      <c r="H38" s="122">
        <v>25.54</v>
      </c>
      <c r="I38" s="123">
        <v>42185</v>
      </c>
      <c r="J38" s="122" t="s">
        <v>170</v>
      </c>
    </row>
    <row r="39" spans="1:10" customFormat="1" x14ac:dyDescent="0.25">
      <c r="A39" t="s">
        <v>174</v>
      </c>
      <c r="B39" s="75">
        <v>10</v>
      </c>
      <c r="C39" s="15">
        <f>27566.13*G39</f>
        <v>432788.24099999998</v>
      </c>
      <c r="D39" s="70" t="s">
        <v>362</v>
      </c>
      <c r="E39" s="70" t="s">
        <v>363</v>
      </c>
      <c r="F39" s="70" t="s">
        <v>364</v>
      </c>
      <c r="G39">
        <v>15.7</v>
      </c>
      <c r="H39">
        <v>2546</v>
      </c>
      <c r="I39" s="160">
        <v>42186</v>
      </c>
      <c r="J39" s="122" t="s">
        <v>170</v>
      </c>
    </row>
    <row r="40" spans="1:10" customFormat="1" x14ac:dyDescent="0.25">
      <c r="A40" t="s">
        <v>174</v>
      </c>
      <c r="B40" s="75">
        <v>10</v>
      </c>
      <c r="C40" s="15">
        <f>27111.93*G40</f>
        <v>425657.30099999998</v>
      </c>
      <c r="D40" s="70" t="s">
        <v>365</v>
      </c>
      <c r="E40" s="70" t="s">
        <v>366</v>
      </c>
      <c r="F40" s="70" t="s">
        <v>367</v>
      </c>
      <c r="G40">
        <v>15.7</v>
      </c>
      <c r="H40">
        <v>25.48</v>
      </c>
      <c r="I40" s="160">
        <v>42186</v>
      </c>
      <c r="J40" s="122" t="s">
        <v>170</v>
      </c>
    </row>
    <row r="41" spans="1:10" customFormat="1" x14ac:dyDescent="0.25">
      <c r="A41" t="s">
        <v>174</v>
      </c>
      <c r="B41" s="75">
        <v>10</v>
      </c>
      <c r="C41" s="121">
        <f>27296.42*G41</f>
        <v>428553.79399999994</v>
      </c>
      <c r="D41" s="122" t="s">
        <v>368</v>
      </c>
      <c r="E41" s="122" t="s">
        <v>369</v>
      </c>
      <c r="F41" s="122" t="s">
        <v>370</v>
      </c>
      <c r="G41" s="122">
        <v>15.7</v>
      </c>
      <c r="H41" s="122"/>
      <c r="I41" s="123">
        <v>42185</v>
      </c>
      <c r="J41" s="122" t="s">
        <v>170</v>
      </c>
    </row>
    <row r="42" spans="1:10" customFormat="1" x14ac:dyDescent="0.25">
      <c r="A42" s="74" t="s">
        <v>175</v>
      </c>
      <c r="B42" s="75">
        <v>11</v>
      </c>
      <c r="C42" s="15"/>
    </row>
    <row r="43" spans="1:10" customFormat="1" x14ac:dyDescent="0.25">
      <c r="A43" s="74" t="s">
        <v>176</v>
      </c>
      <c r="B43" s="75">
        <v>12</v>
      </c>
      <c r="C43" s="15"/>
    </row>
    <row r="44" spans="1:10" customFormat="1" x14ac:dyDescent="0.25">
      <c r="A44" t="s">
        <v>165</v>
      </c>
      <c r="B44" s="75">
        <v>13</v>
      </c>
      <c r="C44" s="15">
        <v>759018</v>
      </c>
      <c r="D44" t="s">
        <v>371</v>
      </c>
      <c r="E44" t="s">
        <v>297</v>
      </c>
      <c r="F44" t="s">
        <v>166</v>
      </c>
    </row>
    <row r="45" spans="1:10" customFormat="1" x14ac:dyDescent="0.25">
      <c r="A45" t="s">
        <v>165</v>
      </c>
      <c r="B45" s="75">
        <v>13</v>
      </c>
      <c r="C45" s="15">
        <v>823979</v>
      </c>
      <c r="D45" t="s">
        <v>372</v>
      </c>
      <c r="E45" t="s">
        <v>301</v>
      </c>
      <c r="F45" t="s">
        <v>166</v>
      </c>
    </row>
    <row r="46" spans="1:10" customFormat="1" x14ac:dyDescent="0.25">
      <c r="A46" t="s">
        <v>165</v>
      </c>
      <c r="B46" s="75">
        <v>13</v>
      </c>
      <c r="C46" s="15">
        <v>746394</v>
      </c>
      <c r="D46" t="s">
        <v>373</v>
      </c>
      <c r="E46" t="s">
        <v>304</v>
      </c>
      <c r="F46" t="s">
        <v>166</v>
      </c>
    </row>
    <row r="47" spans="1:10" customFormat="1" x14ac:dyDescent="0.25"/>
    <row r="48" spans="1:10" customFormat="1" x14ac:dyDescent="0.25"/>
    <row r="49" spans="3:8" customFormat="1" x14ac:dyDescent="0.25">
      <c r="C49" s="124">
        <f>SUM(C19:C48)+C13-C24-C25-C26-C35-C38-C41</f>
        <v>12697494.715999998</v>
      </c>
      <c r="D49" s="76" t="s">
        <v>374</v>
      </c>
    </row>
    <row r="50" spans="3:8" customFormat="1" x14ac:dyDescent="0.25"/>
    <row r="51" spans="3:8" customFormat="1" x14ac:dyDescent="0.25">
      <c r="D51" s="124"/>
      <c r="E51" s="76"/>
    </row>
    <row r="52" spans="3:8" customFormat="1" x14ac:dyDescent="0.25">
      <c r="D52" s="124">
        <f>C22</f>
        <v>38271.32</v>
      </c>
      <c r="E52" s="76" t="s">
        <v>177</v>
      </c>
      <c r="G52" s="76" t="s">
        <v>178</v>
      </c>
    </row>
    <row r="53" spans="3:8" customFormat="1" x14ac:dyDescent="0.25">
      <c r="D53" s="124">
        <f>C40+C39</f>
        <v>858445.5419999999</v>
      </c>
      <c r="E53" s="76" t="s">
        <v>179</v>
      </c>
    </row>
    <row r="54" spans="3:8" customFormat="1" x14ac:dyDescent="0.25">
      <c r="D54" s="124">
        <f>C21</f>
        <v>517613.79399999999</v>
      </c>
      <c r="E54" s="76" t="s">
        <v>375</v>
      </c>
    </row>
    <row r="55" spans="3:8" customFormat="1" x14ac:dyDescent="0.25">
      <c r="D55" s="124">
        <f>C23</f>
        <v>1647724.5</v>
      </c>
      <c r="E55" s="76" t="s">
        <v>376</v>
      </c>
    </row>
    <row r="56" spans="3:8" customFormat="1" x14ac:dyDescent="0.25">
      <c r="D56" s="162">
        <f>SUM(D52:D55)</f>
        <v>3062055.156</v>
      </c>
      <c r="E56" s="125" t="s">
        <v>39</v>
      </c>
    </row>
    <row r="57" spans="3:8" customFormat="1" x14ac:dyDescent="0.25">
      <c r="D57" s="76"/>
      <c r="E57" s="76"/>
    </row>
    <row r="58" spans="3:8" customFormat="1" x14ac:dyDescent="0.25">
      <c r="D58" s="124">
        <f>C46+C45+C44+C37+C36+C34+C31+C30+C29+C20+C19+C13</f>
        <v>9230786.7599999998</v>
      </c>
      <c r="E58" s="76" t="s">
        <v>180</v>
      </c>
      <c r="G58" s="76" t="s">
        <v>181</v>
      </c>
    </row>
    <row r="59" spans="3:8" customFormat="1" x14ac:dyDescent="0.25">
      <c r="D59" s="124">
        <f>C32</f>
        <v>404652.79999999999</v>
      </c>
      <c r="E59" s="76" t="s">
        <v>377</v>
      </c>
      <c r="G59" s="76"/>
    </row>
    <row r="60" spans="3:8" customFormat="1" x14ac:dyDescent="0.25">
      <c r="D60" s="162">
        <f>SUM(D58:D59)</f>
        <v>9635439.5600000005</v>
      </c>
      <c r="E60" s="125" t="s">
        <v>182</v>
      </c>
      <c r="H60" s="51"/>
    </row>
    <row r="61" spans="3:8" customFormat="1" x14ac:dyDescent="0.25">
      <c r="D61" s="3"/>
      <c r="H61" s="51"/>
    </row>
    <row r="62" spans="3:8" customFormat="1" x14ac:dyDescent="0.25">
      <c r="D62" s="3"/>
      <c r="H62" s="51"/>
    </row>
    <row r="63" spans="3:8" customFormat="1" x14ac:dyDescent="0.25">
      <c r="H63" s="51"/>
    </row>
    <row r="64" spans="3:8" customFormat="1" x14ac:dyDescent="0.25">
      <c r="C64" s="134">
        <f>C3+C4+C7+C8</f>
        <v>1844840</v>
      </c>
      <c r="D64" s="134" t="s">
        <v>378</v>
      </c>
      <c r="E64" s="135"/>
      <c r="H64" s="51"/>
    </row>
    <row r="65" spans="8:8" customFormat="1" x14ac:dyDescent="0.25">
      <c r="H65" s="51"/>
    </row>
    <row r="66" spans="8:8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0"/>
  <sheetViews>
    <sheetView tabSelected="1" topLeftCell="A34" zoomScale="75" zoomScaleNormal="75" workbookViewId="0">
      <selection activeCell="AA55" sqref="AA55"/>
    </sheetView>
  </sheetViews>
  <sheetFormatPr baseColWidth="10" defaultRowHeight="15" x14ac:dyDescent="0.25"/>
  <cols>
    <col min="1" max="1" width="2.5703125" customWidth="1"/>
    <col min="2" max="2" width="15.42578125" customWidth="1"/>
    <col min="4" max="4" width="17.7109375" bestFit="1" customWidth="1"/>
    <col min="5" max="5" width="11.140625" customWidth="1"/>
    <col min="8" max="8" width="9.7109375" customWidth="1"/>
    <col min="9" max="9" width="10" customWidth="1"/>
    <col min="10" max="10" width="10.28515625" hidden="1" customWidth="1"/>
    <col min="11" max="11" width="0" hidden="1" customWidth="1"/>
    <col min="12" max="12" width="11.42578125" customWidth="1"/>
    <col min="13" max="13" width="4.28515625" customWidth="1"/>
    <col min="14" max="14" width="6.140625" hidden="1" customWidth="1"/>
    <col min="15" max="15" width="0" hidden="1" customWidth="1"/>
    <col min="16" max="17" width="11.42578125" hidden="1" customWidth="1"/>
    <col min="18" max="18" width="12.140625" hidden="1" customWidth="1"/>
    <col min="19" max="19" width="13.140625" hidden="1" customWidth="1"/>
    <col min="20" max="21" width="11.42578125" hidden="1" customWidth="1"/>
    <col min="22" max="22" width="6.5703125" hidden="1" customWidth="1"/>
    <col min="23" max="23" width="11.42578125" hidden="1" customWidth="1"/>
    <col min="25" max="25" width="16" customWidth="1"/>
    <col min="26" max="26" width="12.7109375" customWidth="1"/>
  </cols>
  <sheetData>
    <row r="1" spans="1:26" x14ac:dyDescent="0.25">
      <c r="A1" s="126" t="s">
        <v>183</v>
      </c>
    </row>
    <row r="2" spans="1:26" s="54" customFormat="1" ht="30.75" thickBot="1" x14ac:dyDescent="0.3">
      <c r="A2" s="104"/>
      <c r="B2" s="13" t="s">
        <v>0</v>
      </c>
      <c r="C2" s="13" t="s">
        <v>1</v>
      </c>
      <c r="D2" s="13" t="s">
        <v>2</v>
      </c>
      <c r="E2" s="13" t="s">
        <v>3</v>
      </c>
      <c r="F2" s="140" t="s">
        <v>150</v>
      </c>
      <c r="G2" s="140" t="s">
        <v>151</v>
      </c>
      <c r="H2" s="140" t="s">
        <v>4</v>
      </c>
      <c r="I2" s="127" t="s">
        <v>5</v>
      </c>
      <c r="J2" s="13" t="s">
        <v>6</v>
      </c>
      <c r="K2" s="63" t="s">
        <v>7</v>
      </c>
      <c r="L2" s="63" t="s">
        <v>8</v>
      </c>
      <c r="M2" s="13" t="s">
        <v>9</v>
      </c>
      <c r="N2" s="13" t="s">
        <v>10</v>
      </c>
      <c r="O2" s="64" t="s">
        <v>11</v>
      </c>
      <c r="P2" s="65" t="s">
        <v>12</v>
      </c>
      <c r="Q2" s="64" t="s">
        <v>13</v>
      </c>
      <c r="R2" s="141" t="s">
        <v>152</v>
      </c>
      <c r="S2" s="141" t="s">
        <v>153</v>
      </c>
      <c r="T2" s="141" t="s">
        <v>14</v>
      </c>
      <c r="U2" s="64" t="s">
        <v>15</v>
      </c>
      <c r="V2" s="64" t="s">
        <v>16</v>
      </c>
      <c r="W2" s="64" t="s">
        <v>17</v>
      </c>
      <c r="X2" s="64" t="s">
        <v>18</v>
      </c>
      <c r="Y2" s="96" t="s">
        <v>19</v>
      </c>
      <c r="Z2" s="64"/>
    </row>
    <row r="3" spans="1:26" s="54" customFormat="1" x14ac:dyDescent="0.25">
      <c r="A3" s="148"/>
      <c r="B3" s="137" t="s">
        <v>184</v>
      </c>
      <c r="C3" s="112" t="s">
        <v>185</v>
      </c>
      <c r="D3" s="113" t="s">
        <v>154</v>
      </c>
      <c r="E3" s="113" t="s">
        <v>186</v>
      </c>
      <c r="F3" s="114">
        <v>18780.07</v>
      </c>
      <c r="G3" s="115">
        <v>18792.599999999999</v>
      </c>
      <c r="H3" s="115">
        <f t="shared" ref="H3:H6" si="0">G3-F3</f>
        <v>12.529999999998836</v>
      </c>
      <c r="I3" s="112" t="s">
        <v>187</v>
      </c>
      <c r="J3" s="113"/>
      <c r="K3" s="116"/>
      <c r="L3" s="116">
        <v>42156</v>
      </c>
      <c r="M3" s="112" t="s">
        <v>34</v>
      </c>
      <c r="N3" s="113"/>
      <c r="O3" s="117">
        <v>86</v>
      </c>
      <c r="P3" s="142"/>
      <c r="Q3" s="117"/>
      <c r="R3" s="117"/>
      <c r="S3" s="119"/>
      <c r="T3" s="133"/>
      <c r="U3" s="143"/>
      <c r="V3" s="117"/>
      <c r="W3" s="117">
        <f>IF(O3&gt;0,O3,((P3*2.2046*S3)+(Q3+R3)/G3)+V3)</f>
        <v>86</v>
      </c>
      <c r="X3" s="117">
        <f>IF(O3&gt;0,O3,((P3*2.2046*S3)+(Q3+R3+T3)/G3)+V3)</f>
        <v>86</v>
      </c>
      <c r="Y3" s="139">
        <f t="shared" ref="Y3:Y6" si="1">X3*F3</f>
        <v>1615086.02</v>
      </c>
      <c r="Z3" s="120">
        <v>42177</v>
      </c>
    </row>
    <row r="4" spans="1:26" s="54" customFormat="1" ht="15.75" customHeight="1" x14ac:dyDescent="0.25">
      <c r="A4" s="146"/>
      <c r="B4" s="61" t="s">
        <v>23</v>
      </c>
      <c r="C4" s="13" t="s">
        <v>27</v>
      </c>
      <c r="D4" s="108" t="s">
        <v>188</v>
      </c>
      <c r="E4" s="13">
        <v>249</v>
      </c>
      <c r="F4" s="109">
        <v>28226.639999999999</v>
      </c>
      <c r="G4" s="62">
        <f>17030+5400</f>
        <v>22430</v>
      </c>
      <c r="H4" s="62">
        <f t="shared" si="0"/>
        <v>-5796.6399999999994</v>
      </c>
      <c r="I4" s="108" t="s">
        <v>189</v>
      </c>
      <c r="J4" s="13"/>
      <c r="K4" s="63"/>
      <c r="L4" s="63">
        <v>42156</v>
      </c>
      <c r="M4" s="108" t="s">
        <v>34</v>
      </c>
      <c r="N4" s="13"/>
      <c r="O4" s="64">
        <v>24.5</v>
      </c>
      <c r="P4" s="65"/>
      <c r="Q4" s="128">
        <v>16500</v>
      </c>
      <c r="R4" s="147">
        <f>58.25*E4</f>
        <v>14504.25</v>
      </c>
      <c r="S4" s="145">
        <f>-40*E4</f>
        <v>-9960</v>
      </c>
      <c r="T4" s="144">
        <f>W4*F4*0.0045</f>
        <v>4042.4483409526697</v>
      </c>
      <c r="U4" s="64">
        <f>E4*5</f>
        <v>1245</v>
      </c>
      <c r="V4" s="13"/>
      <c r="W4" s="64">
        <f>((O4*F4)+Q4+R4+S4+U4)/G4</f>
        <v>31.825320106999552</v>
      </c>
      <c r="X4" s="64">
        <f>((O4*F4)+Q4+R4+S4+T4+U4)/G4</f>
        <v>32.005545177929228</v>
      </c>
      <c r="Y4" s="96">
        <f t="shared" si="1"/>
        <v>903409.00174114422</v>
      </c>
      <c r="Z4" s="66">
        <v>42170</v>
      </c>
    </row>
    <row r="5" spans="1:26" s="54" customFormat="1" x14ac:dyDescent="0.25">
      <c r="A5" s="146"/>
      <c r="B5" s="61" t="s">
        <v>20</v>
      </c>
      <c r="C5" s="13" t="s">
        <v>21</v>
      </c>
      <c r="D5" s="13" t="s">
        <v>143</v>
      </c>
      <c r="E5" s="13" t="s">
        <v>37</v>
      </c>
      <c r="F5" s="109">
        <f>39506*0.4536</f>
        <v>17919.921600000001</v>
      </c>
      <c r="G5" s="62">
        <v>17737</v>
      </c>
      <c r="H5" s="62">
        <f t="shared" si="0"/>
        <v>-182.92160000000149</v>
      </c>
      <c r="I5" s="108" t="s">
        <v>190</v>
      </c>
      <c r="J5" s="67" t="s">
        <v>144</v>
      </c>
      <c r="K5" s="63">
        <v>42156</v>
      </c>
      <c r="L5" s="63">
        <v>42157</v>
      </c>
      <c r="M5" s="108" t="s">
        <v>35</v>
      </c>
      <c r="N5" s="108" t="s">
        <v>191</v>
      </c>
      <c r="O5" s="64"/>
      <c r="P5" s="79">
        <f>0.6809+0.105</f>
        <v>0.78589999999999993</v>
      </c>
      <c r="Q5" s="128">
        <v>18500</v>
      </c>
      <c r="R5" s="64">
        <v>8460</v>
      </c>
      <c r="S5" s="110">
        <v>15.47</v>
      </c>
      <c r="T5" s="111">
        <f>W5*F5*0.005</f>
        <v>2546.7105604073345</v>
      </c>
      <c r="V5" s="64">
        <v>0.1</v>
      </c>
      <c r="W5" s="64">
        <f>IF(O5&gt;0,O5,((P5*2.2046*S5)+(Q5+R5)/G5)+V5)</f>
        <v>28.423233284763189</v>
      </c>
      <c r="X5" s="64">
        <f>IF(O5&gt;0,O5,((P5*2.2046*S5)+(Q5+R5+T5)/G5)+V5)</f>
        <v>28.566815094562326</v>
      </c>
      <c r="Y5" s="96">
        <f t="shared" si="1"/>
        <v>511915.0868562535</v>
      </c>
      <c r="Z5" s="66">
        <v>42167</v>
      </c>
    </row>
    <row r="6" spans="1:26" s="54" customFormat="1" x14ac:dyDescent="0.25">
      <c r="A6" s="146"/>
      <c r="B6" s="61" t="s">
        <v>20</v>
      </c>
      <c r="C6" s="13" t="s">
        <v>21</v>
      </c>
      <c r="D6" s="13" t="s">
        <v>143</v>
      </c>
      <c r="E6" s="13" t="s">
        <v>37</v>
      </c>
      <c r="F6" s="109">
        <f>38628*0.4536</f>
        <v>17521.660800000001</v>
      </c>
      <c r="G6" s="62">
        <v>17520.669999999998</v>
      </c>
      <c r="H6" s="62">
        <f t="shared" si="0"/>
        <v>-0.99080000000321888</v>
      </c>
      <c r="I6" s="108" t="s">
        <v>192</v>
      </c>
      <c r="J6" s="67" t="s">
        <v>144</v>
      </c>
      <c r="K6" s="63">
        <v>42156</v>
      </c>
      <c r="L6" s="63">
        <v>42157</v>
      </c>
      <c r="M6" s="108" t="s">
        <v>35</v>
      </c>
      <c r="N6" s="108" t="s">
        <v>191</v>
      </c>
      <c r="O6" s="64"/>
      <c r="P6" s="79">
        <v>0.78590000000000004</v>
      </c>
      <c r="Q6" s="128">
        <v>18500</v>
      </c>
      <c r="R6" s="64">
        <v>8460</v>
      </c>
      <c r="S6" s="110">
        <v>15.52</v>
      </c>
      <c r="T6" s="111">
        <f>W6*F6*0.005</f>
        <v>2499.3449346993616</v>
      </c>
      <c r="V6" s="64">
        <v>0.1</v>
      </c>
      <c r="W6" s="64">
        <f>IF(O6&gt;0,O6,((P6*2.2046*S6)+(Q6+R6)/G6)+V6)</f>
        <v>28.528630513145892</v>
      </c>
      <c r="X6" s="64">
        <f>IF(O6&gt;0,O6,((P6*2.2046*S6)+(Q6+R6+T6)/G6)+V6)</f>
        <v>28.671281732231655</v>
      </c>
      <c r="Y6" s="96">
        <f t="shared" si="1"/>
        <v>502368.47321339953</v>
      </c>
      <c r="Z6" s="66">
        <v>42167</v>
      </c>
    </row>
    <row r="7" spans="1:26" s="54" customFormat="1" x14ac:dyDescent="0.25">
      <c r="A7" s="146"/>
      <c r="B7" s="61" t="s">
        <v>23</v>
      </c>
      <c r="C7" s="13" t="s">
        <v>27</v>
      </c>
      <c r="D7" s="108" t="s">
        <v>38</v>
      </c>
      <c r="E7" s="13">
        <f>179+70</f>
        <v>249</v>
      </c>
      <c r="F7" s="109">
        <v>28680</v>
      </c>
      <c r="G7" s="62">
        <f>16010+6310</f>
        <v>22320</v>
      </c>
      <c r="H7" s="62">
        <f>G7-F7</f>
        <v>-6360</v>
      </c>
      <c r="I7" s="108" t="s">
        <v>193</v>
      </c>
      <c r="J7" s="13"/>
      <c r="K7" s="63"/>
      <c r="L7" s="63">
        <v>42157</v>
      </c>
      <c r="M7" s="108" t="s">
        <v>35</v>
      </c>
      <c r="N7" s="13"/>
      <c r="O7" s="64">
        <v>24.5</v>
      </c>
      <c r="P7" s="65"/>
      <c r="Q7" s="128">
        <v>16500</v>
      </c>
      <c r="R7" s="147">
        <f>58.25*E7</f>
        <v>14504.25</v>
      </c>
      <c r="S7" s="110">
        <f>-40*E7</f>
        <v>-9960</v>
      </c>
      <c r="T7" s="111">
        <f>W7*F7*0.0045</f>
        <v>4191.8436471774185</v>
      </c>
      <c r="U7" s="64">
        <f>E7*5</f>
        <v>1245</v>
      </c>
      <c r="V7" s="13"/>
      <c r="W7" s="64">
        <f>((O7*F7)+Q7+R7+S7+U7)/G7</f>
        <v>32.479805107526879</v>
      </c>
      <c r="X7" s="64">
        <f>((O7*F7)+Q7+R7+S7+T7+U7)/G7</f>
        <v>32.667611722543789</v>
      </c>
      <c r="Y7" s="96">
        <f>X7*F7</f>
        <v>936907.10420255584</v>
      </c>
      <c r="Z7" s="66">
        <v>42170</v>
      </c>
    </row>
    <row r="8" spans="1:26" s="54" customFormat="1" x14ac:dyDescent="0.25">
      <c r="A8" s="146"/>
      <c r="B8" s="61" t="s">
        <v>20</v>
      </c>
      <c r="C8" s="13" t="s">
        <v>21</v>
      </c>
      <c r="D8" s="13" t="s">
        <v>143</v>
      </c>
      <c r="E8" s="13" t="s">
        <v>37</v>
      </c>
      <c r="F8" s="109">
        <f>40495*0.4536</f>
        <v>18368.531999999999</v>
      </c>
      <c r="G8" s="62">
        <v>18438.86</v>
      </c>
      <c r="H8" s="62">
        <f>G8-F8</f>
        <v>70.328000000001339</v>
      </c>
      <c r="I8" s="108" t="s">
        <v>194</v>
      </c>
      <c r="J8" s="67" t="s">
        <v>195</v>
      </c>
      <c r="K8" s="63">
        <v>42157</v>
      </c>
      <c r="L8" s="63">
        <v>42158</v>
      </c>
      <c r="M8" s="108" t="s">
        <v>22</v>
      </c>
      <c r="N8" s="108" t="s">
        <v>191</v>
      </c>
      <c r="O8" s="64"/>
      <c r="P8" s="79">
        <v>0.78590000000000004</v>
      </c>
      <c r="Q8" s="64">
        <v>18500</v>
      </c>
      <c r="R8" s="64">
        <v>8460</v>
      </c>
      <c r="S8" s="110">
        <v>15.759</v>
      </c>
      <c r="T8" s="111">
        <f>W8*F8*0.005</f>
        <v>2651.1390633024334</v>
      </c>
      <c r="V8" s="64">
        <v>0.1</v>
      </c>
      <c r="W8" s="64">
        <f>IF(O8&gt;0,O8,((P8*2.2046*S8)+(Q8+R8)/G8)+V8)</f>
        <v>28.866096248763192</v>
      </c>
      <c r="X8" s="64">
        <f>IF(O8&gt;0,O8,((P8*2.2046*S8)+(Q8+R8+T8)/G8)+V8)</f>
        <v>29.009876236425249</v>
      </c>
      <c r="Y8" s="96">
        <f>X8*F8</f>
        <v>532868.8399648167</v>
      </c>
      <c r="Z8" s="66">
        <v>42167</v>
      </c>
    </row>
    <row r="9" spans="1:26" s="54" customFormat="1" x14ac:dyDescent="0.25">
      <c r="A9" s="146"/>
      <c r="B9" s="61" t="s">
        <v>23</v>
      </c>
      <c r="C9" s="13" t="s">
        <v>148</v>
      </c>
      <c r="D9" s="108" t="s">
        <v>148</v>
      </c>
      <c r="E9" s="13">
        <v>225</v>
      </c>
      <c r="F9" s="109">
        <v>26480</v>
      </c>
      <c r="G9" s="62">
        <f>5580+4350+11500</f>
        <v>21430</v>
      </c>
      <c r="H9" s="62">
        <f t="shared" ref="H9" si="2">G9-F9</f>
        <v>-5050</v>
      </c>
      <c r="I9" s="108" t="s">
        <v>196</v>
      </c>
      <c r="J9" s="13"/>
      <c r="K9" s="63">
        <v>42157</v>
      </c>
      <c r="L9" s="63">
        <v>42158</v>
      </c>
      <c r="M9" s="108" t="s">
        <v>22</v>
      </c>
      <c r="N9" s="13"/>
      <c r="O9" s="64">
        <v>24.7</v>
      </c>
      <c r="P9" s="65"/>
      <c r="Q9" s="64"/>
      <c r="R9" s="64">
        <f>98*E9</f>
        <v>22050</v>
      </c>
      <c r="S9" s="110">
        <f>-32*E9</f>
        <v>-7200</v>
      </c>
      <c r="T9" s="111"/>
      <c r="U9" s="64">
        <f>E9*10</f>
        <v>2250</v>
      </c>
      <c r="V9" s="13"/>
      <c r="W9" s="64">
        <f>((O9*F9)+Q9+R9+S9+U9)/G9</f>
        <v>31.318525431637891</v>
      </c>
      <c r="X9" s="64">
        <f>((O9*F9)+Q9+R9+S9+T9+U9)/G9</f>
        <v>31.318525431637891</v>
      </c>
      <c r="Y9" s="96">
        <f t="shared" ref="Y9" si="3">X9*F9</f>
        <v>829314.55342977133</v>
      </c>
      <c r="Z9" s="66">
        <v>42158</v>
      </c>
    </row>
    <row r="10" spans="1:26" s="54" customFormat="1" x14ac:dyDescent="0.25">
      <c r="A10" s="146"/>
      <c r="B10" s="61" t="s">
        <v>20</v>
      </c>
      <c r="C10" s="108" t="s">
        <v>29</v>
      </c>
      <c r="D10" s="108" t="s">
        <v>29</v>
      </c>
      <c r="E10" s="13" t="s">
        <v>30</v>
      </c>
      <c r="F10" s="109">
        <f>42404*0.4536</f>
        <v>19234.454399999999</v>
      </c>
      <c r="G10" s="62">
        <v>19111.990000000002</v>
      </c>
      <c r="H10" s="62">
        <f>G10-F10</f>
        <v>-122.46439999999711</v>
      </c>
      <c r="I10" s="108" t="s">
        <v>197</v>
      </c>
      <c r="J10" s="67" t="s">
        <v>144</v>
      </c>
      <c r="K10" s="63">
        <v>42158</v>
      </c>
      <c r="L10" s="63">
        <v>42159</v>
      </c>
      <c r="M10" s="108" t="s">
        <v>26</v>
      </c>
      <c r="N10" s="108" t="s">
        <v>198</v>
      </c>
      <c r="O10" s="64"/>
      <c r="P10" s="79">
        <f>0.67+0.105</f>
        <v>0.77500000000000002</v>
      </c>
      <c r="Q10" s="128">
        <v>18500</v>
      </c>
      <c r="R10" s="64">
        <v>8460</v>
      </c>
      <c r="S10" s="110">
        <v>15.37</v>
      </c>
      <c r="T10" s="111">
        <f>W10*F10*0.005</f>
        <v>2670.8267911701919</v>
      </c>
      <c r="V10" s="64">
        <v>0.1</v>
      </c>
      <c r="W10" s="64">
        <f>IF(O10&gt;0,O10,((P10*2.2046*S10)+(Q10+R10)/G10)+V10)</f>
        <v>27.771276851712432</v>
      </c>
      <c r="X10" s="64">
        <f>IF(O10&gt;0,O10,((P10*2.2046*S10)+(Q10+R10+T10)/G10)+V10)</f>
        <v>27.911022989669299</v>
      </c>
      <c r="Y10" s="96">
        <f>X10*F10</f>
        <v>536853.29895214573</v>
      </c>
      <c r="Z10" s="66">
        <v>42153</v>
      </c>
    </row>
    <row r="11" spans="1:26" s="54" customFormat="1" x14ac:dyDescent="0.25">
      <c r="A11" s="146"/>
      <c r="B11" s="61" t="s">
        <v>23</v>
      </c>
      <c r="C11" s="13" t="s">
        <v>27</v>
      </c>
      <c r="D11" s="108" t="s">
        <v>36</v>
      </c>
      <c r="E11" s="13">
        <v>250</v>
      </c>
      <c r="F11" s="109">
        <v>25500</v>
      </c>
      <c r="G11" s="62">
        <f>4760+15130</f>
        <v>19890</v>
      </c>
      <c r="H11" s="62">
        <f t="shared" ref="H11:H19" si="4">G11-F11</f>
        <v>-5610</v>
      </c>
      <c r="I11" s="108" t="s">
        <v>199</v>
      </c>
      <c r="J11" s="13"/>
      <c r="K11" s="63"/>
      <c r="L11" s="63">
        <v>42159</v>
      </c>
      <c r="M11" s="108" t="s">
        <v>26</v>
      </c>
      <c r="N11" s="13"/>
      <c r="O11" s="64">
        <v>25.5</v>
      </c>
      <c r="P11" s="65"/>
      <c r="Q11" s="128">
        <v>16500</v>
      </c>
      <c r="R11" s="147">
        <f t="shared" ref="R11" si="5">58.25*E11</f>
        <v>14562.5</v>
      </c>
      <c r="S11" s="110">
        <f>-40*E11</f>
        <v>-10000</v>
      </c>
      <c r="T11" s="111">
        <f>W11*F11*0.0045</f>
        <v>3880.1682692307691</v>
      </c>
      <c r="U11" s="64">
        <f>E11*5</f>
        <v>1250</v>
      </c>
      <c r="V11" s="13"/>
      <c r="W11" s="64">
        <f>((O11*F11)+Q11+R11+S11+U11)/G11</f>
        <v>33.814102564102562</v>
      </c>
      <c r="X11" s="64">
        <f>((O11*F11)+Q11+R11+S11+T11+U11)/G11</f>
        <v>34.009183925049307</v>
      </c>
      <c r="Y11" s="96">
        <f t="shared" ref="Y11" si="6">X11*F11</f>
        <v>867234.19008875731</v>
      </c>
      <c r="Z11" s="66">
        <v>42172</v>
      </c>
    </row>
    <row r="12" spans="1:26" s="54" customFormat="1" x14ac:dyDescent="0.25">
      <c r="A12" s="146"/>
      <c r="B12" s="61" t="s">
        <v>200</v>
      </c>
      <c r="C12" s="13" t="s">
        <v>29</v>
      </c>
      <c r="D12" s="108" t="s">
        <v>145</v>
      </c>
      <c r="E12" s="13" t="s">
        <v>159</v>
      </c>
      <c r="F12" s="109">
        <v>1818</v>
      </c>
      <c r="G12" s="62">
        <v>1818</v>
      </c>
      <c r="H12" s="62">
        <f t="shared" si="4"/>
        <v>0</v>
      </c>
      <c r="I12" s="108" t="s">
        <v>201</v>
      </c>
      <c r="J12" s="13"/>
      <c r="K12" s="63"/>
      <c r="L12" s="63">
        <v>42159</v>
      </c>
      <c r="M12" s="108" t="s">
        <v>26</v>
      </c>
      <c r="N12" s="13"/>
      <c r="O12" s="64">
        <v>15.5</v>
      </c>
      <c r="P12" s="65"/>
      <c r="Q12" s="64"/>
      <c r="R12" s="64"/>
      <c r="S12" s="110"/>
      <c r="T12" s="111"/>
      <c r="U12" s="64"/>
      <c r="V12" s="64"/>
      <c r="W12" s="64">
        <f>IF(O12&gt;0,O12,((P12*2.2046*S12)+(Q12+R12)/G12)+V12)</f>
        <v>15.5</v>
      </c>
      <c r="X12" s="64">
        <f>IF(O12&gt;0,O12,((P12*2.2046*S12)+(Q12+R12+T12)/G12)+V12)</f>
        <v>15.5</v>
      </c>
      <c r="Y12" s="96">
        <f>X12*F12</f>
        <v>28179</v>
      </c>
      <c r="Z12" s="66">
        <v>42166</v>
      </c>
    </row>
    <row r="13" spans="1:26" s="54" customFormat="1" x14ac:dyDescent="0.25">
      <c r="A13" s="146"/>
      <c r="B13" s="61" t="s">
        <v>20</v>
      </c>
      <c r="C13" s="108" t="s">
        <v>29</v>
      </c>
      <c r="D13" s="108" t="s">
        <v>29</v>
      </c>
      <c r="E13" s="13" t="s">
        <v>30</v>
      </c>
      <c r="F13" s="109">
        <f>42060*0.4536</f>
        <v>19078.416000000001</v>
      </c>
      <c r="G13" s="62">
        <v>18827.86</v>
      </c>
      <c r="H13" s="62">
        <f t="shared" si="4"/>
        <v>-250.55600000000049</v>
      </c>
      <c r="I13" s="108" t="s">
        <v>202</v>
      </c>
      <c r="J13" s="67" t="s">
        <v>144</v>
      </c>
      <c r="K13" s="63">
        <v>42159</v>
      </c>
      <c r="L13" s="63">
        <v>42160</v>
      </c>
      <c r="M13" s="108" t="s">
        <v>31</v>
      </c>
      <c r="N13" s="108" t="s">
        <v>203</v>
      </c>
      <c r="O13" s="64"/>
      <c r="P13" s="79">
        <f>0.6579+0.105</f>
        <v>0.76290000000000002</v>
      </c>
      <c r="Q13" s="128">
        <v>18500</v>
      </c>
      <c r="R13" s="64">
        <v>8460</v>
      </c>
      <c r="S13" s="110">
        <v>15.37</v>
      </c>
      <c r="T13" s="111">
        <f>W13*F13*0.005</f>
        <v>2612.0793278513552</v>
      </c>
      <c r="V13" s="64">
        <v>0.1</v>
      </c>
      <c r="W13" s="64">
        <f>IF(O13&gt;0,O13,((P13*2.2046*S13)+(Q13+R13)/G13)+V13)</f>
        <v>27.382559724574147</v>
      </c>
      <c r="X13" s="64">
        <f>IF(O13&gt;0,O13,((P13*2.2046*S13)+(Q13+R13+T13)/G13)+V13)</f>
        <v>27.521294521192104</v>
      </c>
      <c r="Y13" s="96">
        <f>X13*F13</f>
        <v>525062.70573382382</v>
      </c>
      <c r="Z13" s="66">
        <v>42153</v>
      </c>
    </row>
    <row r="14" spans="1:26" s="54" customFormat="1" x14ac:dyDescent="0.25">
      <c r="A14" s="146"/>
      <c r="B14" s="61" t="s">
        <v>23</v>
      </c>
      <c r="C14" s="13" t="s">
        <v>27</v>
      </c>
      <c r="D14" s="108" t="s">
        <v>188</v>
      </c>
      <c r="E14" s="13">
        <v>250</v>
      </c>
      <c r="F14" s="109">
        <v>29395</v>
      </c>
      <c r="G14" s="62">
        <f>12310+11150</f>
        <v>23460</v>
      </c>
      <c r="H14" s="62">
        <f t="shared" si="4"/>
        <v>-5935</v>
      </c>
      <c r="I14" s="108" t="s">
        <v>204</v>
      </c>
      <c r="J14" s="13"/>
      <c r="K14" s="63"/>
      <c r="L14" s="63">
        <v>42160</v>
      </c>
      <c r="M14" s="108" t="s">
        <v>31</v>
      </c>
      <c r="N14" s="13"/>
      <c r="O14" s="64">
        <v>26</v>
      </c>
      <c r="P14" s="65"/>
      <c r="Q14" s="128">
        <v>16500</v>
      </c>
      <c r="R14" s="147">
        <f>58.25*E14</f>
        <v>14562.5</v>
      </c>
      <c r="S14" s="110">
        <f>-40*E14</f>
        <v>-10000</v>
      </c>
      <c r="T14" s="111">
        <f>W14*F14*0.0045</f>
        <v>4435.0880922314582</v>
      </c>
      <c r="U14" s="64">
        <f>E14*5</f>
        <v>1250</v>
      </c>
      <c r="V14" s="13"/>
      <c r="W14" s="64">
        <f>((O14*F14)+Q14+R14+S14+U14)/G14</f>
        <v>33.528665814151751</v>
      </c>
      <c r="X14" s="64">
        <f>((O14*F14)+Q14+R14+S14+T14+U14)/G14</f>
        <v>33.717714752439534</v>
      </c>
      <c r="Y14" s="96">
        <f t="shared" ref="Y14:Y15" si="7">X14*F14</f>
        <v>991132.22514796013</v>
      </c>
      <c r="Z14" s="66">
        <v>42173</v>
      </c>
    </row>
    <row r="15" spans="1:26" s="54" customFormat="1" x14ac:dyDescent="0.25">
      <c r="A15" s="146"/>
      <c r="B15" s="61" t="s">
        <v>200</v>
      </c>
      <c r="C15" s="13" t="s">
        <v>29</v>
      </c>
      <c r="D15" s="108" t="s">
        <v>145</v>
      </c>
      <c r="E15" s="13" t="s">
        <v>159</v>
      </c>
      <c r="F15" s="109">
        <v>1857.9</v>
      </c>
      <c r="G15" s="62">
        <v>1857.9</v>
      </c>
      <c r="H15" s="62">
        <f t="shared" si="4"/>
        <v>0</v>
      </c>
      <c r="I15" s="108" t="s">
        <v>205</v>
      </c>
      <c r="J15" s="13"/>
      <c r="K15" s="63"/>
      <c r="L15" s="63">
        <v>42160</v>
      </c>
      <c r="M15" s="108"/>
      <c r="N15" s="13"/>
      <c r="O15" s="64">
        <v>15.5</v>
      </c>
      <c r="P15" s="65"/>
      <c r="Q15" s="64"/>
      <c r="R15" s="64"/>
      <c r="S15" s="110"/>
      <c r="T15" s="111"/>
      <c r="U15" s="64"/>
      <c r="V15" s="64"/>
      <c r="W15" s="64">
        <f>IF(O15&gt;0,O15,((P15*2.2046*S15)+(Q15+R15)/G15)+V15)</f>
        <v>15.5</v>
      </c>
      <c r="X15" s="64">
        <f>IF(O15&gt;0,O15,((P15*2.2046*S15)+(Q15+R15+T15)/G15)+V15)</f>
        <v>15.5</v>
      </c>
      <c r="Y15" s="96">
        <f t="shared" si="7"/>
        <v>28797.45</v>
      </c>
      <c r="Z15" s="66">
        <v>42166</v>
      </c>
    </row>
    <row r="16" spans="1:26" s="54" customFormat="1" x14ac:dyDescent="0.25">
      <c r="A16" s="146"/>
      <c r="B16" s="61" t="s">
        <v>20</v>
      </c>
      <c r="C16" s="13" t="s">
        <v>160</v>
      </c>
      <c r="D16" s="108" t="s">
        <v>161</v>
      </c>
      <c r="E16" s="13" t="s">
        <v>162</v>
      </c>
      <c r="F16" s="109">
        <f>41446*0.4536</f>
        <v>18799.905600000002</v>
      </c>
      <c r="G16" s="62">
        <v>18811.509999999998</v>
      </c>
      <c r="H16" s="62">
        <f t="shared" si="4"/>
        <v>11.604399999996531</v>
      </c>
      <c r="I16" s="108">
        <v>4144</v>
      </c>
      <c r="J16" s="13"/>
      <c r="K16" s="63"/>
      <c r="L16" s="63">
        <v>42161</v>
      </c>
      <c r="M16" s="108" t="s">
        <v>32</v>
      </c>
      <c r="N16" s="13" t="s">
        <v>206</v>
      </c>
      <c r="O16" s="64"/>
      <c r="P16" s="79">
        <f>0.6579+0.16</f>
        <v>0.81790000000000007</v>
      </c>
      <c r="Q16" s="64"/>
      <c r="R16" s="64"/>
      <c r="S16" s="110">
        <v>15.7</v>
      </c>
      <c r="T16" s="111"/>
      <c r="U16" s="64"/>
      <c r="V16" s="64"/>
      <c r="W16" s="64">
        <f>IF(O16&gt;0,O16,((P16*2.2046*S16)+(Q16+R16)/G16)+V16)</f>
        <v>28.309334738</v>
      </c>
      <c r="X16" s="64">
        <f>IF(O16&gt;0,O16,((P16*2.2046*S16)+(Q16+R16+T16)/G16)+V16)</f>
        <v>28.309334738</v>
      </c>
      <c r="Y16" s="96">
        <f>X16*F16</f>
        <v>532212.82067320077</v>
      </c>
      <c r="Z16" s="66">
        <v>42163</v>
      </c>
    </row>
    <row r="17" spans="1:26" s="54" customFormat="1" x14ac:dyDescent="0.25">
      <c r="A17" s="146"/>
      <c r="B17" s="61" t="s">
        <v>20</v>
      </c>
      <c r="C17" s="108" t="s">
        <v>29</v>
      </c>
      <c r="D17" s="108" t="s">
        <v>29</v>
      </c>
      <c r="E17" s="13" t="s">
        <v>30</v>
      </c>
      <c r="F17" s="109">
        <f>43161*0.4536</f>
        <v>19577.829600000001</v>
      </c>
      <c r="G17" s="62">
        <v>19359.25</v>
      </c>
      <c r="H17" s="62">
        <f t="shared" si="4"/>
        <v>-218.57960000000094</v>
      </c>
      <c r="I17" s="108" t="s">
        <v>207</v>
      </c>
      <c r="J17" s="67" t="s">
        <v>40</v>
      </c>
      <c r="K17" s="63">
        <v>42160</v>
      </c>
      <c r="L17" s="63">
        <v>42161</v>
      </c>
      <c r="M17" s="108" t="s">
        <v>32</v>
      </c>
      <c r="N17" s="108" t="s">
        <v>208</v>
      </c>
      <c r="O17" s="64"/>
      <c r="P17" s="79">
        <f>0.6555+0.105</f>
        <v>0.76049999999999995</v>
      </c>
      <c r="Q17" s="128">
        <v>18500</v>
      </c>
      <c r="R17" s="64">
        <v>8460</v>
      </c>
      <c r="S17" s="110">
        <v>15.5</v>
      </c>
      <c r="T17" s="111">
        <f>W17*F17*0.005</f>
        <v>2689.9829784092417</v>
      </c>
      <c r="V17" s="64">
        <v>0.1</v>
      </c>
      <c r="W17" s="64">
        <f>IF(O17&gt;0,O17,((P17*2.2046*S17)+(Q17+R17)/G17)+V17)</f>
        <v>27.479889582951948</v>
      </c>
      <c r="X17" s="64">
        <f>IF(O17&gt;0,O17,((P17*2.2046*S17)+(Q17+R17+T17)/G17)+V17)</f>
        <v>27.61884036763675</v>
      </c>
      <c r="Y17" s="96">
        <f t="shared" ref="Y17:Y19" si="8">X17*F17</f>
        <v>540716.95046719362</v>
      </c>
      <c r="Z17" s="66">
        <v>42156</v>
      </c>
    </row>
    <row r="18" spans="1:26" s="54" customFormat="1" x14ac:dyDescent="0.25">
      <c r="A18" s="146"/>
      <c r="B18" s="61" t="s">
        <v>20</v>
      </c>
      <c r="C18" s="108" t="s">
        <v>29</v>
      </c>
      <c r="D18" s="108" t="s">
        <v>29</v>
      </c>
      <c r="E18" s="13" t="s">
        <v>30</v>
      </c>
      <c r="F18" s="109">
        <f>42171*0.4536</f>
        <v>19128.765599999999</v>
      </c>
      <c r="G18" s="62">
        <v>18930.22</v>
      </c>
      <c r="H18" s="62">
        <f t="shared" si="4"/>
        <v>-198.54559999999765</v>
      </c>
      <c r="I18" s="108" t="s">
        <v>209</v>
      </c>
      <c r="J18" s="67" t="s">
        <v>144</v>
      </c>
      <c r="K18" s="63">
        <v>42160</v>
      </c>
      <c r="L18" s="63">
        <v>42161</v>
      </c>
      <c r="M18" s="108" t="s">
        <v>32</v>
      </c>
      <c r="N18" s="108" t="s">
        <v>208</v>
      </c>
      <c r="O18" s="64"/>
      <c r="P18" s="79">
        <v>0.76049999999999995</v>
      </c>
      <c r="Q18" s="128">
        <v>18500</v>
      </c>
      <c r="R18" s="64">
        <v>8460</v>
      </c>
      <c r="S18" s="110">
        <v>15.5</v>
      </c>
      <c r="T18" s="111">
        <f>W18*F18*0.005</f>
        <v>2631.3005351971779</v>
      </c>
      <c r="V18" s="64">
        <v>0.1</v>
      </c>
      <c r="W18" s="64">
        <f>IF(O18&gt;0,O18,((P18*2.2046*S18)+(Q18+R18)/G18)+V18)</f>
        <v>27.511451498963194</v>
      </c>
      <c r="X18" s="64">
        <f>IF(O18&gt;0,O18,((P18*2.2046*S18)+(Q18+R18+T18)/G18)+V18)</f>
        <v>27.650451496596457</v>
      </c>
      <c r="Y18" s="96">
        <f t="shared" si="8"/>
        <v>528919.00541256275</v>
      </c>
      <c r="Z18" s="66">
        <v>42156</v>
      </c>
    </row>
    <row r="19" spans="1:26" s="54" customFormat="1" x14ac:dyDescent="0.25">
      <c r="A19" s="146"/>
      <c r="B19" s="61" t="s">
        <v>20</v>
      </c>
      <c r="C19" s="108" t="s">
        <v>21</v>
      </c>
      <c r="D19" s="13" t="s">
        <v>143</v>
      </c>
      <c r="E19" s="13" t="s">
        <v>37</v>
      </c>
      <c r="F19" s="109">
        <f>41211*0.4536</f>
        <v>18693.309600000001</v>
      </c>
      <c r="G19" s="62">
        <v>18704.34</v>
      </c>
      <c r="H19" s="62">
        <f t="shared" si="4"/>
        <v>11.030399999999645</v>
      </c>
      <c r="I19" s="108" t="s">
        <v>210</v>
      </c>
      <c r="J19" s="67" t="s">
        <v>144</v>
      </c>
      <c r="K19" s="63">
        <v>42160</v>
      </c>
      <c r="L19" s="63">
        <v>42161</v>
      </c>
      <c r="M19" s="108" t="s">
        <v>32</v>
      </c>
      <c r="N19" s="13" t="s">
        <v>206</v>
      </c>
      <c r="O19" s="64"/>
      <c r="P19" s="79">
        <v>0.76290000000000002</v>
      </c>
      <c r="Q19" s="128">
        <v>18500</v>
      </c>
      <c r="R19" s="64">
        <v>8460</v>
      </c>
      <c r="S19" s="110">
        <v>15.755000000000001</v>
      </c>
      <c r="T19" s="111">
        <f>W19*F19*0.005</f>
        <v>2620.7593159083062</v>
      </c>
      <c r="V19" s="64">
        <v>0.1</v>
      </c>
      <c r="W19" s="64">
        <f>IF(O19&gt;0,O19,((P19*2.2046*S19)+(Q19+R19)/G19)+V19)</f>
        <v>28.039543258924102</v>
      </c>
      <c r="X19" s="64">
        <f>IF(O19&gt;0,O19,((P19*2.2046*S19)+(Q19+R19+T19)/G19)+V19)</f>
        <v>28.179658297247205</v>
      </c>
      <c r="Y19" s="96">
        <f t="shared" si="8"/>
        <v>526771.07697265083</v>
      </c>
      <c r="Z19" s="66">
        <v>42172</v>
      </c>
    </row>
    <row r="20" spans="1:26" s="54" customFormat="1" ht="15.75" thickBot="1" x14ac:dyDescent="0.3">
      <c r="A20" s="146"/>
      <c r="B20" s="68"/>
      <c r="C20" s="55"/>
      <c r="D20" s="55"/>
      <c r="E20" s="55"/>
      <c r="F20" s="56"/>
      <c r="G20" s="56"/>
      <c r="H20" s="56"/>
      <c r="I20" s="57"/>
      <c r="J20" s="55"/>
      <c r="K20" s="58"/>
      <c r="L20" s="58"/>
      <c r="M20" s="55"/>
      <c r="N20" s="55"/>
      <c r="O20" s="59"/>
      <c r="P20" s="60"/>
      <c r="Q20" s="59"/>
      <c r="R20" s="59"/>
      <c r="S20" s="59"/>
      <c r="T20" s="59"/>
      <c r="U20" s="59"/>
      <c r="V20" s="59"/>
      <c r="W20" s="59"/>
      <c r="X20" s="59"/>
      <c r="Y20" s="59"/>
      <c r="Z20" s="69"/>
    </row>
    <row r="21" spans="1:26" s="54" customFormat="1" x14ac:dyDescent="0.25">
      <c r="A21" s="149"/>
      <c r="B21" s="137" t="s">
        <v>23</v>
      </c>
      <c r="C21" s="113" t="s">
        <v>27</v>
      </c>
      <c r="D21" s="112" t="s">
        <v>147</v>
      </c>
      <c r="E21" s="113">
        <v>250</v>
      </c>
      <c r="F21" s="114">
        <v>27220</v>
      </c>
      <c r="G21" s="115">
        <f>6930+14500</f>
        <v>21430</v>
      </c>
      <c r="H21" s="115">
        <f t="shared" ref="H21:H25" si="9">G21-F21</f>
        <v>-5790</v>
      </c>
      <c r="I21" s="112" t="s">
        <v>211</v>
      </c>
      <c r="J21" s="113"/>
      <c r="K21" s="116"/>
      <c r="L21" s="116">
        <v>42162</v>
      </c>
      <c r="M21" s="112" t="s">
        <v>33</v>
      </c>
      <c r="N21" s="113"/>
      <c r="O21" s="117">
        <v>26</v>
      </c>
      <c r="P21" s="118"/>
      <c r="Q21" s="138">
        <v>16500</v>
      </c>
      <c r="R21" s="147">
        <f>58.25*E21</f>
        <v>14562.5</v>
      </c>
      <c r="S21" s="119">
        <f>-40*E21</f>
        <v>-10000</v>
      </c>
      <c r="T21" s="133">
        <f>W21*F21*0.0045</f>
        <v>4172.7335942603822</v>
      </c>
      <c r="U21" s="117">
        <f>E21*5</f>
        <v>1250</v>
      </c>
      <c r="V21" s="113"/>
      <c r="W21" s="117">
        <f>((O21*F21)+Q21+R21+S21+U21)/G21</f>
        <v>34.065912272515163</v>
      </c>
      <c r="X21" s="117">
        <f>((O21*F21)+Q21+R21+S21+T21+U21)/G21</f>
        <v>34.260626859274865</v>
      </c>
      <c r="Y21" s="139">
        <f t="shared" ref="Y21:Y25" si="10">X21*F21</f>
        <v>932574.26310946187</v>
      </c>
      <c r="Z21" s="120">
        <v>42177</v>
      </c>
    </row>
    <row r="22" spans="1:26" s="54" customFormat="1" x14ac:dyDescent="0.25">
      <c r="A22" s="149"/>
      <c r="B22" s="61" t="s">
        <v>23</v>
      </c>
      <c r="C22" s="108" t="s">
        <v>24</v>
      </c>
      <c r="D22" s="108" t="s">
        <v>156</v>
      </c>
      <c r="E22" s="13">
        <v>120</v>
      </c>
      <c r="F22" s="109">
        <v>10837.4</v>
      </c>
      <c r="G22" s="62">
        <v>10860</v>
      </c>
      <c r="H22" s="62">
        <f t="shared" si="9"/>
        <v>22.600000000000364</v>
      </c>
      <c r="I22" s="108" t="s">
        <v>212</v>
      </c>
      <c r="J22" s="13"/>
      <c r="K22" s="63"/>
      <c r="L22" s="63">
        <v>42162</v>
      </c>
      <c r="M22" s="108" t="s">
        <v>33</v>
      </c>
      <c r="N22" s="13"/>
      <c r="O22" s="64">
        <v>34.799999999999997</v>
      </c>
      <c r="P22" s="65"/>
      <c r="Q22" s="64"/>
      <c r="R22" s="64"/>
      <c r="S22" s="110"/>
      <c r="T22" s="111"/>
      <c r="U22" s="64">
        <f>E22*5</f>
        <v>600</v>
      </c>
      <c r="V22" s="13"/>
      <c r="W22" s="64">
        <f>((O22*F22)+Q22+R22+S22+U22)/G22</f>
        <v>34.782828729281768</v>
      </c>
      <c r="X22" s="64">
        <f>((O22*F22)+Q22+R22+S22+T22+U22)/G22</f>
        <v>34.782828729281768</v>
      </c>
      <c r="Y22" s="96">
        <f t="shared" si="10"/>
        <v>376955.42807071819</v>
      </c>
      <c r="Z22" s="66">
        <v>42170</v>
      </c>
    </row>
    <row r="23" spans="1:26" s="54" customFormat="1" x14ac:dyDescent="0.25">
      <c r="A23" s="149"/>
      <c r="B23" s="61" t="s">
        <v>23</v>
      </c>
      <c r="C23" s="108" t="s">
        <v>24</v>
      </c>
      <c r="D23" s="108" t="s">
        <v>156</v>
      </c>
      <c r="E23" s="13">
        <v>216</v>
      </c>
      <c r="F23" s="109">
        <v>18267.7</v>
      </c>
      <c r="G23" s="62">
        <f>5050+13240</f>
        <v>18290</v>
      </c>
      <c r="H23" s="62">
        <f t="shared" si="9"/>
        <v>22.299999999999272</v>
      </c>
      <c r="I23" s="108" t="s">
        <v>213</v>
      </c>
      <c r="J23" s="13"/>
      <c r="K23" s="63"/>
      <c r="L23" s="63">
        <v>42163</v>
      </c>
      <c r="M23" s="108" t="s">
        <v>34</v>
      </c>
      <c r="N23" s="13"/>
      <c r="O23" s="64">
        <v>34.799999999999997</v>
      </c>
      <c r="P23" s="65"/>
      <c r="Q23" s="64"/>
      <c r="R23" s="64"/>
      <c r="S23" s="110"/>
      <c r="T23" s="111"/>
      <c r="U23" s="64">
        <f>E23*5</f>
        <v>1080</v>
      </c>
      <c r="V23" s="13"/>
      <c r="W23" s="64">
        <f>((O23*F23)+Q23+R23+S23+U23)/G23</f>
        <v>34.816618917441225</v>
      </c>
      <c r="X23" s="64">
        <f>((O23*F23)+Q23+R23+S23+T23+U23)/G23</f>
        <v>34.816618917441225</v>
      </c>
      <c r="Y23" s="96">
        <f t="shared" si="10"/>
        <v>636019.5493981411</v>
      </c>
      <c r="Z23" s="66">
        <v>42170</v>
      </c>
    </row>
    <row r="24" spans="1:26" s="54" customFormat="1" x14ac:dyDescent="0.25">
      <c r="A24" s="149"/>
      <c r="B24" s="61" t="s">
        <v>20</v>
      </c>
      <c r="C24" s="13" t="s">
        <v>21</v>
      </c>
      <c r="D24" s="13" t="s">
        <v>143</v>
      </c>
      <c r="E24" s="13" t="s">
        <v>37</v>
      </c>
      <c r="F24" s="109">
        <f>40690*0.4536</f>
        <v>18456.984</v>
      </c>
      <c r="G24" s="62">
        <v>18452.03</v>
      </c>
      <c r="H24" s="62">
        <f t="shared" si="9"/>
        <v>-4.9540000000015425</v>
      </c>
      <c r="I24" s="108" t="s">
        <v>214</v>
      </c>
      <c r="J24" s="67" t="s">
        <v>215</v>
      </c>
      <c r="K24" s="63">
        <v>42163</v>
      </c>
      <c r="L24" s="63">
        <v>42164</v>
      </c>
      <c r="M24" s="108" t="s">
        <v>35</v>
      </c>
      <c r="N24" s="108" t="s">
        <v>216</v>
      </c>
      <c r="O24" s="64"/>
      <c r="P24" s="79">
        <f>0.5997+0.105</f>
        <v>0.70469999999999999</v>
      </c>
      <c r="Q24" s="128">
        <v>18500</v>
      </c>
      <c r="R24" s="64">
        <v>8486</v>
      </c>
      <c r="S24" s="110">
        <v>15.58</v>
      </c>
      <c r="T24" s="111">
        <f>W24*F24*0.005</f>
        <v>2377.9329009253374</v>
      </c>
      <c r="V24" s="64">
        <v>0.1</v>
      </c>
      <c r="W24" s="64">
        <f>IF(O24&gt;0,O24,((P24*2.2046*S24)+(Q24+R24)/G24)+V24)</f>
        <v>25.767296552083888</v>
      </c>
      <c r="X24" s="64">
        <f>IF(O24&gt;0,O24,((P24*2.2046*S24)+(Q24+R24+T24)/G24)+V24)</f>
        <v>25.896167624856115</v>
      </c>
      <c r="Y24" s="96">
        <f t="shared" si="10"/>
        <v>477965.15151328733</v>
      </c>
      <c r="Z24" s="66">
        <v>42174</v>
      </c>
    </row>
    <row r="25" spans="1:26" s="54" customFormat="1" x14ac:dyDescent="0.25">
      <c r="A25" s="149"/>
      <c r="B25" s="61" t="s">
        <v>20</v>
      </c>
      <c r="C25" s="13" t="s">
        <v>21</v>
      </c>
      <c r="D25" s="13" t="s">
        <v>143</v>
      </c>
      <c r="E25" s="13" t="s">
        <v>37</v>
      </c>
      <c r="F25" s="109">
        <f>39642*0.4536</f>
        <v>17981.611199999999</v>
      </c>
      <c r="G25" s="62">
        <v>17986.61</v>
      </c>
      <c r="H25" s="62">
        <f t="shared" si="9"/>
        <v>4.9988000000012107</v>
      </c>
      <c r="I25" s="108" t="s">
        <v>217</v>
      </c>
      <c r="J25" s="67" t="s">
        <v>149</v>
      </c>
      <c r="K25" s="63">
        <v>42163</v>
      </c>
      <c r="L25" s="63">
        <v>42164</v>
      </c>
      <c r="M25" s="108" t="s">
        <v>35</v>
      </c>
      <c r="N25" s="108" t="s">
        <v>216</v>
      </c>
      <c r="O25" s="64"/>
      <c r="P25" s="79">
        <f>0.5997+0.105</f>
        <v>0.70469999999999999</v>
      </c>
      <c r="Q25" s="128">
        <v>18500</v>
      </c>
      <c r="R25" s="64">
        <v>8486</v>
      </c>
      <c r="S25" s="110">
        <v>15.58</v>
      </c>
      <c r="T25" s="111">
        <f>W25*F25*0.005</f>
        <v>2320.0899674263983</v>
      </c>
      <c r="V25" s="64">
        <v>0.1</v>
      </c>
      <c r="W25" s="64">
        <f>IF(O25&gt;0,O25,((P25*2.2046*S25)+(Q25+R25)/G25)+V25)</f>
        <v>25.805139946818542</v>
      </c>
      <c r="X25" s="64">
        <f>IF(O25&gt;0,O25,((P25*2.2046*S25)+(Q25+R25+T25)/G25)+V25)</f>
        <v>25.934129788007425</v>
      </c>
      <c r="Y25" s="96">
        <f t="shared" si="10"/>
        <v>466337.43865828792</v>
      </c>
      <c r="Z25" s="66">
        <v>42174</v>
      </c>
    </row>
    <row r="26" spans="1:26" s="54" customFormat="1" x14ac:dyDescent="0.25">
      <c r="A26" s="149"/>
      <c r="B26" s="61" t="s">
        <v>23</v>
      </c>
      <c r="C26" s="13" t="s">
        <v>27</v>
      </c>
      <c r="D26" s="108" t="s">
        <v>147</v>
      </c>
      <c r="E26" s="13">
        <v>250</v>
      </c>
      <c r="F26" s="109">
        <v>27210</v>
      </c>
      <c r="G26" s="62">
        <f>18130+3400</f>
        <v>21530</v>
      </c>
      <c r="H26" s="62">
        <f>G26-F26</f>
        <v>-5680</v>
      </c>
      <c r="I26" s="54" t="s">
        <v>218</v>
      </c>
      <c r="J26" s="13"/>
      <c r="K26" s="63"/>
      <c r="L26" s="63">
        <v>42164</v>
      </c>
      <c r="M26" s="108" t="s">
        <v>35</v>
      </c>
      <c r="N26" s="13"/>
      <c r="O26" s="64">
        <v>26.5</v>
      </c>
      <c r="P26" s="65"/>
      <c r="Q26" s="128">
        <v>16500</v>
      </c>
      <c r="R26" s="147">
        <f>58.25*E26</f>
        <v>14562.5</v>
      </c>
      <c r="S26" s="110">
        <f>-40*E26</f>
        <v>-10000</v>
      </c>
      <c r="T26" s="111">
        <f>W26*F26*0.0045</f>
        <v>4227.7221545517887</v>
      </c>
      <c r="U26" s="64">
        <f>E26*5</f>
        <v>1250</v>
      </c>
      <c r="V26" s="13"/>
      <c r="W26" s="64">
        <f>((O26*F26)+Q26+R26+S26+U26)/G26</f>
        <v>34.527519739897819</v>
      </c>
      <c r="X26" s="64">
        <f>((O26*F26)+Q26+R26+S26+T26+U26)/G26</f>
        <v>34.723883983026091</v>
      </c>
      <c r="Y26" s="96">
        <f>X26*F26</f>
        <v>944836.88317813992</v>
      </c>
      <c r="Z26" s="66">
        <v>42177</v>
      </c>
    </row>
    <row r="27" spans="1:26" s="54" customFormat="1" x14ac:dyDescent="0.25">
      <c r="A27" s="149"/>
      <c r="B27" s="61" t="s">
        <v>20</v>
      </c>
      <c r="C27" s="13" t="s">
        <v>160</v>
      </c>
      <c r="D27" s="108" t="s">
        <v>161</v>
      </c>
      <c r="E27" s="13" t="s">
        <v>162</v>
      </c>
      <c r="F27" s="109">
        <f>41852*0.4536</f>
        <v>18984.067200000001</v>
      </c>
      <c r="G27" s="62">
        <v>18984.07</v>
      </c>
      <c r="H27" s="62">
        <f t="shared" ref="H27" si="11">G27-F27</f>
        <v>2.7999999983876478E-3</v>
      </c>
      <c r="I27" s="54">
        <v>4147</v>
      </c>
      <c r="J27" s="13"/>
      <c r="K27" s="63">
        <v>42163</v>
      </c>
      <c r="L27" s="63">
        <v>42165</v>
      </c>
      <c r="M27" s="108" t="s">
        <v>22</v>
      </c>
      <c r="N27" s="13" t="s">
        <v>219</v>
      </c>
      <c r="O27" s="64"/>
      <c r="P27" s="79">
        <f>0.5997+0.16</f>
        <v>0.75970000000000004</v>
      </c>
      <c r="Q27" s="64"/>
      <c r="R27" s="64"/>
      <c r="S27" s="110">
        <v>15.505000000000001</v>
      </c>
      <c r="T27" s="111"/>
      <c r="U27" s="64"/>
      <c r="V27" s="64"/>
      <c r="W27" s="64">
        <f>IF(O27&gt;0,O27,((P27*2.2046*S27)+(Q27+R27)/G27)+V27)</f>
        <v>25.968310783100005</v>
      </c>
      <c r="X27" s="64">
        <f>IF(O27&gt;0,O27,((P27*2.2046*S27)+(Q27+R27+T27)/G27)+V27)</f>
        <v>25.968310783100005</v>
      </c>
      <c r="Y27" s="96">
        <f>X27*F27</f>
        <v>492984.15697685513</v>
      </c>
      <c r="Z27" s="66">
        <v>42166</v>
      </c>
    </row>
    <row r="28" spans="1:26" s="54" customFormat="1" x14ac:dyDescent="0.25">
      <c r="A28" s="149"/>
      <c r="B28" s="61" t="s">
        <v>20</v>
      </c>
      <c r="C28" s="13" t="s">
        <v>21</v>
      </c>
      <c r="D28" s="13" t="s">
        <v>143</v>
      </c>
      <c r="E28" s="13" t="s">
        <v>37</v>
      </c>
      <c r="F28" s="109">
        <f>39953*0.4536</f>
        <v>18122.680800000002</v>
      </c>
      <c r="G28" s="62">
        <v>18120.240000000002</v>
      </c>
      <c r="H28" s="62">
        <f>G28-F28</f>
        <v>-2.4408000000003085</v>
      </c>
      <c r="I28" s="108" t="s">
        <v>220</v>
      </c>
      <c r="J28" s="67" t="s">
        <v>215</v>
      </c>
      <c r="K28" s="63">
        <v>42164</v>
      </c>
      <c r="L28" s="63">
        <v>42165</v>
      </c>
      <c r="M28" s="108" t="s">
        <v>22</v>
      </c>
      <c r="N28" s="108" t="s">
        <v>216</v>
      </c>
      <c r="O28" s="64"/>
      <c r="P28" s="79">
        <v>0.70469999999999999</v>
      </c>
      <c r="Q28" s="128">
        <v>18500</v>
      </c>
      <c r="R28" s="64">
        <v>8473</v>
      </c>
      <c r="S28" s="110">
        <v>15.49</v>
      </c>
      <c r="T28" s="111">
        <f>W28*F28*0.005</f>
        <v>2324.5541977435646</v>
      </c>
      <c r="V28" s="64">
        <v>0.1</v>
      </c>
      <c r="W28" s="64">
        <f>IF(O28&gt;0,O28,((P28*2.2046*S28)+(Q28+R28)/G28)+V28)</f>
        <v>25.653535736761022</v>
      </c>
      <c r="X28" s="64">
        <f>IF(O28&gt;0,O28,((P28*2.2046*S28)+(Q28+R28+T28)/G28)+V28)</f>
        <v>25.781820693127138</v>
      </c>
      <c r="Y28" s="96">
        <f>X28*F28</f>
        <v>467235.70686437789</v>
      </c>
      <c r="Z28" s="66">
        <v>42174</v>
      </c>
    </row>
    <row r="29" spans="1:26" s="54" customFormat="1" x14ac:dyDescent="0.25">
      <c r="A29" s="149"/>
      <c r="B29" s="61" t="s">
        <v>23</v>
      </c>
      <c r="C29" s="13" t="s">
        <v>148</v>
      </c>
      <c r="D29" s="108" t="s">
        <v>148</v>
      </c>
      <c r="E29" s="13">
        <v>220</v>
      </c>
      <c r="F29" s="109">
        <v>23870</v>
      </c>
      <c r="G29" s="62">
        <f>9450+9420</f>
        <v>18870</v>
      </c>
      <c r="H29" s="62">
        <f t="shared" ref="H29:H31" si="12">G29-F29</f>
        <v>-5000</v>
      </c>
      <c r="I29" s="108" t="s">
        <v>221</v>
      </c>
      <c r="J29" s="13"/>
      <c r="K29" s="63">
        <v>42164</v>
      </c>
      <c r="L29" s="63">
        <v>42165</v>
      </c>
      <c r="M29" s="108" t="s">
        <v>22</v>
      </c>
      <c r="N29" s="13"/>
      <c r="O29" s="64">
        <v>26.5</v>
      </c>
      <c r="P29" s="65"/>
      <c r="Q29" s="64"/>
      <c r="R29" s="64">
        <f>98*E29</f>
        <v>21560</v>
      </c>
      <c r="S29" s="110">
        <f>-32*E29</f>
        <v>-7040</v>
      </c>
      <c r="T29" s="111"/>
      <c r="U29" s="64">
        <f>E29*10</f>
        <v>2200</v>
      </c>
      <c r="V29" s="13"/>
      <c r="W29" s="64">
        <f>((O29*F29)+Q29+R29+S29+U29)/G29</f>
        <v>34.407790143084263</v>
      </c>
      <c r="X29" s="64">
        <f>((O29*F29)+Q29+R29+S29+T29+U29)/G29</f>
        <v>34.407790143084263</v>
      </c>
      <c r="Y29" s="96">
        <f t="shared" ref="Y29" si="13">X29*F29</f>
        <v>821313.95071542135</v>
      </c>
      <c r="Z29" s="66">
        <v>42166</v>
      </c>
    </row>
    <row r="30" spans="1:26" s="54" customFormat="1" x14ac:dyDescent="0.25">
      <c r="A30" s="149"/>
      <c r="B30" s="61" t="s">
        <v>222</v>
      </c>
      <c r="C30" s="13" t="s">
        <v>164</v>
      </c>
      <c r="D30" s="108" t="s">
        <v>145</v>
      </c>
      <c r="E30" s="13" t="s">
        <v>223</v>
      </c>
      <c r="F30" s="109">
        <v>5010.63</v>
      </c>
      <c r="G30" s="62">
        <v>5025.47</v>
      </c>
      <c r="H30" s="62">
        <f t="shared" si="12"/>
        <v>14.840000000000146</v>
      </c>
      <c r="I30" s="108" t="s">
        <v>224</v>
      </c>
      <c r="J30" s="13"/>
      <c r="K30" s="63"/>
      <c r="L30" s="63">
        <v>42165</v>
      </c>
      <c r="M30" s="108" t="s">
        <v>22</v>
      </c>
      <c r="N30" s="13"/>
      <c r="O30" s="64">
        <v>68.5</v>
      </c>
      <c r="P30" s="65"/>
      <c r="Q30" s="64"/>
      <c r="R30" s="64"/>
      <c r="S30" s="110"/>
      <c r="T30" s="111"/>
      <c r="U30" s="64"/>
      <c r="V30" s="64"/>
      <c r="W30" s="64">
        <f>IF(O30&gt;0,O30,((P30*2.2046*S30)+(Q30+R30)/G30)+V30)</f>
        <v>68.5</v>
      </c>
      <c r="X30" s="64">
        <f>IF(O30&gt;0,O30,((P30*2.2046*S30)+(Q30+R30+T30)/G30)+V30)</f>
        <v>68.5</v>
      </c>
      <c r="Y30" s="96">
        <f>X30*F30</f>
        <v>343228.15500000003</v>
      </c>
      <c r="Z30" s="66">
        <v>42172</v>
      </c>
    </row>
    <row r="31" spans="1:26" s="54" customFormat="1" x14ac:dyDescent="0.25">
      <c r="A31" s="149"/>
      <c r="B31" s="61" t="s">
        <v>200</v>
      </c>
      <c r="C31" s="13" t="s">
        <v>29</v>
      </c>
      <c r="D31" s="108" t="s">
        <v>145</v>
      </c>
      <c r="E31" s="13" t="s">
        <v>159</v>
      </c>
      <c r="F31" s="109">
        <v>1811.6</v>
      </c>
      <c r="G31" s="62">
        <v>1811.6</v>
      </c>
      <c r="H31" s="62">
        <f t="shared" si="12"/>
        <v>0</v>
      </c>
      <c r="I31" s="108" t="s">
        <v>225</v>
      </c>
      <c r="J31" s="13"/>
      <c r="K31" s="63"/>
      <c r="L31" s="63">
        <v>42165</v>
      </c>
      <c r="M31" s="108" t="s">
        <v>22</v>
      </c>
      <c r="N31" s="13"/>
      <c r="O31" s="64">
        <v>15.5</v>
      </c>
      <c r="P31" s="65"/>
      <c r="Q31" s="64"/>
      <c r="R31" s="64"/>
      <c r="S31" s="110"/>
      <c r="T31" s="111"/>
      <c r="U31" s="64"/>
      <c r="V31" s="64"/>
      <c r="W31" s="64">
        <f>IF(O31&gt;0,O31,((P31*2.2046*S31)+(Q31+R31)/G31)+V31)</f>
        <v>15.5</v>
      </c>
      <c r="X31" s="64">
        <f>IF(O31&gt;0,O31,((P31*2.2046*S31)+(Q31+R31+T31)/G31)+V31)</f>
        <v>15.5</v>
      </c>
      <c r="Y31" s="96">
        <f>X31*F31</f>
        <v>28079.8</v>
      </c>
      <c r="Z31" s="66">
        <v>42172</v>
      </c>
    </row>
    <row r="32" spans="1:26" s="54" customFormat="1" x14ac:dyDescent="0.25">
      <c r="A32" s="149"/>
      <c r="B32" s="61" t="s">
        <v>20</v>
      </c>
      <c r="C32" s="108" t="s">
        <v>29</v>
      </c>
      <c r="D32" s="108" t="s">
        <v>29</v>
      </c>
      <c r="E32" s="13" t="s">
        <v>30</v>
      </c>
      <c r="F32" s="109">
        <f>42770*0.4536</f>
        <v>19400.472000000002</v>
      </c>
      <c r="G32" s="62">
        <v>19352.03</v>
      </c>
      <c r="H32" s="62">
        <f>G32-F32</f>
        <v>-48.442000000002736</v>
      </c>
      <c r="I32" s="108" t="s">
        <v>226</v>
      </c>
      <c r="J32" s="67" t="s">
        <v>215</v>
      </c>
      <c r="K32" s="150" t="s">
        <v>227</v>
      </c>
      <c r="L32" s="63">
        <v>42166</v>
      </c>
      <c r="M32" s="108" t="s">
        <v>26</v>
      </c>
      <c r="N32" s="108" t="s">
        <v>228</v>
      </c>
      <c r="O32" s="64"/>
      <c r="P32" s="79">
        <f>0.5906+0.105</f>
        <v>0.6956</v>
      </c>
      <c r="Q32" s="128">
        <v>18500</v>
      </c>
      <c r="R32" s="64">
        <v>8473</v>
      </c>
      <c r="S32" s="110">
        <v>15.766</v>
      </c>
      <c r="T32" s="111">
        <f>W32*F32*0.005</f>
        <v>2490.1747249002806</v>
      </c>
      <c r="V32" s="64">
        <v>0.1</v>
      </c>
      <c r="W32" s="64">
        <f>IF(O32&gt;0,O32,((P32*2.2046*S32)+(Q32+R32)/G32)+V32)</f>
        <v>25.67127980082423</v>
      </c>
      <c r="X32" s="64">
        <f>IF(O32&gt;0,O32,((P32*2.2046*S32)+(Q32+R32+T32)/G32)+V32)</f>
        <v>25.799957501556413</v>
      </c>
      <c r="Y32" s="96">
        <f>X32*F32</f>
        <v>500531.35311013518</v>
      </c>
      <c r="Z32" s="66">
        <v>42160</v>
      </c>
    </row>
    <row r="33" spans="1:26" s="54" customFormat="1" x14ac:dyDescent="0.25">
      <c r="A33" s="149"/>
      <c r="B33" s="61" t="s">
        <v>23</v>
      </c>
      <c r="C33" s="13" t="s">
        <v>27</v>
      </c>
      <c r="D33" s="108" t="s">
        <v>38</v>
      </c>
      <c r="E33" s="13">
        <v>251</v>
      </c>
      <c r="F33" s="109">
        <v>28320</v>
      </c>
      <c r="G33" s="62">
        <f>6980+15300</f>
        <v>22280</v>
      </c>
      <c r="H33" s="62">
        <f t="shared" ref="H33" si="14">G33-F33</f>
        <v>-6040</v>
      </c>
      <c r="I33" s="108" t="s">
        <v>229</v>
      </c>
      <c r="J33" s="13"/>
      <c r="K33" s="63"/>
      <c r="L33" s="63">
        <v>42166</v>
      </c>
      <c r="M33" s="108" t="s">
        <v>26</v>
      </c>
      <c r="N33" s="13"/>
      <c r="O33" s="64">
        <v>26.5</v>
      </c>
      <c r="P33" s="65"/>
      <c r="Q33" s="128">
        <v>16500</v>
      </c>
      <c r="R33" s="147">
        <f>59.25*E33</f>
        <v>14871.75</v>
      </c>
      <c r="S33" s="110">
        <f>-40*E33</f>
        <v>-10040</v>
      </c>
      <c r="T33" s="111">
        <f>W33*F33*0.0045</f>
        <v>4421.8862935368043</v>
      </c>
      <c r="U33" s="64">
        <f>E33*5</f>
        <v>1255</v>
      </c>
      <c r="V33" s="13"/>
      <c r="W33" s="64">
        <f>((O33*F33)+Q33+R33+S33+U33)/G33</f>
        <v>34.697789497306999</v>
      </c>
      <c r="X33" s="64">
        <f>((O33*F33)+Q33+R33+S33+T33+U33)/G33</f>
        <v>34.896258361469336</v>
      </c>
      <c r="Y33" s="96">
        <f t="shared" ref="Y33" si="15">X33*F33</f>
        <v>988262.03679681162</v>
      </c>
      <c r="Z33" s="66">
        <v>42179</v>
      </c>
    </row>
    <row r="34" spans="1:26" s="54" customFormat="1" x14ac:dyDescent="0.25">
      <c r="A34" s="149"/>
      <c r="B34" s="61" t="s">
        <v>20</v>
      </c>
      <c r="C34" s="108" t="s">
        <v>29</v>
      </c>
      <c r="D34" s="108" t="s">
        <v>29</v>
      </c>
      <c r="E34" s="13" t="s">
        <v>30</v>
      </c>
      <c r="F34" s="109">
        <f>43342*0.4536</f>
        <v>19659.931199999999</v>
      </c>
      <c r="G34" s="62">
        <v>19465.78</v>
      </c>
      <c r="H34" s="62">
        <f>G34-F34</f>
        <v>-194.15120000000024</v>
      </c>
      <c r="I34" s="108" t="s">
        <v>230</v>
      </c>
      <c r="J34" s="67" t="s">
        <v>215</v>
      </c>
      <c r="K34" s="150" t="s">
        <v>231</v>
      </c>
      <c r="L34" s="63">
        <v>42167</v>
      </c>
      <c r="M34" s="108" t="s">
        <v>31</v>
      </c>
      <c r="N34" s="108" t="s">
        <v>232</v>
      </c>
      <c r="O34" s="64"/>
      <c r="P34" s="79">
        <f>0.5967+0.105</f>
        <v>0.70169999999999999</v>
      </c>
      <c r="Q34" s="128">
        <v>18500</v>
      </c>
      <c r="R34" s="64">
        <v>8473</v>
      </c>
      <c r="S34" s="110">
        <v>15.766</v>
      </c>
      <c r="T34" s="111">
        <f>W34*F34*0.005</f>
        <v>2543.519039837704</v>
      </c>
      <c r="V34" s="64">
        <v>0.1</v>
      </c>
      <c r="W34" s="64">
        <f>IF(O34&gt;0,O34,((P34*2.2046*S34)+(Q34+R34)/G34)+V34)</f>
        <v>25.875157079264895</v>
      </c>
      <c r="X34" s="64">
        <f>IF(O34&gt;0,O34,((P34*2.2046*S34)+(Q34+R34+T34)/G34)+V34)</f>
        <v>26.005823255489926</v>
      </c>
      <c r="Y34" s="96">
        <f>X34*F34</f>
        <v>511272.69600229192</v>
      </c>
      <c r="Z34" s="66">
        <v>42160</v>
      </c>
    </row>
    <row r="35" spans="1:26" s="54" customFormat="1" x14ac:dyDescent="0.25">
      <c r="A35" s="149"/>
      <c r="B35" s="61" t="s">
        <v>23</v>
      </c>
      <c r="C35" s="13" t="s">
        <v>27</v>
      </c>
      <c r="D35" s="108" t="s">
        <v>36</v>
      </c>
      <c r="E35" s="13">
        <v>250</v>
      </c>
      <c r="F35" s="109">
        <v>28660</v>
      </c>
      <c r="G35" s="62">
        <f>10820+11820</f>
        <v>22640</v>
      </c>
      <c r="H35" s="62">
        <f t="shared" ref="H35:H40" si="16">G35-F35</f>
        <v>-6020</v>
      </c>
      <c r="I35" s="108" t="s">
        <v>233</v>
      </c>
      <c r="J35" s="13"/>
      <c r="K35" s="63"/>
      <c r="L35" s="63">
        <v>42167</v>
      </c>
      <c r="M35" s="108" t="s">
        <v>31</v>
      </c>
      <c r="N35" s="13"/>
      <c r="O35" s="64">
        <v>26.5</v>
      </c>
      <c r="P35" s="65"/>
      <c r="Q35" s="128">
        <v>16500</v>
      </c>
      <c r="R35" s="64">
        <f>59.25*E35</f>
        <v>14812.5</v>
      </c>
      <c r="S35" s="110">
        <f>-40*E35</f>
        <v>-10000</v>
      </c>
      <c r="T35" s="111">
        <f>W35*F35*0.0045</f>
        <v>4455.0048995141342</v>
      </c>
      <c r="U35" s="64">
        <f>E35*5</f>
        <v>1250</v>
      </c>
      <c r="V35" s="13"/>
      <c r="W35" s="64">
        <f>((O35*F35)+Q35+R35+S35+U35)/G35</f>
        <v>34.542954946996467</v>
      </c>
      <c r="X35" s="64">
        <f>((O35*F35)+Q35+R35+S35+T35+U35)/G35</f>
        <v>34.739730781780658</v>
      </c>
      <c r="Y35" s="96">
        <f t="shared" ref="Y35" si="17">X35*F35</f>
        <v>995640.68420583371</v>
      </c>
      <c r="Z35" s="66">
        <v>42180</v>
      </c>
    </row>
    <row r="36" spans="1:26" s="54" customFormat="1" x14ac:dyDescent="0.25">
      <c r="A36" s="149"/>
      <c r="B36" s="61" t="s">
        <v>146</v>
      </c>
      <c r="C36" s="108" t="s">
        <v>25</v>
      </c>
      <c r="D36" s="108" t="s">
        <v>234</v>
      </c>
      <c r="E36" s="13" t="s">
        <v>235</v>
      </c>
      <c r="F36" s="109">
        <v>18724.14</v>
      </c>
      <c r="G36" s="62">
        <v>18724.2</v>
      </c>
      <c r="H36" s="62">
        <f t="shared" si="16"/>
        <v>6.0000000001309672E-2</v>
      </c>
      <c r="I36" s="108" t="s">
        <v>236</v>
      </c>
      <c r="J36" s="13"/>
      <c r="K36" s="63"/>
      <c r="L36" s="63">
        <v>42167</v>
      </c>
      <c r="M36" s="108" t="s">
        <v>31</v>
      </c>
      <c r="N36" s="13"/>
      <c r="O36" s="64">
        <v>88</v>
      </c>
      <c r="P36" s="65"/>
      <c r="Q36" s="64"/>
      <c r="R36" s="64"/>
      <c r="S36" s="110"/>
      <c r="T36" s="111"/>
      <c r="U36" s="64"/>
      <c r="V36" s="64"/>
      <c r="W36" s="64">
        <f>IF(O36&gt;0,O36,((P36*2.2046*S36)+(Q36+R36)/G36)+V36)</f>
        <v>88</v>
      </c>
      <c r="X36" s="64">
        <f>IF(O36&gt;0,O36,((P36*2.2046*S36)+(Q36+R36+T36)/G36)+V36)</f>
        <v>88</v>
      </c>
      <c r="Y36" s="96">
        <f>X36*F36</f>
        <v>1647724.3199999998</v>
      </c>
      <c r="Z36" s="66">
        <v>42188</v>
      </c>
    </row>
    <row r="37" spans="1:26" s="54" customFormat="1" x14ac:dyDescent="0.25">
      <c r="A37" s="149"/>
      <c r="B37" s="61" t="s">
        <v>20</v>
      </c>
      <c r="C37" s="13" t="s">
        <v>160</v>
      </c>
      <c r="D37" s="108" t="s">
        <v>161</v>
      </c>
      <c r="E37" s="13" t="s">
        <v>162</v>
      </c>
      <c r="F37" s="109">
        <f>41491*0.4536</f>
        <v>18820.317599999998</v>
      </c>
      <c r="G37" s="62">
        <v>18820.32</v>
      </c>
      <c r="H37" s="62">
        <f t="shared" si="16"/>
        <v>2.4000000012165401E-3</v>
      </c>
      <c r="I37" s="108">
        <v>4151</v>
      </c>
      <c r="J37" s="13"/>
      <c r="K37" s="63">
        <v>42166</v>
      </c>
      <c r="L37" s="63">
        <v>42168</v>
      </c>
      <c r="M37" s="108" t="s">
        <v>32</v>
      </c>
      <c r="N37" s="13" t="s">
        <v>237</v>
      </c>
      <c r="O37" s="64"/>
      <c r="P37" s="79">
        <f>0.5967+0.16</f>
        <v>0.75670000000000004</v>
      </c>
      <c r="Q37" s="64"/>
      <c r="R37" s="64"/>
      <c r="S37" s="110">
        <v>15.46</v>
      </c>
      <c r="T37" s="111"/>
      <c r="U37" s="64"/>
      <c r="V37" s="64"/>
      <c r="W37" s="64">
        <f>IF(O37&gt;0,O37,((P37*2.2046*S37)+(Q37+R37)/G37)+V37)</f>
        <v>25.790693877200003</v>
      </c>
      <c r="X37" s="64">
        <f>IF(O37&gt;0,O37,((P37*2.2046*S37)+(Q37+R37+T37)/G37)+V37)</f>
        <v>25.790693877200003</v>
      </c>
      <c r="Y37" s="96">
        <f>X37*F37</f>
        <v>485389.04989327939</v>
      </c>
      <c r="Z37" s="66">
        <v>42170</v>
      </c>
    </row>
    <row r="38" spans="1:26" s="54" customFormat="1" x14ac:dyDescent="0.25">
      <c r="A38" s="149"/>
      <c r="B38" s="61" t="s">
        <v>20</v>
      </c>
      <c r="C38" s="108" t="s">
        <v>29</v>
      </c>
      <c r="D38" s="108" t="s">
        <v>29</v>
      </c>
      <c r="E38" s="13" t="s">
        <v>30</v>
      </c>
      <c r="F38" s="109">
        <f>42246*0.4536</f>
        <v>19162.785599999999</v>
      </c>
      <c r="G38" s="62">
        <v>19077.45</v>
      </c>
      <c r="H38" s="62">
        <f t="shared" si="16"/>
        <v>-85.335599999998522</v>
      </c>
      <c r="I38" s="108" t="s">
        <v>238</v>
      </c>
      <c r="J38" s="67" t="s">
        <v>40</v>
      </c>
      <c r="K38" s="63">
        <v>42167</v>
      </c>
      <c r="L38" s="63">
        <v>42168</v>
      </c>
      <c r="M38" s="108" t="s">
        <v>32</v>
      </c>
      <c r="N38" s="108" t="s">
        <v>239</v>
      </c>
      <c r="O38" s="64"/>
      <c r="P38" s="79">
        <f>0.6184+0.105</f>
        <v>0.72339999999999993</v>
      </c>
      <c r="Q38" s="64">
        <v>17500</v>
      </c>
      <c r="R38" s="64">
        <v>8460</v>
      </c>
      <c r="S38" s="110">
        <v>15.7</v>
      </c>
      <c r="T38" s="111">
        <f>W38*F38*0.005</f>
        <v>2538.9971179052632</v>
      </c>
      <c r="V38" s="64">
        <v>0.1</v>
      </c>
      <c r="W38" s="64">
        <f>IF(O38&gt;0,O38,((P38*2.2046*S38)+(Q38+R38)/G38)+V38)</f>
        <v>26.499248813859957</v>
      </c>
      <c r="X38" s="64">
        <f>IF(O38&gt;0,O38,((P38*2.2046*S38)+(Q38+R38+T38)/G38)+V38)</f>
        <v>26.632337728673271</v>
      </c>
      <c r="Y38" s="96">
        <f t="shared" ref="Y38:Y40" si="18">X38*F38</f>
        <v>510349.77792135684</v>
      </c>
      <c r="Z38" s="66">
        <v>42163</v>
      </c>
    </row>
    <row r="39" spans="1:26" s="54" customFormat="1" x14ac:dyDescent="0.25">
      <c r="A39" s="149"/>
      <c r="B39" s="61" t="s">
        <v>20</v>
      </c>
      <c r="C39" s="108" t="s">
        <v>29</v>
      </c>
      <c r="D39" s="108" t="s">
        <v>29</v>
      </c>
      <c r="E39" s="13" t="s">
        <v>30</v>
      </c>
      <c r="F39" s="109">
        <f>43262*0.4536</f>
        <v>19623.643199999999</v>
      </c>
      <c r="G39" s="62">
        <v>19413.080000000002</v>
      </c>
      <c r="H39" s="62">
        <f t="shared" si="16"/>
        <v>-210.56319999999687</v>
      </c>
      <c r="I39" s="108" t="s">
        <v>240</v>
      </c>
      <c r="J39" s="67" t="s">
        <v>215</v>
      </c>
      <c r="K39" s="63">
        <v>42167</v>
      </c>
      <c r="L39" s="63">
        <v>42168</v>
      </c>
      <c r="M39" s="108" t="s">
        <v>32</v>
      </c>
      <c r="N39" s="108" t="s">
        <v>239</v>
      </c>
      <c r="O39" s="64"/>
      <c r="P39" s="79">
        <v>0.72340000000000004</v>
      </c>
      <c r="Q39" s="64">
        <v>18500</v>
      </c>
      <c r="R39" s="64">
        <v>8460</v>
      </c>
      <c r="S39" s="110">
        <v>15.7</v>
      </c>
      <c r="T39" s="111">
        <f>W39*F39*0.005</f>
        <v>2602.8049082874136</v>
      </c>
      <c r="V39" s="64">
        <v>0.1</v>
      </c>
      <c r="W39" s="64">
        <f>IF(O39&gt;0,O39,((P39*2.2046*S39)+(Q39+R39)/G39)+V39)</f>
        <v>26.527234334217955</v>
      </c>
      <c r="X39" s="64">
        <f>IF(O39&gt;0,O39,((P39*2.2046*S39)+(Q39+R39+T39)/G39)+V39)</f>
        <v>26.661309138849031</v>
      </c>
      <c r="Y39" s="96">
        <f t="shared" si="18"/>
        <v>523192.01778567262</v>
      </c>
      <c r="Z39" s="66">
        <v>42163</v>
      </c>
    </row>
    <row r="40" spans="1:26" s="54" customFormat="1" x14ac:dyDescent="0.25">
      <c r="A40" s="149"/>
      <c r="B40" s="61" t="s">
        <v>20</v>
      </c>
      <c r="C40" s="108" t="s">
        <v>21</v>
      </c>
      <c r="D40" s="13" t="s">
        <v>143</v>
      </c>
      <c r="E40" s="13" t="s">
        <v>37</v>
      </c>
      <c r="F40" s="109">
        <f>40360*0.4536</f>
        <v>18307.295999999998</v>
      </c>
      <c r="G40" s="62">
        <v>18291.080000000002</v>
      </c>
      <c r="H40" s="62">
        <f t="shared" si="16"/>
        <v>-16.215999999996711</v>
      </c>
      <c r="I40" s="108" t="s">
        <v>241</v>
      </c>
      <c r="J40" s="67" t="s">
        <v>215</v>
      </c>
      <c r="K40" s="63">
        <v>42167</v>
      </c>
      <c r="L40" s="63">
        <v>42168</v>
      </c>
      <c r="M40" s="108" t="s">
        <v>32</v>
      </c>
      <c r="N40" s="108" t="s">
        <v>232</v>
      </c>
      <c r="O40" s="64"/>
      <c r="P40" s="79">
        <f>0.5967+0.105</f>
        <v>0.70169999999999999</v>
      </c>
      <c r="Q40" s="64">
        <v>18500</v>
      </c>
      <c r="R40" s="64">
        <v>8460</v>
      </c>
      <c r="S40" s="110">
        <v>15.43</v>
      </c>
      <c r="T40" s="111">
        <f>W40*F40*0.005</f>
        <v>2329.0227042321048</v>
      </c>
      <c r="V40" s="64">
        <v>0.1</v>
      </c>
      <c r="W40" s="64">
        <f>IF(O40&gt;0,O40,((P40*2.2046*S40)+(Q40+R40)/G40)+V40)</f>
        <v>25.443655952600594</v>
      </c>
      <c r="X40" s="64">
        <f>IF(O40&gt;0,O40,((P40*2.2046*S40)+(Q40+R40+T40)/G40)+V40)</f>
        <v>25.570987018028774</v>
      </c>
      <c r="Y40" s="96">
        <f t="shared" si="18"/>
        <v>468135.62835121003</v>
      </c>
      <c r="Z40" s="66">
        <v>42179</v>
      </c>
    </row>
    <row r="41" spans="1:26" s="54" customFormat="1" ht="15.75" thickBot="1" x14ac:dyDescent="0.3">
      <c r="A41" s="149"/>
      <c r="B41" s="68"/>
      <c r="C41" s="55"/>
      <c r="D41" s="55"/>
      <c r="E41" s="55"/>
      <c r="F41" s="56"/>
      <c r="G41" s="56"/>
      <c r="H41" s="56"/>
      <c r="I41" s="57"/>
      <c r="J41" s="55"/>
      <c r="K41" s="58"/>
      <c r="L41" s="58"/>
      <c r="M41" s="55"/>
      <c r="N41" s="55"/>
      <c r="O41" s="59"/>
      <c r="P41" s="60"/>
      <c r="Q41" s="59"/>
      <c r="R41" s="59"/>
      <c r="S41" s="59"/>
      <c r="T41" s="59"/>
      <c r="U41" s="59"/>
      <c r="V41" s="59"/>
      <c r="W41" s="59"/>
      <c r="X41" s="59"/>
      <c r="Y41" s="59"/>
      <c r="Z41" s="69"/>
    </row>
    <row r="42" spans="1:26" s="54" customFormat="1" x14ac:dyDescent="0.25">
      <c r="A42" s="151"/>
      <c r="B42" s="137" t="s">
        <v>23</v>
      </c>
      <c r="C42" s="113" t="s">
        <v>27</v>
      </c>
      <c r="D42" s="112" t="s">
        <v>28</v>
      </c>
      <c r="E42" s="113">
        <v>250</v>
      </c>
      <c r="F42" s="114">
        <v>28320</v>
      </c>
      <c r="G42" s="115">
        <f>16960+5460</f>
        <v>22420</v>
      </c>
      <c r="H42" s="115">
        <f t="shared" ref="H42:H45" si="19">G42-F42</f>
        <v>-5900</v>
      </c>
      <c r="I42" s="112" t="s">
        <v>242</v>
      </c>
      <c r="J42" s="113"/>
      <c r="K42" s="116"/>
      <c r="L42" s="116">
        <v>42169</v>
      </c>
      <c r="M42" s="112" t="s">
        <v>33</v>
      </c>
      <c r="N42" s="113"/>
      <c r="O42" s="117">
        <v>26.5</v>
      </c>
      <c r="P42" s="118"/>
      <c r="Q42" s="138">
        <v>16500</v>
      </c>
      <c r="R42" s="64">
        <f>59.25*E42</f>
        <v>14812.5</v>
      </c>
      <c r="S42" s="119">
        <f>-40*E42</f>
        <v>-10000</v>
      </c>
      <c r="T42" s="133">
        <f>W42*F42*0.0045</f>
        <v>4394.1363157894739</v>
      </c>
      <c r="U42" s="117">
        <f>E42*5</f>
        <v>1250</v>
      </c>
      <c r="V42" s="113"/>
      <c r="W42" s="117">
        <f>((O42*F42)+Q42+R42+S42+U42)/G42</f>
        <v>34.480040142729706</v>
      </c>
      <c r="X42" s="117">
        <f>((O42*F42)+Q42+R42+S42+T42+U42)/G42</f>
        <v>34.676031949856799</v>
      </c>
      <c r="Y42" s="139">
        <f t="shared" ref="Y42:Y45" si="20">X42*F42</f>
        <v>982025.22481994459</v>
      </c>
      <c r="Z42" s="120">
        <v>42184</v>
      </c>
    </row>
    <row r="43" spans="1:26" s="54" customFormat="1" x14ac:dyDescent="0.25">
      <c r="A43" s="151"/>
      <c r="B43" s="61" t="s">
        <v>23</v>
      </c>
      <c r="C43" s="13" t="s">
        <v>27</v>
      </c>
      <c r="D43" s="108" t="s">
        <v>28</v>
      </c>
      <c r="E43" s="13">
        <v>250</v>
      </c>
      <c r="F43" s="109">
        <v>29330</v>
      </c>
      <c r="G43" s="62">
        <f>18610+4760</f>
        <v>23370</v>
      </c>
      <c r="H43" s="62">
        <f t="shared" si="19"/>
        <v>-5960</v>
      </c>
      <c r="I43" s="108" t="s">
        <v>243</v>
      </c>
      <c r="J43" s="13"/>
      <c r="K43" s="63"/>
      <c r="L43" s="63">
        <v>42170</v>
      </c>
      <c r="M43" s="108" t="s">
        <v>34</v>
      </c>
      <c r="N43" s="13"/>
      <c r="O43" s="64">
        <v>26.5</v>
      </c>
      <c r="P43" s="65"/>
      <c r="Q43" s="128">
        <v>16500</v>
      </c>
      <c r="R43" s="64">
        <f>59.25*E43</f>
        <v>14812.5</v>
      </c>
      <c r="S43" s="110">
        <f>-40*E43</f>
        <v>-10000</v>
      </c>
      <c r="T43" s="111">
        <f>W43*F43*0.0045</f>
        <v>4517.0129605263155</v>
      </c>
      <c r="U43" s="64">
        <f>E43*5</f>
        <v>1250</v>
      </c>
      <c r="V43" s="13"/>
      <c r="W43" s="64">
        <f>((O43*F43)+Q43+R43+S43+U43)/G43</f>
        <v>34.223684210526315</v>
      </c>
      <c r="X43" s="64">
        <f>((O43*F43)+Q43+R43+S43+T43+U43)/G43</f>
        <v>34.416966750557393</v>
      </c>
      <c r="Y43" s="96">
        <f t="shared" si="20"/>
        <v>1009449.6347938484</v>
      </c>
      <c r="Z43" s="66">
        <v>42184</v>
      </c>
    </row>
    <row r="44" spans="1:26" s="54" customFormat="1" x14ac:dyDescent="0.25">
      <c r="A44" s="151"/>
      <c r="B44" s="61" t="s">
        <v>20</v>
      </c>
      <c r="C44" s="13" t="s">
        <v>21</v>
      </c>
      <c r="D44" s="13" t="s">
        <v>143</v>
      </c>
      <c r="E44" s="13" t="s">
        <v>37</v>
      </c>
      <c r="F44" s="109">
        <f>39882*0.4536</f>
        <v>18090.475200000001</v>
      </c>
      <c r="G44" s="62">
        <v>18074.28</v>
      </c>
      <c r="H44" s="62">
        <f t="shared" si="19"/>
        <v>-16.195200000001932</v>
      </c>
      <c r="I44" s="108" t="s">
        <v>244</v>
      </c>
      <c r="J44" s="67" t="s">
        <v>215</v>
      </c>
      <c r="K44" s="63">
        <v>42170</v>
      </c>
      <c r="L44" s="63">
        <v>42171</v>
      </c>
      <c r="M44" s="108" t="s">
        <v>35</v>
      </c>
      <c r="N44" s="108" t="s">
        <v>245</v>
      </c>
      <c r="O44" s="64"/>
      <c r="P44" s="79">
        <f>0.607+0.105</f>
        <v>0.71199999999999997</v>
      </c>
      <c r="Q44" s="128">
        <v>18500</v>
      </c>
      <c r="R44" s="64">
        <v>8447</v>
      </c>
      <c r="S44" s="110">
        <v>15.465</v>
      </c>
      <c r="T44" s="111">
        <f>W44*F44*0.005</f>
        <v>2339.6348316887329</v>
      </c>
      <c r="V44" s="64">
        <v>0.1</v>
      </c>
      <c r="W44" s="64">
        <f>IF(O44&gt;0,O44,((P44*2.2046*S44)+(Q44+R44)/G44)+V44)</f>
        <v>25.865930063448339</v>
      </c>
      <c r="X44" s="64">
        <f>IF(O44&gt;0,O44,((P44*2.2046*S44)+(Q44+R44+T44)/G44)+V44)</f>
        <v>25.995375597748392</v>
      </c>
      <c r="Y44" s="96">
        <f t="shared" si="20"/>
        <v>470268.69756575249</v>
      </c>
      <c r="Z44" s="66">
        <v>42181</v>
      </c>
    </row>
    <row r="45" spans="1:26" s="54" customFormat="1" x14ac:dyDescent="0.25">
      <c r="A45" s="151"/>
      <c r="B45" s="61" t="s">
        <v>20</v>
      </c>
      <c r="C45" s="13" t="s">
        <v>21</v>
      </c>
      <c r="D45" s="13" t="s">
        <v>143</v>
      </c>
      <c r="E45" s="13" t="s">
        <v>37</v>
      </c>
      <c r="F45" s="109">
        <f>40302*0.4536</f>
        <v>18280.9872</v>
      </c>
      <c r="G45" s="62">
        <v>18249.29</v>
      </c>
      <c r="H45" s="62">
        <f t="shared" si="19"/>
        <v>-31.697199999998702</v>
      </c>
      <c r="I45" s="108" t="s">
        <v>246</v>
      </c>
      <c r="J45" s="67" t="s">
        <v>149</v>
      </c>
      <c r="K45" s="63">
        <v>42170</v>
      </c>
      <c r="L45" s="63">
        <v>42171</v>
      </c>
      <c r="M45" s="108" t="s">
        <v>35</v>
      </c>
      <c r="N45" s="108" t="s">
        <v>245</v>
      </c>
      <c r="O45" s="64"/>
      <c r="P45" s="79">
        <v>0.71199999999999997</v>
      </c>
      <c r="Q45" s="128">
        <v>18500</v>
      </c>
      <c r="R45" s="64">
        <v>8447</v>
      </c>
      <c r="S45" s="110">
        <v>15.465</v>
      </c>
      <c r="T45" s="111">
        <f>W45*F45*0.005</f>
        <v>2362.9668012903476</v>
      </c>
      <c r="V45" s="64">
        <v>0.1</v>
      </c>
      <c r="W45" s="64">
        <f>IF(O45&gt;0,O45,((P45*2.2046*S45)+(Q45+R45)/G45)+V45)</f>
        <v>25.851632359223441</v>
      </c>
      <c r="X45" s="64">
        <f>IF(O45&gt;0,O45,((P45*2.2046*S45)+(Q45+R45+T45)/G45)+V45)</f>
        <v>25.981115029578852</v>
      </c>
      <c r="Y45" s="96">
        <f t="shared" si="20"/>
        <v>474960.43129745859</v>
      </c>
      <c r="Z45" s="66">
        <v>42181</v>
      </c>
    </row>
    <row r="46" spans="1:26" s="54" customFormat="1" x14ac:dyDescent="0.25">
      <c r="A46" s="151"/>
      <c r="B46" s="61" t="s">
        <v>23</v>
      </c>
      <c r="C46" s="13" t="s">
        <v>27</v>
      </c>
      <c r="D46" s="108" t="s">
        <v>38</v>
      </c>
      <c r="E46" s="13">
        <v>250</v>
      </c>
      <c r="F46" s="109">
        <v>30710</v>
      </c>
      <c r="G46" s="62">
        <f>18740+5780</f>
        <v>24520</v>
      </c>
      <c r="H46" s="62">
        <f>G46-F46</f>
        <v>-6190</v>
      </c>
      <c r="I46" s="108" t="s">
        <v>247</v>
      </c>
      <c r="J46" s="13"/>
      <c r="K46" s="63"/>
      <c r="L46" s="63">
        <v>42171</v>
      </c>
      <c r="M46" s="108" t="s">
        <v>35</v>
      </c>
      <c r="N46" s="13"/>
      <c r="O46" s="64">
        <v>26.5</v>
      </c>
      <c r="P46" s="65"/>
      <c r="Q46" s="128">
        <v>16500</v>
      </c>
      <c r="R46" s="64">
        <f>59.25*E46</f>
        <v>14812.5</v>
      </c>
      <c r="S46" s="110">
        <f>-40*E46</f>
        <v>-10000</v>
      </c>
      <c r="T46" s="111">
        <f>W46*F46*0.0045</f>
        <v>4713.8331408034255</v>
      </c>
      <c r="U46" s="64">
        <f>E46*5</f>
        <v>1250</v>
      </c>
      <c r="V46" s="13"/>
      <c r="W46" s="64">
        <f>((O46*F46)+Q46+R46+S46+U46)/G46</f>
        <v>34.110012234910279</v>
      </c>
      <c r="X46" s="64">
        <f>((O46*F46)+Q46+R46+S46+T46+U46)/G46</f>
        <v>34.302256653376972</v>
      </c>
      <c r="Y46" s="96">
        <f>X46*F46</f>
        <v>1053422.3018252067</v>
      </c>
      <c r="Z46" s="66">
        <v>42184</v>
      </c>
    </row>
    <row r="47" spans="1:26" s="54" customFormat="1" x14ac:dyDescent="0.25">
      <c r="A47" s="151"/>
      <c r="B47" s="61" t="s">
        <v>20</v>
      </c>
      <c r="C47" s="13" t="s">
        <v>160</v>
      </c>
      <c r="D47" s="108" t="s">
        <v>161</v>
      </c>
      <c r="E47" s="13" t="s">
        <v>162</v>
      </c>
      <c r="F47" s="109">
        <f>41154*0.4536</f>
        <v>18667.454399999999</v>
      </c>
      <c r="G47" s="62">
        <v>18674.61</v>
      </c>
      <c r="H47" s="62">
        <f t="shared" ref="H47" si="21">G47-F47</f>
        <v>7.1556000000018685</v>
      </c>
      <c r="I47" s="13">
        <v>4154</v>
      </c>
      <c r="K47" s="63">
        <v>42170</v>
      </c>
      <c r="L47" s="63">
        <v>42172</v>
      </c>
      <c r="M47" s="108" t="s">
        <v>22</v>
      </c>
      <c r="N47" s="13" t="s">
        <v>248</v>
      </c>
      <c r="O47" s="64"/>
      <c r="P47" s="79">
        <f>0.607+0.16</f>
        <v>0.76700000000000002</v>
      </c>
      <c r="Q47" s="64"/>
      <c r="R47" s="64"/>
      <c r="S47" s="110">
        <v>15.25</v>
      </c>
      <c r="T47" s="111"/>
      <c r="U47" s="64"/>
      <c r="V47" s="64"/>
      <c r="W47" s="64">
        <f>IF(O47&gt;0,O47,((P47*2.2046*S47)+(Q47+R47)/G47)+V47)</f>
        <v>25.78665505</v>
      </c>
      <c r="X47" s="64">
        <f>IF(O47&gt;0,O47,((P47*2.2046*S47)+(Q47+R47+T47)/G47)+V47)</f>
        <v>25.78665505</v>
      </c>
      <c r="Y47" s="96">
        <f>X47*F47</f>
        <v>481371.2072744047</v>
      </c>
      <c r="Z47" s="66">
        <v>42173</v>
      </c>
    </row>
    <row r="48" spans="1:26" s="54" customFormat="1" x14ac:dyDescent="0.25">
      <c r="A48" s="151"/>
      <c r="B48" s="61" t="s">
        <v>20</v>
      </c>
      <c r="C48" s="13" t="s">
        <v>21</v>
      </c>
      <c r="D48" s="13" t="s">
        <v>143</v>
      </c>
      <c r="E48" s="13" t="s">
        <v>37</v>
      </c>
      <c r="F48" s="109">
        <f>40682*0.4536</f>
        <v>18453.355200000002</v>
      </c>
      <c r="G48" s="62">
        <v>18417.060000000001</v>
      </c>
      <c r="H48" s="62">
        <f>G48-F48</f>
        <v>-36.295200000000477</v>
      </c>
      <c r="I48" s="108" t="s">
        <v>249</v>
      </c>
      <c r="J48" s="67" t="s">
        <v>215</v>
      </c>
      <c r="K48" s="63">
        <v>42171</v>
      </c>
      <c r="L48" s="63">
        <v>42172</v>
      </c>
      <c r="M48" s="108" t="s">
        <v>22</v>
      </c>
      <c r="N48" s="108" t="s">
        <v>245</v>
      </c>
      <c r="O48" s="64"/>
      <c r="P48" s="79">
        <v>0.71199999999999997</v>
      </c>
      <c r="Q48" s="128">
        <v>18500</v>
      </c>
      <c r="R48" s="64">
        <v>8447</v>
      </c>
      <c r="S48" s="110">
        <v>15.465</v>
      </c>
      <c r="T48" s="111">
        <f>W48*F48*0.005</f>
        <v>2384.0056806349162</v>
      </c>
      <c r="V48" s="64">
        <v>0.1</v>
      </c>
      <c r="W48" s="64">
        <f>IF(O48&gt;0,O48,((P48*2.2046*S48)+(Q48+R48)/G48)+V48)</f>
        <v>25.8381812390943</v>
      </c>
      <c r="X48" s="64">
        <f>IF(O48&gt;0,O48,((P48*2.2046*S48)+(Q48+R48+T48)/G48)+V48)</f>
        <v>25.967626746717933</v>
      </c>
      <c r="Y48" s="96">
        <f>X48*F48</f>
        <v>479189.84005820652</v>
      </c>
      <c r="Z48" s="66">
        <v>42181</v>
      </c>
    </row>
    <row r="49" spans="1:27" s="54" customFormat="1" x14ac:dyDescent="0.25">
      <c r="A49" s="151"/>
      <c r="B49" s="61" t="s">
        <v>23</v>
      </c>
      <c r="C49" s="13" t="s">
        <v>148</v>
      </c>
      <c r="D49" s="108" t="s">
        <v>148</v>
      </c>
      <c r="E49" s="13">
        <v>216</v>
      </c>
      <c r="F49" s="109">
        <v>24630</v>
      </c>
      <c r="G49" s="62">
        <f>12380+7220</f>
        <v>19600</v>
      </c>
      <c r="H49" s="62">
        <f t="shared" ref="H49" si="22">G49-F49</f>
        <v>-5030</v>
      </c>
      <c r="I49" s="108" t="s">
        <v>250</v>
      </c>
      <c r="J49" s="13"/>
      <c r="K49" s="63">
        <v>42171</v>
      </c>
      <c r="L49" s="63">
        <v>42173</v>
      </c>
      <c r="M49" s="108" t="s">
        <v>26</v>
      </c>
      <c r="N49" s="13"/>
      <c r="O49" s="64">
        <v>27.5</v>
      </c>
      <c r="P49" s="65"/>
      <c r="Q49" s="64"/>
      <c r="R49" s="64">
        <f>98*E49</f>
        <v>21168</v>
      </c>
      <c r="S49" s="110">
        <f>-32*E49</f>
        <v>-6912</v>
      </c>
      <c r="T49" s="111"/>
      <c r="U49" s="64">
        <f>E49*10</f>
        <v>2160</v>
      </c>
      <c r="V49" s="13"/>
      <c r="W49" s="64">
        <f>((O49*F49)+Q49+R49+S49+U49)/G49</f>
        <v>35.394948979591838</v>
      </c>
      <c r="X49" s="64">
        <f>((O49*F49)+Q49+R49+S49+T49+U49)/G49</f>
        <v>35.394948979591838</v>
      </c>
      <c r="Y49" s="96">
        <f t="shared" ref="Y49" si="23">X49*F49</f>
        <v>871777.59336734703</v>
      </c>
      <c r="Z49" s="66">
        <v>42172</v>
      </c>
    </row>
    <row r="50" spans="1:27" s="54" customFormat="1" x14ac:dyDescent="0.25">
      <c r="A50" s="151"/>
      <c r="B50" s="61" t="s">
        <v>20</v>
      </c>
      <c r="C50" s="108" t="s">
        <v>29</v>
      </c>
      <c r="D50" s="108" t="s">
        <v>29</v>
      </c>
      <c r="E50" s="13" t="s">
        <v>30</v>
      </c>
      <c r="F50" s="109">
        <f>42359*0.4536</f>
        <v>19214.042399999998</v>
      </c>
      <c r="G50" s="62">
        <v>19059.25</v>
      </c>
      <c r="H50" s="62">
        <f>G50-F50</f>
        <v>-154.79239999999845</v>
      </c>
      <c r="I50" s="108" t="s">
        <v>251</v>
      </c>
      <c r="J50" s="67" t="s">
        <v>215</v>
      </c>
      <c r="K50" s="63">
        <v>42172</v>
      </c>
      <c r="L50" s="63">
        <v>42173</v>
      </c>
      <c r="M50" s="108" t="s">
        <v>26</v>
      </c>
      <c r="N50" s="108" t="s">
        <v>252</v>
      </c>
      <c r="O50" s="64"/>
      <c r="P50" s="79">
        <f>0.6114+0.105</f>
        <v>0.71640000000000004</v>
      </c>
      <c r="Q50" s="128">
        <v>18500</v>
      </c>
      <c r="R50" s="64">
        <v>8447</v>
      </c>
      <c r="S50" s="110">
        <v>15.45</v>
      </c>
      <c r="T50" s="111">
        <f>W50*F50*0.005</f>
        <v>2489.6792108301606</v>
      </c>
      <c r="V50" s="64">
        <v>0.1</v>
      </c>
      <c r="W50" s="64">
        <f>IF(O50&gt;0,O50,((P50*2.2046*S50)+(Q50+R50)/G50)+V50)</f>
        <v>25.915204713300319</v>
      </c>
      <c r="X50" s="64">
        <f>IF(O50&gt;0,O50,((P50*2.2046*S50)+(Q50+R50+T50)/G50)+V50)</f>
        <v>26.045833106906056</v>
      </c>
      <c r="Y50" s="96">
        <f>X50*F50</f>
        <v>500445.74165941664</v>
      </c>
      <c r="Z50" s="66">
        <v>42167</v>
      </c>
    </row>
    <row r="51" spans="1:27" s="54" customFormat="1" x14ac:dyDescent="0.25">
      <c r="A51" s="151"/>
      <c r="B51" s="61" t="s">
        <v>23</v>
      </c>
      <c r="C51" s="13" t="s">
        <v>27</v>
      </c>
      <c r="D51" s="108" t="s">
        <v>28</v>
      </c>
      <c r="E51" s="13">
        <v>250</v>
      </c>
      <c r="F51" s="109">
        <v>29870</v>
      </c>
      <c r="G51" s="62">
        <f>18590+5610</f>
        <v>24200</v>
      </c>
      <c r="H51" s="62">
        <f t="shared" ref="H51" si="24">G51-F51</f>
        <v>-5670</v>
      </c>
      <c r="I51" s="108" t="s">
        <v>253</v>
      </c>
      <c r="J51" s="13"/>
      <c r="K51" s="63"/>
      <c r="L51" s="63">
        <v>42173</v>
      </c>
      <c r="M51" s="108" t="s">
        <v>26</v>
      </c>
      <c r="N51" s="13"/>
      <c r="O51" s="64">
        <v>26.5</v>
      </c>
      <c r="P51" s="65"/>
      <c r="Q51" s="128">
        <v>16500</v>
      </c>
      <c r="R51" s="64">
        <f t="shared" ref="R51" si="25">59.25*E51</f>
        <v>14812.5</v>
      </c>
      <c r="S51" s="110">
        <f>-40*E51</f>
        <v>-10000</v>
      </c>
      <c r="T51" s="111">
        <f>W51*F51*0.0045</f>
        <v>4521.8844529958678</v>
      </c>
      <c r="U51" s="64">
        <f>E51*5</f>
        <v>1250</v>
      </c>
      <c r="V51" s="13"/>
      <c r="W51" s="64">
        <f>((O51*F51)+Q51+R51+S51+U51)/G51</f>
        <v>33.641219008264464</v>
      </c>
      <c r="X51" s="64">
        <f>((O51*F51)+Q51+R51+S51+T51+U51)/G51</f>
        <v>33.828073737727102</v>
      </c>
      <c r="Y51" s="96">
        <f t="shared" ref="Y51" si="26">X51*F51</f>
        <v>1010444.5625459085</v>
      </c>
      <c r="Z51" s="66">
        <v>42186</v>
      </c>
    </row>
    <row r="52" spans="1:27" s="54" customFormat="1" x14ac:dyDescent="0.25">
      <c r="A52" s="151"/>
      <c r="B52" s="61" t="s">
        <v>20</v>
      </c>
      <c r="C52" s="108" t="s">
        <v>29</v>
      </c>
      <c r="D52" s="108" t="s">
        <v>29</v>
      </c>
      <c r="E52" s="13" t="s">
        <v>30</v>
      </c>
      <c r="F52" s="109">
        <f>41494*0.4536</f>
        <v>18821.678400000001</v>
      </c>
      <c r="G52" s="62">
        <v>18767.02</v>
      </c>
      <c r="H52" s="62">
        <f>G52-F52</f>
        <v>-54.658400000000256</v>
      </c>
      <c r="I52" s="108" t="s">
        <v>254</v>
      </c>
      <c r="J52" s="67" t="s">
        <v>215</v>
      </c>
      <c r="K52" s="63">
        <v>42173</v>
      </c>
      <c r="L52" s="63">
        <v>42174</v>
      </c>
      <c r="M52" s="108" t="s">
        <v>31</v>
      </c>
      <c r="N52" s="108" t="s">
        <v>255</v>
      </c>
      <c r="O52" s="64"/>
      <c r="P52" s="79">
        <f>0.6063+0.105</f>
        <v>0.71129999999999993</v>
      </c>
      <c r="Q52" s="128">
        <v>18500</v>
      </c>
      <c r="R52" s="64">
        <v>8447</v>
      </c>
      <c r="S52" s="110">
        <v>15.45</v>
      </c>
      <c r="T52" s="111">
        <f>W52*F52*0.005</f>
        <v>2424.562407779722</v>
      </c>
      <c r="V52" s="64">
        <v>0.1</v>
      </c>
      <c r="W52" s="64">
        <f>IF(O52&gt;0,O52,((P52*2.2046*S52)+(Q52+R52)/G52)+V52)</f>
        <v>25.763509037320727</v>
      </c>
      <c r="X52" s="64">
        <f>IF(O52&gt;0,O52,((P52*2.2046*S52)+(Q52+R52+T52)/G52)+V52)</f>
        <v>25.892701759861637</v>
      </c>
      <c r="Y52" s="96">
        <f>X52*F52</f>
        <v>487344.10543122981</v>
      </c>
      <c r="Z52" s="66">
        <v>42167</v>
      </c>
    </row>
    <row r="53" spans="1:27" s="54" customFormat="1" x14ac:dyDescent="0.25">
      <c r="A53" s="151"/>
      <c r="B53" s="61" t="s">
        <v>23</v>
      </c>
      <c r="C53" s="13" t="s">
        <v>27</v>
      </c>
      <c r="D53" s="108" t="s">
        <v>28</v>
      </c>
      <c r="E53" s="13">
        <v>250</v>
      </c>
      <c r="F53" s="109">
        <v>29420</v>
      </c>
      <c r="G53" s="62">
        <f>12260+11300</f>
        <v>23560</v>
      </c>
      <c r="H53" s="62">
        <f t="shared" ref="H53:H58" si="27">G53-F53</f>
        <v>-5860</v>
      </c>
      <c r="I53" s="108" t="s">
        <v>256</v>
      </c>
      <c r="J53" s="13"/>
      <c r="K53" s="63"/>
      <c r="L53" s="63">
        <v>42174</v>
      </c>
      <c r="M53" s="108" t="s">
        <v>31</v>
      </c>
      <c r="N53" s="13"/>
      <c r="O53" s="64">
        <v>26.8</v>
      </c>
      <c r="P53" s="65"/>
      <c r="Q53" s="128">
        <v>16500</v>
      </c>
      <c r="R53" s="64">
        <f>58.25*E53</f>
        <v>14562.5</v>
      </c>
      <c r="S53" s="110">
        <f>-40*E53</f>
        <v>-10000</v>
      </c>
      <c r="T53" s="111">
        <f>W53*F53*0.0045</f>
        <v>4555.9270676994902</v>
      </c>
      <c r="U53" s="64">
        <f>E53*5</f>
        <v>1250</v>
      </c>
      <c r="V53" s="13"/>
      <c r="W53" s="64">
        <f>((O53*F53)+Q53+R53+S53+U53)/G53</f>
        <v>34.412924448217318</v>
      </c>
      <c r="X53" s="64">
        <f>((O53*F53)+Q53+R53+S53+T53+U53)/G53</f>
        <v>34.606299960428672</v>
      </c>
      <c r="Y53" s="96">
        <f t="shared" ref="Y53" si="28">X53*F53</f>
        <v>1018117.3448358115</v>
      </c>
      <c r="Z53" s="66">
        <v>42187</v>
      </c>
    </row>
    <row r="54" spans="1:27" s="54" customFormat="1" x14ac:dyDescent="0.25">
      <c r="A54" s="151"/>
      <c r="B54" s="61" t="s">
        <v>200</v>
      </c>
      <c r="C54" s="108" t="s">
        <v>29</v>
      </c>
      <c r="D54" s="108" t="s">
        <v>145</v>
      </c>
      <c r="E54" s="13" t="s">
        <v>157</v>
      </c>
      <c r="F54" s="109">
        <v>867.13</v>
      </c>
      <c r="G54" s="62">
        <v>867.13</v>
      </c>
      <c r="H54" s="62">
        <f t="shared" si="27"/>
        <v>0</v>
      </c>
      <c r="I54" s="108" t="s">
        <v>257</v>
      </c>
      <c r="J54" s="13"/>
      <c r="K54" s="63"/>
      <c r="L54" s="63">
        <v>42174</v>
      </c>
      <c r="M54" s="108" t="s">
        <v>31</v>
      </c>
      <c r="N54" s="13"/>
      <c r="O54" s="64">
        <v>16</v>
      </c>
      <c r="P54" s="65"/>
      <c r="Q54" s="64"/>
      <c r="R54" s="64"/>
      <c r="S54" s="110"/>
      <c r="T54" s="111"/>
      <c r="U54" s="64"/>
      <c r="V54" s="64"/>
      <c r="W54" s="64">
        <f>IF(O54&gt;0,O54,((P54*2.2046*S54)+(Q54+R54)/G54)+V54)</f>
        <v>16</v>
      </c>
      <c r="X54" s="64">
        <f>IF(O54&gt;0,O54,((P54*2.2046*S54)+(Q54+R54+T54)/G54)+V54)</f>
        <v>16</v>
      </c>
      <c r="Y54" s="96">
        <f>X54*F54</f>
        <v>13874.08</v>
      </c>
      <c r="Z54" s="66">
        <v>42181</v>
      </c>
    </row>
    <row r="55" spans="1:27" s="54" customFormat="1" x14ac:dyDescent="0.25">
      <c r="A55" s="151"/>
      <c r="B55" s="61" t="s">
        <v>20</v>
      </c>
      <c r="C55" s="13" t="s">
        <v>160</v>
      </c>
      <c r="D55" s="108" t="s">
        <v>161</v>
      </c>
      <c r="E55" s="13" t="s">
        <v>162</v>
      </c>
      <c r="F55" s="109">
        <f>41580*0.4536</f>
        <v>18860.688000000002</v>
      </c>
      <c r="G55" s="62">
        <v>18860.689999999999</v>
      </c>
      <c r="H55" s="62">
        <f t="shared" si="27"/>
        <v>1.9999999967694748E-3</v>
      </c>
      <c r="I55" s="108">
        <v>4158</v>
      </c>
      <c r="J55" s="13"/>
      <c r="K55" s="63"/>
      <c r="L55" s="63">
        <v>42175</v>
      </c>
      <c r="M55" s="108" t="s">
        <v>32</v>
      </c>
      <c r="N55" s="13" t="s">
        <v>258</v>
      </c>
      <c r="O55" s="64"/>
      <c r="P55" s="65">
        <f>0.6063+0.16</f>
        <v>0.76629999999999998</v>
      </c>
      <c r="Q55" s="64"/>
      <c r="R55" s="64"/>
      <c r="S55" s="110">
        <v>15.34</v>
      </c>
      <c r="T55" s="111"/>
      <c r="U55" s="64"/>
      <c r="V55" s="64"/>
      <c r="W55" s="64">
        <f>IF(O55&gt;0,O55,((P55*2.2046*S55)+(Q55+R55)/G55)+V55)</f>
        <v>25.915165593200001</v>
      </c>
      <c r="X55" s="64">
        <f>IF(O55&gt;0,O55,((P55*2.2046*S55)+(Q55+R55+T55)/G55)+V55)</f>
        <v>25.915165593200001</v>
      </c>
      <c r="Y55" s="96">
        <f>X55*F55</f>
        <v>488777.85272168019</v>
      </c>
      <c r="Z55" s="66">
        <v>42177</v>
      </c>
      <c r="AA55" s="54" t="s">
        <v>259</v>
      </c>
    </row>
    <row r="56" spans="1:27" s="54" customFormat="1" x14ac:dyDescent="0.25">
      <c r="A56" s="151"/>
      <c r="B56" s="61" t="s">
        <v>20</v>
      </c>
      <c r="C56" s="108" t="s">
        <v>29</v>
      </c>
      <c r="D56" s="108" t="s">
        <v>29</v>
      </c>
      <c r="E56" s="13" t="s">
        <v>30</v>
      </c>
      <c r="F56" s="109">
        <f>42268*0.4536</f>
        <v>19172.764800000001</v>
      </c>
      <c r="G56" s="62">
        <v>18989.89</v>
      </c>
      <c r="H56" s="62">
        <f t="shared" si="27"/>
        <v>-182.87480000000141</v>
      </c>
      <c r="I56" s="108" t="s">
        <v>260</v>
      </c>
      <c r="J56" s="67" t="s">
        <v>40</v>
      </c>
      <c r="K56" s="63">
        <v>42174</v>
      </c>
      <c r="L56" s="63">
        <v>42175</v>
      </c>
      <c r="M56" s="108" t="s">
        <v>32</v>
      </c>
      <c r="N56" s="108" t="s">
        <v>261</v>
      </c>
      <c r="O56" s="64"/>
      <c r="P56" s="79">
        <f>0.6228+0.105</f>
        <v>0.7278</v>
      </c>
      <c r="Q56" s="128">
        <v>18500</v>
      </c>
      <c r="R56" s="64">
        <v>8421</v>
      </c>
      <c r="S56" s="110">
        <v>15.48</v>
      </c>
      <c r="T56" s="111">
        <f>W56*F56*0.005</f>
        <v>2526.5324043668134</v>
      </c>
      <c r="V56" s="64">
        <v>0.1</v>
      </c>
      <c r="W56" s="64">
        <f>IF(O56&gt;0,O56,((P56*2.2046*S56)+(Q56+R56)/G56)+V56)</f>
        <v>26.355431057776428</v>
      </c>
      <c r="X56" s="64">
        <f>IF(O56&gt;0,O56,((P56*2.2046*S56)+(Q56+R56+T56)/G56)+V56)</f>
        <v>26.488477242054842</v>
      </c>
      <c r="Y56" s="96">
        <f t="shared" ref="Y56:Y58" si="29">X56*F56</f>
        <v>507857.34407207015</v>
      </c>
      <c r="Z56" s="66">
        <v>42170</v>
      </c>
    </row>
    <row r="57" spans="1:27" s="54" customFormat="1" x14ac:dyDescent="0.25">
      <c r="A57" s="151"/>
      <c r="B57" s="61" t="s">
        <v>20</v>
      </c>
      <c r="C57" s="108" t="s">
        <v>29</v>
      </c>
      <c r="D57" s="108" t="s">
        <v>29</v>
      </c>
      <c r="E57" s="13" t="s">
        <v>30</v>
      </c>
      <c r="F57" s="109">
        <f>43453*0.4536</f>
        <v>19710.2808</v>
      </c>
      <c r="G57" s="62">
        <v>19522.61</v>
      </c>
      <c r="H57" s="62">
        <f t="shared" si="27"/>
        <v>-187.67079999999987</v>
      </c>
      <c r="I57" s="108" t="s">
        <v>262</v>
      </c>
      <c r="J57" s="67" t="s">
        <v>215</v>
      </c>
      <c r="K57" s="63">
        <v>42174</v>
      </c>
      <c r="L57" s="63">
        <v>42175</v>
      </c>
      <c r="M57" s="108" t="s">
        <v>32</v>
      </c>
      <c r="N57" s="108" t="s">
        <v>261</v>
      </c>
      <c r="O57" s="64"/>
      <c r="P57" s="79">
        <v>0.7278</v>
      </c>
      <c r="Q57" s="128">
        <v>18500</v>
      </c>
      <c r="R57" s="64">
        <v>8421</v>
      </c>
      <c r="S57" s="110">
        <v>15.48</v>
      </c>
      <c r="T57" s="111">
        <f>W57*F57*0.005</f>
        <v>2593.552384532165</v>
      </c>
      <c r="V57" s="64">
        <v>0.1</v>
      </c>
      <c r="W57" s="64">
        <f>IF(O57&gt;0,O57,((P57*2.2046*S57)+(Q57+R57)/G57)+V57)</f>
        <v>26.316747192482058</v>
      </c>
      <c r="X57" s="64">
        <f>IF(O57&gt;0,O57,((P57*2.2046*S57)+(Q57+R57+T57)/G57)+V57)</f>
        <v>26.449595842561742</v>
      </c>
      <c r="Y57" s="96">
        <f t="shared" si="29"/>
        <v>521328.96110340452</v>
      </c>
      <c r="Z57" s="66">
        <v>42170</v>
      </c>
    </row>
    <row r="58" spans="1:27" s="54" customFormat="1" x14ac:dyDescent="0.25">
      <c r="A58" s="151"/>
      <c r="B58" s="61" t="s">
        <v>20</v>
      </c>
      <c r="C58" s="108" t="s">
        <v>21</v>
      </c>
      <c r="D58" s="13" t="s">
        <v>143</v>
      </c>
      <c r="E58" s="13" t="s">
        <v>37</v>
      </c>
      <c r="F58" s="109">
        <f>40442*0.4536</f>
        <v>18344.4912</v>
      </c>
      <c r="G58" s="62">
        <v>18312.05</v>
      </c>
      <c r="H58" s="62">
        <f t="shared" si="27"/>
        <v>-32.441200000001118</v>
      </c>
      <c r="I58" s="108" t="s">
        <v>263</v>
      </c>
      <c r="J58" s="67" t="s">
        <v>264</v>
      </c>
      <c r="K58" s="63">
        <v>42174</v>
      </c>
      <c r="L58" s="63">
        <v>42175</v>
      </c>
      <c r="M58" s="108" t="s">
        <v>32</v>
      </c>
      <c r="N58" s="108" t="s">
        <v>255</v>
      </c>
      <c r="O58" s="64"/>
      <c r="P58" s="79">
        <v>0.71130000000000004</v>
      </c>
      <c r="Q58" s="128">
        <v>18500</v>
      </c>
      <c r="R58" s="64">
        <v>8421</v>
      </c>
      <c r="S58" s="110">
        <v>15.29</v>
      </c>
      <c r="T58" s="111">
        <f>W58*F58*0.005</f>
        <v>2343.2210025356389</v>
      </c>
      <c r="V58" s="64">
        <v>0.1</v>
      </c>
      <c r="W58" s="64">
        <f>IF(O58&gt;0,O58,((P58*2.2046*S58)+(Q58+R58)/G58)+V58)</f>
        <v>25.546862837336572</v>
      </c>
      <c r="X58" s="64">
        <f>IF(O58&gt;0,O58,((P58*2.2046*S58)+(Q58+R58+T58)/G58)+V58)</f>
        <v>25.674823442650322</v>
      </c>
      <c r="Y58" s="96">
        <f t="shared" si="29"/>
        <v>470991.57270525256</v>
      </c>
      <c r="Z58" s="66">
        <v>42186</v>
      </c>
    </row>
    <row r="59" spans="1:27" s="54" customFormat="1" ht="15.75" thickBot="1" x14ac:dyDescent="0.3">
      <c r="A59" s="151"/>
      <c r="B59" s="68"/>
      <c r="C59" s="55"/>
      <c r="D59" s="55"/>
      <c r="E59" s="55"/>
      <c r="F59" s="56"/>
      <c r="G59" s="56"/>
      <c r="H59" s="56"/>
      <c r="I59" s="57"/>
      <c r="J59" s="55"/>
      <c r="K59" s="58"/>
      <c r="L59" s="58"/>
      <c r="M59" s="55"/>
      <c r="N59" s="55"/>
      <c r="O59" s="59"/>
      <c r="P59" s="60"/>
      <c r="Q59" s="59"/>
      <c r="R59" s="59"/>
      <c r="S59" s="59"/>
      <c r="T59" s="59"/>
      <c r="U59" s="59"/>
      <c r="V59" s="59"/>
      <c r="W59" s="59"/>
      <c r="X59" s="59"/>
      <c r="Y59" s="59"/>
      <c r="Z59" s="69"/>
    </row>
    <row r="60" spans="1:27" s="54" customFormat="1" x14ac:dyDescent="0.25">
      <c r="A60" s="152"/>
      <c r="B60" s="137" t="s">
        <v>23</v>
      </c>
      <c r="C60" s="113" t="s">
        <v>27</v>
      </c>
      <c r="D60" s="112" t="s">
        <v>147</v>
      </c>
      <c r="E60" s="113">
        <v>251</v>
      </c>
      <c r="F60" s="114">
        <v>27900</v>
      </c>
      <c r="G60" s="115">
        <f>15030+7030</f>
        <v>22060</v>
      </c>
      <c r="H60" s="115">
        <f t="shared" ref="H60:H64" si="30">G60-F60</f>
        <v>-5840</v>
      </c>
      <c r="I60" s="112" t="s">
        <v>265</v>
      </c>
      <c r="J60" s="113" t="s">
        <v>266</v>
      </c>
      <c r="K60" s="116"/>
      <c r="L60" s="116">
        <v>42176</v>
      </c>
      <c r="M60" s="112" t="s">
        <v>33</v>
      </c>
      <c r="N60" s="113"/>
      <c r="O60" s="117">
        <v>26.8</v>
      </c>
      <c r="P60" s="118"/>
      <c r="Q60" s="138">
        <v>16500</v>
      </c>
      <c r="R60" s="64">
        <f>59.25*E60</f>
        <v>14871.75</v>
      </c>
      <c r="S60" s="119">
        <f>-40*E60</f>
        <v>-10040</v>
      </c>
      <c r="T60" s="133">
        <f>W60*F60*0.0045</f>
        <v>4384.0440826155937</v>
      </c>
      <c r="U60" s="117">
        <f>E60*5</f>
        <v>1255</v>
      </c>
      <c r="V60" s="113"/>
      <c r="W60" s="117">
        <f>((O60*F60)+Q60+R60+S60+U60)/G60</f>
        <v>34.918710335448779</v>
      </c>
      <c r="X60" s="117">
        <f>((O60*F60)+Q60+R60+S60+T60+U60)/G60</f>
        <v>35.117443068114945</v>
      </c>
      <c r="Y60" s="139">
        <f t="shared" ref="Y60:Y64" si="31">X60*F60</f>
        <v>979776.66160040698</v>
      </c>
      <c r="Z60" s="120">
        <v>42191</v>
      </c>
    </row>
    <row r="61" spans="1:27" s="54" customFormat="1" x14ac:dyDescent="0.25">
      <c r="A61" s="152"/>
      <c r="B61" s="61" t="s">
        <v>23</v>
      </c>
      <c r="C61" s="108" t="s">
        <v>24</v>
      </c>
      <c r="D61" s="108" t="s">
        <v>156</v>
      </c>
      <c r="E61" s="13">
        <v>131</v>
      </c>
      <c r="F61" s="109">
        <v>12228.3</v>
      </c>
      <c r="G61" s="62">
        <v>12220</v>
      </c>
      <c r="H61" s="62">
        <f t="shared" si="30"/>
        <v>-8.2999999999992724</v>
      </c>
      <c r="I61" s="108" t="s">
        <v>267</v>
      </c>
      <c r="J61" s="13"/>
      <c r="K61" s="63"/>
      <c r="L61" s="63">
        <v>42176</v>
      </c>
      <c r="M61" s="108" t="s">
        <v>33</v>
      </c>
      <c r="N61" s="13"/>
      <c r="O61" s="64">
        <v>36.799999999999997</v>
      </c>
      <c r="P61" s="65"/>
      <c r="Q61" s="64"/>
      <c r="R61" s="64"/>
      <c r="S61" s="110"/>
      <c r="T61" s="111"/>
      <c r="U61" s="64">
        <f>E61*5</f>
        <v>655</v>
      </c>
      <c r="V61" s="13"/>
      <c r="W61" s="64">
        <f>((O61*F61)+Q61+R61+S61+U61)/G61</f>
        <v>36.878595744680844</v>
      </c>
      <c r="X61" s="64">
        <f>((O61*F61)+Q61+R61+S61+T61+U61)/G61</f>
        <v>36.878595744680844</v>
      </c>
      <c r="Y61" s="96">
        <f t="shared" si="31"/>
        <v>450962.53234468075</v>
      </c>
      <c r="Z61" s="66">
        <v>42184</v>
      </c>
    </row>
    <row r="62" spans="1:27" s="54" customFormat="1" x14ac:dyDescent="0.25">
      <c r="A62" s="152"/>
      <c r="B62" s="61" t="s">
        <v>23</v>
      </c>
      <c r="C62" s="13" t="s">
        <v>27</v>
      </c>
      <c r="D62" s="108" t="s">
        <v>28</v>
      </c>
      <c r="E62" s="13">
        <v>248</v>
      </c>
      <c r="F62" s="109">
        <v>29490</v>
      </c>
      <c r="G62" s="62">
        <f>18980+4670</f>
        <v>23650</v>
      </c>
      <c r="H62" s="62">
        <f t="shared" si="30"/>
        <v>-5840</v>
      </c>
      <c r="I62" s="108" t="s">
        <v>268</v>
      </c>
      <c r="J62" s="13" t="s">
        <v>269</v>
      </c>
      <c r="K62" s="63"/>
      <c r="L62" s="63">
        <v>42177</v>
      </c>
      <c r="M62" s="108" t="s">
        <v>34</v>
      </c>
      <c r="N62" s="13"/>
      <c r="O62" s="64">
        <v>26.8</v>
      </c>
      <c r="P62" s="65"/>
      <c r="Q62" s="128">
        <v>16500</v>
      </c>
      <c r="R62" s="64">
        <f>59.25*E62</f>
        <v>14694</v>
      </c>
      <c r="S62" s="110">
        <f>-40*E62</f>
        <v>-9920</v>
      </c>
      <c r="T62" s="111">
        <f>W62*F62*0.0045</f>
        <v>4561.0455995771663</v>
      </c>
      <c r="U62" s="64">
        <f>E62*5</f>
        <v>1240</v>
      </c>
      <c r="V62" s="13"/>
      <c r="W62" s="64">
        <f>((O62*F62)+Q62+R62+S62+U62)/G62</f>
        <v>34.369809725158561</v>
      </c>
      <c r="X62" s="64">
        <f>((O62*F62)+Q62+R62+S62+T62+U62)/G62</f>
        <v>34.562665775880639</v>
      </c>
      <c r="Y62" s="96">
        <f t="shared" si="31"/>
        <v>1019253.01373072</v>
      </c>
      <c r="Z62" s="66">
        <v>42191</v>
      </c>
    </row>
    <row r="63" spans="1:27" s="54" customFormat="1" x14ac:dyDescent="0.25">
      <c r="A63" s="152"/>
      <c r="B63" s="61" t="s">
        <v>20</v>
      </c>
      <c r="C63" s="13" t="s">
        <v>21</v>
      </c>
      <c r="D63" s="13" t="s">
        <v>143</v>
      </c>
      <c r="E63" s="13" t="s">
        <v>37</v>
      </c>
      <c r="F63" s="109">
        <f>40622*0.4536</f>
        <v>18426.139200000001</v>
      </c>
      <c r="G63" s="62">
        <v>18411.580000000002</v>
      </c>
      <c r="H63" s="62">
        <f t="shared" si="30"/>
        <v>-14.559199999999691</v>
      </c>
      <c r="I63" s="108" t="s">
        <v>270</v>
      </c>
      <c r="J63" s="67" t="s">
        <v>144</v>
      </c>
      <c r="K63" s="63">
        <v>42177</v>
      </c>
      <c r="L63" s="63">
        <v>42178</v>
      </c>
      <c r="M63" s="108" t="s">
        <v>35</v>
      </c>
      <c r="N63" s="108" t="s">
        <v>271</v>
      </c>
      <c r="O63" s="64"/>
      <c r="P63" s="79">
        <f>0.6301+0.105</f>
        <v>0.73509999999999998</v>
      </c>
      <c r="Q63" s="128">
        <v>18500</v>
      </c>
      <c r="R63" s="64">
        <v>8434</v>
      </c>
      <c r="S63" s="110">
        <v>15.49</v>
      </c>
      <c r="T63" s="111">
        <f>W63*F63*0.005</f>
        <v>2456.7571672267113</v>
      </c>
      <c r="V63" s="64">
        <v>0.1</v>
      </c>
      <c r="W63" s="64">
        <f>IF(O63&gt;0,O63,((P63*2.2046*S63)+(Q63+R63)/G63)+V63)</f>
        <v>26.666000300559016</v>
      </c>
      <c r="X63" s="64">
        <f>IF(O63&gt;0,O63,((P63*2.2046*S63)+(Q63+R63+T63)/G63)+V63)</f>
        <v>26.799435734521051</v>
      </c>
      <c r="Y63" s="96">
        <f t="shared" si="31"/>
        <v>493810.13332573918</v>
      </c>
      <c r="Z63" s="66">
        <v>42188</v>
      </c>
    </row>
    <row r="64" spans="1:27" s="54" customFormat="1" x14ac:dyDescent="0.25">
      <c r="A64" s="152"/>
      <c r="B64" s="61" t="s">
        <v>20</v>
      </c>
      <c r="C64" s="13" t="s">
        <v>21</v>
      </c>
      <c r="D64" s="13" t="s">
        <v>143</v>
      </c>
      <c r="E64" s="13" t="s">
        <v>37</v>
      </c>
      <c r="F64" s="109">
        <f>39141*0.4536</f>
        <v>17754.357599999999</v>
      </c>
      <c r="G64" s="62">
        <v>17737.95</v>
      </c>
      <c r="H64" s="62">
        <f t="shared" si="30"/>
        <v>-16.407599999998638</v>
      </c>
      <c r="I64" s="108" t="s">
        <v>272</v>
      </c>
      <c r="J64" s="67" t="s">
        <v>149</v>
      </c>
      <c r="K64" s="63">
        <v>42177</v>
      </c>
      <c r="L64" s="63">
        <v>42178</v>
      </c>
      <c r="M64" s="108" t="s">
        <v>35</v>
      </c>
      <c r="N64" s="108" t="s">
        <v>271</v>
      </c>
      <c r="O64" s="64"/>
      <c r="P64" s="79">
        <v>0.73509999999999998</v>
      </c>
      <c r="Q64" s="128">
        <v>18500</v>
      </c>
      <c r="R64" s="64">
        <v>8434</v>
      </c>
      <c r="S64" s="110">
        <v>15.49</v>
      </c>
      <c r="T64" s="111">
        <f>W64*F64*0.005</f>
        <v>2372.120294843096</v>
      </c>
      <c r="V64" s="64">
        <v>0.1</v>
      </c>
      <c r="W64" s="64">
        <f>IF(O64&gt;0,O64,((P64*2.2046*S64)+(Q64+R64)/G64)+V64)</f>
        <v>26.72155589389611</v>
      </c>
      <c r="X64" s="64">
        <f>IF(O64&gt;0,O64,((P64*2.2046*S64)+(Q64+R64+T64)/G64)+V64)</f>
        <v>26.855287260533352</v>
      </c>
      <c r="Y64" s="96">
        <f t="shared" si="31"/>
        <v>476798.37347423349</v>
      </c>
      <c r="Z64" s="66">
        <v>42188</v>
      </c>
    </row>
    <row r="65" spans="1:26" s="54" customFormat="1" x14ac:dyDescent="0.25">
      <c r="A65" s="152"/>
      <c r="B65" s="61" t="s">
        <v>23</v>
      </c>
      <c r="C65" s="13" t="s">
        <v>27</v>
      </c>
      <c r="D65" s="108" t="s">
        <v>28</v>
      </c>
      <c r="E65" s="13">
        <v>248</v>
      </c>
      <c r="F65" s="109">
        <v>30575</v>
      </c>
      <c r="G65" s="62">
        <f>16830+7960</f>
        <v>24790</v>
      </c>
      <c r="H65" s="62">
        <f>G65-F65</f>
        <v>-5785</v>
      </c>
      <c r="I65" s="108" t="s">
        <v>273</v>
      </c>
      <c r="J65" s="13"/>
      <c r="K65" s="63"/>
      <c r="L65" s="63">
        <v>42178</v>
      </c>
      <c r="M65" s="108" t="s">
        <v>35</v>
      </c>
      <c r="N65" s="13"/>
      <c r="O65" s="64">
        <v>26.8</v>
      </c>
      <c r="P65" s="65"/>
      <c r="Q65" s="128">
        <v>16500</v>
      </c>
      <c r="R65" s="64">
        <f>59.25*E65</f>
        <v>14694</v>
      </c>
      <c r="S65" s="110">
        <f>-40*E65</f>
        <v>-9920</v>
      </c>
      <c r="T65" s="111">
        <f>W65*F65*0.0045</f>
        <v>4672.7800867285196</v>
      </c>
      <c r="U65" s="64">
        <f>E65*5</f>
        <v>1240</v>
      </c>
      <c r="V65" s="13"/>
      <c r="W65" s="64">
        <f>((O65*F65)+Q65+R65+S65+U65)/G65</f>
        <v>33.962242839854781</v>
      </c>
      <c r="X65" s="64">
        <f>((O65*F65)+Q65+R65+S65+T65+U65)/G65</f>
        <v>34.150737397609056</v>
      </c>
      <c r="Y65" s="96">
        <f>X65*F65</f>
        <v>1044158.7959318969</v>
      </c>
      <c r="Z65" s="66">
        <v>42191</v>
      </c>
    </row>
    <row r="66" spans="1:26" s="54" customFormat="1" x14ac:dyDescent="0.25">
      <c r="A66" s="152"/>
      <c r="B66" s="61" t="s">
        <v>20</v>
      </c>
      <c r="C66" s="13" t="s">
        <v>160</v>
      </c>
      <c r="D66" s="108" t="s">
        <v>161</v>
      </c>
      <c r="E66" s="13" t="s">
        <v>162</v>
      </c>
      <c r="F66" s="109">
        <f>41695*0.4536</f>
        <v>18912.851999999999</v>
      </c>
      <c r="G66" s="62">
        <v>18894.61</v>
      </c>
      <c r="H66" s="62">
        <f t="shared" ref="H66" si="32">G66-F66</f>
        <v>-18.24199999999837</v>
      </c>
      <c r="I66" s="54">
        <v>4161</v>
      </c>
      <c r="K66" s="63">
        <v>42177</v>
      </c>
      <c r="L66" s="63">
        <v>42179</v>
      </c>
      <c r="M66" s="108" t="s">
        <v>22</v>
      </c>
      <c r="N66" s="13" t="s">
        <v>274</v>
      </c>
      <c r="O66" s="64"/>
      <c r="P66" s="79">
        <f>0.6301+0.16</f>
        <v>0.79010000000000002</v>
      </c>
      <c r="Q66" s="64"/>
      <c r="R66" s="64"/>
      <c r="S66" s="110">
        <v>15.507999999999999</v>
      </c>
      <c r="T66" s="111"/>
      <c r="U66" s="64"/>
      <c r="V66" s="64"/>
      <c r="W66" s="64">
        <f>IF(O66&gt;0,O66,((P66*2.2046*S66)+(Q66+R66)/G66)+V66)</f>
        <v>27.012678965679999</v>
      </c>
      <c r="X66" s="64">
        <f>IF(O66&gt;0,O66,((P66*2.2046*S66)+(Q66+R66+T66)/G66)+V66)</f>
        <v>27.012678965679999</v>
      </c>
      <c r="Y66" s="96">
        <f>X66*F66</f>
        <v>510886.79940141889</v>
      </c>
      <c r="Z66" s="66">
        <v>42180</v>
      </c>
    </row>
    <row r="67" spans="1:26" s="54" customFormat="1" x14ac:dyDescent="0.25">
      <c r="A67" s="152"/>
      <c r="B67" s="61" t="s">
        <v>20</v>
      </c>
      <c r="C67" s="13" t="s">
        <v>21</v>
      </c>
      <c r="D67" s="13" t="s">
        <v>143</v>
      </c>
      <c r="E67" s="13" t="s">
        <v>37</v>
      </c>
      <c r="F67" s="109">
        <f>40309*0.4536</f>
        <v>18284.162400000001</v>
      </c>
      <c r="G67" s="62">
        <v>18245.599999999999</v>
      </c>
      <c r="H67" s="62">
        <f>G67-F67</f>
        <v>-38.562400000002526</v>
      </c>
      <c r="I67" s="108" t="s">
        <v>275</v>
      </c>
      <c r="J67" s="67" t="s">
        <v>144</v>
      </c>
      <c r="K67" s="63">
        <v>42178</v>
      </c>
      <c r="L67" s="63">
        <v>42179</v>
      </c>
      <c r="M67" s="108" t="s">
        <v>22</v>
      </c>
      <c r="N67" s="108" t="s">
        <v>271</v>
      </c>
      <c r="O67" s="64"/>
      <c r="P67" s="79">
        <v>0.73509999999999998</v>
      </c>
      <c r="Q67" s="128">
        <v>18500</v>
      </c>
      <c r="R67" s="64">
        <v>8434</v>
      </c>
      <c r="S67" s="110">
        <v>15.49</v>
      </c>
      <c r="T67" s="111">
        <f>W67*F67*0.005</f>
        <v>2439.0440133499428</v>
      </c>
      <c r="V67" s="64">
        <v>0.1</v>
      </c>
      <c r="W67" s="64">
        <f>IF(O67&gt;0,O67,((P67*2.2046*S67)+(Q67+R67)/G67)+V67)</f>
        <v>26.679308135547327</v>
      </c>
      <c r="X67" s="64">
        <f>IF(O67&gt;0,O67,((P67*2.2046*S67)+(Q67+R67+T67)/G67)+V67)</f>
        <v>26.812986612185526</v>
      </c>
      <c r="Y67" s="96">
        <f>X67*F67</f>
        <v>490253.00164622598</v>
      </c>
      <c r="Z67" s="66">
        <v>42188</v>
      </c>
    </row>
    <row r="68" spans="1:26" s="54" customFormat="1" x14ac:dyDescent="0.25">
      <c r="A68" s="152"/>
      <c r="B68" s="61" t="s">
        <v>23</v>
      </c>
      <c r="C68" s="13" t="s">
        <v>148</v>
      </c>
      <c r="D68" s="108" t="s">
        <v>148</v>
      </c>
      <c r="E68" s="13">
        <v>215</v>
      </c>
      <c r="F68" s="109">
        <v>26940</v>
      </c>
      <c r="G68" s="62">
        <f>11320+10520</f>
        <v>21840</v>
      </c>
      <c r="H68" s="62">
        <f t="shared" ref="H68:H69" si="33">G68-F68</f>
        <v>-5100</v>
      </c>
      <c r="I68" s="108" t="s">
        <v>276</v>
      </c>
      <c r="J68" s="13"/>
      <c r="K68" s="63">
        <v>42178</v>
      </c>
      <c r="L68" s="63">
        <v>42179</v>
      </c>
      <c r="M68" s="108" t="s">
        <v>22</v>
      </c>
      <c r="N68" s="13"/>
      <c r="O68" s="64">
        <v>27.5</v>
      </c>
      <c r="P68" s="65"/>
      <c r="Q68" s="64"/>
      <c r="R68" s="64">
        <f>98*E68</f>
        <v>21070</v>
      </c>
      <c r="S68" s="110">
        <f>-32*E68</f>
        <v>-6880</v>
      </c>
      <c r="T68" s="111"/>
      <c r="U68" s="64">
        <f>E68*10</f>
        <v>2150</v>
      </c>
      <c r="V68" s="13"/>
      <c r="W68" s="64">
        <f>((O68*F68)+Q68+R68+S68+U68)/G68</f>
        <v>34.669871794871796</v>
      </c>
      <c r="X68" s="64">
        <f>((O68*F68)+Q68+R68+S68+T68+U68)/G68</f>
        <v>34.669871794871796</v>
      </c>
      <c r="Y68" s="96">
        <f t="shared" ref="Y68" si="34">X68*F68</f>
        <v>934006.34615384613</v>
      </c>
      <c r="Z68" s="66">
        <v>42180</v>
      </c>
    </row>
    <row r="69" spans="1:26" s="54" customFormat="1" x14ac:dyDescent="0.25">
      <c r="A69" s="152"/>
      <c r="B69" s="61" t="s">
        <v>158</v>
      </c>
      <c r="C69" s="13" t="s">
        <v>25</v>
      </c>
      <c r="D69" s="108" t="s">
        <v>155</v>
      </c>
      <c r="E69" s="13" t="s">
        <v>277</v>
      </c>
      <c r="F69" s="109">
        <v>1007.14</v>
      </c>
      <c r="G69" s="62">
        <v>1007.14</v>
      </c>
      <c r="H69" s="62">
        <f t="shared" si="33"/>
        <v>0</v>
      </c>
      <c r="I69" s="108" t="s">
        <v>278</v>
      </c>
      <c r="J69" s="13"/>
      <c r="K69" s="63"/>
      <c r="L69" s="63">
        <v>42179</v>
      </c>
      <c r="M69" s="108" t="s">
        <v>22</v>
      </c>
      <c r="N69" s="13"/>
      <c r="O69" s="64">
        <v>38</v>
      </c>
      <c r="P69" s="65"/>
      <c r="Q69" s="64"/>
      <c r="R69" s="64"/>
      <c r="S69" s="110"/>
      <c r="T69" s="111"/>
      <c r="U69" s="64"/>
      <c r="V69" s="64"/>
      <c r="W69" s="64">
        <f>IF(O69&gt;0,O69,((P69*2.2046*S69)+(Q69+R69)/G69)+V69)</f>
        <v>38</v>
      </c>
      <c r="X69" s="64">
        <f>IF(O69&gt;0,O69,((P69*2.2046*S69)+(Q69+R69+T69)/G69)+V69)</f>
        <v>38</v>
      </c>
      <c r="Y69" s="96">
        <f>X69*F69</f>
        <v>38271.32</v>
      </c>
      <c r="Z69" s="66">
        <v>42185</v>
      </c>
    </row>
    <row r="70" spans="1:26" s="54" customFormat="1" x14ac:dyDescent="0.25">
      <c r="A70" s="152"/>
      <c r="B70" s="61" t="s">
        <v>20</v>
      </c>
      <c r="C70" s="108" t="s">
        <v>29</v>
      </c>
      <c r="D70" s="108" t="s">
        <v>29</v>
      </c>
      <c r="E70" s="13" t="s">
        <v>30</v>
      </c>
      <c r="F70" s="109">
        <f>42393*0.4536</f>
        <v>19229.464800000002</v>
      </c>
      <c r="G70" s="62">
        <v>19127.45</v>
      </c>
      <c r="H70" s="62">
        <f>G70-F70</f>
        <v>-102.01480000000083</v>
      </c>
      <c r="I70" s="108" t="s">
        <v>279</v>
      </c>
      <c r="J70" s="67" t="s">
        <v>144</v>
      </c>
      <c r="K70" s="63">
        <v>42179</v>
      </c>
      <c r="L70" s="63">
        <v>42180</v>
      </c>
      <c r="M70" s="108" t="s">
        <v>26</v>
      </c>
      <c r="N70" s="108" t="s">
        <v>280</v>
      </c>
      <c r="O70" s="64"/>
      <c r="P70" s="79">
        <f>0.6367+0.105</f>
        <v>0.74170000000000003</v>
      </c>
      <c r="Q70" s="128">
        <v>18500</v>
      </c>
      <c r="R70" s="64">
        <v>8447</v>
      </c>
      <c r="S70" s="110">
        <v>15.37</v>
      </c>
      <c r="T70" s="111">
        <f>W70*F70*0.005</f>
        <v>2561.470133253215</v>
      </c>
      <c r="V70" s="64">
        <v>0.1</v>
      </c>
      <c r="W70" s="64">
        <f>IF(O70&gt;0,O70,((P70*2.2046*S70)+(Q70+R70)/G70)+V70)</f>
        <v>26.641096462062894</v>
      </c>
      <c r="X70" s="64">
        <f>IF(O70&gt;0,O70,((P70*2.2046*S70)+(Q70+R70+T70)/G70)+V70)</f>
        <v>26.775012385683304</v>
      </c>
      <c r="Y70" s="96">
        <f>X70*F70</f>
        <v>514869.15819006116</v>
      </c>
      <c r="Z70" s="66">
        <v>42174</v>
      </c>
    </row>
    <row r="71" spans="1:26" s="54" customFormat="1" x14ac:dyDescent="0.25">
      <c r="A71" s="152"/>
      <c r="B71" s="61" t="s">
        <v>23</v>
      </c>
      <c r="C71" s="13" t="s">
        <v>27</v>
      </c>
      <c r="D71" s="108" t="s">
        <v>28</v>
      </c>
      <c r="E71" s="13">
        <v>250</v>
      </c>
      <c r="F71" s="109">
        <v>31365</v>
      </c>
      <c r="G71" s="62">
        <f>7020+18260</f>
        <v>25280</v>
      </c>
      <c r="H71" s="62">
        <f t="shared" ref="H71" si="35">G71-F71</f>
        <v>-6085</v>
      </c>
      <c r="I71" s="108" t="s">
        <v>281</v>
      </c>
      <c r="J71" s="13"/>
      <c r="K71" s="63"/>
      <c r="L71" s="63">
        <v>42180</v>
      </c>
      <c r="M71" s="108" t="s">
        <v>26</v>
      </c>
      <c r="N71" s="13"/>
      <c r="O71" s="64">
        <v>26.8</v>
      </c>
      <c r="P71" s="65"/>
      <c r="Q71" s="128">
        <v>16500</v>
      </c>
      <c r="R71" s="64">
        <f t="shared" ref="R71" si="36">59.25*E71</f>
        <v>14812.5</v>
      </c>
      <c r="S71" s="110">
        <f>-40*E71</f>
        <v>-10000</v>
      </c>
      <c r="T71" s="111">
        <f>W71*F71*0.0045</f>
        <v>4819.0811942741302</v>
      </c>
      <c r="U71" s="64">
        <f>E71*5</f>
        <v>1250</v>
      </c>
      <c r="V71" s="13"/>
      <c r="W71" s="64">
        <f>((O71*F71)+Q71+R71+S71+U71)/G71</f>
        <v>34.143374208860763</v>
      </c>
      <c r="X71" s="64">
        <f>((O71*F71)+Q71+R71+S71+T71+U71)/G71</f>
        <v>34.33400242065958</v>
      </c>
      <c r="Y71" s="96">
        <f t="shared" ref="Y71" si="37">X71*F71</f>
        <v>1076885.9859239878</v>
      </c>
      <c r="Z71" s="66">
        <v>42193</v>
      </c>
    </row>
    <row r="72" spans="1:26" s="54" customFormat="1" x14ac:dyDescent="0.25">
      <c r="A72" s="152"/>
      <c r="B72" s="61" t="s">
        <v>20</v>
      </c>
      <c r="C72" s="108" t="s">
        <v>29</v>
      </c>
      <c r="D72" s="108" t="s">
        <v>29</v>
      </c>
      <c r="E72" s="13" t="s">
        <v>30</v>
      </c>
      <c r="F72" s="109">
        <f>42502*0.4536</f>
        <v>19278.907200000001</v>
      </c>
      <c r="G72" s="62">
        <v>19212.96</v>
      </c>
      <c r="H72" s="62">
        <f>G72-F72</f>
        <v>-65.94720000000234</v>
      </c>
      <c r="I72" s="108" t="s">
        <v>282</v>
      </c>
      <c r="J72" s="67" t="s">
        <v>144</v>
      </c>
      <c r="K72" s="63">
        <v>42180</v>
      </c>
      <c r="L72" s="63">
        <v>42181</v>
      </c>
      <c r="M72" s="108" t="s">
        <v>31</v>
      </c>
      <c r="N72" s="108" t="s">
        <v>283</v>
      </c>
      <c r="O72" s="64"/>
      <c r="P72" s="79">
        <f>0.6344+0.105</f>
        <v>0.73939999999999995</v>
      </c>
      <c r="Q72" s="128">
        <v>18500</v>
      </c>
      <c r="R72" s="64">
        <v>8460</v>
      </c>
      <c r="S72" s="110">
        <v>15.37</v>
      </c>
      <c r="T72" s="111">
        <f>W72*F72*0.005</f>
        <v>2560.00445933016</v>
      </c>
      <c r="V72" s="64">
        <v>0.1</v>
      </c>
      <c r="W72" s="64">
        <f>IF(O72&gt;0,O72,((P72*2.2046*S72)+(Q72+R72)/G72)+V72)</f>
        <v>26.557568152308548</v>
      </c>
      <c r="X72" s="64">
        <f>IF(O72&gt;0,O72,((P72*2.2046*S72)+(Q72+R72+T72)/G72)+V72)</f>
        <v>26.690811778451014</v>
      </c>
      <c r="Y72" s="96">
        <f>X72*F72</f>
        <v>514569.68336942408</v>
      </c>
      <c r="Z72" s="66">
        <v>42174</v>
      </c>
    </row>
    <row r="73" spans="1:26" s="54" customFormat="1" x14ac:dyDescent="0.25">
      <c r="A73" s="152"/>
      <c r="B73" s="61" t="s">
        <v>23</v>
      </c>
      <c r="C73" s="13" t="s">
        <v>27</v>
      </c>
      <c r="D73" s="108" t="s">
        <v>28</v>
      </c>
      <c r="E73" s="13">
        <v>250</v>
      </c>
      <c r="F73" s="109">
        <v>29960</v>
      </c>
      <c r="G73" s="62">
        <v>24310</v>
      </c>
      <c r="H73" s="62">
        <f t="shared" ref="H73:H80" si="38">G73-F73</f>
        <v>-5650</v>
      </c>
      <c r="I73" s="108" t="s">
        <v>284</v>
      </c>
      <c r="J73" s="13"/>
      <c r="K73" s="63"/>
      <c r="L73" s="63">
        <v>42181</v>
      </c>
      <c r="M73" s="108" t="s">
        <v>31</v>
      </c>
      <c r="N73" s="13"/>
      <c r="O73" s="64">
        <v>26.8</v>
      </c>
      <c r="P73" s="65"/>
      <c r="Q73" s="128">
        <v>16500</v>
      </c>
      <c r="R73" s="64">
        <f>58.25*E73</f>
        <v>14562.5</v>
      </c>
      <c r="S73" s="110">
        <f>-40*E73</f>
        <v>-10000</v>
      </c>
      <c r="T73" s="111">
        <f>W73*F73*0.0045</f>
        <v>4576.6731472644997</v>
      </c>
      <c r="U73" s="64">
        <f>E73*5</f>
        <v>1250</v>
      </c>
      <c r="V73" s="13"/>
      <c r="W73" s="64">
        <f>((O73*F73)+Q73+R73+S73+U73)/G73</f>
        <v>33.946544631838748</v>
      </c>
      <c r="X73" s="64">
        <f>((O73*F73)+Q73+R73+S73+T73+U73)/G73</f>
        <v>34.134807616094797</v>
      </c>
      <c r="Y73" s="96">
        <f t="shared" ref="Y73" si="39">X73*F73</f>
        <v>1022678.8361782001</v>
      </c>
      <c r="Z73" s="66">
        <v>42194</v>
      </c>
    </row>
    <row r="74" spans="1:26" s="54" customFormat="1" x14ac:dyDescent="0.25">
      <c r="A74" s="152"/>
      <c r="B74" s="61" t="s">
        <v>23</v>
      </c>
      <c r="C74" s="13" t="s">
        <v>27</v>
      </c>
      <c r="D74" s="108" t="s">
        <v>28</v>
      </c>
      <c r="E74" s="13">
        <v>130</v>
      </c>
      <c r="F74" s="109">
        <v>15300</v>
      </c>
      <c r="G74" s="62">
        <v>12260</v>
      </c>
      <c r="H74" s="62">
        <f>G74-F74</f>
        <v>-3040</v>
      </c>
      <c r="I74" s="108" t="s">
        <v>285</v>
      </c>
      <c r="J74" s="13"/>
      <c r="K74" s="63"/>
      <c r="L74" s="63">
        <v>42181</v>
      </c>
      <c r="M74" s="108" t="s">
        <v>31</v>
      </c>
      <c r="N74" s="13"/>
      <c r="O74" s="64">
        <v>26.8</v>
      </c>
      <c r="P74" s="65"/>
      <c r="Q74" s="128">
        <v>13000</v>
      </c>
      <c r="R74" s="64">
        <f>59.25*E74</f>
        <v>7702.5</v>
      </c>
      <c r="S74" s="110">
        <f>-40*E74</f>
        <v>-5200</v>
      </c>
      <c r="T74" s="111">
        <f>W74*F74*0.0045</f>
        <v>2393.4219922512234</v>
      </c>
      <c r="U74" s="64">
        <f>E74*5</f>
        <v>650</v>
      </c>
      <c r="V74" s="13"/>
      <c r="W74" s="64">
        <f>((O74*F74)+Q74+R74+S74+U74)/G74</f>
        <v>34.762846655791193</v>
      </c>
      <c r="X74" s="64">
        <f>((O74*F74)+Q74+R74+S74+T74+U74)/G74</f>
        <v>34.958068677997652</v>
      </c>
      <c r="Y74" s="96">
        <f>X74*F74</f>
        <v>534858.45077336405</v>
      </c>
      <c r="Z74" s="66">
        <v>42194</v>
      </c>
    </row>
    <row r="75" spans="1:26" s="54" customFormat="1" x14ac:dyDescent="0.25">
      <c r="A75" s="152"/>
      <c r="B75" s="61" t="s">
        <v>163</v>
      </c>
      <c r="C75" s="13" t="s">
        <v>286</v>
      </c>
      <c r="D75" s="108" t="s">
        <v>145</v>
      </c>
      <c r="E75" s="13"/>
      <c r="F75" s="109">
        <v>18.37</v>
      </c>
      <c r="G75" s="62">
        <v>18.37</v>
      </c>
      <c r="H75" s="62">
        <f>G75-F75</f>
        <v>0</v>
      </c>
      <c r="I75" s="108" t="s">
        <v>287</v>
      </c>
      <c r="J75" s="13" t="s">
        <v>288</v>
      </c>
      <c r="K75" s="63"/>
      <c r="L75" s="63">
        <v>42181</v>
      </c>
      <c r="M75" s="108" t="s">
        <v>31</v>
      </c>
      <c r="N75" s="13"/>
      <c r="O75" s="64">
        <v>68.5</v>
      </c>
      <c r="P75" s="65"/>
      <c r="Q75" s="64"/>
      <c r="R75" s="64"/>
      <c r="S75" s="110"/>
      <c r="T75" s="111"/>
      <c r="U75" s="64"/>
      <c r="V75" s="64"/>
      <c r="W75" s="64">
        <f t="shared" ref="W75:W76" si="40">IF(O75&gt;0,O75,((P75*2.2046*S75)+(Q75+R75)/G75)+V75)</f>
        <v>68.5</v>
      </c>
      <c r="X75" s="64">
        <f t="shared" ref="X75:X76" si="41">IF(O75&gt;0,O75,((P75*2.2046*S75)+(Q75+R75+T75)/G75)+V75)</f>
        <v>68.5</v>
      </c>
      <c r="Y75" s="96">
        <f t="shared" ref="Y75:Y76" si="42">X75*F75</f>
        <v>1258.345</v>
      </c>
      <c r="Z75" s="66">
        <v>42185</v>
      </c>
    </row>
    <row r="76" spans="1:26" s="54" customFormat="1" x14ac:dyDescent="0.25">
      <c r="A76" s="152"/>
      <c r="B76" s="61" t="s">
        <v>200</v>
      </c>
      <c r="C76" s="13" t="s">
        <v>29</v>
      </c>
      <c r="D76" s="108" t="s">
        <v>145</v>
      </c>
      <c r="E76" s="13" t="s">
        <v>159</v>
      </c>
      <c r="F76" s="109">
        <v>1779.9</v>
      </c>
      <c r="G76" s="62">
        <v>1779.9</v>
      </c>
      <c r="H76" s="62">
        <f>G76-F76</f>
        <v>0</v>
      </c>
      <c r="I76" s="108" t="s">
        <v>289</v>
      </c>
      <c r="J76" s="13"/>
      <c r="K76" s="63"/>
      <c r="L76" s="63">
        <v>42181</v>
      </c>
      <c r="M76" s="108" t="s">
        <v>31</v>
      </c>
      <c r="N76" s="13"/>
      <c r="O76" s="64">
        <v>16</v>
      </c>
      <c r="P76" s="65"/>
      <c r="Q76" s="64"/>
      <c r="R76" s="64"/>
      <c r="S76" s="110"/>
      <c r="T76" s="111"/>
      <c r="U76" s="64"/>
      <c r="V76" s="64"/>
      <c r="W76" s="64">
        <f t="shared" si="40"/>
        <v>16</v>
      </c>
      <c r="X76" s="64">
        <f t="shared" si="41"/>
        <v>16</v>
      </c>
      <c r="Y76" s="96">
        <f t="shared" si="42"/>
        <v>28478.400000000001</v>
      </c>
      <c r="Z76" s="66">
        <v>42185</v>
      </c>
    </row>
    <row r="77" spans="1:26" s="54" customFormat="1" x14ac:dyDescent="0.25">
      <c r="A77" s="152"/>
      <c r="B77" s="61" t="s">
        <v>20</v>
      </c>
      <c r="C77" s="13" t="s">
        <v>160</v>
      </c>
      <c r="D77" s="108" t="s">
        <v>161</v>
      </c>
      <c r="E77" s="13" t="s">
        <v>162</v>
      </c>
      <c r="F77" s="109">
        <f>41253*0.4536</f>
        <v>18712.360799999999</v>
      </c>
      <c r="G77" s="62">
        <v>18631.330000000002</v>
      </c>
      <c r="H77" s="62">
        <f t="shared" si="38"/>
        <v>-81.030799999996816</v>
      </c>
      <c r="I77" s="108">
        <v>4165</v>
      </c>
      <c r="J77" s="13"/>
      <c r="K77" s="63">
        <v>42180</v>
      </c>
      <c r="L77" s="63">
        <v>42182</v>
      </c>
      <c r="M77" s="108" t="s">
        <v>32</v>
      </c>
      <c r="N77" s="13" t="s">
        <v>290</v>
      </c>
      <c r="O77" s="64"/>
      <c r="P77" s="79">
        <f>0.6344+0.16</f>
        <v>0.7944</v>
      </c>
      <c r="Q77" s="64"/>
      <c r="R77" s="64"/>
      <c r="S77" s="110">
        <v>15.68</v>
      </c>
      <c r="T77" s="111"/>
      <c r="U77" s="64"/>
      <c r="V77" s="64"/>
      <c r="W77" s="64">
        <f>IF(O77&gt;0,O77,((P77*2.2046*S77)+(Q77+R77)/G77)+V77)</f>
        <v>27.4609208832</v>
      </c>
      <c r="X77" s="64">
        <f>IF(O77&gt;0,O77,((P77*2.2046*S77)+(Q77+R77+T77)/G77)+V77)</f>
        <v>27.4609208832</v>
      </c>
      <c r="Y77" s="96">
        <f>X77*F77</f>
        <v>513858.659466693</v>
      </c>
      <c r="Z77" s="66">
        <v>42184</v>
      </c>
    </row>
    <row r="78" spans="1:26" s="54" customFormat="1" x14ac:dyDescent="0.25">
      <c r="A78" s="152"/>
      <c r="B78" s="61" t="s">
        <v>20</v>
      </c>
      <c r="C78" s="108" t="s">
        <v>29</v>
      </c>
      <c r="D78" s="108" t="s">
        <v>29</v>
      </c>
      <c r="E78" s="13" t="s">
        <v>30</v>
      </c>
      <c r="F78" s="109">
        <f>43468*0.4536</f>
        <v>19717.084800000001</v>
      </c>
      <c r="G78" s="62">
        <v>19539.43</v>
      </c>
      <c r="H78" s="62">
        <f t="shared" si="38"/>
        <v>-177.65480000000025</v>
      </c>
      <c r="I78" s="108" t="s">
        <v>291</v>
      </c>
      <c r="J78" s="67" t="s">
        <v>144</v>
      </c>
      <c r="K78" s="63">
        <v>42181</v>
      </c>
      <c r="L78" s="63">
        <v>42182</v>
      </c>
      <c r="M78" s="108" t="s">
        <v>32</v>
      </c>
      <c r="N78" s="108" t="s">
        <v>292</v>
      </c>
      <c r="O78" s="64"/>
      <c r="P78" s="79">
        <f>0.6108+0.105</f>
        <v>0.71579999999999999</v>
      </c>
      <c r="Q78" s="128">
        <v>18500</v>
      </c>
      <c r="R78" s="64">
        <v>8460</v>
      </c>
      <c r="S78" s="110">
        <v>15.34</v>
      </c>
      <c r="T78" s="111">
        <f>W78*F78*0.005</f>
        <v>2532.3738656340074</v>
      </c>
      <c r="V78" s="64">
        <v>0.1</v>
      </c>
      <c r="W78" s="64">
        <f>IF(O78&gt;0,O78,((P78*2.2046*S78)+(Q78+R78)/G78)+V78)</f>
        <v>25.687102239718595</v>
      </c>
      <c r="X78" s="64">
        <f>IF(O78&gt;0,O78,((P78*2.2046*S78)+(Q78+R78+T78)/G78)+V78)</f>
        <v>25.816705501719277</v>
      </c>
      <c r="Y78" s="96">
        <f t="shared" ref="Y78:Y80" si="43">X78*F78</f>
        <v>509030.17163402552</v>
      </c>
      <c r="Z78" s="66">
        <v>42176</v>
      </c>
    </row>
    <row r="79" spans="1:26" s="54" customFormat="1" x14ac:dyDescent="0.25">
      <c r="A79" s="152"/>
      <c r="B79" s="61" t="s">
        <v>20</v>
      </c>
      <c r="C79" s="108" t="s">
        <v>29</v>
      </c>
      <c r="D79" s="108" t="s">
        <v>29</v>
      </c>
      <c r="E79" s="13" t="s">
        <v>30</v>
      </c>
      <c r="F79" s="109">
        <f>43135*0.4536</f>
        <v>19566.036</v>
      </c>
      <c r="G79" s="62">
        <v>19374.88</v>
      </c>
      <c r="H79" s="62">
        <f t="shared" si="38"/>
        <v>-191.15599999999904</v>
      </c>
      <c r="I79" s="108" t="s">
        <v>293</v>
      </c>
      <c r="J79" s="67" t="s">
        <v>294</v>
      </c>
      <c r="K79" s="63">
        <v>42181</v>
      </c>
      <c r="L79" s="63">
        <v>42182</v>
      </c>
      <c r="M79" s="108" t="s">
        <v>32</v>
      </c>
      <c r="N79" s="108" t="s">
        <v>292</v>
      </c>
      <c r="O79" s="64"/>
      <c r="P79" s="79">
        <v>0.71579999999999999</v>
      </c>
      <c r="Q79" s="128">
        <v>18500</v>
      </c>
      <c r="R79" s="64">
        <v>8460</v>
      </c>
      <c r="S79" s="110">
        <v>15.34</v>
      </c>
      <c r="T79" s="111">
        <f>W79*F79*0.005</f>
        <v>2514.120245129126</v>
      </c>
      <c r="V79" s="64">
        <v>0.1</v>
      </c>
      <c r="W79" s="64">
        <f>IF(O79&gt;0,O79,((P79*2.2046*S79)+(Q79+R79)/G79)+V79)</f>
        <v>25.69882060044381</v>
      </c>
      <c r="X79" s="64">
        <f>IF(O79&gt;0,O79,((P79*2.2046*S79)+(Q79+R79+T79)/G79)+V79)</f>
        <v>25.828582449039988</v>
      </c>
      <c r="Y79" s="96">
        <f t="shared" si="43"/>
        <v>505362.97402688459</v>
      </c>
      <c r="Z79" s="66">
        <v>42176</v>
      </c>
    </row>
    <row r="80" spans="1:26" s="54" customFormat="1" x14ac:dyDescent="0.25">
      <c r="A80" s="152"/>
      <c r="B80" s="61" t="s">
        <v>20</v>
      </c>
      <c r="C80" s="108" t="s">
        <v>21</v>
      </c>
      <c r="D80" s="13" t="s">
        <v>143</v>
      </c>
      <c r="E80" s="13" t="s">
        <v>37</v>
      </c>
      <c r="F80" s="109">
        <f>39644*0.4536</f>
        <v>17982.518400000001</v>
      </c>
      <c r="G80" s="62">
        <v>17966.61</v>
      </c>
      <c r="H80" s="62">
        <f t="shared" si="38"/>
        <v>-15.908400000000256</v>
      </c>
      <c r="I80" s="108" t="s">
        <v>295</v>
      </c>
      <c r="J80" s="67" t="s">
        <v>294</v>
      </c>
      <c r="K80" s="63">
        <v>42181</v>
      </c>
      <c r="L80" s="63">
        <v>42182</v>
      </c>
      <c r="M80" s="108" t="s">
        <v>32</v>
      </c>
      <c r="N80" s="108" t="s">
        <v>283</v>
      </c>
      <c r="O80" s="64"/>
      <c r="P80" s="79">
        <v>0.73939999999999995</v>
      </c>
      <c r="Q80" s="128">
        <v>18500</v>
      </c>
      <c r="R80" s="64">
        <v>8460</v>
      </c>
      <c r="S80" s="110">
        <v>15.68</v>
      </c>
      <c r="T80" s="111">
        <f>W80*F80*0.005</f>
        <v>2442.0471427651519</v>
      </c>
      <c r="V80" s="64">
        <v>0.1</v>
      </c>
      <c r="W80" s="64">
        <f>IF(O80&gt;0,O80,((P80*2.2046*S80)+(Q80+R80)/G80)+V80)</f>
        <v>27.16023516222457</v>
      </c>
      <c r="X80" s="64">
        <f>IF(O80&gt;0,O80,((P80*2.2046*S80)+(Q80+R80+T80)/G80)+V80)</f>
        <v>27.29615658216774</v>
      </c>
      <c r="Y80" s="96">
        <f t="shared" si="43"/>
        <v>490853.63798811252</v>
      </c>
      <c r="Z80" s="66">
        <v>42193</v>
      </c>
    </row>
    <row r="81" spans="1:26" s="54" customFormat="1" ht="15.75" thickBot="1" x14ac:dyDescent="0.3">
      <c r="A81" s="152"/>
      <c r="B81" s="68"/>
      <c r="C81" s="55"/>
      <c r="D81" s="55"/>
      <c r="E81" s="55"/>
      <c r="F81" s="56"/>
      <c r="G81" s="56"/>
      <c r="H81" s="56"/>
      <c r="I81" s="57"/>
      <c r="J81" s="55"/>
      <c r="K81" s="58"/>
      <c r="L81" s="58"/>
      <c r="M81" s="55"/>
      <c r="N81" s="55"/>
      <c r="O81" s="59"/>
      <c r="P81" s="60"/>
      <c r="Q81" s="59"/>
      <c r="R81" s="59"/>
      <c r="S81" s="59"/>
      <c r="T81" s="59"/>
      <c r="U81" s="59"/>
      <c r="V81" s="59"/>
      <c r="W81" s="59"/>
      <c r="X81" s="59"/>
      <c r="Y81" s="59"/>
      <c r="Z81" s="69"/>
    </row>
    <row r="82" spans="1:26" s="54" customFormat="1" x14ac:dyDescent="0.25">
      <c r="A82" s="153"/>
      <c r="B82" s="137" t="s">
        <v>23</v>
      </c>
      <c r="C82" s="113" t="s">
        <v>27</v>
      </c>
      <c r="D82" s="112" t="s">
        <v>296</v>
      </c>
      <c r="E82" s="113">
        <v>250</v>
      </c>
      <c r="F82" s="114">
        <v>28860</v>
      </c>
      <c r="G82" s="115">
        <f>17640+5480</f>
        <v>23120</v>
      </c>
      <c r="H82" s="115">
        <f t="shared" ref="H82:H89" si="44">G82-F82</f>
        <v>-5740</v>
      </c>
      <c r="I82" s="112" t="s">
        <v>297</v>
      </c>
      <c r="J82" s="113"/>
      <c r="K82" s="116"/>
      <c r="L82" s="116">
        <v>42183</v>
      </c>
      <c r="M82" s="112" t="s">
        <v>33</v>
      </c>
      <c r="N82" s="113"/>
      <c r="O82" s="117">
        <v>26.3</v>
      </c>
      <c r="P82" s="118"/>
      <c r="Q82" s="138">
        <v>16500</v>
      </c>
      <c r="R82" s="64">
        <f>59.25*E82</f>
        <v>14812.5</v>
      </c>
      <c r="S82" s="119">
        <f>-40*E82</f>
        <v>-10000</v>
      </c>
      <c r="T82" s="133">
        <f>W82*F82*0.0045</f>
        <v>4390.305343209342</v>
      </c>
      <c r="U82" s="117">
        <f>E82*5</f>
        <v>1250</v>
      </c>
      <c r="V82" s="113"/>
      <c r="W82" s="117">
        <f>((O82*F82)+Q82+R82+S82+U82)/G82</f>
        <v>33.805384948096886</v>
      </c>
      <c r="X82" s="117">
        <f>((O82*F82)+Q82+R82+S82+T82+U82)/G82</f>
        <v>33.995277047716662</v>
      </c>
      <c r="Y82" s="139">
        <f t="shared" ref="Y82:Y87" si="45">X82*F82</f>
        <v>981103.69559710287</v>
      </c>
      <c r="Z82" s="120">
        <v>42198</v>
      </c>
    </row>
    <row r="83" spans="1:26" s="54" customFormat="1" x14ac:dyDescent="0.25">
      <c r="A83" s="153"/>
      <c r="B83" s="61" t="s">
        <v>23</v>
      </c>
      <c r="C83" s="108" t="s">
        <v>24</v>
      </c>
      <c r="D83" s="108" t="s">
        <v>156</v>
      </c>
      <c r="E83" s="13">
        <v>118</v>
      </c>
      <c r="F83" s="109">
        <v>10996</v>
      </c>
      <c r="G83" s="62">
        <v>10980</v>
      </c>
      <c r="H83" s="62">
        <f t="shared" si="44"/>
        <v>-16</v>
      </c>
      <c r="I83" s="108" t="s">
        <v>298</v>
      </c>
      <c r="J83" s="13"/>
      <c r="K83" s="63"/>
      <c r="L83" s="63">
        <v>42183</v>
      </c>
      <c r="M83" s="108" t="s">
        <v>33</v>
      </c>
      <c r="N83" s="13"/>
      <c r="O83" s="64">
        <v>36.799999999999997</v>
      </c>
      <c r="P83" s="65"/>
      <c r="Q83" s="64"/>
      <c r="R83" s="64"/>
      <c r="S83" s="110"/>
      <c r="T83" s="111"/>
      <c r="U83" s="64">
        <f>E83*5</f>
        <v>590</v>
      </c>
      <c r="V83" s="13"/>
      <c r="W83" s="64">
        <f>((O83*F83)+Q83+R83+S83+U83)/G83</f>
        <v>36.907358834244079</v>
      </c>
      <c r="X83" s="64">
        <f>((O83*F83)+Q83+R83+S83+T83+U83)/G83</f>
        <v>36.907358834244079</v>
      </c>
      <c r="Y83" s="96">
        <f t="shared" si="45"/>
        <v>405833.31774134788</v>
      </c>
      <c r="Z83" s="66">
        <v>42191</v>
      </c>
    </row>
    <row r="84" spans="1:26" s="54" customFormat="1" x14ac:dyDescent="0.25">
      <c r="A84" s="153"/>
      <c r="B84" s="61" t="s">
        <v>20</v>
      </c>
      <c r="C84" s="108" t="s">
        <v>29</v>
      </c>
      <c r="D84" s="108" t="s">
        <v>154</v>
      </c>
      <c r="E84" s="13" t="s">
        <v>30</v>
      </c>
      <c r="F84" s="109">
        <f>42805.206*0.4536</f>
        <v>19416.4414416</v>
      </c>
      <c r="G84" s="62">
        <v>19317.04</v>
      </c>
      <c r="H84" s="62">
        <f t="shared" si="44"/>
        <v>-99.401441599999089</v>
      </c>
      <c r="I84" s="108" t="s">
        <v>299</v>
      </c>
      <c r="J84" s="13"/>
      <c r="K84" s="63">
        <v>42181</v>
      </c>
      <c r="L84" s="63">
        <v>42184</v>
      </c>
      <c r="M84" s="108" t="s">
        <v>34</v>
      </c>
      <c r="N84" s="13" t="s">
        <v>300</v>
      </c>
      <c r="O84" s="64"/>
      <c r="P84" s="79">
        <v>0.77100000000000002</v>
      </c>
      <c r="Q84" s="64"/>
      <c r="R84" s="64"/>
      <c r="S84" s="110">
        <v>15.688000000000001</v>
      </c>
      <c r="T84" s="111"/>
      <c r="V84" s="64"/>
      <c r="W84" s="64">
        <f>IF(O84&gt;0,O84,((P84*2.2046*S84)+(Q84+R84)/G84)+V84)</f>
        <v>26.665624660800002</v>
      </c>
      <c r="X84" s="64">
        <f>IF(O84&gt;0,O84,((P84*2.2046*S84)+(Q84+R84+T84)/G84)+V84)</f>
        <v>26.665624660800002</v>
      </c>
      <c r="Y84" s="96">
        <f t="shared" si="45"/>
        <v>517751.53973010811</v>
      </c>
      <c r="Z84" s="66">
        <v>42187</v>
      </c>
    </row>
    <row r="85" spans="1:26" s="54" customFormat="1" x14ac:dyDescent="0.25">
      <c r="A85" s="153"/>
      <c r="B85" s="61" t="s">
        <v>23</v>
      </c>
      <c r="C85" s="13" t="s">
        <v>27</v>
      </c>
      <c r="D85" s="108" t="s">
        <v>38</v>
      </c>
      <c r="E85" s="13">
        <v>250</v>
      </c>
      <c r="F85" s="109">
        <v>31330</v>
      </c>
      <c r="G85" s="62">
        <f>4950+19770</f>
        <v>24720</v>
      </c>
      <c r="H85" s="62">
        <f t="shared" si="44"/>
        <v>-6610</v>
      </c>
      <c r="I85" s="108" t="s">
        <v>301</v>
      </c>
      <c r="J85" s="13"/>
      <c r="K85" s="63"/>
      <c r="L85" s="63">
        <v>42184</v>
      </c>
      <c r="M85" s="108" t="s">
        <v>34</v>
      </c>
      <c r="N85" s="13"/>
      <c r="O85" s="64">
        <v>26.3</v>
      </c>
      <c r="P85" s="65"/>
      <c r="Q85" s="128">
        <v>16500</v>
      </c>
      <c r="R85" s="64">
        <f t="shared" ref="R85" si="46">59.25*E85</f>
        <v>14812.5</v>
      </c>
      <c r="S85" s="110">
        <f>-40*E85</f>
        <v>-10000</v>
      </c>
      <c r="T85" s="111">
        <f>W85*F85*0.0045</f>
        <v>4828.0604117111643</v>
      </c>
      <c r="U85" s="64">
        <f>E85*5</f>
        <v>1250</v>
      </c>
      <c r="V85" s="13"/>
      <c r="W85" s="64">
        <f>((O85*F85)+Q85+R85+S85+U85)/G85</f>
        <v>34.245206310679613</v>
      </c>
      <c r="X85" s="64">
        <f>((O85*F85)+Q85+R85+S85+T85+U85)/G85</f>
        <v>34.440516197884754</v>
      </c>
      <c r="Y85" s="96">
        <f t="shared" si="45"/>
        <v>1079021.3724797294</v>
      </c>
      <c r="Z85" s="66">
        <v>42198</v>
      </c>
    </row>
    <row r="86" spans="1:26" s="54" customFormat="1" x14ac:dyDescent="0.25">
      <c r="A86" s="153"/>
      <c r="B86" s="61" t="s">
        <v>20</v>
      </c>
      <c r="C86" s="13" t="s">
        <v>21</v>
      </c>
      <c r="D86" s="13" t="s">
        <v>143</v>
      </c>
      <c r="E86" s="13" t="s">
        <v>37</v>
      </c>
      <c r="F86" s="109">
        <f>38172*0.4536</f>
        <v>17314.819200000002</v>
      </c>
      <c r="G86" s="62">
        <v>17267.47</v>
      </c>
      <c r="H86" s="62">
        <f t="shared" si="44"/>
        <v>-47.349200000000565</v>
      </c>
      <c r="I86" s="108" t="s">
        <v>302</v>
      </c>
      <c r="J86" s="154" t="s">
        <v>144</v>
      </c>
      <c r="K86" s="63">
        <v>42184</v>
      </c>
      <c r="L86" s="63">
        <v>42185</v>
      </c>
      <c r="M86" s="108" t="s">
        <v>35</v>
      </c>
      <c r="N86" s="108" t="s">
        <v>245</v>
      </c>
      <c r="O86" s="64"/>
      <c r="P86" s="79">
        <f>0.5811+0.105</f>
        <v>0.68609999999999993</v>
      </c>
      <c r="Q86" s="128">
        <v>18500</v>
      </c>
      <c r="R86" s="64">
        <v>8473</v>
      </c>
      <c r="S86" s="110">
        <v>15.7</v>
      </c>
      <c r="T86" s="111">
        <f>W86*F86*0.005</f>
        <v>2199.8057323713774</v>
      </c>
      <c r="V86" s="64">
        <v>0.1</v>
      </c>
      <c r="W86" s="64">
        <f>IF(O86&gt;0,O86,((P86*2.2046*S86)+(Q86+R86)/G86)+V86)</f>
        <v>25.409514323676877</v>
      </c>
      <c r="X86" s="64">
        <f>IF(O86&gt;0,O86,((P86*2.2046*S86)+(Q86+R86+T86)/G86)+V86)</f>
        <v>25.536910272960203</v>
      </c>
      <c r="Y86" s="96">
        <f t="shared" si="45"/>
        <v>442166.98430292861</v>
      </c>
      <c r="Z86" s="66">
        <v>42195</v>
      </c>
    </row>
    <row r="87" spans="1:26" s="54" customFormat="1" x14ac:dyDescent="0.25">
      <c r="A87" s="153"/>
      <c r="B87" s="61" t="s">
        <v>20</v>
      </c>
      <c r="C87" s="13" t="s">
        <v>21</v>
      </c>
      <c r="D87" s="13" t="s">
        <v>143</v>
      </c>
      <c r="E87" s="13" t="s">
        <v>37</v>
      </c>
      <c r="F87" s="109">
        <f>40178*0.4536</f>
        <v>18224.7408</v>
      </c>
      <c r="G87" s="62">
        <v>18210.22</v>
      </c>
      <c r="H87" s="62">
        <f t="shared" si="44"/>
        <v>-14.520799999998417</v>
      </c>
      <c r="I87" s="108" t="s">
        <v>303</v>
      </c>
      <c r="J87" s="154" t="s">
        <v>149</v>
      </c>
      <c r="K87" s="63">
        <v>42184</v>
      </c>
      <c r="L87" s="63">
        <v>42185</v>
      </c>
      <c r="M87" s="108" t="s">
        <v>35</v>
      </c>
      <c r="N87" s="108" t="s">
        <v>245</v>
      </c>
      <c r="O87" s="64"/>
      <c r="P87" s="79">
        <v>0.68610000000000004</v>
      </c>
      <c r="Q87" s="128">
        <v>18500</v>
      </c>
      <c r="R87" s="64">
        <v>8473</v>
      </c>
      <c r="S87" s="110">
        <v>15.7</v>
      </c>
      <c r="T87" s="111">
        <f>W87*F87*0.005</f>
        <v>2308.0399822851982</v>
      </c>
      <c r="V87" s="64">
        <v>0.1</v>
      </c>
      <c r="W87" s="64">
        <f>IF(O87&gt;0,O87,((P87*2.2046*S87)+(Q87+R87)/G87)+V87)</f>
        <v>25.328645357581145</v>
      </c>
      <c r="X87" s="64">
        <f>IF(O87&gt;0,O87,((P87*2.2046*S87)+(Q87+R87+T87)/G87)+V87)</f>
        <v>25.455389569473432</v>
      </c>
      <c r="Y87" s="96">
        <f t="shared" si="45"/>
        <v>463917.8768666769</v>
      </c>
      <c r="Z87" s="66">
        <v>42195</v>
      </c>
    </row>
    <row r="88" spans="1:26" s="54" customFormat="1" x14ac:dyDescent="0.25">
      <c r="A88" s="153"/>
      <c r="B88" s="61" t="s">
        <v>23</v>
      </c>
      <c r="C88" s="13" t="s">
        <v>27</v>
      </c>
      <c r="D88" s="108" t="s">
        <v>296</v>
      </c>
      <c r="E88" s="13">
        <f>200+50</f>
        <v>250</v>
      </c>
      <c r="F88" s="109">
        <v>28380</v>
      </c>
      <c r="G88" s="62">
        <f>18110+4530</f>
        <v>22640</v>
      </c>
      <c r="H88" s="62">
        <f t="shared" si="44"/>
        <v>-5740</v>
      </c>
      <c r="I88" s="108" t="s">
        <v>304</v>
      </c>
      <c r="J88" s="13"/>
      <c r="K88" s="63"/>
      <c r="L88" s="63">
        <v>42185</v>
      </c>
      <c r="M88" s="108" t="s">
        <v>35</v>
      </c>
      <c r="N88" s="13"/>
      <c r="O88" s="64">
        <v>26.3</v>
      </c>
      <c r="P88" s="65"/>
      <c r="Q88" s="64">
        <v>16500</v>
      </c>
      <c r="R88" s="64">
        <f>59.25*E88</f>
        <v>14812.5</v>
      </c>
      <c r="S88" s="110">
        <f>-40*E88</f>
        <v>-10000</v>
      </c>
      <c r="T88" s="111">
        <f>W88*F88*0.0045</f>
        <v>4337.6075359982324</v>
      </c>
      <c r="U88" s="64">
        <f>E88*5</f>
        <v>1250</v>
      </c>
      <c r="V88" s="13"/>
      <c r="W88" s="64">
        <f>((O88*F88)+Q88+R88+S88+U88)/G88</f>
        <v>33.964509717314485</v>
      </c>
      <c r="X88" s="64">
        <f>((O88*F88)+Q88+R88+S88+T88+U88)/G88</f>
        <v>34.156100156183669</v>
      </c>
      <c r="Y88" s="96">
        <f>X88*F88</f>
        <v>969350.12243249256</v>
      </c>
      <c r="Z88" s="66">
        <v>42198</v>
      </c>
    </row>
    <row r="89" spans="1:26" s="54" customFormat="1" x14ac:dyDescent="0.25">
      <c r="A89" s="153"/>
      <c r="B89" s="61" t="s">
        <v>158</v>
      </c>
      <c r="C89" s="13" t="s">
        <v>25</v>
      </c>
      <c r="D89" s="108" t="s">
        <v>155</v>
      </c>
      <c r="E89" s="13">
        <v>74</v>
      </c>
      <c r="F89" s="109">
        <v>1007.14</v>
      </c>
      <c r="G89" s="62">
        <v>1007.14</v>
      </c>
      <c r="H89" s="62">
        <f t="shared" si="44"/>
        <v>0</v>
      </c>
      <c r="I89" s="108" t="s">
        <v>305</v>
      </c>
      <c r="J89" s="13"/>
      <c r="K89" s="63"/>
      <c r="L89" s="63">
        <v>42185</v>
      </c>
      <c r="M89" s="108" t="s">
        <v>35</v>
      </c>
      <c r="N89" s="13"/>
      <c r="O89" s="64">
        <v>38</v>
      </c>
      <c r="P89" s="65"/>
      <c r="Q89" s="64"/>
      <c r="R89" s="64"/>
      <c r="S89" s="110"/>
      <c r="T89" s="111"/>
      <c r="U89" s="64"/>
      <c r="V89" s="64"/>
      <c r="W89" s="64">
        <f>IF(O89&gt;0,O89,((P89*2.2046*S89)+(Q89+R89)/G89)+V89)</f>
        <v>38</v>
      </c>
      <c r="X89" s="64">
        <f>IF(O89&gt;0,O89,((P89*2.2046*S89)+(Q89+R89+T89)/G89)+V89)</f>
        <v>38</v>
      </c>
      <c r="Y89" s="96">
        <f>X89*F89</f>
        <v>38271.32</v>
      </c>
      <c r="Z89" s="66">
        <v>42188</v>
      </c>
    </row>
    <row r="90" spans="1:26" s="54" customFormat="1" ht="15.75" thickBot="1" x14ac:dyDescent="0.3">
      <c r="A90" s="153"/>
      <c r="B90" s="68"/>
      <c r="C90" s="55"/>
      <c r="D90" s="55"/>
      <c r="E90" s="55"/>
      <c r="F90" s="56"/>
      <c r="G90" s="56"/>
      <c r="H90" s="56"/>
      <c r="I90" s="57"/>
      <c r="J90" s="55"/>
      <c r="K90" s="58"/>
      <c r="L90" s="58"/>
      <c r="M90" s="55"/>
      <c r="N90" s="55"/>
      <c r="O90" s="59"/>
      <c r="P90" s="60"/>
      <c r="Q90" s="59"/>
      <c r="R90" s="59"/>
      <c r="S90" s="59"/>
      <c r="T90" s="59"/>
      <c r="U90" s="59"/>
      <c r="V90" s="59"/>
      <c r="W90" s="59"/>
      <c r="X90" s="59"/>
      <c r="Y90" s="59"/>
      <c r="Z90" s="69"/>
    </row>
  </sheetData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3"/>
  <sheetViews>
    <sheetView workbookViewId="0">
      <selection activeCell="B29" sqref="B29"/>
    </sheetView>
  </sheetViews>
  <sheetFormatPr baseColWidth="10" defaultRowHeight="15" x14ac:dyDescent="0.25"/>
  <cols>
    <col min="1" max="1" width="26.140625" customWidth="1"/>
    <col min="2" max="2" width="14.85546875" customWidth="1"/>
    <col min="3" max="3" width="12.7109375" bestFit="1" customWidth="1"/>
    <col min="4" max="4" width="10.7109375" customWidth="1"/>
    <col min="5" max="5" width="12.140625" customWidth="1"/>
    <col min="6" max="6" width="14.7109375" customWidth="1"/>
    <col min="7" max="7" width="11.42578125" hidden="1" customWidth="1"/>
    <col min="257" max="257" width="26.140625" customWidth="1"/>
    <col min="258" max="258" width="14.85546875" customWidth="1"/>
    <col min="259" max="259" width="12.7109375" bestFit="1" customWidth="1"/>
    <col min="260" max="260" width="10.7109375" customWidth="1"/>
    <col min="261" max="261" width="12.140625" customWidth="1"/>
    <col min="262" max="262" width="14.7109375" customWidth="1"/>
    <col min="263" max="263" width="0" hidden="1" customWidth="1"/>
    <col min="513" max="513" width="26.140625" customWidth="1"/>
    <col min="514" max="514" width="14.85546875" customWidth="1"/>
    <col min="515" max="515" width="12.7109375" bestFit="1" customWidth="1"/>
    <col min="516" max="516" width="10.7109375" customWidth="1"/>
    <col min="517" max="517" width="12.140625" customWidth="1"/>
    <col min="518" max="518" width="14.7109375" customWidth="1"/>
    <col min="519" max="519" width="0" hidden="1" customWidth="1"/>
    <col min="769" max="769" width="26.140625" customWidth="1"/>
    <col min="770" max="770" width="14.85546875" customWidth="1"/>
    <col min="771" max="771" width="12.7109375" bestFit="1" customWidth="1"/>
    <col min="772" max="772" width="10.7109375" customWidth="1"/>
    <col min="773" max="773" width="12.140625" customWidth="1"/>
    <col min="774" max="774" width="14.7109375" customWidth="1"/>
    <col min="775" max="775" width="0" hidden="1" customWidth="1"/>
    <col min="1025" max="1025" width="26.140625" customWidth="1"/>
    <col min="1026" max="1026" width="14.85546875" customWidth="1"/>
    <col min="1027" max="1027" width="12.7109375" bestFit="1" customWidth="1"/>
    <col min="1028" max="1028" width="10.7109375" customWidth="1"/>
    <col min="1029" max="1029" width="12.140625" customWidth="1"/>
    <col min="1030" max="1030" width="14.7109375" customWidth="1"/>
    <col min="1031" max="1031" width="0" hidden="1" customWidth="1"/>
    <col min="1281" max="1281" width="26.140625" customWidth="1"/>
    <col min="1282" max="1282" width="14.85546875" customWidth="1"/>
    <col min="1283" max="1283" width="12.7109375" bestFit="1" customWidth="1"/>
    <col min="1284" max="1284" width="10.7109375" customWidth="1"/>
    <col min="1285" max="1285" width="12.140625" customWidth="1"/>
    <col min="1286" max="1286" width="14.7109375" customWidth="1"/>
    <col min="1287" max="1287" width="0" hidden="1" customWidth="1"/>
    <col min="1537" max="1537" width="26.140625" customWidth="1"/>
    <col min="1538" max="1538" width="14.85546875" customWidth="1"/>
    <col min="1539" max="1539" width="12.7109375" bestFit="1" customWidth="1"/>
    <col min="1540" max="1540" width="10.7109375" customWidth="1"/>
    <col min="1541" max="1541" width="12.140625" customWidth="1"/>
    <col min="1542" max="1542" width="14.7109375" customWidth="1"/>
    <col min="1543" max="1543" width="0" hidden="1" customWidth="1"/>
    <col min="1793" max="1793" width="26.140625" customWidth="1"/>
    <col min="1794" max="1794" width="14.85546875" customWidth="1"/>
    <col min="1795" max="1795" width="12.7109375" bestFit="1" customWidth="1"/>
    <col min="1796" max="1796" width="10.7109375" customWidth="1"/>
    <col min="1797" max="1797" width="12.140625" customWidth="1"/>
    <col min="1798" max="1798" width="14.7109375" customWidth="1"/>
    <col min="1799" max="1799" width="0" hidden="1" customWidth="1"/>
    <col min="2049" max="2049" width="26.140625" customWidth="1"/>
    <col min="2050" max="2050" width="14.85546875" customWidth="1"/>
    <col min="2051" max="2051" width="12.7109375" bestFit="1" customWidth="1"/>
    <col min="2052" max="2052" width="10.7109375" customWidth="1"/>
    <col min="2053" max="2053" width="12.140625" customWidth="1"/>
    <col min="2054" max="2054" width="14.7109375" customWidth="1"/>
    <col min="2055" max="2055" width="0" hidden="1" customWidth="1"/>
    <col min="2305" max="2305" width="26.140625" customWidth="1"/>
    <col min="2306" max="2306" width="14.85546875" customWidth="1"/>
    <col min="2307" max="2307" width="12.7109375" bestFit="1" customWidth="1"/>
    <col min="2308" max="2308" width="10.7109375" customWidth="1"/>
    <col min="2309" max="2309" width="12.140625" customWidth="1"/>
    <col min="2310" max="2310" width="14.7109375" customWidth="1"/>
    <col min="2311" max="2311" width="0" hidden="1" customWidth="1"/>
    <col min="2561" max="2561" width="26.140625" customWidth="1"/>
    <col min="2562" max="2562" width="14.85546875" customWidth="1"/>
    <col min="2563" max="2563" width="12.7109375" bestFit="1" customWidth="1"/>
    <col min="2564" max="2564" width="10.7109375" customWidth="1"/>
    <col min="2565" max="2565" width="12.140625" customWidth="1"/>
    <col min="2566" max="2566" width="14.7109375" customWidth="1"/>
    <col min="2567" max="2567" width="0" hidden="1" customWidth="1"/>
    <col min="2817" max="2817" width="26.140625" customWidth="1"/>
    <col min="2818" max="2818" width="14.85546875" customWidth="1"/>
    <col min="2819" max="2819" width="12.7109375" bestFit="1" customWidth="1"/>
    <col min="2820" max="2820" width="10.7109375" customWidth="1"/>
    <col min="2821" max="2821" width="12.140625" customWidth="1"/>
    <col min="2822" max="2822" width="14.7109375" customWidth="1"/>
    <col min="2823" max="2823" width="0" hidden="1" customWidth="1"/>
    <col min="3073" max="3073" width="26.140625" customWidth="1"/>
    <col min="3074" max="3074" width="14.85546875" customWidth="1"/>
    <col min="3075" max="3075" width="12.7109375" bestFit="1" customWidth="1"/>
    <col min="3076" max="3076" width="10.7109375" customWidth="1"/>
    <col min="3077" max="3077" width="12.140625" customWidth="1"/>
    <col min="3078" max="3078" width="14.7109375" customWidth="1"/>
    <col min="3079" max="3079" width="0" hidden="1" customWidth="1"/>
    <col min="3329" max="3329" width="26.140625" customWidth="1"/>
    <col min="3330" max="3330" width="14.85546875" customWidth="1"/>
    <col min="3331" max="3331" width="12.7109375" bestFit="1" customWidth="1"/>
    <col min="3332" max="3332" width="10.7109375" customWidth="1"/>
    <col min="3333" max="3333" width="12.140625" customWidth="1"/>
    <col min="3334" max="3334" width="14.7109375" customWidth="1"/>
    <col min="3335" max="3335" width="0" hidden="1" customWidth="1"/>
    <col min="3585" max="3585" width="26.140625" customWidth="1"/>
    <col min="3586" max="3586" width="14.85546875" customWidth="1"/>
    <col min="3587" max="3587" width="12.7109375" bestFit="1" customWidth="1"/>
    <col min="3588" max="3588" width="10.7109375" customWidth="1"/>
    <col min="3589" max="3589" width="12.140625" customWidth="1"/>
    <col min="3590" max="3590" width="14.7109375" customWidth="1"/>
    <col min="3591" max="3591" width="0" hidden="1" customWidth="1"/>
    <col min="3841" max="3841" width="26.140625" customWidth="1"/>
    <col min="3842" max="3842" width="14.85546875" customWidth="1"/>
    <col min="3843" max="3843" width="12.7109375" bestFit="1" customWidth="1"/>
    <col min="3844" max="3844" width="10.7109375" customWidth="1"/>
    <col min="3845" max="3845" width="12.140625" customWidth="1"/>
    <col min="3846" max="3846" width="14.7109375" customWidth="1"/>
    <col min="3847" max="3847" width="0" hidden="1" customWidth="1"/>
    <col min="4097" max="4097" width="26.140625" customWidth="1"/>
    <col min="4098" max="4098" width="14.85546875" customWidth="1"/>
    <col min="4099" max="4099" width="12.7109375" bestFit="1" customWidth="1"/>
    <col min="4100" max="4100" width="10.7109375" customWidth="1"/>
    <col min="4101" max="4101" width="12.140625" customWidth="1"/>
    <col min="4102" max="4102" width="14.7109375" customWidth="1"/>
    <col min="4103" max="4103" width="0" hidden="1" customWidth="1"/>
    <col min="4353" max="4353" width="26.140625" customWidth="1"/>
    <col min="4354" max="4354" width="14.85546875" customWidth="1"/>
    <col min="4355" max="4355" width="12.7109375" bestFit="1" customWidth="1"/>
    <col min="4356" max="4356" width="10.7109375" customWidth="1"/>
    <col min="4357" max="4357" width="12.140625" customWidth="1"/>
    <col min="4358" max="4358" width="14.7109375" customWidth="1"/>
    <col min="4359" max="4359" width="0" hidden="1" customWidth="1"/>
    <col min="4609" max="4609" width="26.140625" customWidth="1"/>
    <col min="4610" max="4610" width="14.85546875" customWidth="1"/>
    <col min="4611" max="4611" width="12.7109375" bestFit="1" customWidth="1"/>
    <col min="4612" max="4612" width="10.7109375" customWidth="1"/>
    <col min="4613" max="4613" width="12.140625" customWidth="1"/>
    <col min="4614" max="4614" width="14.7109375" customWidth="1"/>
    <col min="4615" max="4615" width="0" hidden="1" customWidth="1"/>
    <col min="4865" max="4865" width="26.140625" customWidth="1"/>
    <col min="4866" max="4866" width="14.85546875" customWidth="1"/>
    <col min="4867" max="4867" width="12.7109375" bestFit="1" customWidth="1"/>
    <col min="4868" max="4868" width="10.7109375" customWidth="1"/>
    <col min="4869" max="4869" width="12.140625" customWidth="1"/>
    <col min="4870" max="4870" width="14.7109375" customWidth="1"/>
    <col min="4871" max="4871" width="0" hidden="1" customWidth="1"/>
    <col min="5121" max="5121" width="26.140625" customWidth="1"/>
    <col min="5122" max="5122" width="14.85546875" customWidth="1"/>
    <col min="5123" max="5123" width="12.7109375" bestFit="1" customWidth="1"/>
    <col min="5124" max="5124" width="10.7109375" customWidth="1"/>
    <col min="5125" max="5125" width="12.140625" customWidth="1"/>
    <col min="5126" max="5126" width="14.7109375" customWidth="1"/>
    <col min="5127" max="5127" width="0" hidden="1" customWidth="1"/>
    <col min="5377" max="5377" width="26.140625" customWidth="1"/>
    <col min="5378" max="5378" width="14.85546875" customWidth="1"/>
    <col min="5379" max="5379" width="12.7109375" bestFit="1" customWidth="1"/>
    <col min="5380" max="5380" width="10.7109375" customWidth="1"/>
    <col min="5381" max="5381" width="12.140625" customWidth="1"/>
    <col min="5382" max="5382" width="14.7109375" customWidth="1"/>
    <col min="5383" max="5383" width="0" hidden="1" customWidth="1"/>
    <col min="5633" max="5633" width="26.140625" customWidth="1"/>
    <col min="5634" max="5634" width="14.85546875" customWidth="1"/>
    <col min="5635" max="5635" width="12.7109375" bestFit="1" customWidth="1"/>
    <col min="5636" max="5636" width="10.7109375" customWidth="1"/>
    <col min="5637" max="5637" width="12.140625" customWidth="1"/>
    <col min="5638" max="5638" width="14.7109375" customWidth="1"/>
    <col min="5639" max="5639" width="0" hidden="1" customWidth="1"/>
    <col min="5889" max="5889" width="26.140625" customWidth="1"/>
    <col min="5890" max="5890" width="14.85546875" customWidth="1"/>
    <col min="5891" max="5891" width="12.7109375" bestFit="1" customWidth="1"/>
    <col min="5892" max="5892" width="10.7109375" customWidth="1"/>
    <col min="5893" max="5893" width="12.140625" customWidth="1"/>
    <col min="5894" max="5894" width="14.7109375" customWidth="1"/>
    <col min="5895" max="5895" width="0" hidden="1" customWidth="1"/>
    <col min="6145" max="6145" width="26.140625" customWidth="1"/>
    <col min="6146" max="6146" width="14.85546875" customWidth="1"/>
    <col min="6147" max="6147" width="12.7109375" bestFit="1" customWidth="1"/>
    <col min="6148" max="6148" width="10.7109375" customWidth="1"/>
    <col min="6149" max="6149" width="12.140625" customWidth="1"/>
    <col min="6150" max="6150" width="14.7109375" customWidth="1"/>
    <col min="6151" max="6151" width="0" hidden="1" customWidth="1"/>
    <col min="6401" max="6401" width="26.140625" customWidth="1"/>
    <col min="6402" max="6402" width="14.85546875" customWidth="1"/>
    <col min="6403" max="6403" width="12.7109375" bestFit="1" customWidth="1"/>
    <col min="6404" max="6404" width="10.7109375" customWidth="1"/>
    <col min="6405" max="6405" width="12.140625" customWidth="1"/>
    <col min="6406" max="6406" width="14.7109375" customWidth="1"/>
    <col min="6407" max="6407" width="0" hidden="1" customWidth="1"/>
    <col min="6657" max="6657" width="26.140625" customWidth="1"/>
    <col min="6658" max="6658" width="14.85546875" customWidth="1"/>
    <col min="6659" max="6659" width="12.7109375" bestFit="1" customWidth="1"/>
    <col min="6660" max="6660" width="10.7109375" customWidth="1"/>
    <col min="6661" max="6661" width="12.140625" customWidth="1"/>
    <col min="6662" max="6662" width="14.7109375" customWidth="1"/>
    <col min="6663" max="6663" width="0" hidden="1" customWidth="1"/>
    <col min="6913" max="6913" width="26.140625" customWidth="1"/>
    <col min="6914" max="6914" width="14.85546875" customWidth="1"/>
    <col min="6915" max="6915" width="12.7109375" bestFit="1" customWidth="1"/>
    <col min="6916" max="6916" width="10.7109375" customWidth="1"/>
    <col min="6917" max="6917" width="12.140625" customWidth="1"/>
    <col min="6918" max="6918" width="14.7109375" customWidth="1"/>
    <col min="6919" max="6919" width="0" hidden="1" customWidth="1"/>
    <col min="7169" max="7169" width="26.140625" customWidth="1"/>
    <col min="7170" max="7170" width="14.85546875" customWidth="1"/>
    <col min="7171" max="7171" width="12.7109375" bestFit="1" customWidth="1"/>
    <col min="7172" max="7172" width="10.7109375" customWidth="1"/>
    <col min="7173" max="7173" width="12.140625" customWidth="1"/>
    <col min="7174" max="7174" width="14.7109375" customWidth="1"/>
    <col min="7175" max="7175" width="0" hidden="1" customWidth="1"/>
    <col min="7425" max="7425" width="26.140625" customWidth="1"/>
    <col min="7426" max="7426" width="14.85546875" customWidth="1"/>
    <col min="7427" max="7427" width="12.7109375" bestFit="1" customWidth="1"/>
    <col min="7428" max="7428" width="10.7109375" customWidth="1"/>
    <col min="7429" max="7429" width="12.140625" customWidth="1"/>
    <col min="7430" max="7430" width="14.7109375" customWidth="1"/>
    <col min="7431" max="7431" width="0" hidden="1" customWidth="1"/>
    <col min="7681" max="7681" width="26.140625" customWidth="1"/>
    <col min="7682" max="7682" width="14.85546875" customWidth="1"/>
    <col min="7683" max="7683" width="12.7109375" bestFit="1" customWidth="1"/>
    <col min="7684" max="7684" width="10.7109375" customWidth="1"/>
    <col min="7685" max="7685" width="12.140625" customWidth="1"/>
    <col min="7686" max="7686" width="14.7109375" customWidth="1"/>
    <col min="7687" max="7687" width="0" hidden="1" customWidth="1"/>
    <col min="7937" max="7937" width="26.140625" customWidth="1"/>
    <col min="7938" max="7938" width="14.85546875" customWidth="1"/>
    <col min="7939" max="7939" width="12.7109375" bestFit="1" customWidth="1"/>
    <col min="7940" max="7940" width="10.7109375" customWidth="1"/>
    <col min="7941" max="7941" width="12.140625" customWidth="1"/>
    <col min="7942" max="7942" width="14.7109375" customWidth="1"/>
    <col min="7943" max="7943" width="0" hidden="1" customWidth="1"/>
    <col min="8193" max="8193" width="26.140625" customWidth="1"/>
    <col min="8194" max="8194" width="14.85546875" customWidth="1"/>
    <col min="8195" max="8195" width="12.7109375" bestFit="1" customWidth="1"/>
    <col min="8196" max="8196" width="10.7109375" customWidth="1"/>
    <col min="8197" max="8197" width="12.140625" customWidth="1"/>
    <col min="8198" max="8198" width="14.7109375" customWidth="1"/>
    <col min="8199" max="8199" width="0" hidden="1" customWidth="1"/>
    <col min="8449" max="8449" width="26.140625" customWidth="1"/>
    <col min="8450" max="8450" width="14.85546875" customWidth="1"/>
    <col min="8451" max="8451" width="12.7109375" bestFit="1" customWidth="1"/>
    <col min="8452" max="8452" width="10.7109375" customWidth="1"/>
    <col min="8453" max="8453" width="12.140625" customWidth="1"/>
    <col min="8454" max="8454" width="14.7109375" customWidth="1"/>
    <col min="8455" max="8455" width="0" hidden="1" customWidth="1"/>
    <col min="8705" max="8705" width="26.140625" customWidth="1"/>
    <col min="8706" max="8706" width="14.85546875" customWidth="1"/>
    <col min="8707" max="8707" width="12.7109375" bestFit="1" customWidth="1"/>
    <col min="8708" max="8708" width="10.7109375" customWidth="1"/>
    <col min="8709" max="8709" width="12.140625" customWidth="1"/>
    <col min="8710" max="8710" width="14.7109375" customWidth="1"/>
    <col min="8711" max="8711" width="0" hidden="1" customWidth="1"/>
    <col min="8961" max="8961" width="26.140625" customWidth="1"/>
    <col min="8962" max="8962" width="14.85546875" customWidth="1"/>
    <col min="8963" max="8963" width="12.7109375" bestFit="1" customWidth="1"/>
    <col min="8964" max="8964" width="10.7109375" customWidth="1"/>
    <col min="8965" max="8965" width="12.140625" customWidth="1"/>
    <col min="8966" max="8966" width="14.7109375" customWidth="1"/>
    <col min="8967" max="8967" width="0" hidden="1" customWidth="1"/>
    <col min="9217" max="9217" width="26.140625" customWidth="1"/>
    <col min="9218" max="9218" width="14.85546875" customWidth="1"/>
    <col min="9219" max="9219" width="12.7109375" bestFit="1" customWidth="1"/>
    <col min="9220" max="9220" width="10.7109375" customWidth="1"/>
    <col min="9221" max="9221" width="12.140625" customWidth="1"/>
    <col min="9222" max="9222" width="14.7109375" customWidth="1"/>
    <col min="9223" max="9223" width="0" hidden="1" customWidth="1"/>
    <col min="9473" max="9473" width="26.140625" customWidth="1"/>
    <col min="9474" max="9474" width="14.85546875" customWidth="1"/>
    <col min="9475" max="9475" width="12.7109375" bestFit="1" customWidth="1"/>
    <col min="9476" max="9476" width="10.7109375" customWidth="1"/>
    <col min="9477" max="9477" width="12.140625" customWidth="1"/>
    <col min="9478" max="9478" width="14.7109375" customWidth="1"/>
    <col min="9479" max="9479" width="0" hidden="1" customWidth="1"/>
    <col min="9729" max="9729" width="26.140625" customWidth="1"/>
    <col min="9730" max="9730" width="14.85546875" customWidth="1"/>
    <col min="9731" max="9731" width="12.7109375" bestFit="1" customWidth="1"/>
    <col min="9732" max="9732" width="10.7109375" customWidth="1"/>
    <col min="9733" max="9733" width="12.140625" customWidth="1"/>
    <col min="9734" max="9734" width="14.7109375" customWidth="1"/>
    <col min="9735" max="9735" width="0" hidden="1" customWidth="1"/>
    <col min="9985" max="9985" width="26.140625" customWidth="1"/>
    <col min="9986" max="9986" width="14.85546875" customWidth="1"/>
    <col min="9987" max="9987" width="12.7109375" bestFit="1" customWidth="1"/>
    <col min="9988" max="9988" width="10.7109375" customWidth="1"/>
    <col min="9989" max="9989" width="12.140625" customWidth="1"/>
    <col min="9990" max="9990" width="14.7109375" customWidth="1"/>
    <col min="9991" max="9991" width="0" hidden="1" customWidth="1"/>
    <col min="10241" max="10241" width="26.140625" customWidth="1"/>
    <col min="10242" max="10242" width="14.85546875" customWidth="1"/>
    <col min="10243" max="10243" width="12.7109375" bestFit="1" customWidth="1"/>
    <col min="10244" max="10244" width="10.7109375" customWidth="1"/>
    <col min="10245" max="10245" width="12.140625" customWidth="1"/>
    <col min="10246" max="10246" width="14.7109375" customWidth="1"/>
    <col min="10247" max="10247" width="0" hidden="1" customWidth="1"/>
    <col min="10497" max="10497" width="26.140625" customWidth="1"/>
    <col min="10498" max="10498" width="14.85546875" customWidth="1"/>
    <col min="10499" max="10499" width="12.7109375" bestFit="1" customWidth="1"/>
    <col min="10500" max="10500" width="10.7109375" customWidth="1"/>
    <col min="10501" max="10501" width="12.140625" customWidth="1"/>
    <col min="10502" max="10502" width="14.7109375" customWidth="1"/>
    <col min="10503" max="10503" width="0" hidden="1" customWidth="1"/>
    <col min="10753" max="10753" width="26.140625" customWidth="1"/>
    <col min="10754" max="10754" width="14.85546875" customWidth="1"/>
    <col min="10755" max="10755" width="12.7109375" bestFit="1" customWidth="1"/>
    <col min="10756" max="10756" width="10.7109375" customWidth="1"/>
    <col min="10757" max="10757" width="12.140625" customWidth="1"/>
    <col min="10758" max="10758" width="14.7109375" customWidth="1"/>
    <col min="10759" max="10759" width="0" hidden="1" customWidth="1"/>
    <col min="11009" max="11009" width="26.140625" customWidth="1"/>
    <col min="11010" max="11010" width="14.85546875" customWidth="1"/>
    <col min="11011" max="11011" width="12.7109375" bestFit="1" customWidth="1"/>
    <col min="11012" max="11012" width="10.7109375" customWidth="1"/>
    <col min="11013" max="11013" width="12.140625" customWidth="1"/>
    <col min="11014" max="11014" width="14.7109375" customWidth="1"/>
    <col min="11015" max="11015" width="0" hidden="1" customWidth="1"/>
    <col min="11265" max="11265" width="26.140625" customWidth="1"/>
    <col min="11266" max="11266" width="14.85546875" customWidth="1"/>
    <col min="11267" max="11267" width="12.7109375" bestFit="1" customWidth="1"/>
    <col min="11268" max="11268" width="10.7109375" customWidth="1"/>
    <col min="11269" max="11269" width="12.140625" customWidth="1"/>
    <col min="11270" max="11270" width="14.7109375" customWidth="1"/>
    <col min="11271" max="11271" width="0" hidden="1" customWidth="1"/>
    <col min="11521" max="11521" width="26.140625" customWidth="1"/>
    <col min="11522" max="11522" width="14.85546875" customWidth="1"/>
    <col min="11523" max="11523" width="12.7109375" bestFit="1" customWidth="1"/>
    <col min="11524" max="11524" width="10.7109375" customWidth="1"/>
    <col min="11525" max="11525" width="12.140625" customWidth="1"/>
    <col min="11526" max="11526" width="14.7109375" customWidth="1"/>
    <col min="11527" max="11527" width="0" hidden="1" customWidth="1"/>
    <col min="11777" max="11777" width="26.140625" customWidth="1"/>
    <col min="11778" max="11778" width="14.85546875" customWidth="1"/>
    <col min="11779" max="11779" width="12.7109375" bestFit="1" customWidth="1"/>
    <col min="11780" max="11780" width="10.7109375" customWidth="1"/>
    <col min="11781" max="11781" width="12.140625" customWidth="1"/>
    <col min="11782" max="11782" width="14.7109375" customWidth="1"/>
    <col min="11783" max="11783" width="0" hidden="1" customWidth="1"/>
    <col min="12033" max="12033" width="26.140625" customWidth="1"/>
    <col min="12034" max="12034" width="14.85546875" customWidth="1"/>
    <col min="12035" max="12035" width="12.7109375" bestFit="1" customWidth="1"/>
    <col min="12036" max="12036" width="10.7109375" customWidth="1"/>
    <col min="12037" max="12037" width="12.140625" customWidth="1"/>
    <col min="12038" max="12038" width="14.7109375" customWidth="1"/>
    <col min="12039" max="12039" width="0" hidden="1" customWidth="1"/>
    <col min="12289" max="12289" width="26.140625" customWidth="1"/>
    <col min="12290" max="12290" width="14.85546875" customWidth="1"/>
    <col min="12291" max="12291" width="12.7109375" bestFit="1" customWidth="1"/>
    <col min="12292" max="12292" width="10.7109375" customWidth="1"/>
    <col min="12293" max="12293" width="12.140625" customWidth="1"/>
    <col min="12294" max="12294" width="14.7109375" customWidth="1"/>
    <col min="12295" max="12295" width="0" hidden="1" customWidth="1"/>
    <col min="12545" max="12545" width="26.140625" customWidth="1"/>
    <col min="12546" max="12546" width="14.85546875" customWidth="1"/>
    <col min="12547" max="12547" width="12.7109375" bestFit="1" customWidth="1"/>
    <col min="12548" max="12548" width="10.7109375" customWidth="1"/>
    <col min="12549" max="12549" width="12.140625" customWidth="1"/>
    <col min="12550" max="12550" width="14.7109375" customWidth="1"/>
    <col min="12551" max="12551" width="0" hidden="1" customWidth="1"/>
    <col min="12801" max="12801" width="26.140625" customWidth="1"/>
    <col min="12802" max="12802" width="14.85546875" customWidth="1"/>
    <col min="12803" max="12803" width="12.7109375" bestFit="1" customWidth="1"/>
    <col min="12804" max="12804" width="10.7109375" customWidth="1"/>
    <col min="12805" max="12805" width="12.140625" customWidth="1"/>
    <col min="12806" max="12806" width="14.7109375" customWidth="1"/>
    <col min="12807" max="12807" width="0" hidden="1" customWidth="1"/>
    <col min="13057" max="13057" width="26.140625" customWidth="1"/>
    <col min="13058" max="13058" width="14.85546875" customWidth="1"/>
    <col min="13059" max="13059" width="12.7109375" bestFit="1" customWidth="1"/>
    <col min="13060" max="13060" width="10.7109375" customWidth="1"/>
    <col min="13061" max="13061" width="12.140625" customWidth="1"/>
    <col min="13062" max="13062" width="14.7109375" customWidth="1"/>
    <col min="13063" max="13063" width="0" hidden="1" customWidth="1"/>
    <col min="13313" max="13313" width="26.140625" customWidth="1"/>
    <col min="13314" max="13314" width="14.85546875" customWidth="1"/>
    <col min="13315" max="13315" width="12.7109375" bestFit="1" customWidth="1"/>
    <col min="13316" max="13316" width="10.7109375" customWidth="1"/>
    <col min="13317" max="13317" width="12.140625" customWidth="1"/>
    <col min="13318" max="13318" width="14.7109375" customWidth="1"/>
    <col min="13319" max="13319" width="0" hidden="1" customWidth="1"/>
    <col min="13569" max="13569" width="26.140625" customWidth="1"/>
    <col min="13570" max="13570" width="14.85546875" customWidth="1"/>
    <col min="13571" max="13571" width="12.7109375" bestFit="1" customWidth="1"/>
    <col min="13572" max="13572" width="10.7109375" customWidth="1"/>
    <col min="13573" max="13573" width="12.140625" customWidth="1"/>
    <col min="13574" max="13574" width="14.7109375" customWidth="1"/>
    <col min="13575" max="13575" width="0" hidden="1" customWidth="1"/>
    <col min="13825" max="13825" width="26.140625" customWidth="1"/>
    <col min="13826" max="13826" width="14.85546875" customWidth="1"/>
    <col min="13827" max="13827" width="12.7109375" bestFit="1" customWidth="1"/>
    <col min="13828" max="13828" width="10.7109375" customWidth="1"/>
    <col min="13829" max="13829" width="12.140625" customWidth="1"/>
    <col min="13830" max="13830" width="14.7109375" customWidth="1"/>
    <col min="13831" max="13831" width="0" hidden="1" customWidth="1"/>
    <col min="14081" max="14081" width="26.140625" customWidth="1"/>
    <col min="14082" max="14082" width="14.85546875" customWidth="1"/>
    <col min="14083" max="14083" width="12.7109375" bestFit="1" customWidth="1"/>
    <col min="14084" max="14084" width="10.7109375" customWidth="1"/>
    <col min="14085" max="14085" width="12.140625" customWidth="1"/>
    <col min="14086" max="14086" width="14.7109375" customWidth="1"/>
    <col min="14087" max="14087" width="0" hidden="1" customWidth="1"/>
    <col min="14337" max="14337" width="26.140625" customWidth="1"/>
    <col min="14338" max="14338" width="14.85546875" customWidth="1"/>
    <col min="14339" max="14339" width="12.7109375" bestFit="1" customWidth="1"/>
    <col min="14340" max="14340" width="10.7109375" customWidth="1"/>
    <col min="14341" max="14341" width="12.140625" customWidth="1"/>
    <col min="14342" max="14342" width="14.7109375" customWidth="1"/>
    <col min="14343" max="14343" width="0" hidden="1" customWidth="1"/>
    <col min="14593" max="14593" width="26.140625" customWidth="1"/>
    <col min="14594" max="14594" width="14.85546875" customWidth="1"/>
    <col min="14595" max="14595" width="12.7109375" bestFit="1" customWidth="1"/>
    <col min="14596" max="14596" width="10.7109375" customWidth="1"/>
    <col min="14597" max="14597" width="12.140625" customWidth="1"/>
    <col min="14598" max="14598" width="14.7109375" customWidth="1"/>
    <col min="14599" max="14599" width="0" hidden="1" customWidth="1"/>
    <col min="14849" max="14849" width="26.140625" customWidth="1"/>
    <col min="14850" max="14850" width="14.85546875" customWidth="1"/>
    <col min="14851" max="14851" width="12.7109375" bestFit="1" customWidth="1"/>
    <col min="14852" max="14852" width="10.7109375" customWidth="1"/>
    <col min="14853" max="14853" width="12.140625" customWidth="1"/>
    <col min="14854" max="14854" width="14.7109375" customWidth="1"/>
    <col min="14855" max="14855" width="0" hidden="1" customWidth="1"/>
    <col min="15105" max="15105" width="26.140625" customWidth="1"/>
    <col min="15106" max="15106" width="14.85546875" customWidth="1"/>
    <col min="15107" max="15107" width="12.7109375" bestFit="1" customWidth="1"/>
    <col min="15108" max="15108" width="10.7109375" customWidth="1"/>
    <col min="15109" max="15109" width="12.140625" customWidth="1"/>
    <col min="15110" max="15110" width="14.7109375" customWidth="1"/>
    <col min="15111" max="15111" width="0" hidden="1" customWidth="1"/>
    <col min="15361" max="15361" width="26.140625" customWidth="1"/>
    <col min="15362" max="15362" width="14.85546875" customWidth="1"/>
    <col min="15363" max="15363" width="12.7109375" bestFit="1" customWidth="1"/>
    <col min="15364" max="15364" width="10.7109375" customWidth="1"/>
    <col min="15365" max="15365" width="12.140625" customWidth="1"/>
    <col min="15366" max="15366" width="14.7109375" customWidth="1"/>
    <col min="15367" max="15367" width="0" hidden="1" customWidth="1"/>
    <col min="15617" max="15617" width="26.140625" customWidth="1"/>
    <col min="15618" max="15618" width="14.85546875" customWidth="1"/>
    <col min="15619" max="15619" width="12.7109375" bestFit="1" customWidth="1"/>
    <col min="15620" max="15620" width="10.7109375" customWidth="1"/>
    <col min="15621" max="15621" width="12.140625" customWidth="1"/>
    <col min="15622" max="15622" width="14.7109375" customWidth="1"/>
    <col min="15623" max="15623" width="0" hidden="1" customWidth="1"/>
    <col min="15873" max="15873" width="26.140625" customWidth="1"/>
    <col min="15874" max="15874" width="14.85546875" customWidth="1"/>
    <col min="15875" max="15875" width="12.7109375" bestFit="1" customWidth="1"/>
    <col min="15876" max="15876" width="10.7109375" customWidth="1"/>
    <col min="15877" max="15877" width="12.140625" customWidth="1"/>
    <col min="15878" max="15878" width="14.7109375" customWidth="1"/>
    <col min="15879" max="15879" width="0" hidden="1" customWidth="1"/>
    <col min="16129" max="16129" width="26.140625" customWidth="1"/>
    <col min="16130" max="16130" width="14.85546875" customWidth="1"/>
    <col min="16131" max="16131" width="12.7109375" bestFit="1" customWidth="1"/>
    <col min="16132" max="16132" width="10.7109375" customWidth="1"/>
    <col min="16133" max="16133" width="12.140625" customWidth="1"/>
    <col min="16134" max="16134" width="14.7109375" customWidth="1"/>
    <col min="16135" max="16135" width="0" hidden="1" customWidth="1"/>
  </cols>
  <sheetData>
    <row r="2" spans="1:7" x14ac:dyDescent="0.25">
      <c r="B2" s="1"/>
      <c r="C2" s="2"/>
      <c r="D2" s="1"/>
    </row>
    <row r="3" spans="1:7" x14ac:dyDescent="0.25">
      <c r="B3" s="1"/>
      <c r="C3" s="2"/>
      <c r="D3" s="1"/>
    </row>
    <row r="4" spans="1:7" x14ac:dyDescent="0.25">
      <c r="B4" s="1"/>
      <c r="C4" s="2"/>
      <c r="D4" s="1"/>
    </row>
    <row r="5" spans="1:7" ht="16.5" customHeight="1" x14ac:dyDescent="0.25">
      <c r="B5" s="1"/>
      <c r="C5" s="2"/>
      <c r="D5" s="1"/>
    </row>
    <row r="6" spans="1:7" x14ac:dyDescent="0.25">
      <c r="B6" s="1"/>
      <c r="C6" s="80"/>
      <c r="D6" s="81"/>
    </row>
    <row r="7" spans="1:7" x14ac:dyDescent="0.25">
      <c r="B7" s="82"/>
      <c r="C7" s="2"/>
      <c r="D7" s="82"/>
    </row>
    <row r="9" spans="1:7" x14ac:dyDescent="0.25">
      <c r="A9" s="83"/>
      <c r="B9" s="84"/>
      <c r="C9" s="85"/>
      <c r="D9" s="86"/>
      <c r="E9" s="87"/>
      <c r="F9" s="88"/>
      <c r="G9" s="3"/>
    </row>
    <row r="10" spans="1:7" x14ac:dyDescent="0.25">
      <c r="A10" s="83"/>
      <c r="B10" s="84"/>
      <c r="C10" s="85"/>
      <c r="D10" s="86"/>
      <c r="E10" s="87"/>
      <c r="F10" s="88"/>
      <c r="G10" s="3"/>
    </row>
    <row r="11" spans="1:7" x14ac:dyDescent="0.25">
      <c r="A11" s="83"/>
      <c r="B11" s="84"/>
      <c r="C11" s="85"/>
      <c r="D11" s="86"/>
      <c r="E11" s="87"/>
      <c r="F11" s="88"/>
      <c r="G11" s="3"/>
    </row>
    <row r="12" spans="1:7" x14ac:dyDescent="0.25">
      <c r="A12" s="83"/>
      <c r="B12" s="84"/>
      <c r="C12" s="85"/>
      <c r="D12" s="86"/>
      <c r="E12" s="87"/>
      <c r="F12" s="88"/>
      <c r="G12" s="3"/>
    </row>
    <row r="13" spans="1:7" x14ac:dyDescent="0.25">
      <c r="A13" s="83"/>
      <c r="B13" s="84"/>
      <c r="C13" s="85"/>
      <c r="D13" s="86"/>
      <c r="E13" s="87"/>
      <c r="F13" s="88"/>
      <c r="G13" s="3"/>
    </row>
    <row r="14" spans="1:7" x14ac:dyDescent="0.25">
      <c r="A14" s="83"/>
      <c r="B14" s="84"/>
      <c r="C14" s="85"/>
      <c r="D14" s="86"/>
      <c r="E14" s="87"/>
      <c r="F14" s="88"/>
      <c r="G14" s="3"/>
    </row>
    <row r="15" spans="1:7" x14ac:dyDescent="0.25">
      <c r="A15" s="83"/>
      <c r="B15" s="84"/>
      <c r="C15" s="85"/>
      <c r="D15" s="86"/>
      <c r="E15" s="87"/>
      <c r="F15" s="88"/>
      <c r="G15" s="3"/>
    </row>
    <row r="16" spans="1:7" x14ac:dyDescent="0.25">
      <c r="A16" s="83"/>
      <c r="B16" s="84"/>
      <c r="C16" s="85"/>
      <c r="D16" s="86"/>
      <c r="E16" s="87"/>
      <c r="F16" s="88"/>
      <c r="G16" s="3"/>
    </row>
    <row r="17" spans="1:8" x14ac:dyDescent="0.25">
      <c r="A17" s="83"/>
      <c r="B17" s="84"/>
      <c r="C17" s="85"/>
      <c r="D17" s="86"/>
      <c r="E17" s="87"/>
      <c r="F17" s="88"/>
      <c r="G17" s="3"/>
    </row>
    <row r="18" spans="1:8" x14ac:dyDescent="0.25">
      <c r="A18" s="83"/>
      <c r="B18" s="84"/>
      <c r="C18" s="85"/>
      <c r="D18" s="86"/>
      <c r="E18" s="87"/>
      <c r="F18" s="88"/>
      <c r="G18" s="3"/>
    </row>
    <row r="19" spans="1:8" x14ac:dyDescent="0.25">
      <c r="A19" s="83"/>
      <c r="B19" s="84"/>
      <c r="C19" s="85"/>
      <c r="D19" s="86"/>
      <c r="E19" s="87"/>
      <c r="F19" s="88"/>
      <c r="G19" s="3"/>
    </row>
    <row r="20" spans="1:8" x14ac:dyDescent="0.25">
      <c r="A20" s="83"/>
      <c r="B20" s="84"/>
      <c r="C20" s="85"/>
      <c r="D20" s="86"/>
      <c r="E20" s="87"/>
      <c r="F20" s="88"/>
      <c r="G20" s="3"/>
    </row>
    <row r="21" spans="1:8" x14ac:dyDescent="0.25">
      <c r="A21" s="83"/>
      <c r="B21" s="84"/>
      <c r="C21" s="85"/>
      <c r="D21" s="86"/>
      <c r="E21" s="87"/>
      <c r="F21" s="88"/>
      <c r="G21" s="3"/>
    </row>
    <row r="22" spans="1:8" x14ac:dyDescent="0.25">
      <c r="A22" s="83"/>
      <c r="B22" s="84"/>
      <c r="C22" s="85"/>
      <c r="D22" s="86"/>
      <c r="E22" s="87"/>
      <c r="F22" s="88"/>
      <c r="G22" s="3"/>
    </row>
    <row r="23" spans="1:8" x14ac:dyDescent="0.25">
      <c r="A23" s="83"/>
      <c r="B23" s="84"/>
      <c r="C23" s="85"/>
      <c r="D23" s="86"/>
      <c r="E23" s="87"/>
      <c r="F23" s="88"/>
      <c r="G23" s="3"/>
      <c r="H23" s="89"/>
    </row>
    <row r="24" spans="1:8" x14ac:dyDescent="0.25">
      <c r="A24" s="90"/>
      <c r="B24" s="90"/>
      <c r="C24" s="91"/>
      <c r="D24" s="92"/>
      <c r="E24" s="93"/>
      <c r="F24" s="94"/>
      <c r="G24" s="3"/>
    </row>
    <row r="25" spans="1:8" x14ac:dyDescent="0.25">
      <c r="A25" s="5"/>
      <c r="B25" s="1"/>
      <c r="C25" s="95"/>
      <c r="D25" s="106"/>
      <c r="E25" s="87"/>
      <c r="F25" s="107"/>
      <c r="G25" s="3"/>
    </row>
    <row r="26" spans="1:8" s="7" customFormat="1" x14ac:dyDescent="0.25">
      <c r="A26" s="5"/>
      <c r="B26" s="5"/>
      <c r="C26" s="6"/>
      <c r="E26" s="96"/>
      <c r="F26" s="8"/>
      <c r="G26" s="97"/>
    </row>
    <row r="29" spans="1:8" x14ac:dyDescent="0.25">
      <c r="D29" s="4"/>
      <c r="E29" s="4"/>
      <c r="F29" s="98"/>
    </row>
    <row r="95" ht="14.25" customHeight="1" x14ac:dyDescent="0.25"/>
    <row r="121" hidden="1" x14ac:dyDescent="0.25"/>
    <row r="123" hidden="1" x14ac:dyDescent="0.25"/>
  </sheetData>
  <pageMargins left="0.3" right="0.28000000000000003" top="0.3" bottom="0.34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9"/>
  <sheetViews>
    <sheetView workbookViewId="0">
      <selection activeCell="J19" sqref="J19"/>
    </sheetView>
  </sheetViews>
  <sheetFormatPr baseColWidth="10" defaultRowHeight="15" x14ac:dyDescent="0.25"/>
  <cols>
    <col min="1" max="1" width="27.28515625" customWidth="1"/>
    <col min="2" max="2" width="11.85546875" customWidth="1"/>
    <col min="4" max="4" width="12.42578125" style="15" customWidth="1"/>
    <col min="5" max="5" width="17.42578125" style="15" customWidth="1"/>
    <col min="257" max="257" width="25.140625" customWidth="1"/>
    <col min="258" max="258" width="11.85546875" customWidth="1"/>
    <col min="260" max="260" width="12.42578125" customWidth="1"/>
    <col min="261" max="261" width="17.42578125" customWidth="1"/>
    <col min="513" max="513" width="25.140625" customWidth="1"/>
    <col min="514" max="514" width="11.85546875" customWidth="1"/>
    <col min="516" max="516" width="12.42578125" customWidth="1"/>
    <col min="517" max="517" width="17.42578125" customWidth="1"/>
    <col min="769" max="769" width="25.140625" customWidth="1"/>
    <col min="770" max="770" width="11.85546875" customWidth="1"/>
    <col min="772" max="772" width="12.42578125" customWidth="1"/>
    <col min="773" max="773" width="17.42578125" customWidth="1"/>
    <col min="1025" max="1025" width="25.140625" customWidth="1"/>
    <col min="1026" max="1026" width="11.85546875" customWidth="1"/>
    <col min="1028" max="1028" width="12.42578125" customWidth="1"/>
    <col min="1029" max="1029" width="17.42578125" customWidth="1"/>
    <col min="1281" max="1281" width="25.140625" customWidth="1"/>
    <col min="1282" max="1282" width="11.85546875" customWidth="1"/>
    <col min="1284" max="1284" width="12.42578125" customWidth="1"/>
    <col min="1285" max="1285" width="17.42578125" customWidth="1"/>
    <col min="1537" max="1537" width="25.140625" customWidth="1"/>
    <col min="1538" max="1538" width="11.85546875" customWidth="1"/>
    <col min="1540" max="1540" width="12.42578125" customWidth="1"/>
    <col min="1541" max="1541" width="17.42578125" customWidth="1"/>
    <col min="1793" max="1793" width="25.140625" customWidth="1"/>
    <col min="1794" max="1794" width="11.85546875" customWidth="1"/>
    <col min="1796" max="1796" width="12.42578125" customWidth="1"/>
    <col min="1797" max="1797" width="17.42578125" customWidth="1"/>
    <col min="2049" max="2049" width="25.140625" customWidth="1"/>
    <col min="2050" max="2050" width="11.85546875" customWidth="1"/>
    <col min="2052" max="2052" width="12.42578125" customWidth="1"/>
    <col min="2053" max="2053" width="17.42578125" customWidth="1"/>
    <col min="2305" max="2305" width="25.140625" customWidth="1"/>
    <col min="2306" max="2306" width="11.85546875" customWidth="1"/>
    <col min="2308" max="2308" width="12.42578125" customWidth="1"/>
    <col min="2309" max="2309" width="17.42578125" customWidth="1"/>
    <col min="2561" max="2561" width="25.140625" customWidth="1"/>
    <col min="2562" max="2562" width="11.85546875" customWidth="1"/>
    <col min="2564" max="2564" width="12.42578125" customWidth="1"/>
    <col min="2565" max="2565" width="17.42578125" customWidth="1"/>
    <col min="2817" max="2817" width="25.140625" customWidth="1"/>
    <col min="2818" max="2818" width="11.85546875" customWidth="1"/>
    <col min="2820" max="2820" width="12.42578125" customWidth="1"/>
    <col min="2821" max="2821" width="17.42578125" customWidth="1"/>
    <col min="3073" max="3073" width="25.140625" customWidth="1"/>
    <col min="3074" max="3074" width="11.85546875" customWidth="1"/>
    <col min="3076" max="3076" width="12.42578125" customWidth="1"/>
    <col min="3077" max="3077" width="17.42578125" customWidth="1"/>
    <col min="3329" max="3329" width="25.140625" customWidth="1"/>
    <col min="3330" max="3330" width="11.85546875" customWidth="1"/>
    <col min="3332" max="3332" width="12.42578125" customWidth="1"/>
    <col min="3333" max="3333" width="17.42578125" customWidth="1"/>
    <col min="3585" max="3585" width="25.140625" customWidth="1"/>
    <col min="3586" max="3586" width="11.85546875" customWidth="1"/>
    <col min="3588" max="3588" width="12.42578125" customWidth="1"/>
    <col min="3589" max="3589" width="17.42578125" customWidth="1"/>
    <col min="3841" max="3841" width="25.140625" customWidth="1"/>
    <col min="3842" max="3842" width="11.85546875" customWidth="1"/>
    <col min="3844" max="3844" width="12.42578125" customWidth="1"/>
    <col min="3845" max="3845" width="17.42578125" customWidth="1"/>
    <col min="4097" max="4097" width="25.140625" customWidth="1"/>
    <col min="4098" max="4098" width="11.85546875" customWidth="1"/>
    <col min="4100" max="4100" width="12.42578125" customWidth="1"/>
    <col min="4101" max="4101" width="17.42578125" customWidth="1"/>
    <col min="4353" max="4353" width="25.140625" customWidth="1"/>
    <col min="4354" max="4354" width="11.85546875" customWidth="1"/>
    <col min="4356" max="4356" width="12.42578125" customWidth="1"/>
    <col min="4357" max="4357" width="17.42578125" customWidth="1"/>
    <col min="4609" max="4609" width="25.140625" customWidth="1"/>
    <col min="4610" max="4610" width="11.85546875" customWidth="1"/>
    <col min="4612" max="4612" width="12.42578125" customWidth="1"/>
    <col min="4613" max="4613" width="17.42578125" customWidth="1"/>
    <col min="4865" max="4865" width="25.140625" customWidth="1"/>
    <col min="4866" max="4866" width="11.85546875" customWidth="1"/>
    <col min="4868" max="4868" width="12.42578125" customWidth="1"/>
    <col min="4869" max="4869" width="17.42578125" customWidth="1"/>
    <col min="5121" max="5121" width="25.140625" customWidth="1"/>
    <col min="5122" max="5122" width="11.85546875" customWidth="1"/>
    <col min="5124" max="5124" width="12.42578125" customWidth="1"/>
    <col min="5125" max="5125" width="17.42578125" customWidth="1"/>
    <col min="5377" max="5377" width="25.140625" customWidth="1"/>
    <col min="5378" max="5378" width="11.85546875" customWidth="1"/>
    <col min="5380" max="5380" width="12.42578125" customWidth="1"/>
    <col min="5381" max="5381" width="17.42578125" customWidth="1"/>
    <col min="5633" max="5633" width="25.140625" customWidth="1"/>
    <col min="5634" max="5634" width="11.85546875" customWidth="1"/>
    <col min="5636" max="5636" width="12.42578125" customWidth="1"/>
    <col min="5637" max="5637" width="17.42578125" customWidth="1"/>
    <col min="5889" max="5889" width="25.140625" customWidth="1"/>
    <col min="5890" max="5890" width="11.85546875" customWidth="1"/>
    <col min="5892" max="5892" width="12.42578125" customWidth="1"/>
    <col min="5893" max="5893" width="17.42578125" customWidth="1"/>
    <col min="6145" max="6145" width="25.140625" customWidth="1"/>
    <col min="6146" max="6146" width="11.85546875" customWidth="1"/>
    <col min="6148" max="6148" width="12.42578125" customWidth="1"/>
    <col min="6149" max="6149" width="17.42578125" customWidth="1"/>
    <col min="6401" max="6401" width="25.140625" customWidth="1"/>
    <col min="6402" max="6402" width="11.85546875" customWidth="1"/>
    <col min="6404" max="6404" width="12.42578125" customWidth="1"/>
    <col min="6405" max="6405" width="17.42578125" customWidth="1"/>
    <col min="6657" max="6657" width="25.140625" customWidth="1"/>
    <col min="6658" max="6658" width="11.85546875" customWidth="1"/>
    <col min="6660" max="6660" width="12.42578125" customWidth="1"/>
    <col min="6661" max="6661" width="17.42578125" customWidth="1"/>
    <col min="6913" max="6913" width="25.140625" customWidth="1"/>
    <col min="6914" max="6914" width="11.85546875" customWidth="1"/>
    <col min="6916" max="6916" width="12.42578125" customWidth="1"/>
    <col min="6917" max="6917" width="17.42578125" customWidth="1"/>
    <col min="7169" max="7169" width="25.140625" customWidth="1"/>
    <col min="7170" max="7170" width="11.85546875" customWidth="1"/>
    <col min="7172" max="7172" width="12.42578125" customWidth="1"/>
    <col min="7173" max="7173" width="17.42578125" customWidth="1"/>
    <col min="7425" max="7425" width="25.140625" customWidth="1"/>
    <col min="7426" max="7426" width="11.85546875" customWidth="1"/>
    <col min="7428" max="7428" width="12.42578125" customWidth="1"/>
    <col min="7429" max="7429" width="17.42578125" customWidth="1"/>
    <col min="7681" max="7681" width="25.140625" customWidth="1"/>
    <col min="7682" max="7682" width="11.85546875" customWidth="1"/>
    <col min="7684" max="7684" width="12.42578125" customWidth="1"/>
    <col min="7685" max="7685" width="17.42578125" customWidth="1"/>
    <col min="7937" max="7937" width="25.140625" customWidth="1"/>
    <col min="7938" max="7938" width="11.85546875" customWidth="1"/>
    <col min="7940" max="7940" width="12.42578125" customWidth="1"/>
    <col min="7941" max="7941" width="17.42578125" customWidth="1"/>
    <col min="8193" max="8193" width="25.140625" customWidth="1"/>
    <col min="8194" max="8194" width="11.85546875" customWidth="1"/>
    <col min="8196" max="8196" width="12.42578125" customWidth="1"/>
    <col min="8197" max="8197" width="17.42578125" customWidth="1"/>
    <col min="8449" max="8449" width="25.140625" customWidth="1"/>
    <col min="8450" max="8450" width="11.85546875" customWidth="1"/>
    <col min="8452" max="8452" width="12.42578125" customWidth="1"/>
    <col min="8453" max="8453" width="17.42578125" customWidth="1"/>
    <col min="8705" max="8705" width="25.140625" customWidth="1"/>
    <col min="8706" max="8706" width="11.85546875" customWidth="1"/>
    <col min="8708" max="8708" width="12.42578125" customWidth="1"/>
    <col min="8709" max="8709" width="17.42578125" customWidth="1"/>
    <col min="8961" max="8961" width="25.140625" customWidth="1"/>
    <col min="8962" max="8962" width="11.85546875" customWidth="1"/>
    <col min="8964" max="8964" width="12.42578125" customWidth="1"/>
    <col min="8965" max="8965" width="17.42578125" customWidth="1"/>
    <col min="9217" max="9217" width="25.140625" customWidth="1"/>
    <col min="9218" max="9218" width="11.85546875" customWidth="1"/>
    <col min="9220" max="9220" width="12.42578125" customWidth="1"/>
    <col min="9221" max="9221" width="17.42578125" customWidth="1"/>
    <col min="9473" max="9473" width="25.140625" customWidth="1"/>
    <col min="9474" max="9474" width="11.85546875" customWidth="1"/>
    <col min="9476" max="9476" width="12.42578125" customWidth="1"/>
    <col min="9477" max="9477" width="17.42578125" customWidth="1"/>
    <col min="9729" max="9729" width="25.140625" customWidth="1"/>
    <col min="9730" max="9730" width="11.85546875" customWidth="1"/>
    <col min="9732" max="9732" width="12.42578125" customWidth="1"/>
    <col min="9733" max="9733" width="17.42578125" customWidth="1"/>
    <col min="9985" max="9985" width="25.140625" customWidth="1"/>
    <col min="9986" max="9986" width="11.85546875" customWidth="1"/>
    <col min="9988" max="9988" width="12.42578125" customWidth="1"/>
    <col min="9989" max="9989" width="17.42578125" customWidth="1"/>
    <col min="10241" max="10241" width="25.140625" customWidth="1"/>
    <col min="10242" max="10242" width="11.85546875" customWidth="1"/>
    <col min="10244" max="10244" width="12.42578125" customWidth="1"/>
    <col min="10245" max="10245" width="17.42578125" customWidth="1"/>
    <col min="10497" max="10497" width="25.140625" customWidth="1"/>
    <col min="10498" max="10498" width="11.85546875" customWidth="1"/>
    <col min="10500" max="10500" width="12.42578125" customWidth="1"/>
    <col min="10501" max="10501" width="17.42578125" customWidth="1"/>
    <col min="10753" max="10753" width="25.140625" customWidth="1"/>
    <col min="10754" max="10754" width="11.85546875" customWidth="1"/>
    <col min="10756" max="10756" width="12.42578125" customWidth="1"/>
    <col min="10757" max="10757" width="17.42578125" customWidth="1"/>
    <col min="11009" max="11009" width="25.140625" customWidth="1"/>
    <col min="11010" max="11010" width="11.85546875" customWidth="1"/>
    <col min="11012" max="11012" width="12.42578125" customWidth="1"/>
    <col min="11013" max="11013" width="17.42578125" customWidth="1"/>
    <col min="11265" max="11265" width="25.140625" customWidth="1"/>
    <col min="11266" max="11266" width="11.85546875" customWidth="1"/>
    <col min="11268" max="11268" width="12.42578125" customWidth="1"/>
    <col min="11269" max="11269" width="17.42578125" customWidth="1"/>
    <col min="11521" max="11521" width="25.140625" customWidth="1"/>
    <col min="11522" max="11522" width="11.85546875" customWidth="1"/>
    <col min="11524" max="11524" width="12.42578125" customWidth="1"/>
    <col min="11525" max="11525" width="17.42578125" customWidth="1"/>
    <col min="11777" max="11777" width="25.140625" customWidth="1"/>
    <col min="11778" max="11778" width="11.85546875" customWidth="1"/>
    <col min="11780" max="11780" width="12.42578125" customWidth="1"/>
    <col min="11781" max="11781" width="17.42578125" customWidth="1"/>
    <col min="12033" max="12033" width="25.140625" customWidth="1"/>
    <col min="12034" max="12034" width="11.85546875" customWidth="1"/>
    <col min="12036" max="12036" width="12.42578125" customWidth="1"/>
    <col min="12037" max="12037" width="17.42578125" customWidth="1"/>
    <col min="12289" max="12289" width="25.140625" customWidth="1"/>
    <col min="12290" max="12290" width="11.85546875" customWidth="1"/>
    <col min="12292" max="12292" width="12.42578125" customWidth="1"/>
    <col min="12293" max="12293" width="17.42578125" customWidth="1"/>
    <col min="12545" max="12545" width="25.140625" customWidth="1"/>
    <col min="12546" max="12546" width="11.85546875" customWidth="1"/>
    <col min="12548" max="12548" width="12.42578125" customWidth="1"/>
    <col min="12549" max="12549" width="17.42578125" customWidth="1"/>
    <col min="12801" max="12801" width="25.140625" customWidth="1"/>
    <col min="12802" max="12802" width="11.85546875" customWidth="1"/>
    <col min="12804" max="12804" width="12.42578125" customWidth="1"/>
    <col min="12805" max="12805" width="17.42578125" customWidth="1"/>
    <col min="13057" max="13057" width="25.140625" customWidth="1"/>
    <col min="13058" max="13058" width="11.85546875" customWidth="1"/>
    <col min="13060" max="13060" width="12.42578125" customWidth="1"/>
    <col min="13061" max="13061" width="17.42578125" customWidth="1"/>
    <col min="13313" max="13313" width="25.140625" customWidth="1"/>
    <col min="13314" max="13314" width="11.85546875" customWidth="1"/>
    <col min="13316" max="13316" width="12.42578125" customWidth="1"/>
    <col min="13317" max="13317" width="17.42578125" customWidth="1"/>
    <col min="13569" max="13569" width="25.140625" customWidth="1"/>
    <col min="13570" max="13570" width="11.85546875" customWidth="1"/>
    <col min="13572" max="13572" width="12.42578125" customWidth="1"/>
    <col min="13573" max="13573" width="17.42578125" customWidth="1"/>
    <col min="13825" max="13825" width="25.140625" customWidth="1"/>
    <col min="13826" max="13826" width="11.85546875" customWidth="1"/>
    <col min="13828" max="13828" width="12.42578125" customWidth="1"/>
    <col min="13829" max="13829" width="17.42578125" customWidth="1"/>
    <col min="14081" max="14081" width="25.140625" customWidth="1"/>
    <col min="14082" max="14082" width="11.85546875" customWidth="1"/>
    <col min="14084" max="14084" width="12.42578125" customWidth="1"/>
    <col min="14085" max="14085" width="17.42578125" customWidth="1"/>
    <col min="14337" max="14337" width="25.140625" customWidth="1"/>
    <col min="14338" max="14338" width="11.85546875" customWidth="1"/>
    <col min="14340" max="14340" width="12.42578125" customWidth="1"/>
    <col min="14341" max="14341" width="17.42578125" customWidth="1"/>
    <col min="14593" max="14593" width="25.140625" customWidth="1"/>
    <col min="14594" max="14594" width="11.85546875" customWidth="1"/>
    <col min="14596" max="14596" width="12.42578125" customWidth="1"/>
    <col min="14597" max="14597" width="17.42578125" customWidth="1"/>
    <col min="14849" max="14849" width="25.140625" customWidth="1"/>
    <col min="14850" max="14850" width="11.85546875" customWidth="1"/>
    <col min="14852" max="14852" width="12.42578125" customWidth="1"/>
    <col min="14853" max="14853" width="17.42578125" customWidth="1"/>
    <col min="15105" max="15105" width="25.140625" customWidth="1"/>
    <col min="15106" max="15106" width="11.85546875" customWidth="1"/>
    <col min="15108" max="15108" width="12.42578125" customWidth="1"/>
    <col min="15109" max="15109" width="17.42578125" customWidth="1"/>
    <col min="15361" max="15361" width="25.140625" customWidth="1"/>
    <col min="15362" max="15362" width="11.85546875" customWidth="1"/>
    <col min="15364" max="15364" width="12.42578125" customWidth="1"/>
    <col min="15365" max="15365" width="17.42578125" customWidth="1"/>
    <col min="15617" max="15617" width="25.140625" customWidth="1"/>
    <col min="15618" max="15618" width="11.85546875" customWidth="1"/>
    <col min="15620" max="15620" width="12.42578125" customWidth="1"/>
    <col min="15621" max="15621" width="17.42578125" customWidth="1"/>
    <col min="15873" max="15873" width="25.140625" customWidth="1"/>
    <col min="15874" max="15874" width="11.85546875" customWidth="1"/>
    <col min="15876" max="15876" width="12.42578125" customWidth="1"/>
    <col min="15877" max="15877" width="17.42578125" customWidth="1"/>
    <col min="16129" max="16129" width="25.14062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 x14ac:dyDescent="0.25">
      <c r="B2" s="1" t="s">
        <v>42</v>
      </c>
    </row>
    <row r="4" spans="1:5" x14ac:dyDescent="0.25">
      <c r="D4" s="15" t="s">
        <v>43</v>
      </c>
      <c r="E4" s="16"/>
    </row>
    <row r="5" spans="1:5" x14ac:dyDescent="0.25">
      <c r="B5" s="14"/>
    </row>
    <row r="6" spans="1:5" x14ac:dyDescent="0.25">
      <c r="A6" s="1"/>
      <c r="B6" s="14"/>
      <c r="E6" s="17"/>
    </row>
    <row r="7" spans="1:5" ht="15.75" thickBot="1" x14ac:dyDescent="0.3">
      <c r="A7" s="1"/>
      <c r="B7" s="14"/>
      <c r="E7" s="18"/>
    </row>
    <row r="8" spans="1:5" ht="15.75" thickTop="1" x14ac:dyDescent="0.25">
      <c r="A8" s="19" t="s">
        <v>41</v>
      </c>
      <c r="B8" s="20"/>
      <c r="C8" s="21"/>
      <c r="D8" s="22"/>
      <c r="E8" s="23"/>
    </row>
    <row r="9" spans="1:5" x14ac:dyDescent="0.25">
      <c r="A9" s="24" t="s">
        <v>44</v>
      </c>
      <c r="B9" s="25" t="s">
        <v>45</v>
      </c>
      <c r="C9" s="26" t="s">
        <v>46</v>
      </c>
      <c r="D9" s="27" t="s">
        <v>47</v>
      </c>
      <c r="E9" s="28" t="s">
        <v>48</v>
      </c>
    </row>
    <row r="10" spans="1:5" x14ac:dyDescent="0.25">
      <c r="A10" s="29" t="s">
        <v>23</v>
      </c>
      <c r="B10" s="30"/>
      <c r="C10" s="31"/>
      <c r="D10" s="32">
        <v>38.5</v>
      </c>
      <c r="E10" s="33">
        <f>D10*B10</f>
        <v>0</v>
      </c>
    </row>
    <row r="11" spans="1:5" x14ac:dyDescent="0.25">
      <c r="A11" s="29" t="s">
        <v>49</v>
      </c>
      <c r="B11" s="30"/>
      <c r="C11" s="31"/>
      <c r="D11" s="32">
        <v>31.5</v>
      </c>
      <c r="E11" s="33">
        <f>D11*B11</f>
        <v>0</v>
      </c>
    </row>
    <row r="12" spans="1:5" x14ac:dyDescent="0.25">
      <c r="A12" s="29"/>
      <c r="B12" s="30"/>
      <c r="C12" s="31"/>
      <c r="D12" s="32">
        <v>28.3</v>
      </c>
      <c r="E12" s="33">
        <f>D12*B12</f>
        <v>0</v>
      </c>
    </row>
    <row r="13" spans="1:5" x14ac:dyDescent="0.25">
      <c r="A13" s="29"/>
      <c r="B13" s="30"/>
      <c r="C13" s="31"/>
      <c r="D13" s="27" t="s">
        <v>50</v>
      </c>
      <c r="E13" s="34">
        <f>SUM(E10:E12)</f>
        <v>0</v>
      </c>
    </row>
    <row r="14" spans="1:5" x14ac:dyDescent="0.25">
      <c r="A14" s="24"/>
      <c r="B14" s="35"/>
      <c r="C14" s="36"/>
      <c r="D14" s="32"/>
      <c r="E14" s="37"/>
    </row>
    <row r="15" spans="1:5" x14ac:dyDescent="0.25">
      <c r="A15" s="24" t="s">
        <v>51</v>
      </c>
      <c r="B15" s="25"/>
      <c r="C15" s="38"/>
      <c r="D15" s="32"/>
      <c r="E15" s="37"/>
    </row>
    <row r="16" spans="1:5" x14ac:dyDescent="0.25">
      <c r="A16" s="29" t="s">
        <v>52</v>
      </c>
      <c r="B16" s="30"/>
      <c r="C16" s="39"/>
      <c r="D16" s="40">
        <v>38</v>
      </c>
      <c r="E16" s="41">
        <f>D16*B16</f>
        <v>0</v>
      </c>
    </row>
    <row r="17" spans="1:5" x14ac:dyDescent="0.25">
      <c r="A17" s="29" t="s">
        <v>53</v>
      </c>
      <c r="B17" s="30"/>
      <c r="C17" s="39"/>
      <c r="D17" s="40">
        <v>40</v>
      </c>
      <c r="E17" s="33">
        <f>D17*B17</f>
        <v>0</v>
      </c>
    </row>
    <row r="18" spans="1:5" x14ac:dyDescent="0.25">
      <c r="A18" s="42" t="s">
        <v>54</v>
      </c>
      <c r="B18" s="7"/>
      <c r="C18" s="7"/>
      <c r="D18" s="8">
        <v>59</v>
      </c>
      <c r="E18" s="33">
        <f>D18*B18</f>
        <v>0</v>
      </c>
    </row>
    <row r="19" spans="1:5" x14ac:dyDescent="0.25">
      <c r="A19" s="29" t="s">
        <v>55</v>
      </c>
      <c r="B19" s="129"/>
      <c r="C19" s="7"/>
      <c r="D19" s="8">
        <v>18</v>
      </c>
      <c r="E19" s="33">
        <f t="shared" ref="E19:E60" si="0">D19*B19</f>
        <v>0</v>
      </c>
    </row>
    <row r="20" spans="1:5" x14ac:dyDescent="0.25">
      <c r="A20" s="29" t="s">
        <v>56</v>
      </c>
      <c r="B20" s="7"/>
      <c r="C20" s="7"/>
      <c r="D20" s="8">
        <v>58</v>
      </c>
      <c r="E20" s="33">
        <f t="shared" si="0"/>
        <v>0</v>
      </c>
    </row>
    <row r="21" spans="1:5" x14ac:dyDescent="0.25">
      <c r="A21" s="29" t="s">
        <v>57</v>
      </c>
      <c r="B21" s="11"/>
      <c r="C21" s="7"/>
      <c r="D21" s="8">
        <v>36</v>
      </c>
      <c r="E21" s="33">
        <f t="shared" si="0"/>
        <v>0</v>
      </c>
    </row>
    <row r="22" spans="1:5" x14ac:dyDescent="0.25">
      <c r="A22" s="29" t="s">
        <v>58</v>
      </c>
      <c r="B22" s="11"/>
      <c r="C22" s="7"/>
      <c r="D22" s="8">
        <v>32.5</v>
      </c>
      <c r="E22" s="33">
        <f t="shared" si="0"/>
        <v>0</v>
      </c>
    </row>
    <row r="23" spans="1:5" ht="15.75" customHeight="1" x14ac:dyDescent="0.25">
      <c r="A23" s="29" t="s">
        <v>59</v>
      </c>
      <c r="B23" s="11"/>
      <c r="C23" s="7"/>
      <c r="D23" s="8">
        <v>60</v>
      </c>
      <c r="E23" s="33">
        <f t="shared" si="0"/>
        <v>0</v>
      </c>
    </row>
    <row r="24" spans="1:5" x14ac:dyDescent="0.25">
      <c r="A24" s="29" t="s">
        <v>60</v>
      </c>
      <c r="B24" s="11"/>
      <c r="C24" s="7"/>
      <c r="D24" s="8">
        <v>48</v>
      </c>
      <c r="E24" s="33">
        <f t="shared" si="0"/>
        <v>0</v>
      </c>
    </row>
    <row r="25" spans="1:5" x14ac:dyDescent="0.25">
      <c r="A25" s="29" t="s">
        <v>61</v>
      </c>
      <c r="B25" s="130"/>
      <c r="C25" s="7"/>
      <c r="D25" s="8">
        <v>23</v>
      </c>
      <c r="E25" s="33">
        <f t="shared" si="0"/>
        <v>0</v>
      </c>
    </row>
    <row r="26" spans="1:5" x14ac:dyDescent="0.25">
      <c r="A26" s="29" t="s">
        <v>62</v>
      </c>
      <c r="B26" s="11"/>
      <c r="C26" s="7"/>
      <c r="D26" s="8">
        <v>20</v>
      </c>
      <c r="E26" s="33">
        <f t="shared" si="0"/>
        <v>0</v>
      </c>
    </row>
    <row r="27" spans="1:5" x14ac:dyDescent="0.25">
      <c r="A27" s="29" t="s">
        <v>63</v>
      </c>
      <c r="B27" s="130"/>
      <c r="C27" s="7"/>
      <c r="D27" s="8">
        <v>20</v>
      </c>
      <c r="E27" s="33">
        <f>D27*B27</f>
        <v>0</v>
      </c>
    </row>
    <row r="28" spans="1:5" x14ac:dyDescent="0.25">
      <c r="A28" s="29" t="s">
        <v>64</v>
      </c>
      <c r="B28" s="130"/>
      <c r="C28" s="7"/>
      <c r="D28" s="8">
        <v>18</v>
      </c>
      <c r="E28" s="33">
        <f t="shared" si="0"/>
        <v>0</v>
      </c>
    </row>
    <row r="29" spans="1:5" x14ac:dyDescent="0.25">
      <c r="A29" s="29" t="s">
        <v>65</v>
      </c>
      <c r="B29" s="130"/>
      <c r="C29" s="11"/>
      <c r="D29" s="8">
        <v>24</v>
      </c>
      <c r="E29" s="33">
        <f t="shared" si="0"/>
        <v>0</v>
      </c>
    </row>
    <row r="30" spans="1:5" x14ac:dyDescent="0.25">
      <c r="A30" s="29" t="s">
        <v>66</v>
      </c>
      <c r="B30" s="11"/>
      <c r="C30" s="7"/>
      <c r="D30" s="8">
        <v>10</v>
      </c>
      <c r="E30" s="33">
        <f t="shared" si="0"/>
        <v>0</v>
      </c>
    </row>
    <row r="31" spans="1:5" x14ac:dyDescent="0.25">
      <c r="A31" s="29" t="s">
        <v>67</v>
      </c>
      <c r="B31" s="11"/>
      <c r="C31" s="7"/>
      <c r="D31" s="8">
        <v>24</v>
      </c>
      <c r="E31" s="33">
        <f t="shared" si="0"/>
        <v>0</v>
      </c>
    </row>
    <row r="32" spans="1:5" x14ac:dyDescent="0.25">
      <c r="A32" s="29" t="s">
        <v>68</v>
      </c>
      <c r="B32" s="11"/>
      <c r="C32" s="7"/>
      <c r="D32" s="8">
        <v>34.5</v>
      </c>
      <c r="E32" s="33">
        <f t="shared" si="0"/>
        <v>0</v>
      </c>
    </row>
    <row r="33" spans="1:5" x14ac:dyDescent="0.25">
      <c r="A33" s="29" t="s">
        <v>69</v>
      </c>
      <c r="B33" s="11"/>
      <c r="C33" s="7"/>
      <c r="D33" s="8">
        <v>31</v>
      </c>
      <c r="E33" s="33">
        <f t="shared" si="0"/>
        <v>0</v>
      </c>
    </row>
    <row r="34" spans="1:5" x14ac:dyDescent="0.25">
      <c r="A34" s="29" t="s">
        <v>70</v>
      </c>
      <c r="B34" s="11"/>
      <c r="C34" s="7"/>
      <c r="D34" s="8">
        <v>43</v>
      </c>
      <c r="E34" s="33">
        <f t="shared" si="0"/>
        <v>0</v>
      </c>
    </row>
    <row r="35" spans="1:5" x14ac:dyDescent="0.25">
      <c r="A35" s="29" t="s">
        <v>71</v>
      </c>
      <c r="B35" s="11"/>
      <c r="C35" s="7"/>
      <c r="D35" s="8">
        <v>40</v>
      </c>
      <c r="E35" s="33">
        <f t="shared" si="0"/>
        <v>0</v>
      </c>
    </row>
    <row r="36" spans="1:5" x14ac:dyDescent="0.25">
      <c r="A36" s="29" t="s">
        <v>72</v>
      </c>
      <c r="B36" s="11"/>
      <c r="C36" s="7"/>
      <c r="D36" s="8">
        <v>22</v>
      </c>
      <c r="E36" s="33">
        <f t="shared" si="0"/>
        <v>0</v>
      </c>
    </row>
    <row r="37" spans="1:5" x14ac:dyDescent="0.25">
      <c r="A37" s="29" t="s">
        <v>73</v>
      </c>
      <c r="B37" s="11"/>
      <c r="C37" s="11"/>
      <c r="D37" s="8">
        <v>60</v>
      </c>
      <c r="E37" s="33">
        <f t="shared" si="0"/>
        <v>0</v>
      </c>
    </row>
    <row r="38" spans="1:5" x14ac:dyDescent="0.25">
      <c r="A38" s="29" t="s">
        <v>74</v>
      </c>
      <c r="B38" s="130"/>
      <c r="C38" s="7"/>
      <c r="D38" s="8">
        <v>23</v>
      </c>
      <c r="E38" s="33">
        <f t="shared" si="0"/>
        <v>0</v>
      </c>
    </row>
    <row r="39" spans="1:5" x14ac:dyDescent="0.25">
      <c r="A39" s="29" t="s">
        <v>75</v>
      </c>
      <c r="B39" s="11"/>
      <c r="C39" s="11"/>
      <c r="D39" s="8">
        <v>48</v>
      </c>
      <c r="E39" s="33">
        <f t="shared" si="0"/>
        <v>0</v>
      </c>
    </row>
    <row r="40" spans="1:5" x14ac:dyDescent="0.25">
      <c r="A40" s="29" t="s">
        <v>76</v>
      </c>
      <c r="B40" s="11"/>
      <c r="C40" s="11"/>
      <c r="D40" s="8">
        <v>46</v>
      </c>
      <c r="E40" s="33">
        <f t="shared" si="0"/>
        <v>0</v>
      </c>
    </row>
    <row r="41" spans="1:5" x14ac:dyDescent="0.25">
      <c r="A41" s="29" t="s">
        <v>77</v>
      </c>
      <c r="B41" s="11"/>
      <c r="C41" s="11"/>
      <c r="D41" s="8">
        <v>36</v>
      </c>
      <c r="E41" s="33">
        <f t="shared" si="0"/>
        <v>0</v>
      </c>
    </row>
    <row r="42" spans="1:5" x14ac:dyDescent="0.25">
      <c r="A42" s="29" t="s">
        <v>78</v>
      </c>
      <c r="B42" s="11"/>
      <c r="C42" s="11"/>
      <c r="D42" s="8">
        <v>45</v>
      </c>
      <c r="E42" s="33">
        <f t="shared" si="0"/>
        <v>0</v>
      </c>
    </row>
    <row r="43" spans="1:5" x14ac:dyDescent="0.25">
      <c r="A43" s="29" t="s">
        <v>79</v>
      </c>
      <c r="B43" s="11"/>
      <c r="C43" s="11"/>
      <c r="D43" s="8">
        <v>35</v>
      </c>
      <c r="E43" s="33">
        <f t="shared" si="0"/>
        <v>0</v>
      </c>
    </row>
    <row r="44" spans="1:5" x14ac:dyDescent="0.25">
      <c r="A44" s="29" t="s">
        <v>80</v>
      </c>
      <c r="B44" s="11"/>
      <c r="C44" s="11"/>
      <c r="D44" s="8">
        <v>36</v>
      </c>
      <c r="E44" s="33">
        <f t="shared" si="0"/>
        <v>0</v>
      </c>
    </row>
    <row r="45" spans="1:5" x14ac:dyDescent="0.25">
      <c r="A45" s="29" t="s">
        <v>81</v>
      </c>
      <c r="B45" s="11"/>
      <c r="C45" s="11"/>
      <c r="D45" s="8">
        <v>39</v>
      </c>
      <c r="E45" s="33">
        <f t="shared" si="0"/>
        <v>0</v>
      </c>
    </row>
    <row r="46" spans="1:5" x14ac:dyDescent="0.25">
      <c r="A46" s="29" t="s">
        <v>82</v>
      </c>
      <c r="B46" s="11"/>
      <c r="C46" s="11"/>
      <c r="D46" s="8">
        <v>45</v>
      </c>
      <c r="E46" s="33">
        <f t="shared" si="0"/>
        <v>0</v>
      </c>
    </row>
    <row r="47" spans="1:5" x14ac:dyDescent="0.25">
      <c r="A47" s="29" t="s">
        <v>83</v>
      </c>
      <c r="B47" s="11"/>
      <c r="C47" s="11"/>
      <c r="D47" s="8">
        <v>37</v>
      </c>
      <c r="E47" s="33">
        <f t="shared" si="0"/>
        <v>0</v>
      </c>
    </row>
    <row r="48" spans="1:5" x14ac:dyDescent="0.25">
      <c r="A48" s="29" t="s">
        <v>84</v>
      </c>
      <c r="B48" s="11"/>
      <c r="C48" s="11"/>
      <c r="D48" s="8">
        <v>47</v>
      </c>
      <c r="E48" s="33">
        <f t="shared" si="0"/>
        <v>0</v>
      </c>
    </row>
    <row r="49" spans="1:5" x14ac:dyDescent="0.25">
      <c r="A49" s="29" t="s">
        <v>85</v>
      </c>
      <c r="B49" s="11"/>
      <c r="C49" s="7"/>
      <c r="D49" s="8">
        <v>28</v>
      </c>
      <c r="E49" s="33">
        <f t="shared" si="0"/>
        <v>0</v>
      </c>
    </row>
    <row r="50" spans="1:5" x14ac:dyDescent="0.25">
      <c r="A50" s="29" t="s">
        <v>86</v>
      </c>
      <c r="B50" s="130"/>
      <c r="C50" s="11"/>
      <c r="D50" s="8">
        <v>20</v>
      </c>
      <c r="E50" s="33">
        <f t="shared" si="0"/>
        <v>0</v>
      </c>
    </row>
    <row r="51" spans="1:5" x14ac:dyDescent="0.25">
      <c r="A51" s="29" t="s">
        <v>87</v>
      </c>
      <c r="B51" s="11"/>
      <c r="C51" s="11"/>
      <c r="D51" s="8">
        <v>50</v>
      </c>
      <c r="E51" s="33">
        <f t="shared" si="0"/>
        <v>0</v>
      </c>
    </row>
    <row r="52" spans="1:5" x14ac:dyDescent="0.25">
      <c r="A52" s="29" t="s">
        <v>87</v>
      </c>
      <c r="B52" s="11"/>
      <c r="C52" s="11"/>
      <c r="D52" s="8">
        <v>42</v>
      </c>
      <c r="E52" s="33">
        <f t="shared" si="0"/>
        <v>0</v>
      </c>
    </row>
    <row r="53" spans="1:5" x14ac:dyDescent="0.25">
      <c r="A53" s="29" t="s">
        <v>88</v>
      </c>
      <c r="B53" s="11"/>
      <c r="C53" s="11"/>
      <c r="D53" s="8">
        <v>30</v>
      </c>
      <c r="E53" s="33">
        <f t="shared" si="0"/>
        <v>0</v>
      </c>
    </row>
    <row r="54" spans="1:5" x14ac:dyDescent="0.25">
      <c r="A54" s="29" t="s">
        <v>89</v>
      </c>
      <c r="B54" s="11"/>
      <c r="C54" s="11"/>
      <c r="D54" s="8">
        <v>32.5</v>
      </c>
      <c r="E54" s="33">
        <f t="shared" si="0"/>
        <v>0</v>
      </c>
    </row>
    <row r="55" spans="1:5" x14ac:dyDescent="0.25">
      <c r="A55" s="29" t="s">
        <v>90</v>
      </c>
      <c r="B55" s="11"/>
      <c r="C55" s="11"/>
      <c r="D55" s="8">
        <v>29</v>
      </c>
      <c r="E55" s="33">
        <f t="shared" si="0"/>
        <v>0</v>
      </c>
    </row>
    <row r="56" spans="1:5" x14ac:dyDescent="0.25">
      <c r="A56" s="29" t="s">
        <v>91</v>
      </c>
      <c r="B56" s="11"/>
      <c r="C56" s="11"/>
      <c r="D56" s="8">
        <v>45</v>
      </c>
      <c r="E56" s="33">
        <f t="shared" si="0"/>
        <v>0</v>
      </c>
    </row>
    <row r="57" spans="1:5" x14ac:dyDescent="0.25">
      <c r="A57" s="29" t="s">
        <v>92</v>
      </c>
      <c r="B57" s="11"/>
      <c r="C57" s="11"/>
      <c r="D57" s="8">
        <v>48</v>
      </c>
      <c r="E57" s="33">
        <f t="shared" si="0"/>
        <v>0</v>
      </c>
    </row>
    <row r="58" spans="1:5" x14ac:dyDescent="0.25">
      <c r="A58" s="29" t="s">
        <v>93</v>
      </c>
      <c r="B58" s="11"/>
      <c r="C58" s="11"/>
      <c r="D58" s="8">
        <v>2</v>
      </c>
      <c r="E58" s="33">
        <f t="shared" si="0"/>
        <v>0</v>
      </c>
    </row>
    <row r="59" spans="1:5" x14ac:dyDescent="0.25">
      <c r="A59" s="29" t="s">
        <v>94</v>
      </c>
      <c r="B59" s="11"/>
      <c r="C59" s="11"/>
      <c r="D59" s="8">
        <v>44</v>
      </c>
      <c r="E59" s="33">
        <f t="shared" si="0"/>
        <v>0</v>
      </c>
    </row>
    <row r="60" spans="1:5" x14ac:dyDescent="0.25">
      <c r="A60" s="29" t="s">
        <v>95</v>
      </c>
      <c r="B60" s="11"/>
      <c r="C60" s="7"/>
      <c r="D60" s="8">
        <v>13</v>
      </c>
      <c r="E60" s="33">
        <f t="shared" si="0"/>
        <v>0</v>
      </c>
    </row>
    <row r="61" spans="1:5" x14ac:dyDescent="0.25">
      <c r="A61" s="42"/>
      <c r="B61" s="7"/>
      <c r="C61" s="7"/>
      <c r="D61" s="43" t="s">
        <v>50</v>
      </c>
      <c r="E61" s="34">
        <f>SUM(E18:E60)</f>
        <v>0</v>
      </c>
    </row>
    <row r="62" spans="1:5" x14ac:dyDescent="0.25">
      <c r="A62" s="42"/>
      <c r="B62" s="7"/>
      <c r="C62" s="7"/>
      <c r="D62" s="8"/>
      <c r="E62" s="33"/>
    </row>
    <row r="63" spans="1:5" x14ac:dyDescent="0.25">
      <c r="A63" s="42"/>
      <c r="B63" s="7"/>
      <c r="C63" s="7"/>
      <c r="D63" s="44" t="s">
        <v>96</v>
      </c>
      <c r="E63" s="34">
        <f>E61+E13</f>
        <v>0</v>
      </c>
    </row>
    <row r="64" spans="1:5" ht="15.75" thickBot="1" x14ac:dyDescent="0.3">
      <c r="A64" s="45"/>
      <c r="B64" s="46"/>
      <c r="C64" s="46"/>
      <c r="D64" s="47"/>
      <c r="E64" s="48"/>
    </row>
    <row r="65" spans="1:5" ht="15.75" thickTop="1" x14ac:dyDescent="0.25">
      <c r="A65" s="49"/>
      <c r="B65" s="21"/>
      <c r="C65" s="21"/>
      <c r="D65" s="22"/>
      <c r="E65" s="23"/>
    </row>
    <row r="66" spans="1:5" x14ac:dyDescent="0.25">
      <c r="A66" s="24" t="s">
        <v>41</v>
      </c>
      <c r="B66" s="6"/>
      <c r="C66" s="7"/>
      <c r="D66" s="8"/>
      <c r="E66" s="33"/>
    </row>
    <row r="67" spans="1:5" x14ac:dyDescent="0.25">
      <c r="A67" s="24" t="s">
        <v>97</v>
      </c>
      <c r="B67" s="25" t="s">
        <v>45</v>
      </c>
      <c r="C67" s="38" t="s">
        <v>46</v>
      </c>
      <c r="D67" s="27" t="s">
        <v>47</v>
      </c>
      <c r="E67" s="28" t="s">
        <v>48</v>
      </c>
    </row>
    <row r="68" spans="1:5" x14ac:dyDescent="0.25">
      <c r="A68" s="42" t="s">
        <v>98</v>
      </c>
      <c r="B68" s="7"/>
      <c r="C68" s="7"/>
      <c r="D68" s="8">
        <v>47</v>
      </c>
      <c r="E68" s="33">
        <f>D68*B68</f>
        <v>0</v>
      </c>
    </row>
    <row r="69" spans="1:5" x14ac:dyDescent="0.25">
      <c r="A69" s="42" t="s">
        <v>99</v>
      </c>
      <c r="B69" s="7"/>
      <c r="C69" s="7"/>
      <c r="D69" s="8">
        <v>58</v>
      </c>
      <c r="E69" s="33">
        <f>D69*B69</f>
        <v>0</v>
      </c>
    </row>
    <row r="70" spans="1:5" x14ac:dyDescent="0.25">
      <c r="A70" s="42" t="s">
        <v>100</v>
      </c>
      <c r="B70" s="7"/>
      <c r="C70" s="7"/>
      <c r="D70" s="8">
        <v>44</v>
      </c>
      <c r="E70" s="33">
        <f>D70*B70</f>
        <v>0</v>
      </c>
    </row>
    <row r="71" spans="1:5" x14ac:dyDescent="0.25">
      <c r="A71" s="42" t="s">
        <v>101</v>
      </c>
      <c r="B71" s="7"/>
      <c r="C71" s="7"/>
      <c r="D71" s="8">
        <v>60</v>
      </c>
      <c r="E71" s="33">
        <f>D71*B71</f>
        <v>0</v>
      </c>
    </row>
    <row r="72" spans="1:5" x14ac:dyDescent="0.25">
      <c r="A72" s="42" t="s">
        <v>102</v>
      </c>
      <c r="B72" s="7"/>
      <c r="C72" s="11"/>
      <c r="D72" s="8">
        <v>42</v>
      </c>
      <c r="E72" s="33">
        <f>D72*B72</f>
        <v>0</v>
      </c>
    </row>
    <row r="73" spans="1:5" x14ac:dyDescent="0.25">
      <c r="A73" s="42"/>
      <c r="B73" s="7"/>
      <c r="C73" s="7"/>
      <c r="D73" s="43" t="s">
        <v>50</v>
      </c>
      <c r="E73" s="34">
        <f>SUM(E68:E72)</f>
        <v>0</v>
      </c>
    </row>
    <row r="74" spans="1:5" x14ac:dyDescent="0.25">
      <c r="A74" s="42"/>
      <c r="B74" s="7"/>
      <c r="C74" s="7"/>
      <c r="D74" s="8"/>
      <c r="E74" s="33"/>
    </row>
    <row r="75" spans="1:5" x14ac:dyDescent="0.25">
      <c r="A75" s="24" t="s">
        <v>103</v>
      </c>
      <c r="B75" s="7"/>
      <c r="C75" s="7"/>
      <c r="D75" s="8"/>
      <c r="E75" s="33"/>
    </row>
    <row r="76" spans="1:5" x14ac:dyDescent="0.25">
      <c r="A76" s="42" t="s">
        <v>104</v>
      </c>
      <c r="B76" s="7"/>
      <c r="C76" s="7"/>
      <c r="D76" s="8">
        <v>60</v>
      </c>
      <c r="E76" s="33">
        <f>D76*B76</f>
        <v>0</v>
      </c>
    </row>
    <row r="77" spans="1:5" x14ac:dyDescent="0.25">
      <c r="A77" s="42"/>
      <c r="B77" s="7"/>
      <c r="C77" s="7"/>
      <c r="D77" s="43" t="s">
        <v>50</v>
      </c>
      <c r="E77" s="34">
        <f>SUM(E76)</f>
        <v>0</v>
      </c>
    </row>
    <row r="78" spans="1:5" x14ac:dyDescent="0.25">
      <c r="A78" s="42"/>
      <c r="B78" s="7"/>
      <c r="C78" s="7"/>
      <c r="D78" s="8"/>
      <c r="E78" s="33"/>
    </row>
    <row r="79" spans="1:5" x14ac:dyDescent="0.25">
      <c r="A79" s="42"/>
      <c r="B79" s="7"/>
      <c r="C79" s="7"/>
      <c r="D79" s="44" t="s">
        <v>105</v>
      </c>
      <c r="E79" s="34">
        <f>E77+E73</f>
        <v>0</v>
      </c>
    </row>
    <row r="80" spans="1:5" ht="15.75" thickBot="1" x14ac:dyDescent="0.3">
      <c r="A80" s="45"/>
      <c r="B80" s="46"/>
      <c r="C80" s="46"/>
      <c r="D80" s="47"/>
      <c r="E80" s="48"/>
    </row>
    <row r="81" spans="1:5" ht="15.75" thickTop="1" x14ac:dyDescent="0.25">
      <c r="A81" s="49"/>
      <c r="B81" s="21"/>
      <c r="C81" s="21"/>
      <c r="D81" s="22"/>
      <c r="E81" s="23"/>
    </row>
    <row r="82" spans="1:5" x14ac:dyDescent="0.25">
      <c r="A82" s="24" t="s">
        <v>41</v>
      </c>
      <c r="B82" s="6"/>
      <c r="C82" s="7"/>
      <c r="D82" s="8"/>
      <c r="E82" s="33"/>
    </row>
    <row r="83" spans="1:5" x14ac:dyDescent="0.25">
      <c r="A83" s="24" t="s">
        <v>106</v>
      </c>
      <c r="B83" s="25" t="s">
        <v>45</v>
      </c>
      <c r="C83" s="38" t="s">
        <v>107</v>
      </c>
      <c r="D83" s="27" t="s">
        <v>47</v>
      </c>
      <c r="E83" s="28" t="s">
        <v>48</v>
      </c>
    </row>
    <row r="84" spans="1:5" ht="15.75" customHeight="1" x14ac:dyDescent="0.25">
      <c r="A84" s="42" t="s">
        <v>108</v>
      </c>
      <c r="B84" s="9"/>
      <c r="C84" s="7"/>
      <c r="D84" s="8">
        <v>42.5</v>
      </c>
      <c r="E84" s="33">
        <f t="shared" ref="E84:E104" si="1">D84*B84</f>
        <v>0</v>
      </c>
    </row>
    <row r="85" spans="1:5" x14ac:dyDescent="0.25">
      <c r="A85" s="42" t="s">
        <v>109</v>
      </c>
      <c r="B85" s="7"/>
      <c r="C85" s="7"/>
      <c r="D85" s="8">
        <v>14</v>
      </c>
      <c r="E85" s="33">
        <f t="shared" si="1"/>
        <v>0</v>
      </c>
    </row>
    <row r="86" spans="1:5" x14ac:dyDescent="0.25">
      <c r="A86" s="42" t="s">
        <v>110</v>
      </c>
      <c r="B86" s="7"/>
      <c r="C86" s="7"/>
      <c r="D86" s="8">
        <v>66</v>
      </c>
      <c r="E86" s="33">
        <f t="shared" si="1"/>
        <v>0</v>
      </c>
    </row>
    <row r="87" spans="1:5" x14ac:dyDescent="0.25">
      <c r="A87" s="29" t="s">
        <v>111</v>
      </c>
      <c r="B87" s="6"/>
      <c r="C87" s="7"/>
      <c r="D87" s="8">
        <v>76</v>
      </c>
      <c r="E87" s="33">
        <f t="shared" si="1"/>
        <v>0</v>
      </c>
    </row>
    <row r="88" spans="1:5" x14ac:dyDescent="0.25">
      <c r="A88" s="42" t="s">
        <v>112</v>
      </c>
      <c r="B88" s="7"/>
      <c r="C88" s="7"/>
      <c r="D88" s="8">
        <v>65</v>
      </c>
      <c r="E88" s="33">
        <f t="shared" si="1"/>
        <v>0</v>
      </c>
    </row>
    <row r="89" spans="1:5" x14ac:dyDescent="0.25">
      <c r="A89" s="42" t="s">
        <v>111</v>
      </c>
      <c r="B89" s="7"/>
      <c r="C89" s="11"/>
      <c r="D89" s="8">
        <v>63</v>
      </c>
      <c r="E89" s="33">
        <f t="shared" si="1"/>
        <v>0</v>
      </c>
    </row>
    <row r="90" spans="1:5" x14ac:dyDescent="0.25">
      <c r="A90" s="42" t="s">
        <v>113</v>
      </c>
      <c r="B90" s="7"/>
      <c r="C90" s="11"/>
      <c r="D90" s="8">
        <v>35</v>
      </c>
      <c r="E90" s="33">
        <f t="shared" si="1"/>
        <v>0</v>
      </c>
    </row>
    <row r="91" spans="1:5" x14ac:dyDescent="0.25">
      <c r="A91" s="42" t="s">
        <v>114</v>
      </c>
      <c r="B91" s="11"/>
      <c r="C91" s="11"/>
      <c r="D91" s="8">
        <v>35</v>
      </c>
      <c r="E91" s="33">
        <f t="shared" si="1"/>
        <v>0</v>
      </c>
    </row>
    <row r="92" spans="1:5" x14ac:dyDescent="0.25">
      <c r="A92" s="42" t="s">
        <v>115</v>
      </c>
      <c r="B92" s="7"/>
      <c r="C92" s="11"/>
      <c r="D92" s="8">
        <v>23</v>
      </c>
      <c r="E92" s="33">
        <f t="shared" si="1"/>
        <v>0</v>
      </c>
    </row>
    <row r="93" spans="1:5" x14ac:dyDescent="0.25">
      <c r="A93" s="42" t="s">
        <v>116</v>
      </c>
      <c r="B93" s="130"/>
      <c r="C93" s="7"/>
      <c r="D93" s="8">
        <v>21</v>
      </c>
      <c r="E93" s="33">
        <f t="shared" si="1"/>
        <v>0</v>
      </c>
    </row>
    <row r="94" spans="1:5" x14ac:dyDescent="0.25">
      <c r="A94" s="42" t="s">
        <v>117</v>
      </c>
      <c r="B94" s="11"/>
      <c r="C94" s="7"/>
      <c r="D94" s="8">
        <v>22</v>
      </c>
      <c r="E94" s="33">
        <f t="shared" si="1"/>
        <v>0</v>
      </c>
    </row>
    <row r="95" spans="1:5" x14ac:dyDescent="0.25">
      <c r="A95" s="42" t="s">
        <v>118</v>
      </c>
      <c r="B95" s="7"/>
      <c r="C95" s="7"/>
      <c r="D95" s="8">
        <v>12.8</v>
      </c>
      <c r="E95" s="33">
        <f t="shared" si="1"/>
        <v>0</v>
      </c>
    </row>
    <row r="96" spans="1:5" x14ac:dyDescent="0.25">
      <c r="A96" s="42" t="s">
        <v>119</v>
      </c>
      <c r="B96" s="7"/>
      <c r="C96" s="11"/>
      <c r="D96" s="8">
        <v>64</v>
      </c>
      <c r="E96" s="33">
        <f t="shared" si="1"/>
        <v>0</v>
      </c>
    </row>
    <row r="97" spans="1:5" x14ac:dyDescent="0.25">
      <c r="A97" s="42" t="s">
        <v>119</v>
      </c>
      <c r="B97" s="7"/>
      <c r="C97" s="11"/>
      <c r="D97" s="8">
        <v>66</v>
      </c>
      <c r="E97" s="33">
        <f t="shared" si="1"/>
        <v>0</v>
      </c>
    </row>
    <row r="98" spans="1:5" x14ac:dyDescent="0.25">
      <c r="A98" s="42" t="s">
        <v>120</v>
      </c>
      <c r="B98" s="7"/>
      <c r="C98" s="11"/>
      <c r="D98" s="8">
        <v>50</v>
      </c>
      <c r="E98" s="33">
        <f t="shared" si="1"/>
        <v>0</v>
      </c>
    </row>
    <row r="99" spans="1:5" x14ac:dyDescent="0.25">
      <c r="A99" s="42" t="s">
        <v>121</v>
      </c>
      <c r="B99" s="7"/>
      <c r="C99" s="11"/>
      <c r="D99" s="8">
        <v>44</v>
      </c>
      <c r="E99" s="33">
        <f t="shared" si="1"/>
        <v>0</v>
      </c>
    </row>
    <row r="100" spans="1:5" x14ac:dyDescent="0.25">
      <c r="A100" s="42" t="s">
        <v>122</v>
      </c>
      <c r="B100" s="7"/>
      <c r="C100" s="11"/>
      <c r="D100" s="8">
        <v>42</v>
      </c>
      <c r="E100" s="33">
        <f t="shared" si="1"/>
        <v>0</v>
      </c>
    </row>
    <row r="101" spans="1:5" x14ac:dyDescent="0.25">
      <c r="A101" s="42" t="s">
        <v>123</v>
      </c>
      <c r="B101" s="7"/>
      <c r="C101" s="11"/>
      <c r="D101" s="8">
        <v>135</v>
      </c>
      <c r="E101" s="33">
        <f t="shared" si="1"/>
        <v>0</v>
      </c>
    </row>
    <row r="102" spans="1:5" x14ac:dyDescent="0.25">
      <c r="A102" s="42" t="s">
        <v>124</v>
      </c>
      <c r="B102" s="7"/>
      <c r="C102" s="11"/>
      <c r="D102" s="8">
        <v>32</v>
      </c>
      <c r="E102" s="33">
        <f t="shared" si="1"/>
        <v>0</v>
      </c>
    </row>
    <row r="103" spans="1:5" x14ac:dyDescent="0.25">
      <c r="A103" s="42" t="s">
        <v>125</v>
      </c>
      <c r="B103" s="7"/>
      <c r="C103" s="11"/>
      <c r="D103" s="8">
        <v>24</v>
      </c>
      <c r="E103" s="33">
        <f t="shared" si="1"/>
        <v>0</v>
      </c>
    </row>
    <row r="104" spans="1:5" x14ac:dyDescent="0.25">
      <c r="A104" s="42" t="s">
        <v>126</v>
      </c>
      <c r="B104" s="7"/>
      <c r="C104" s="11"/>
      <c r="D104" s="8">
        <v>20</v>
      </c>
      <c r="E104" s="33">
        <f t="shared" si="1"/>
        <v>0</v>
      </c>
    </row>
    <row r="105" spans="1:5" x14ac:dyDescent="0.25">
      <c r="A105" s="42" t="s">
        <v>127</v>
      </c>
      <c r="B105" s="7"/>
      <c r="C105" s="11"/>
      <c r="D105" s="8">
        <v>34</v>
      </c>
      <c r="E105" s="33">
        <f>D105*B105</f>
        <v>0</v>
      </c>
    </row>
    <row r="106" spans="1:5" x14ac:dyDescent="0.25">
      <c r="A106" s="42" t="s">
        <v>128</v>
      </c>
      <c r="B106" s="131"/>
      <c r="C106" s="11"/>
      <c r="D106" s="8">
        <v>190</v>
      </c>
      <c r="E106" s="33">
        <f>D106*C106</f>
        <v>0</v>
      </c>
    </row>
    <row r="107" spans="1:5" x14ac:dyDescent="0.25">
      <c r="A107" s="42"/>
      <c r="B107" s="7"/>
      <c r="C107" s="7"/>
      <c r="D107" s="8"/>
      <c r="E107" s="33"/>
    </row>
    <row r="108" spans="1:5" x14ac:dyDescent="0.25">
      <c r="A108" s="42"/>
      <c r="B108" s="7"/>
      <c r="C108" s="7"/>
      <c r="D108" s="44" t="s">
        <v>39</v>
      </c>
      <c r="E108" s="34">
        <f>SUM(E84:E107)</f>
        <v>0</v>
      </c>
    </row>
    <row r="109" spans="1:5" ht="15.75" thickBot="1" x14ac:dyDescent="0.3">
      <c r="A109" s="45"/>
      <c r="B109" s="46"/>
      <c r="C109" s="46"/>
      <c r="D109" s="47"/>
      <c r="E109" s="48"/>
    </row>
    <row r="110" spans="1:5" ht="12.75" customHeight="1" thickTop="1" x14ac:dyDescent="0.25">
      <c r="A110" s="42"/>
      <c r="B110" s="7"/>
      <c r="C110" s="7"/>
      <c r="D110" s="8"/>
      <c r="E110" s="33"/>
    </row>
    <row r="111" spans="1:5" x14ac:dyDescent="0.25">
      <c r="A111" s="24" t="s">
        <v>129</v>
      </c>
      <c r="B111" s="25" t="s">
        <v>45</v>
      </c>
      <c r="C111" s="38" t="s">
        <v>107</v>
      </c>
      <c r="D111" s="27" t="s">
        <v>47</v>
      </c>
      <c r="E111" s="28" t="s">
        <v>48</v>
      </c>
    </row>
    <row r="112" spans="1:5" x14ac:dyDescent="0.25">
      <c r="A112" s="29" t="s">
        <v>130</v>
      </c>
      <c r="B112" s="30"/>
      <c r="C112" s="132"/>
      <c r="D112" s="32">
        <v>64</v>
      </c>
      <c r="E112" s="33">
        <f t="shared" ref="E112:E121" si="2">D112*B112</f>
        <v>0</v>
      </c>
    </row>
    <row r="113" spans="1:5" x14ac:dyDescent="0.25">
      <c r="A113" s="29" t="s">
        <v>131</v>
      </c>
      <c r="B113" s="30"/>
      <c r="C113" s="132"/>
      <c r="D113" s="32">
        <v>50</v>
      </c>
      <c r="E113" s="33">
        <f t="shared" si="2"/>
        <v>0</v>
      </c>
    </row>
    <row r="114" spans="1:5" x14ac:dyDescent="0.25">
      <c r="A114" s="42" t="s">
        <v>132</v>
      </c>
      <c r="B114" s="7"/>
      <c r="C114" s="7"/>
      <c r="D114" s="8">
        <v>19.5</v>
      </c>
      <c r="E114" s="33">
        <f t="shared" si="2"/>
        <v>0</v>
      </c>
    </row>
    <row r="115" spans="1:5" x14ac:dyDescent="0.25">
      <c r="A115" s="42" t="s">
        <v>133</v>
      </c>
      <c r="B115" s="7"/>
      <c r="C115" s="7"/>
      <c r="D115" s="8">
        <v>20</v>
      </c>
      <c r="E115" s="33">
        <f t="shared" si="2"/>
        <v>0</v>
      </c>
    </row>
    <row r="116" spans="1:5" x14ac:dyDescent="0.25">
      <c r="A116" s="42" t="s">
        <v>134</v>
      </c>
      <c r="B116" s="7"/>
      <c r="C116" s="7"/>
      <c r="D116" s="8">
        <v>60</v>
      </c>
      <c r="E116" s="33">
        <f t="shared" si="2"/>
        <v>0</v>
      </c>
    </row>
    <row r="117" spans="1:5" x14ac:dyDescent="0.25">
      <c r="A117" s="42" t="s">
        <v>135</v>
      </c>
      <c r="B117" s="7"/>
      <c r="C117" s="7"/>
      <c r="D117" s="8">
        <v>48</v>
      </c>
      <c r="E117" s="33">
        <f t="shared" si="2"/>
        <v>0</v>
      </c>
    </row>
    <row r="118" spans="1:5" x14ac:dyDescent="0.25">
      <c r="A118" s="42" t="s">
        <v>136</v>
      </c>
      <c r="B118" s="11"/>
      <c r="C118" s="11"/>
      <c r="D118" s="8">
        <v>42</v>
      </c>
      <c r="E118" s="33">
        <f t="shared" si="2"/>
        <v>0</v>
      </c>
    </row>
    <row r="119" spans="1:5" x14ac:dyDescent="0.25">
      <c r="A119" s="29" t="s">
        <v>137</v>
      </c>
      <c r="B119" s="11"/>
      <c r="C119" s="7"/>
      <c r="D119" s="8">
        <v>74</v>
      </c>
      <c r="E119" s="33">
        <f t="shared" si="2"/>
        <v>0</v>
      </c>
    </row>
    <row r="120" spans="1:5" x14ac:dyDescent="0.25">
      <c r="A120" s="42" t="s">
        <v>138</v>
      </c>
      <c r="B120" s="11"/>
      <c r="C120" s="7"/>
      <c r="D120" s="8">
        <v>61</v>
      </c>
      <c r="E120" s="33">
        <f t="shared" si="2"/>
        <v>0</v>
      </c>
    </row>
    <row r="121" spans="1:5" x14ac:dyDescent="0.25">
      <c r="A121" s="42" t="s">
        <v>139</v>
      </c>
      <c r="B121" s="11"/>
      <c r="C121" s="7"/>
      <c r="D121" s="8">
        <v>64</v>
      </c>
      <c r="E121" s="33">
        <f t="shared" si="2"/>
        <v>0</v>
      </c>
    </row>
    <row r="122" spans="1:5" x14ac:dyDescent="0.25">
      <c r="A122" s="42" t="s">
        <v>140</v>
      </c>
      <c r="B122" s="11"/>
      <c r="C122" s="7"/>
      <c r="D122" s="8">
        <v>38</v>
      </c>
      <c r="E122" s="33">
        <f>D122*C122</f>
        <v>0</v>
      </c>
    </row>
    <row r="123" spans="1:5" x14ac:dyDescent="0.25">
      <c r="A123" s="42"/>
      <c r="B123" s="7"/>
      <c r="C123" s="7"/>
      <c r="D123" s="8"/>
      <c r="E123" s="33"/>
    </row>
    <row r="124" spans="1:5" x14ac:dyDescent="0.25">
      <c r="A124" s="42"/>
      <c r="B124" s="7"/>
      <c r="C124" s="7"/>
      <c r="D124" s="44" t="s">
        <v>141</v>
      </c>
      <c r="E124" s="34">
        <f>SUM(E112:E123)</f>
        <v>0</v>
      </c>
    </row>
    <row r="125" spans="1:5" ht="15.75" thickBot="1" x14ac:dyDescent="0.3">
      <c r="A125" s="42"/>
      <c r="B125" s="7"/>
      <c r="C125" s="7"/>
      <c r="D125" s="8"/>
      <c r="E125" s="33"/>
    </row>
    <row r="126" spans="1:5" ht="15.75" thickTop="1" x14ac:dyDescent="0.25">
      <c r="A126" s="49"/>
      <c r="B126" s="21"/>
      <c r="C126" s="21"/>
      <c r="D126" s="22"/>
      <c r="E126" s="23"/>
    </row>
    <row r="127" spans="1:5" x14ac:dyDescent="0.25">
      <c r="A127" s="42"/>
      <c r="B127" s="7"/>
      <c r="C127" s="5"/>
      <c r="D127" s="44" t="s">
        <v>142</v>
      </c>
      <c r="E127" s="34">
        <f>E108+E79+E63+E124</f>
        <v>0</v>
      </c>
    </row>
    <row r="128" spans="1:5" ht="15.75" thickBot="1" x14ac:dyDescent="0.3">
      <c r="A128" s="45"/>
      <c r="B128" s="46"/>
      <c r="C128" s="46"/>
      <c r="D128" s="47"/>
      <c r="E128" s="48"/>
    </row>
    <row r="129" spans="4:5" ht="15.75" thickTop="1" x14ac:dyDescent="0.25">
      <c r="D129"/>
      <c r="E129"/>
    </row>
    <row r="130" spans="4:5" x14ac:dyDescent="0.25">
      <c r="D130"/>
      <c r="E130"/>
    </row>
    <row r="131" spans="4:5" x14ac:dyDescent="0.25">
      <c r="D131"/>
      <c r="E131"/>
    </row>
    <row r="132" spans="4:5" x14ac:dyDescent="0.25">
      <c r="D132"/>
      <c r="E132"/>
    </row>
    <row r="133" spans="4:5" x14ac:dyDescent="0.25">
      <c r="D133"/>
      <c r="E133"/>
    </row>
    <row r="134" spans="4:5" x14ac:dyDescent="0.25">
      <c r="D134"/>
      <c r="E134"/>
    </row>
    <row r="135" spans="4:5" x14ac:dyDescent="0.25">
      <c r="D135"/>
      <c r="E135"/>
    </row>
    <row r="136" spans="4:5" x14ac:dyDescent="0.25">
      <c r="D136"/>
      <c r="E136"/>
    </row>
    <row r="137" spans="4:5" x14ac:dyDescent="0.25">
      <c r="D137"/>
      <c r="E137"/>
    </row>
    <row r="138" spans="4:5" x14ac:dyDescent="0.25">
      <c r="D138"/>
      <c r="E138"/>
    </row>
    <row r="139" spans="4:5" x14ac:dyDescent="0.25">
      <c r="D139"/>
      <c r="E139"/>
    </row>
    <row r="140" spans="4:5" x14ac:dyDescent="0.25">
      <c r="D140"/>
      <c r="E140"/>
    </row>
    <row r="141" spans="4:5" x14ac:dyDescent="0.25">
      <c r="D141"/>
      <c r="E141"/>
    </row>
    <row r="142" spans="4:5" x14ac:dyDescent="0.25">
      <c r="D142"/>
      <c r="E142"/>
    </row>
    <row r="143" spans="4:5" x14ac:dyDescent="0.25">
      <c r="D143"/>
      <c r="E143"/>
    </row>
    <row r="144" spans="4:5" x14ac:dyDescent="0.25">
      <c r="D144"/>
      <c r="E144"/>
    </row>
    <row r="145" spans="4:5" x14ac:dyDescent="0.25">
      <c r="D145"/>
      <c r="E145"/>
    </row>
    <row r="146" spans="4:5" x14ac:dyDescent="0.25">
      <c r="D146"/>
      <c r="E146"/>
    </row>
    <row r="147" spans="4:5" x14ac:dyDescent="0.25">
      <c r="D147"/>
      <c r="E147"/>
    </row>
    <row r="148" spans="4:5" x14ac:dyDescent="0.25">
      <c r="D148"/>
      <c r="E148"/>
    </row>
    <row r="149" spans="4:5" x14ac:dyDescent="0.25">
      <c r="D149"/>
      <c r="E149"/>
    </row>
    <row r="150" spans="4:5" x14ac:dyDescent="0.25">
      <c r="D150"/>
      <c r="E150"/>
    </row>
    <row r="151" spans="4:5" x14ac:dyDescent="0.25">
      <c r="D151"/>
      <c r="E151"/>
    </row>
    <row r="152" spans="4:5" x14ac:dyDescent="0.25">
      <c r="D152"/>
      <c r="E152"/>
    </row>
    <row r="153" spans="4:5" x14ac:dyDescent="0.25">
      <c r="D153"/>
      <c r="E153"/>
    </row>
    <row r="154" spans="4:5" x14ac:dyDescent="0.25">
      <c r="D154"/>
      <c r="E154"/>
    </row>
    <row r="155" spans="4:5" x14ac:dyDescent="0.25">
      <c r="D155"/>
      <c r="E155"/>
    </row>
    <row r="156" spans="4:5" x14ac:dyDescent="0.25">
      <c r="D156"/>
      <c r="E156"/>
    </row>
    <row r="157" spans="4:5" x14ac:dyDescent="0.25">
      <c r="D157"/>
      <c r="E157"/>
    </row>
    <row r="158" spans="4:5" x14ac:dyDescent="0.25">
      <c r="D158"/>
      <c r="E158"/>
    </row>
    <row r="159" spans="4:5" x14ac:dyDescent="0.25">
      <c r="D159"/>
      <c r="E159"/>
    </row>
    <row r="160" spans="4:5" x14ac:dyDescent="0.25">
      <c r="D160"/>
      <c r="E160"/>
    </row>
    <row r="161" spans="4:5" x14ac:dyDescent="0.25">
      <c r="D161"/>
      <c r="E161"/>
    </row>
    <row r="162" spans="4:5" x14ac:dyDescent="0.25">
      <c r="D162"/>
      <c r="E162"/>
    </row>
    <row r="163" spans="4:5" x14ac:dyDescent="0.25">
      <c r="D163"/>
      <c r="E163"/>
    </row>
    <row r="164" spans="4:5" x14ac:dyDescent="0.25">
      <c r="D164"/>
      <c r="E164"/>
    </row>
    <row r="165" spans="4:5" x14ac:dyDescent="0.25">
      <c r="D165"/>
      <c r="E165"/>
    </row>
    <row r="166" spans="4:5" x14ac:dyDescent="0.25">
      <c r="D166"/>
      <c r="E166"/>
    </row>
    <row r="167" spans="4:5" x14ac:dyDescent="0.25">
      <c r="D167"/>
      <c r="E167"/>
    </row>
    <row r="168" spans="4:5" x14ac:dyDescent="0.25">
      <c r="D168"/>
      <c r="E168"/>
    </row>
    <row r="169" spans="4:5" x14ac:dyDescent="0.25">
      <c r="D169"/>
      <c r="E169"/>
    </row>
    <row r="170" spans="4:5" x14ac:dyDescent="0.25">
      <c r="D170"/>
      <c r="E170"/>
    </row>
    <row r="171" spans="4:5" x14ac:dyDescent="0.25">
      <c r="D171"/>
      <c r="E171"/>
    </row>
    <row r="172" spans="4:5" x14ac:dyDescent="0.25">
      <c r="D172"/>
      <c r="E172"/>
    </row>
    <row r="173" spans="4:5" x14ac:dyDescent="0.25">
      <c r="D173"/>
      <c r="E173"/>
    </row>
    <row r="174" spans="4:5" x14ac:dyDescent="0.25">
      <c r="D174"/>
      <c r="E174"/>
    </row>
    <row r="175" spans="4:5" x14ac:dyDescent="0.25">
      <c r="D175"/>
      <c r="E175"/>
    </row>
    <row r="176" spans="4:5" x14ac:dyDescent="0.25">
      <c r="D176"/>
      <c r="E176"/>
    </row>
    <row r="177" spans="4:5" x14ac:dyDescent="0.25">
      <c r="D177"/>
      <c r="E177"/>
    </row>
    <row r="178" spans="4:5" x14ac:dyDescent="0.25">
      <c r="D178"/>
      <c r="E178"/>
    </row>
    <row r="179" spans="4:5" x14ac:dyDescent="0.25">
      <c r="D179"/>
      <c r="E179"/>
    </row>
    <row r="180" spans="4:5" x14ac:dyDescent="0.25">
      <c r="D180"/>
      <c r="E180"/>
    </row>
    <row r="181" spans="4:5" x14ac:dyDescent="0.25">
      <c r="D181"/>
      <c r="E181"/>
    </row>
    <row r="182" spans="4:5" x14ac:dyDescent="0.25">
      <c r="D182"/>
      <c r="E182"/>
    </row>
    <row r="183" spans="4:5" x14ac:dyDescent="0.25">
      <c r="D183"/>
      <c r="E183"/>
    </row>
    <row r="184" spans="4:5" x14ac:dyDescent="0.25">
      <c r="D184"/>
      <c r="E184"/>
    </row>
    <row r="185" spans="4:5" x14ac:dyDescent="0.25">
      <c r="D185"/>
      <c r="E185"/>
    </row>
    <row r="186" spans="4:5" x14ac:dyDescent="0.25">
      <c r="D186"/>
      <c r="E186"/>
    </row>
    <row r="187" spans="4:5" x14ac:dyDescent="0.25">
      <c r="D187"/>
      <c r="E187"/>
    </row>
    <row r="188" spans="4:5" x14ac:dyDescent="0.25">
      <c r="D188"/>
      <c r="E188"/>
    </row>
    <row r="189" spans="4:5" x14ac:dyDescent="0.25">
      <c r="D189"/>
      <c r="E189"/>
    </row>
    <row r="190" spans="4:5" x14ac:dyDescent="0.25">
      <c r="D190"/>
      <c r="E190"/>
    </row>
    <row r="191" spans="4:5" x14ac:dyDescent="0.25">
      <c r="D191"/>
      <c r="E191"/>
    </row>
    <row r="192" spans="4:5" x14ac:dyDescent="0.25">
      <c r="D192"/>
      <c r="E192"/>
    </row>
    <row r="193" spans="4:5" x14ac:dyDescent="0.25">
      <c r="D193"/>
      <c r="E193"/>
    </row>
    <row r="194" spans="4:5" x14ac:dyDescent="0.25">
      <c r="D194"/>
      <c r="E194"/>
    </row>
    <row r="195" spans="4:5" x14ac:dyDescent="0.25">
      <c r="D195"/>
      <c r="E195"/>
    </row>
    <row r="196" spans="4:5" x14ac:dyDescent="0.25">
      <c r="D196"/>
      <c r="E196"/>
    </row>
    <row r="197" spans="4:5" x14ac:dyDescent="0.25">
      <c r="D197"/>
      <c r="E197"/>
    </row>
    <row r="198" spans="4:5" x14ac:dyDescent="0.25">
      <c r="D198"/>
      <c r="E198"/>
    </row>
    <row r="199" spans="4:5" x14ac:dyDescent="0.25">
      <c r="D199"/>
      <c r="E199"/>
    </row>
    <row r="200" spans="4:5" x14ac:dyDescent="0.25">
      <c r="D200"/>
      <c r="E200"/>
    </row>
    <row r="201" spans="4:5" x14ac:dyDescent="0.25">
      <c r="D201"/>
      <c r="E201"/>
    </row>
    <row r="202" spans="4:5" x14ac:dyDescent="0.25">
      <c r="D202"/>
      <c r="E202"/>
    </row>
    <row r="203" spans="4:5" x14ac:dyDescent="0.25">
      <c r="D203"/>
      <c r="E203"/>
    </row>
    <row r="204" spans="4:5" x14ac:dyDescent="0.25">
      <c r="D204"/>
      <c r="E204"/>
    </row>
    <row r="205" spans="4:5" x14ac:dyDescent="0.25">
      <c r="D205"/>
      <c r="E205"/>
    </row>
    <row r="206" spans="4:5" x14ac:dyDescent="0.25">
      <c r="D206"/>
      <c r="E206"/>
    </row>
    <row r="207" spans="4:5" x14ac:dyDescent="0.25">
      <c r="D207"/>
      <c r="E207"/>
    </row>
    <row r="208" spans="4:5" x14ac:dyDescent="0.25">
      <c r="D208"/>
      <c r="E208"/>
    </row>
    <row r="209" spans="4:5" x14ac:dyDescent="0.25">
      <c r="D209"/>
      <c r="E209"/>
    </row>
    <row r="210" spans="4:5" x14ac:dyDescent="0.25">
      <c r="D210"/>
      <c r="E210"/>
    </row>
    <row r="211" spans="4:5" x14ac:dyDescent="0.25">
      <c r="D211"/>
      <c r="E211"/>
    </row>
    <row r="212" spans="4:5" x14ac:dyDescent="0.25">
      <c r="D212"/>
      <c r="E212"/>
    </row>
    <row r="213" spans="4:5" x14ac:dyDescent="0.25">
      <c r="D213"/>
      <c r="E213"/>
    </row>
    <row r="214" spans="4:5" x14ac:dyDescent="0.25">
      <c r="D214"/>
      <c r="E214"/>
    </row>
    <row r="215" spans="4:5" x14ac:dyDescent="0.25">
      <c r="D215"/>
      <c r="E215"/>
    </row>
    <row r="216" spans="4:5" x14ac:dyDescent="0.25">
      <c r="D216"/>
      <c r="E216"/>
    </row>
    <row r="217" spans="4:5" x14ac:dyDescent="0.25">
      <c r="D217"/>
      <c r="E217"/>
    </row>
    <row r="218" spans="4:5" x14ac:dyDescent="0.25">
      <c r="D218"/>
      <c r="E218"/>
    </row>
    <row r="219" spans="4:5" x14ac:dyDescent="0.25">
      <c r="D219"/>
      <c r="E219"/>
    </row>
    <row r="220" spans="4:5" x14ac:dyDescent="0.25">
      <c r="D220"/>
      <c r="E220"/>
    </row>
    <row r="221" spans="4:5" x14ac:dyDescent="0.25">
      <c r="D221"/>
      <c r="E221"/>
    </row>
    <row r="222" spans="4:5" x14ac:dyDescent="0.25">
      <c r="D222"/>
      <c r="E222"/>
    </row>
    <row r="223" spans="4:5" x14ac:dyDescent="0.25">
      <c r="D223"/>
      <c r="E223"/>
    </row>
    <row r="224" spans="4:5" x14ac:dyDescent="0.25">
      <c r="D224"/>
      <c r="E224"/>
    </row>
    <row r="225" spans="4:5" x14ac:dyDescent="0.25">
      <c r="D225"/>
      <c r="E225"/>
    </row>
    <row r="226" spans="4:5" x14ac:dyDescent="0.25">
      <c r="D226"/>
      <c r="E226"/>
    </row>
    <row r="227" spans="4:5" x14ac:dyDescent="0.25">
      <c r="D227"/>
      <c r="E227"/>
    </row>
    <row r="228" spans="4:5" x14ac:dyDescent="0.25">
      <c r="D228"/>
      <c r="E228"/>
    </row>
    <row r="229" spans="4:5" x14ac:dyDescent="0.25">
      <c r="D229"/>
      <c r="E229"/>
    </row>
    <row r="230" spans="4:5" x14ac:dyDescent="0.25">
      <c r="D230"/>
      <c r="E230"/>
    </row>
    <row r="231" spans="4:5" x14ac:dyDescent="0.25">
      <c r="D231"/>
      <c r="E231"/>
    </row>
    <row r="232" spans="4:5" x14ac:dyDescent="0.25">
      <c r="D232"/>
      <c r="E232"/>
    </row>
    <row r="233" spans="4:5" x14ac:dyDescent="0.25">
      <c r="D233"/>
      <c r="E233"/>
    </row>
    <row r="234" spans="4:5" x14ac:dyDescent="0.25">
      <c r="D234"/>
      <c r="E234"/>
    </row>
    <row r="235" spans="4:5" x14ac:dyDescent="0.25">
      <c r="D235"/>
      <c r="E235"/>
    </row>
    <row r="236" spans="4:5" x14ac:dyDescent="0.25">
      <c r="D236"/>
      <c r="E236"/>
    </row>
    <row r="237" spans="4:5" x14ac:dyDescent="0.25">
      <c r="D237"/>
      <c r="E237"/>
    </row>
    <row r="238" spans="4:5" x14ac:dyDescent="0.25">
      <c r="D238"/>
      <c r="E238"/>
    </row>
    <row r="239" spans="4:5" x14ac:dyDescent="0.25">
      <c r="D239"/>
      <c r="E239"/>
    </row>
    <row r="240" spans="4:5" x14ac:dyDescent="0.25">
      <c r="D240"/>
      <c r="E240"/>
    </row>
    <row r="241" spans="4:5" x14ac:dyDescent="0.25">
      <c r="D241"/>
      <c r="E241"/>
    </row>
    <row r="242" spans="4:5" x14ac:dyDescent="0.25">
      <c r="D242"/>
      <c r="E242"/>
    </row>
    <row r="243" spans="4:5" x14ac:dyDescent="0.25">
      <c r="D243"/>
      <c r="E243"/>
    </row>
    <row r="244" spans="4:5" x14ac:dyDescent="0.25">
      <c r="D244"/>
      <c r="E244"/>
    </row>
    <row r="245" spans="4:5" x14ac:dyDescent="0.25">
      <c r="D245"/>
      <c r="E245"/>
    </row>
    <row r="246" spans="4:5" x14ac:dyDescent="0.25">
      <c r="D246"/>
      <c r="E246"/>
    </row>
    <row r="247" spans="4:5" x14ac:dyDescent="0.25">
      <c r="D247"/>
      <c r="E247"/>
    </row>
    <row r="248" spans="4:5" x14ac:dyDescent="0.25">
      <c r="D248"/>
      <c r="E248"/>
    </row>
    <row r="249" spans="4:5" x14ac:dyDescent="0.25">
      <c r="D249"/>
      <c r="E249"/>
    </row>
    <row r="250" spans="4:5" x14ac:dyDescent="0.25">
      <c r="D250"/>
      <c r="E250"/>
    </row>
    <row r="251" spans="4:5" x14ac:dyDescent="0.25">
      <c r="D251"/>
      <c r="E251"/>
    </row>
    <row r="252" spans="4:5" x14ac:dyDescent="0.25">
      <c r="D252"/>
      <c r="E252"/>
    </row>
    <row r="253" spans="4:5" x14ac:dyDescent="0.25">
      <c r="D253"/>
      <c r="E253"/>
    </row>
    <row r="254" spans="4:5" x14ac:dyDescent="0.25">
      <c r="D254"/>
      <c r="E254"/>
    </row>
    <row r="255" spans="4:5" x14ac:dyDescent="0.25">
      <c r="D255"/>
      <c r="E255"/>
    </row>
    <row r="256" spans="4:5" x14ac:dyDescent="0.25">
      <c r="D256"/>
      <c r="E256"/>
    </row>
    <row r="257" spans="4:5" x14ac:dyDescent="0.25">
      <c r="D257"/>
      <c r="E257"/>
    </row>
    <row r="258" spans="4:5" x14ac:dyDescent="0.25">
      <c r="D258"/>
      <c r="E258"/>
    </row>
    <row r="259" spans="4:5" x14ac:dyDescent="0.25">
      <c r="D259"/>
      <c r="E259"/>
    </row>
    <row r="260" spans="4:5" x14ac:dyDescent="0.25">
      <c r="D260"/>
      <c r="E260"/>
    </row>
    <row r="261" spans="4:5" x14ac:dyDescent="0.25">
      <c r="D261"/>
      <c r="E261"/>
    </row>
    <row r="262" spans="4:5" x14ac:dyDescent="0.25">
      <c r="D262"/>
      <c r="E262"/>
    </row>
    <row r="263" spans="4:5" x14ac:dyDescent="0.25">
      <c r="D263"/>
      <c r="E263"/>
    </row>
    <row r="264" spans="4:5" x14ac:dyDescent="0.25">
      <c r="D264"/>
      <c r="E264"/>
    </row>
    <row r="265" spans="4:5" x14ac:dyDescent="0.25">
      <c r="D265"/>
      <c r="E265"/>
    </row>
    <row r="266" spans="4:5" x14ac:dyDescent="0.25">
      <c r="D266"/>
      <c r="E266"/>
    </row>
    <row r="267" spans="4:5" x14ac:dyDescent="0.25">
      <c r="D267"/>
      <c r="E267"/>
    </row>
    <row r="268" spans="4:5" x14ac:dyDescent="0.25">
      <c r="D268"/>
      <c r="E268"/>
    </row>
    <row r="269" spans="4:5" x14ac:dyDescent="0.25">
      <c r="D269"/>
      <c r="E26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69"/>
  <sheetViews>
    <sheetView workbookViewId="0">
      <selection activeCell="G31" sqref="G31"/>
    </sheetView>
  </sheetViews>
  <sheetFormatPr baseColWidth="10" defaultRowHeight="15" x14ac:dyDescent="0.25"/>
  <cols>
    <col min="1" max="1" width="28.140625" customWidth="1"/>
    <col min="2" max="2" width="11.85546875" customWidth="1"/>
    <col min="4" max="4" width="12.42578125" style="15" customWidth="1"/>
    <col min="5" max="5" width="17.42578125" style="15" customWidth="1"/>
    <col min="257" max="257" width="25.140625" customWidth="1"/>
    <col min="258" max="258" width="11.85546875" customWidth="1"/>
    <col min="260" max="260" width="12.42578125" customWidth="1"/>
    <col min="261" max="261" width="17.42578125" customWidth="1"/>
    <col min="513" max="513" width="25.140625" customWidth="1"/>
    <col min="514" max="514" width="11.85546875" customWidth="1"/>
    <col min="516" max="516" width="12.42578125" customWidth="1"/>
    <col min="517" max="517" width="17.42578125" customWidth="1"/>
    <col min="769" max="769" width="25.140625" customWidth="1"/>
    <col min="770" max="770" width="11.85546875" customWidth="1"/>
    <col min="772" max="772" width="12.42578125" customWidth="1"/>
    <col min="773" max="773" width="17.42578125" customWidth="1"/>
    <col min="1025" max="1025" width="25.140625" customWidth="1"/>
    <col min="1026" max="1026" width="11.85546875" customWidth="1"/>
    <col min="1028" max="1028" width="12.42578125" customWidth="1"/>
    <col min="1029" max="1029" width="17.42578125" customWidth="1"/>
    <col min="1281" max="1281" width="25.140625" customWidth="1"/>
    <col min="1282" max="1282" width="11.85546875" customWidth="1"/>
    <col min="1284" max="1284" width="12.42578125" customWidth="1"/>
    <col min="1285" max="1285" width="17.42578125" customWidth="1"/>
    <col min="1537" max="1537" width="25.140625" customWidth="1"/>
    <col min="1538" max="1538" width="11.85546875" customWidth="1"/>
    <col min="1540" max="1540" width="12.42578125" customWidth="1"/>
    <col min="1541" max="1541" width="17.42578125" customWidth="1"/>
    <col min="1793" max="1793" width="25.140625" customWidth="1"/>
    <col min="1794" max="1794" width="11.85546875" customWidth="1"/>
    <col min="1796" max="1796" width="12.42578125" customWidth="1"/>
    <col min="1797" max="1797" width="17.42578125" customWidth="1"/>
    <col min="2049" max="2049" width="25.140625" customWidth="1"/>
    <col min="2050" max="2050" width="11.85546875" customWidth="1"/>
    <col min="2052" max="2052" width="12.42578125" customWidth="1"/>
    <col min="2053" max="2053" width="17.42578125" customWidth="1"/>
    <col min="2305" max="2305" width="25.140625" customWidth="1"/>
    <col min="2306" max="2306" width="11.85546875" customWidth="1"/>
    <col min="2308" max="2308" width="12.42578125" customWidth="1"/>
    <col min="2309" max="2309" width="17.42578125" customWidth="1"/>
    <col min="2561" max="2561" width="25.140625" customWidth="1"/>
    <col min="2562" max="2562" width="11.85546875" customWidth="1"/>
    <col min="2564" max="2564" width="12.42578125" customWidth="1"/>
    <col min="2565" max="2565" width="17.42578125" customWidth="1"/>
    <col min="2817" max="2817" width="25.140625" customWidth="1"/>
    <col min="2818" max="2818" width="11.85546875" customWidth="1"/>
    <col min="2820" max="2820" width="12.42578125" customWidth="1"/>
    <col min="2821" max="2821" width="17.42578125" customWidth="1"/>
    <col min="3073" max="3073" width="25.140625" customWidth="1"/>
    <col min="3074" max="3074" width="11.85546875" customWidth="1"/>
    <col min="3076" max="3076" width="12.42578125" customWidth="1"/>
    <col min="3077" max="3077" width="17.42578125" customWidth="1"/>
    <col min="3329" max="3329" width="25.140625" customWidth="1"/>
    <col min="3330" max="3330" width="11.85546875" customWidth="1"/>
    <col min="3332" max="3332" width="12.42578125" customWidth="1"/>
    <col min="3333" max="3333" width="17.42578125" customWidth="1"/>
    <col min="3585" max="3585" width="25.140625" customWidth="1"/>
    <col min="3586" max="3586" width="11.85546875" customWidth="1"/>
    <col min="3588" max="3588" width="12.42578125" customWidth="1"/>
    <col min="3589" max="3589" width="17.42578125" customWidth="1"/>
    <col min="3841" max="3841" width="25.140625" customWidth="1"/>
    <col min="3842" max="3842" width="11.85546875" customWidth="1"/>
    <col min="3844" max="3844" width="12.42578125" customWidth="1"/>
    <col min="3845" max="3845" width="17.42578125" customWidth="1"/>
    <col min="4097" max="4097" width="25.140625" customWidth="1"/>
    <col min="4098" max="4098" width="11.85546875" customWidth="1"/>
    <col min="4100" max="4100" width="12.42578125" customWidth="1"/>
    <col min="4101" max="4101" width="17.42578125" customWidth="1"/>
    <col min="4353" max="4353" width="25.140625" customWidth="1"/>
    <col min="4354" max="4354" width="11.85546875" customWidth="1"/>
    <col min="4356" max="4356" width="12.42578125" customWidth="1"/>
    <col min="4357" max="4357" width="17.42578125" customWidth="1"/>
    <col min="4609" max="4609" width="25.140625" customWidth="1"/>
    <col min="4610" max="4610" width="11.85546875" customWidth="1"/>
    <col min="4612" max="4612" width="12.42578125" customWidth="1"/>
    <col min="4613" max="4613" width="17.42578125" customWidth="1"/>
    <col min="4865" max="4865" width="25.140625" customWidth="1"/>
    <col min="4866" max="4866" width="11.85546875" customWidth="1"/>
    <col min="4868" max="4868" width="12.42578125" customWidth="1"/>
    <col min="4869" max="4869" width="17.42578125" customWidth="1"/>
    <col min="5121" max="5121" width="25.140625" customWidth="1"/>
    <col min="5122" max="5122" width="11.85546875" customWidth="1"/>
    <col min="5124" max="5124" width="12.42578125" customWidth="1"/>
    <col min="5125" max="5125" width="17.42578125" customWidth="1"/>
    <col min="5377" max="5377" width="25.140625" customWidth="1"/>
    <col min="5378" max="5378" width="11.85546875" customWidth="1"/>
    <col min="5380" max="5380" width="12.42578125" customWidth="1"/>
    <col min="5381" max="5381" width="17.42578125" customWidth="1"/>
    <col min="5633" max="5633" width="25.140625" customWidth="1"/>
    <col min="5634" max="5634" width="11.85546875" customWidth="1"/>
    <col min="5636" max="5636" width="12.42578125" customWidth="1"/>
    <col min="5637" max="5637" width="17.42578125" customWidth="1"/>
    <col min="5889" max="5889" width="25.140625" customWidth="1"/>
    <col min="5890" max="5890" width="11.85546875" customWidth="1"/>
    <col min="5892" max="5892" width="12.42578125" customWidth="1"/>
    <col min="5893" max="5893" width="17.42578125" customWidth="1"/>
    <col min="6145" max="6145" width="25.140625" customWidth="1"/>
    <col min="6146" max="6146" width="11.85546875" customWidth="1"/>
    <col min="6148" max="6148" width="12.42578125" customWidth="1"/>
    <col min="6149" max="6149" width="17.42578125" customWidth="1"/>
    <col min="6401" max="6401" width="25.140625" customWidth="1"/>
    <col min="6402" max="6402" width="11.85546875" customWidth="1"/>
    <col min="6404" max="6404" width="12.42578125" customWidth="1"/>
    <col min="6405" max="6405" width="17.42578125" customWidth="1"/>
    <col min="6657" max="6657" width="25.140625" customWidth="1"/>
    <col min="6658" max="6658" width="11.85546875" customWidth="1"/>
    <col min="6660" max="6660" width="12.42578125" customWidth="1"/>
    <col min="6661" max="6661" width="17.42578125" customWidth="1"/>
    <col min="6913" max="6913" width="25.140625" customWidth="1"/>
    <col min="6914" max="6914" width="11.85546875" customWidth="1"/>
    <col min="6916" max="6916" width="12.42578125" customWidth="1"/>
    <col min="6917" max="6917" width="17.42578125" customWidth="1"/>
    <col min="7169" max="7169" width="25.140625" customWidth="1"/>
    <col min="7170" max="7170" width="11.85546875" customWidth="1"/>
    <col min="7172" max="7172" width="12.42578125" customWidth="1"/>
    <col min="7173" max="7173" width="17.42578125" customWidth="1"/>
    <col min="7425" max="7425" width="25.140625" customWidth="1"/>
    <col min="7426" max="7426" width="11.85546875" customWidth="1"/>
    <col min="7428" max="7428" width="12.42578125" customWidth="1"/>
    <col min="7429" max="7429" width="17.42578125" customWidth="1"/>
    <col min="7681" max="7681" width="25.140625" customWidth="1"/>
    <col min="7682" max="7682" width="11.85546875" customWidth="1"/>
    <col min="7684" max="7684" width="12.42578125" customWidth="1"/>
    <col min="7685" max="7685" width="17.42578125" customWidth="1"/>
    <col min="7937" max="7937" width="25.140625" customWidth="1"/>
    <col min="7938" max="7938" width="11.85546875" customWidth="1"/>
    <col min="7940" max="7940" width="12.42578125" customWidth="1"/>
    <col min="7941" max="7941" width="17.42578125" customWidth="1"/>
    <col min="8193" max="8193" width="25.140625" customWidth="1"/>
    <col min="8194" max="8194" width="11.85546875" customWidth="1"/>
    <col min="8196" max="8196" width="12.42578125" customWidth="1"/>
    <col min="8197" max="8197" width="17.42578125" customWidth="1"/>
    <col min="8449" max="8449" width="25.140625" customWidth="1"/>
    <col min="8450" max="8450" width="11.85546875" customWidth="1"/>
    <col min="8452" max="8452" width="12.42578125" customWidth="1"/>
    <col min="8453" max="8453" width="17.42578125" customWidth="1"/>
    <col min="8705" max="8705" width="25.140625" customWidth="1"/>
    <col min="8706" max="8706" width="11.85546875" customWidth="1"/>
    <col min="8708" max="8708" width="12.42578125" customWidth="1"/>
    <col min="8709" max="8709" width="17.42578125" customWidth="1"/>
    <col min="8961" max="8961" width="25.140625" customWidth="1"/>
    <col min="8962" max="8962" width="11.85546875" customWidth="1"/>
    <col min="8964" max="8964" width="12.42578125" customWidth="1"/>
    <col min="8965" max="8965" width="17.42578125" customWidth="1"/>
    <col min="9217" max="9217" width="25.140625" customWidth="1"/>
    <col min="9218" max="9218" width="11.85546875" customWidth="1"/>
    <col min="9220" max="9220" width="12.42578125" customWidth="1"/>
    <col min="9221" max="9221" width="17.42578125" customWidth="1"/>
    <col min="9473" max="9473" width="25.140625" customWidth="1"/>
    <col min="9474" max="9474" width="11.85546875" customWidth="1"/>
    <col min="9476" max="9476" width="12.42578125" customWidth="1"/>
    <col min="9477" max="9477" width="17.42578125" customWidth="1"/>
    <col min="9729" max="9729" width="25.140625" customWidth="1"/>
    <col min="9730" max="9730" width="11.85546875" customWidth="1"/>
    <col min="9732" max="9732" width="12.42578125" customWidth="1"/>
    <col min="9733" max="9733" width="17.42578125" customWidth="1"/>
    <col min="9985" max="9985" width="25.140625" customWidth="1"/>
    <col min="9986" max="9986" width="11.85546875" customWidth="1"/>
    <col min="9988" max="9988" width="12.42578125" customWidth="1"/>
    <col min="9989" max="9989" width="17.42578125" customWidth="1"/>
    <col min="10241" max="10241" width="25.140625" customWidth="1"/>
    <col min="10242" max="10242" width="11.85546875" customWidth="1"/>
    <col min="10244" max="10244" width="12.42578125" customWidth="1"/>
    <col min="10245" max="10245" width="17.42578125" customWidth="1"/>
    <col min="10497" max="10497" width="25.140625" customWidth="1"/>
    <col min="10498" max="10498" width="11.85546875" customWidth="1"/>
    <col min="10500" max="10500" width="12.42578125" customWidth="1"/>
    <col min="10501" max="10501" width="17.42578125" customWidth="1"/>
    <col min="10753" max="10753" width="25.140625" customWidth="1"/>
    <col min="10754" max="10754" width="11.85546875" customWidth="1"/>
    <col min="10756" max="10756" width="12.42578125" customWidth="1"/>
    <col min="10757" max="10757" width="17.42578125" customWidth="1"/>
    <col min="11009" max="11009" width="25.140625" customWidth="1"/>
    <col min="11010" max="11010" width="11.85546875" customWidth="1"/>
    <col min="11012" max="11012" width="12.42578125" customWidth="1"/>
    <col min="11013" max="11013" width="17.42578125" customWidth="1"/>
    <col min="11265" max="11265" width="25.140625" customWidth="1"/>
    <col min="11266" max="11266" width="11.85546875" customWidth="1"/>
    <col min="11268" max="11268" width="12.42578125" customWidth="1"/>
    <col min="11269" max="11269" width="17.42578125" customWidth="1"/>
    <col min="11521" max="11521" width="25.140625" customWidth="1"/>
    <col min="11522" max="11522" width="11.85546875" customWidth="1"/>
    <col min="11524" max="11524" width="12.42578125" customWidth="1"/>
    <col min="11525" max="11525" width="17.42578125" customWidth="1"/>
    <col min="11777" max="11777" width="25.140625" customWidth="1"/>
    <col min="11778" max="11778" width="11.85546875" customWidth="1"/>
    <col min="11780" max="11780" width="12.42578125" customWidth="1"/>
    <col min="11781" max="11781" width="17.42578125" customWidth="1"/>
    <col min="12033" max="12033" width="25.140625" customWidth="1"/>
    <col min="12034" max="12034" width="11.85546875" customWidth="1"/>
    <col min="12036" max="12036" width="12.42578125" customWidth="1"/>
    <col min="12037" max="12037" width="17.42578125" customWidth="1"/>
    <col min="12289" max="12289" width="25.140625" customWidth="1"/>
    <col min="12290" max="12290" width="11.85546875" customWidth="1"/>
    <col min="12292" max="12292" width="12.42578125" customWidth="1"/>
    <col min="12293" max="12293" width="17.42578125" customWidth="1"/>
    <col min="12545" max="12545" width="25.140625" customWidth="1"/>
    <col min="12546" max="12546" width="11.85546875" customWidth="1"/>
    <col min="12548" max="12548" width="12.42578125" customWidth="1"/>
    <col min="12549" max="12549" width="17.42578125" customWidth="1"/>
    <col min="12801" max="12801" width="25.140625" customWidth="1"/>
    <col min="12802" max="12802" width="11.85546875" customWidth="1"/>
    <col min="12804" max="12804" width="12.42578125" customWidth="1"/>
    <col min="12805" max="12805" width="17.42578125" customWidth="1"/>
    <col min="13057" max="13057" width="25.140625" customWidth="1"/>
    <col min="13058" max="13058" width="11.85546875" customWidth="1"/>
    <col min="13060" max="13060" width="12.42578125" customWidth="1"/>
    <col min="13061" max="13061" width="17.42578125" customWidth="1"/>
    <col min="13313" max="13313" width="25.140625" customWidth="1"/>
    <col min="13314" max="13314" width="11.85546875" customWidth="1"/>
    <col min="13316" max="13316" width="12.42578125" customWidth="1"/>
    <col min="13317" max="13317" width="17.42578125" customWidth="1"/>
    <col min="13569" max="13569" width="25.140625" customWidth="1"/>
    <col min="13570" max="13570" width="11.85546875" customWidth="1"/>
    <col min="13572" max="13572" width="12.42578125" customWidth="1"/>
    <col min="13573" max="13573" width="17.42578125" customWidth="1"/>
    <col min="13825" max="13825" width="25.140625" customWidth="1"/>
    <col min="13826" max="13826" width="11.85546875" customWidth="1"/>
    <col min="13828" max="13828" width="12.42578125" customWidth="1"/>
    <col min="13829" max="13829" width="17.42578125" customWidth="1"/>
    <col min="14081" max="14081" width="25.140625" customWidth="1"/>
    <col min="14082" max="14082" width="11.85546875" customWidth="1"/>
    <col min="14084" max="14084" width="12.42578125" customWidth="1"/>
    <col min="14085" max="14085" width="17.42578125" customWidth="1"/>
    <col min="14337" max="14337" width="25.140625" customWidth="1"/>
    <col min="14338" max="14338" width="11.85546875" customWidth="1"/>
    <col min="14340" max="14340" width="12.42578125" customWidth="1"/>
    <col min="14341" max="14341" width="17.42578125" customWidth="1"/>
    <col min="14593" max="14593" width="25.140625" customWidth="1"/>
    <col min="14594" max="14594" width="11.85546875" customWidth="1"/>
    <col min="14596" max="14596" width="12.42578125" customWidth="1"/>
    <col min="14597" max="14597" width="17.42578125" customWidth="1"/>
    <col min="14849" max="14849" width="25.140625" customWidth="1"/>
    <col min="14850" max="14850" width="11.85546875" customWidth="1"/>
    <col min="14852" max="14852" width="12.42578125" customWidth="1"/>
    <col min="14853" max="14853" width="17.42578125" customWidth="1"/>
    <col min="15105" max="15105" width="25.140625" customWidth="1"/>
    <col min="15106" max="15106" width="11.85546875" customWidth="1"/>
    <col min="15108" max="15108" width="12.42578125" customWidth="1"/>
    <col min="15109" max="15109" width="17.42578125" customWidth="1"/>
    <col min="15361" max="15361" width="25.140625" customWidth="1"/>
    <col min="15362" max="15362" width="11.85546875" customWidth="1"/>
    <col min="15364" max="15364" width="12.42578125" customWidth="1"/>
    <col min="15365" max="15365" width="17.42578125" customWidth="1"/>
    <col min="15617" max="15617" width="25.140625" customWidth="1"/>
    <col min="15618" max="15618" width="11.85546875" customWidth="1"/>
    <col min="15620" max="15620" width="12.42578125" customWidth="1"/>
    <col min="15621" max="15621" width="17.42578125" customWidth="1"/>
    <col min="15873" max="15873" width="25.140625" customWidth="1"/>
    <col min="15874" max="15874" width="11.85546875" customWidth="1"/>
    <col min="15876" max="15876" width="12.42578125" customWidth="1"/>
    <col min="15877" max="15877" width="17.42578125" customWidth="1"/>
    <col min="16129" max="16129" width="25.14062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 x14ac:dyDescent="0.25">
      <c r="B2" s="1"/>
    </row>
    <row r="4" spans="1:5" x14ac:dyDescent="0.25">
      <c r="E4" s="16"/>
    </row>
    <row r="5" spans="1:5" x14ac:dyDescent="0.25">
      <c r="B5" s="14"/>
    </row>
    <row r="6" spans="1:5" x14ac:dyDescent="0.25">
      <c r="A6" s="1"/>
      <c r="B6" s="14"/>
      <c r="E6" s="17"/>
    </row>
    <row r="7" spans="1:5" ht="15.75" thickBot="1" x14ac:dyDescent="0.3">
      <c r="A7" s="1"/>
      <c r="B7" s="14"/>
      <c r="E7" s="18"/>
    </row>
    <row r="8" spans="1:5" ht="15.75" thickTop="1" x14ac:dyDescent="0.25">
      <c r="A8" s="19"/>
      <c r="B8" s="20"/>
      <c r="C8" s="21"/>
      <c r="D8" s="22"/>
      <c r="E8" s="23"/>
    </row>
    <row r="9" spans="1:5" x14ac:dyDescent="0.25">
      <c r="A9" s="24"/>
      <c r="B9" s="25"/>
      <c r="C9" s="26"/>
      <c r="D9" s="27"/>
      <c r="E9" s="28"/>
    </row>
    <row r="10" spans="1:5" x14ac:dyDescent="0.25">
      <c r="A10" s="29"/>
      <c r="B10" s="30"/>
      <c r="C10" s="31"/>
      <c r="D10" s="32"/>
      <c r="E10" s="33"/>
    </row>
    <row r="11" spans="1:5" x14ac:dyDescent="0.25">
      <c r="A11" s="29"/>
      <c r="B11" s="30"/>
      <c r="C11" s="31"/>
      <c r="D11" s="32"/>
      <c r="E11" s="33"/>
    </row>
    <row r="12" spans="1:5" hidden="1" x14ac:dyDescent="0.25">
      <c r="A12" s="29"/>
      <c r="B12" s="30"/>
      <c r="C12" s="31"/>
      <c r="D12" s="32"/>
      <c r="E12" s="33"/>
    </row>
    <row r="13" spans="1:5" x14ac:dyDescent="0.25">
      <c r="A13" s="29"/>
      <c r="B13" s="30"/>
      <c r="C13" s="31"/>
      <c r="D13" s="32"/>
      <c r="E13" s="33"/>
    </row>
    <row r="14" spans="1:5" x14ac:dyDescent="0.25">
      <c r="A14" s="29"/>
      <c r="B14" s="30"/>
      <c r="C14" s="31"/>
      <c r="D14" s="27"/>
      <c r="E14" s="34"/>
    </row>
    <row r="15" spans="1:5" x14ac:dyDescent="0.25">
      <c r="A15" s="24"/>
      <c r="B15" s="35"/>
      <c r="C15" s="36"/>
      <c r="D15" s="32"/>
      <c r="E15" s="37"/>
    </row>
    <row r="16" spans="1:5" x14ac:dyDescent="0.25">
      <c r="A16" s="24"/>
      <c r="B16" s="25"/>
      <c r="C16" s="38"/>
      <c r="D16" s="32"/>
      <c r="E16" s="37"/>
    </row>
    <row r="17" spans="1:5" x14ac:dyDescent="0.25">
      <c r="A17" s="29"/>
      <c r="B17" s="11"/>
      <c r="C17" s="7"/>
      <c r="D17" s="8"/>
      <c r="E17" s="41"/>
    </row>
    <row r="18" spans="1:5" x14ac:dyDescent="0.25">
      <c r="A18" s="29"/>
      <c r="B18" s="11"/>
      <c r="C18" s="11"/>
      <c r="D18" s="8"/>
      <c r="E18" s="33"/>
    </row>
    <row r="19" spans="1:5" x14ac:dyDescent="0.25">
      <c r="A19" s="42"/>
      <c r="B19" s="7"/>
      <c r="C19" s="7"/>
      <c r="D19" s="8"/>
      <c r="E19" s="33"/>
    </row>
    <row r="20" spans="1:5" x14ac:dyDescent="0.25">
      <c r="A20" s="29"/>
      <c r="B20" s="11"/>
      <c r="C20" s="7"/>
      <c r="D20" s="8"/>
      <c r="E20" s="33"/>
    </row>
    <row r="21" spans="1:5" x14ac:dyDescent="0.25">
      <c r="A21" s="29"/>
      <c r="B21" s="11"/>
      <c r="C21" s="7"/>
      <c r="D21" s="8"/>
      <c r="E21" s="33"/>
    </row>
    <row r="22" spans="1:5" x14ac:dyDescent="0.25">
      <c r="A22" s="29"/>
      <c r="B22" s="11"/>
      <c r="C22" s="7"/>
      <c r="D22" s="8"/>
      <c r="E22" s="33"/>
    </row>
    <row r="23" spans="1:5" x14ac:dyDescent="0.25">
      <c r="A23" s="29"/>
      <c r="B23" s="11"/>
      <c r="C23" s="7"/>
      <c r="D23" s="8"/>
      <c r="E23" s="33"/>
    </row>
    <row r="24" spans="1:5" hidden="1" x14ac:dyDescent="0.25">
      <c r="A24" s="29"/>
      <c r="B24" s="11"/>
      <c r="C24" s="11"/>
      <c r="D24" s="8"/>
      <c r="E24" s="33"/>
    </row>
    <row r="25" spans="1:5" hidden="1" x14ac:dyDescent="0.25">
      <c r="A25" s="29"/>
      <c r="B25" s="11"/>
      <c r="C25" s="7"/>
      <c r="D25" s="8"/>
      <c r="E25" s="33"/>
    </row>
    <row r="26" spans="1:5" hidden="1" x14ac:dyDescent="0.25">
      <c r="A26" s="29"/>
      <c r="B26" s="11"/>
      <c r="C26" s="7"/>
      <c r="D26" s="8"/>
      <c r="E26" s="33"/>
    </row>
    <row r="27" spans="1:5" x14ac:dyDescent="0.25">
      <c r="A27" s="29"/>
      <c r="B27" s="7"/>
      <c r="C27" s="7"/>
      <c r="D27" s="8"/>
      <c r="E27" s="33"/>
    </row>
    <row r="28" spans="1:5" x14ac:dyDescent="0.25">
      <c r="A28" s="29"/>
      <c r="B28" s="7"/>
      <c r="C28" s="7"/>
      <c r="D28" s="8"/>
      <c r="E28" s="33"/>
    </row>
    <row r="29" spans="1:5" x14ac:dyDescent="0.25">
      <c r="A29" s="29"/>
      <c r="B29" s="7"/>
      <c r="C29" s="7"/>
      <c r="D29" s="8"/>
      <c r="E29" s="33"/>
    </row>
    <row r="30" spans="1:5" x14ac:dyDescent="0.25">
      <c r="A30" s="29"/>
      <c r="B30" s="11"/>
      <c r="C30" s="11"/>
      <c r="D30" s="8"/>
      <c r="E30" s="33"/>
    </row>
    <row r="31" spans="1:5" x14ac:dyDescent="0.25">
      <c r="A31" s="29"/>
      <c r="B31" s="11"/>
      <c r="C31" s="11"/>
      <c r="D31" s="8"/>
      <c r="E31" s="33"/>
    </row>
    <row r="32" spans="1:5" x14ac:dyDescent="0.25">
      <c r="A32" s="29"/>
      <c r="B32" s="11"/>
      <c r="C32" s="11"/>
      <c r="D32" s="8"/>
      <c r="E32" s="33"/>
    </row>
    <row r="33" spans="1:5" x14ac:dyDescent="0.25">
      <c r="A33" s="29"/>
      <c r="B33" s="11"/>
      <c r="C33" s="11"/>
      <c r="D33" s="8"/>
      <c r="E33" s="33"/>
    </row>
    <row r="34" spans="1:5" hidden="1" x14ac:dyDescent="0.25">
      <c r="A34" s="29"/>
      <c r="B34" s="11"/>
      <c r="C34" s="7"/>
      <c r="D34" s="8"/>
      <c r="E34" s="33"/>
    </row>
    <row r="35" spans="1:5" x14ac:dyDescent="0.25">
      <c r="A35" s="29"/>
      <c r="B35" s="11"/>
      <c r="C35" s="7"/>
      <c r="D35" s="8"/>
      <c r="E35" s="33"/>
    </row>
    <row r="36" spans="1:5" x14ac:dyDescent="0.25">
      <c r="A36" s="29"/>
      <c r="B36" s="11"/>
      <c r="C36" s="7"/>
      <c r="D36" s="8"/>
      <c r="E36" s="33"/>
    </row>
    <row r="37" spans="1:5" x14ac:dyDescent="0.25">
      <c r="A37" s="29"/>
      <c r="B37" s="11"/>
      <c r="C37" s="11"/>
      <c r="D37" s="8"/>
      <c r="E37" s="33"/>
    </row>
    <row r="38" spans="1:5" x14ac:dyDescent="0.25">
      <c r="A38" s="29"/>
      <c r="B38" s="11"/>
      <c r="C38" s="7"/>
      <c r="D38" s="8"/>
      <c r="E38" s="33"/>
    </row>
    <row r="39" spans="1:5" x14ac:dyDescent="0.25">
      <c r="A39" s="29"/>
      <c r="B39" s="11"/>
      <c r="C39" s="7"/>
      <c r="D39" s="8"/>
      <c r="E39" s="33"/>
    </row>
    <row r="40" spans="1:5" hidden="1" x14ac:dyDescent="0.25">
      <c r="A40" s="29"/>
      <c r="B40" s="11"/>
      <c r="C40" s="7"/>
      <c r="D40" s="8"/>
      <c r="E40" s="33"/>
    </row>
    <row r="41" spans="1:5" hidden="1" x14ac:dyDescent="0.25">
      <c r="A41" s="29"/>
      <c r="B41" s="30"/>
      <c r="C41" s="39"/>
      <c r="D41" s="40"/>
      <c r="E41" s="33"/>
    </row>
    <row r="42" spans="1:5" x14ac:dyDescent="0.25">
      <c r="A42" s="29"/>
      <c r="B42" s="11"/>
      <c r="C42" s="7"/>
      <c r="D42" s="8"/>
      <c r="E42" s="33"/>
    </row>
    <row r="43" spans="1:5" x14ac:dyDescent="0.25">
      <c r="A43" s="29"/>
      <c r="B43" s="11"/>
      <c r="C43" s="11"/>
      <c r="D43" s="8"/>
      <c r="E43" s="33"/>
    </row>
    <row r="44" spans="1:5" x14ac:dyDescent="0.25">
      <c r="A44" s="29"/>
      <c r="B44" s="30"/>
      <c r="C44" s="39"/>
      <c r="D44" s="40"/>
      <c r="E44" s="33"/>
    </row>
    <row r="45" spans="1:5" x14ac:dyDescent="0.25">
      <c r="A45" s="29"/>
      <c r="B45" s="30"/>
      <c r="C45" s="39"/>
      <c r="D45" s="40"/>
      <c r="E45" s="33"/>
    </row>
    <row r="46" spans="1:5" x14ac:dyDescent="0.25">
      <c r="A46" s="29"/>
      <c r="B46" s="30"/>
      <c r="C46" s="39"/>
      <c r="D46" s="40"/>
      <c r="E46" s="33"/>
    </row>
    <row r="47" spans="1:5" x14ac:dyDescent="0.25">
      <c r="A47" s="29"/>
      <c r="B47" s="103"/>
      <c r="C47" s="7"/>
      <c r="D47" s="8"/>
      <c r="E47" s="33"/>
    </row>
    <row r="48" spans="1:5" x14ac:dyDescent="0.25">
      <c r="A48" s="29"/>
      <c r="B48" s="103"/>
      <c r="C48" s="7"/>
      <c r="D48" s="8"/>
      <c r="E48" s="33"/>
    </row>
    <row r="49" spans="1:5" x14ac:dyDescent="0.25">
      <c r="A49" s="29"/>
      <c r="B49" s="103"/>
      <c r="C49" s="11"/>
      <c r="D49" s="8"/>
      <c r="E49" s="33"/>
    </row>
    <row r="50" spans="1:5" x14ac:dyDescent="0.25">
      <c r="A50" s="29"/>
      <c r="B50" s="103"/>
      <c r="C50" s="11"/>
      <c r="D50" s="8"/>
      <c r="E50" s="33"/>
    </row>
    <row r="51" spans="1:5" x14ac:dyDescent="0.25">
      <c r="A51" s="29"/>
      <c r="B51" s="103"/>
      <c r="C51" s="11"/>
      <c r="D51" s="8"/>
      <c r="E51" s="33"/>
    </row>
    <row r="52" spans="1:5" hidden="1" x14ac:dyDescent="0.25">
      <c r="A52" s="29"/>
      <c r="B52" s="11"/>
      <c r="C52" s="7"/>
      <c r="D52" s="8"/>
      <c r="E52" s="33"/>
    </row>
    <row r="53" spans="1:5" hidden="1" x14ac:dyDescent="0.25">
      <c r="A53" s="29"/>
      <c r="B53" s="11"/>
      <c r="C53" s="11"/>
      <c r="D53" s="8"/>
      <c r="E53" s="33"/>
    </row>
    <row r="54" spans="1:5" x14ac:dyDescent="0.25">
      <c r="A54" s="29"/>
      <c r="B54" s="103"/>
      <c r="C54" s="11"/>
      <c r="D54" s="8"/>
      <c r="E54" s="33"/>
    </row>
    <row r="55" spans="1:5" hidden="1" x14ac:dyDescent="0.25">
      <c r="A55" s="29"/>
      <c r="B55" s="11"/>
      <c r="C55" s="7"/>
      <c r="D55" s="8"/>
      <c r="E55" s="33"/>
    </row>
    <row r="56" spans="1:5" hidden="1" x14ac:dyDescent="0.25">
      <c r="A56" s="29"/>
      <c r="B56" s="11"/>
      <c r="C56" s="11"/>
      <c r="D56" s="8"/>
      <c r="E56" s="33"/>
    </row>
    <row r="57" spans="1:5" hidden="1" x14ac:dyDescent="0.25">
      <c r="A57" s="29"/>
      <c r="B57" s="11"/>
      <c r="C57" s="7"/>
      <c r="D57" s="8"/>
      <c r="E57" s="33"/>
    </row>
    <row r="58" spans="1:5" hidden="1" x14ac:dyDescent="0.25">
      <c r="A58" s="29"/>
      <c r="B58" s="11"/>
      <c r="C58" s="11"/>
      <c r="D58" s="8"/>
      <c r="E58" s="33"/>
    </row>
    <row r="59" spans="1:5" x14ac:dyDescent="0.25">
      <c r="A59" s="29"/>
      <c r="B59" s="11"/>
      <c r="C59" s="11"/>
      <c r="D59" s="8"/>
      <c r="E59" s="33"/>
    </row>
    <row r="60" spans="1:5" hidden="1" x14ac:dyDescent="0.25">
      <c r="A60" s="29"/>
      <c r="B60" s="11"/>
      <c r="C60" s="7"/>
      <c r="D60" s="8"/>
      <c r="E60" s="33"/>
    </row>
    <row r="61" spans="1:5" x14ac:dyDescent="0.25">
      <c r="A61" s="29"/>
      <c r="B61" s="11"/>
      <c r="C61" s="7"/>
      <c r="D61" s="8"/>
      <c r="E61" s="33"/>
    </row>
    <row r="62" spans="1:5" x14ac:dyDescent="0.25">
      <c r="A62" s="29"/>
      <c r="B62" s="11"/>
      <c r="C62" s="7"/>
      <c r="D62" s="8"/>
      <c r="E62" s="33"/>
    </row>
    <row r="63" spans="1:5" x14ac:dyDescent="0.25">
      <c r="A63" s="42"/>
      <c r="B63" s="7"/>
      <c r="C63" s="7"/>
      <c r="D63" s="43"/>
      <c r="E63" s="34"/>
    </row>
    <row r="64" spans="1:5" x14ac:dyDescent="0.25">
      <c r="A64" s="42"/>
      <c r="B64" s="7"/>
      <c r="C64" s="7"/>
      <c r="D64" s="8"/>
      <c r="E64" s="33"/>
    </row>
    <row r="65" spans="1:5" x14ac:dyDescent="0.25">
      <c r="A65" s="42"/>
      <c r="B65" s="7"/>
      <c r="C65" s="7"/>
      <c r="D65" s="44"/>
      <c r="E65" s="34"/>
    </row>
    <row r="66" spans="1:5" ht="15.75" thickBot="1" x14ac:dyDescent="0.3">
      <c r="A66" s="45"/>
      <c r="B66" s="46"/>
      <c r="C66" s="46"/>
      <c r="D66" s="47"/>
      <c r="E66" s="48"/>
    </row>
    <row r="67" spans="1:5" ht="15.75" thickTop="1" x14ac:dyDescent="0.25">
      <c r="A67" s="49"/>
      <c r="B67" s="21"/>
      <c r="C67" s="21"/>
      <c r="D67" s="22"/>
      <c r="E67" s="23"/>
    </row>
    <row r="68" spans="1:5" x14ac:dyDescent="0.25">
      <c r="A68" s="24"/>
      <c r="B68" s="6"/>
      <c r="C68" s="7"/>
      <c r="D68" s="8"/>
      <c r="E68" s="33"/>
    </row>
    <row r="69" spans="1:5" x14ac:dyDescent="0.25">
      <c r="A69" s="24"/>
      <c r="B69" s="25"/>
      <c r="C69" s="38"/>
      <c r="D69" s="27"/>
      <c r="E69" s="28"/>
    </row>
    <row r="70" spans="1:5" x14ac:dyDescent="0.25">
      <c r="A70" s="42"/>
      <c r="B70" s="7"/>
      <c r="C70" s="7"/>
      <c r="D70" s="8"/>
      <c r="E70" s="33"/>
    </row>
    <row r="71" spans="1:5" x14ac:dyDescent="0.25">
      <c r="A71" s="42"/>
      <c r="B71" s="7"/>
      <c r="C71" s="7"/>
      <c r="D71" s="8"/>
      <c r="E71" s="33"/>
    </row>
    <row r="72" spans="1:5" x14ac:dyDescent="0.25">
      <c r="A72" s="42"/>
      <c r="B72" s="7"/>
      <c r="C72" s="7"/>
      <c r="D72" s="8"/>
      <c r="E72" s="33"/>
    </row>
    <row r="73" spans="1:5" x14ac:dyDescent="0.25">
      <c r="A73" s="42"/>
      <c r="B73" s="7"/>
      <c r="C73" s="11"/>
      <c r="D73" s="8"/>
      <c r="E73" s="33"/>
    </row>
    <row r="74" spans="1:5" x14ac:dyDescent="0.25">
      <c r="A74" s="42"/>
      <c r="B74" s="7"/>
      <c r="C74" s="11"/>
      <c r="D74" s="8"/>
      <c r="E74" s="33"/>
    </row>
    <row r="75" spans="1:5" x14ac:dyDescent="0.25">
      <c r="A75" s="42"/>
      <c r="B75" s="7"/>
      <c r="C75" s="7"/>
      <c r="D75" s="43"/>
      <c r="E75" s="34"/>
    </row>
    <row r="76" spans="1:5" x14ac:dyDescent="0.25">
      <c r="A76" s="42"/>
      <c r="B76" s="7"/>
      <c r="C76" s="7"/>
      <c r="D76" s="8"/>
      <c r="E76" s="33"/>
    </row>
    <row r="77" spans="1:5" x14ac:dyDescent="0.25">
      <c r="A77" s="24"/>
      <c r="B77" s="7"/>
      <c r="C77" s="7"/>
      <c r="D77" s="8"/>
      <c r="E77" s="33"/>
    </row>
    <row r="78" spans="1:5" x14ac:dyDescent="0.25">
      <c r="A78" s="42"/>
      <c r="B78" s="11"/>
      <c r="C78" s="7"/>
      <c r="D78" s="8"/>
      <c r="E78" s="33"/>
    </row>
    <row r="79" spans="1:5" ht="15.75" hidden="1" customHeight="1" x14ac:dyDescent="0.25">
      <c r="A79" s="42"/>
      <c r="B79" s="11"/>
      <c r="C79" s="7"/>
      <c r="D79" s="8"/>
      <c r="E79" s="33"/>
    </row>
    <row r="80" spans="1:5" hidden="1" x14ac:dyDescent="0.25">
      <c r="A80" s="42"/>
      <c r="B80" s="11"/>
      <c r="C80" s="7"/>
      <c r="D80" s="8"/>
      <c r="E80" s="33"/>
    </row>
    <row r="81" spans="1:5" hidden="1" x14ac:dyDescent="0.25">
      <c r="A81" s="42"/>
      <c r="B81" s="11"/>
      <c r="C81" s="7"/>
      <c r="D81" s="8"/>
      <c r="E81" s="33"/>
    </row>
    <row r="82" spans="1:5" x14ac:dyDescent="0.25">
      <c r="A82" s="42"/>
      <c r="B82" s="11"/>
      <c r="C82" s="7"/>
      <c r="D82" s="8"/>
      <c r="E82" s="33"/>
    </row>
    <row r="83" spans="1:5" hidden="1" x14ac:dyDescent="0.25">
      <c r="A83" s="42"/>
      <c r="B83" s="11"/>
      <c r="C83" s="7"/>
      <c r="D83" s="8"/>
      <c r="E83" s="33"/>
    </row>
    <row r="84" spans="1:5" hidden="1" x14ac:dyDescent="0.25">
      <c r="A84" s="42"/>
      <c r="B84" s="11"/>
      <c r="C84" s="7"/>
      <c r="D84" s="8"/>
      <c r="E84" s="33"/>
    </row>
    <row r="85" spans="1:5" x14ac:dyDescent="0.25">
      <c r="A85" s="42"/>
      <c r="B85" s="11"/>
      <c r="C85" s="7"/>
      <c r="D85" s="8"/>
      <c r="E85" s="33"/>
    </row>
    <row r="86" spans="1:5" hidden="1" x14ac:dyDescent="0.25">
      <c r="A86" s="42"/>
      <c r="B86" s="11"/>
      <c r="C86" s="7"/>
      <c r="D86" s="8"/>
      <c r="E86" s="33"/>
    </row>
    <row r="87" spans="1:5" x14ac:dyDescent="0.25">
      <c r="A87" s="42"/>
      <c r="B87" s="11"/>
      <c r="C87" s="7"/>
      <c r="D87" s="8"/>
      <c r="E87" s="33"/>
    </row>
    <row r="88" spans="1:5" x14ac:dyDescent="0.25">
      <c r="A88" s="42"/>
      <c r="B88" s="11"/>
      <c r="C88" s="7"/>
      <c r="D88" s="8"/>
      <c r="E88" s="33"/>
    </row>
    <row r="89" spans="1:5" x14ac:dyDescent="0.25">
      <c r="A89" s="42"/>
      <c r="B89" s="11"/>
      <c r="C89" s="7"/>
      <c r="D89" s="8"/>
      <c r="E89" s="33"/>
    </row>
    <row r="90" spans="1:5" x14ac:dyDescent="0.25">
      <c r="A90" s="42"/>
      <c r="B90" s="11"/>
      <c r="C90" s="7"/>
      <c r="D90" s="8"/>
      <c r="E90" s="33"/>
    </row>
    <row r="91" spans="1:5" hidden="1" x14ac:dyDescent="0.25">
      <c r="A91" s="42"/>
      <c r="B91" s="7"/>
      <c r="C91" s="7"/>
      <c r="D91" s="8"/>
      <c r="E91" s="33"/>
    </row>
    <row r="92" spans="1:5" x14ac:dyDescent="0.25">
      <c r="A92" s="42"/>
      <c r="B92" s="11"/>
      <c r="C92" s="7"/>
      <c r="D92" s="8"/>
      <c r="E92" s="33"/>
    </row>
    <row r="93" spans="1:5" x14ac:dyDescent="0.25">
      <c r="A93" s="42"/>
      <c r="B93" s="11"/>
      <c r="C93" s="7"/>
      <c r="D93" s="8"/>
      <c r="E93" s="33"/>
    </row>
    <row r="94" spans="1:5" hidden="1" x14ac:dyDescent="0.25">
      <c r="A94" s="42"/>
      <c r="B94" s="11"/>
      <c r="C94" s="7"/>
      <c r="D94" s="8"/>
      <c r="E94" s="33"/>
    </row>
    <row r="95" spans="1:5" x14ac:dyDescent="0.25">
      <c r="A95" s="42"/>
      <c r="B95" s="7"/>
      <c r="C95" s="7"/>
      <c r="D95" s="8"/>
      <c r="E95" s="33"/>
    </row>
    <row r="96" spans="1:5" hidden="1" x14ac:dyDescent="0.25">
      <c r="A96" s="42"/>
      <c r="B96" s="11"/>
      <c r="C96" s="7"/>
      <c r="D96" s="8"/>
      <c r="E96" s="33"/>
    </row>
    <row r="97" spans="1:5" x14ac:dyDescent="0.25">
      <c r="A97" s="42"/>
      <c r="B97" s="7"/>
      <c r="C97" s="7"/>
      <c r="D97" s="8"/>
      <c r="E97" s="33"/>
    </row>
    <row r="98" spans="1:5" x14ac:dyDescent="0.25">
      <c r="A98" s="42"/>
      <c r="B98" s="11"/>
      <c r="C98" s="7"/>
      <c r="D98" s="8"/>
      <c r="E98" s="33"/>
    </row>
    <row r="99" spans="1:5" hidden="1" x14ac:dyDescent="0.25">
      <c r="A99" s="42"/>
      <c r="B99" s="11"/>
      <c r="C99" s="7"/>
      <c r="D99" s="8"/>
      <c r="E99" s="33"/>
    </row>
    <row r="100" spans="1:5" x14ac:dyDescent="0.25">
      <c r="A100" s="42"/>
      <c r="B100" s="7"/>
      <c r="C100" s="7"/>
      <c r="D100" s="8"/>
      <c r="E100" s="33"/>
    </row>
    <row r="101" spans="1:5" hidden="1" x14ac:dyDescent="0.25">
      <c r="A101" s="42"/>
      <c r="B101" s="11"/>
      <c r="C101" s="7"/>
      <c r="D101" s="8"/>
      <c r="E101" s="33"/>
    </row>
    <row r="102" spans="1:5" x14ac:dyDescent="0.25">
      <c r="A102" s="42"/>
      <c r="B102" s="7"/>
      <c r="C102" s="7"/>
      <c r="D102" s="8"/>
      <c r="E102" s="33"/>
    </row>
    <row r="103" spans="1:5" x14ac:dyDescent="0.25">
      <c r="A103" s="42"/>
      <c r="B103" s="7"/>
      <c r="C103" s="7"/>
      <c r="D103" s="43"/>
      <c r="E103" s="34"/>
    </row>
    <row r="104" spans="1:5" x14ac:dyDescent="0.25">
      <c r="A104" s="42"/>
      <c r="B104" s="7"/>
      <c r="C104" s="7"/>
      <c r="D104" s="8"/>
      <c r="E104" s="33"/>
    </row>
    <row r="105" spans="1:5" x14ac:dyDescent="0.25">
      <c r="A105" s="42"/>
      <c r="B105" s="7"/>
      <c r="C105" s="7"/>
      <c r="D105" s="44"/>
      <c r="E105" s="34"/>
    </row>
    <row r="106" spans="1:5" ht="15.75" thickBot="1" x14ac:dyDescent="0.3">
      <c r="A106" s="45"/>
      <c r="B106" s="46"/>
      <c r="C106" s="46"/>
      <c r="D106" s="47"/>
      <c r="E106" s="48"/>
    </row>
    <row r="107" spans="1:5" ht="15.75" thickTop="1" x14ac:dyDescent="0.25">
      <c r="A107" s="49"/>
      <c r="B107" s="21"/>
      <c r="C107" s="21"/>
      <c r="D107" s="22"/>
      <c r="E107" s="23"/>
    </row>
    <row r="108" spans="1:5" x14ac:dyDescent="0.25">
      <c r="A108" s="24"/>
      <c r="B108" s="6"/>
      <c r="C108" s="7"/>
      <c r="D108" s="8"/>
      <c r="E108" s="33"/>
    </row>
    <row r="109" spans="1:5" x14ac:dyDescent="0.25">
      <c r="A109" s="24"/>
      <c r="B109" s="25"/>
      <c r="C109" s="38"/>
      <c r="D109" s="27"/>
      <c r="E109" s="28"/>
    </row>
    <row r="110" spans="1:5" hidden="1" x14ac:dyDescent="0.25">
      <c r="A110" s="42"/>
      <c r="B110" s="11"/>
      <c r="C110" s="11"/>
      <c r="D110" s="8"/>
      <c r="E110" s="33"/>
    </row>
    <row r="111" spans="1:5" hidden="1" x14ac:dyDescent="0.25">
      <c r="A111" s="42"/>
      <c r="B111" s="7"/>
      <c r="C111" s="11"/>
      <c r="D111" s="8"/>
      <c r="E111" s="33"/>
    </row>
    <row r="112" spans="1:5" x14ac:dyDescent="0.25">
      <c r="A112" s="42"/>
      <c r="B112" s="7"/>
      <c r="C112" s="11"/>
      <c r="D112" s="8"/>
      <c r="E112" s="33"/>
    </row>
    <row r="113" spans="1:5" x14ac:dyDescent="0.25">
      <c r="A113" s="42"/>
      <c r="B113" s="7"/>
      <c r="C113" s="11"/>
      <c r="D113" s="8"/>
      <c r="E113" s="33"/>
    </row>
    <row r="114" spans="1:5" x14ac:dyDescent="0.25">
      <c r="A114" s="42"/>
      <c r="B114" s="7"/>
      <c r="C114" s="11"/>
      <c r="D114" s="8"/>
      <c r="E114" s="33"/>
    </row>
    <row r="115" spans="1:5" x14ac:dyDescent="0.25">
      <c r="A115" s="42"/>
      <c r="B115" s="7"/>
      <c r="C115" s="11"/>
      <c r="D115" s="8"/>
      <c r="E115" s="33"/>
    </row>
    <row r="116" spans="1:5" x14ac:dyDescent="0.25">
      <c r="A116" s="42"/>
      <c r="B116" s="7"/>
      <c r="C116" s="11"/>
      <c r="D116" s="8"/>
      <c r="E116" s="33"/>
    </row>
    <row r="117" spans="1:5" hidden="1" x14ac:dyDescent="0.25">
      <c r="A117" s="42"/>
      <c r="B117" s="9"/>
      <c r="C117" s="7"/>
      <c r="D117" s="8"/>
      <c r="E117" s="33"/>
    </row>
    <row r="118" spans="1:5" x14ac:dyDescent="0.25">
      <c r="A118" s="42"/>
      <c r="B118" s="7"/>
      <c r="C118" s="11"/>
      <c r="D118" s="8"/>
      <c r="E118" s="33"/>
    </row>
    <row r="119" spans="1:5" x14ac:dyDescent="0.25">
      <c r="A119" s="42"/>
      <c r="B119" s="7"/>
      <c r="C119" s="11"/>
      <c r="D119" s="8"/>
      <c r="E119" s="33"/>
    </row>
    <row r="120" spans="1:5" x14ac:dyDescent="0.25">
      <c r="A120" s="42"/>
      <c r="B120" s="7"/>
      <c r="C120" s="7"/>
      <c r="D120" s="8"/>
      <c r="E120" s="33"/>
    </row>
    <row r="121" spans="1:5" x14ac:dyDescent="0.25">
      <c r="A121" s="42"/>
      <c r="B121" s="7"/>
      <c r="C121" s="7"/>
      <c r="D121" s="8"/>
      <c r="E121" s="33"/>
    </row>
    <row r="122" spans="1:5" x14ac:dyDescent="0.25">
      <c r="A122" s="42"/>
      <c r="B122" s="7"/>
      <c r="C122" s="7"/>
      <c r="D122" s="8"/>
      <c r="E122" s="33"/>
    </row>
    <row r="123" spans="1:5" x14ac:dyDescent="0.25">
      <c r="A123" s="42"/>
      <c r="B123" s="7"/>
      <c r="C123" s="11"/>
      <c r="D123" s="8"/>
      <c r="E123" s="33"/>
    </row>
    <row r="124" spans="1:5" x14ac:dyDescent="0.25">
      <c r="A124" s="42"/>
      <c r="B124" s="11"/>
      <c r="C124" s="11"/>
      <c r="D124" s="8"/>
      <c r="E124" s="33"/>
    </row>
    <row r="125" spans="1:5" x14ac:dyDescent="0.25">
      <c r="A125" s="42"/>
      <c r="B125" s="7"/>
      <c r="C125" s="11"/>
      <c r="D125" s="8"/>
      <c r="E125" s="33"/>
    </row>
    <row r="126" spans="1:5" hidden="1" x14ac:dyDescent="0.25">
      <c r="A126" s="29"/>
      <c r="B126" s="7"/>
      <c r="C126" s="7"/>
      <c r="D126" s="8"/>
      <c r="E126" s="33"/>
    </row>
    <row r="127" spans="1:5" x14ac:dyDescent="0.25">
      <c r="A127" s="29"/>
      <c r="B127" s="7"/>
      <c r="C127" s="11"/>
      <c r="D127" s="8"/>
      <c r="E127" s="33"/>
    </row>
    <row r="128" spans="1:5" hidden="1" x14ac:dyDescent="0.25">
      <c r="A128" s="42"/>
      <c r="B128" s="7"/>
      <c r="C128" s="11"/>
      <c r="D128" s="8"/>
      <c r="E128" s="33"/>
    </row>
    <row r="129" spans="1:5" x14ac:dyDescent="0.25">
      <c r="A129" s="42"/>
      <c r="B129" s="11"/>
      <c r="C129" s="11"/>
      <c r="D129" s="8"/>
      <c r="E129" s="33"/>
    </row>
    <row r="130" spans="1:5" x14ac:dyDescent="0.25">
      <c r="A130" s="42"/>
      <c r="B130" s="7"/>
      <c r="C130" s="11"/>
      <c r="D130" s="8"/>
      <c r="E130" s="33"/>
    </row>
    <row r="131" spans="1:5" x14ac:dyDescent="0.25">
      <c r="A131" s="42"/>
      <c r="B131" s="7"/>
      <c r="C131" s="11"/>
      <c r="D131" s="44"/>
      <c r="E131" s="34"/>
    </row>
    <row r="132" spans="1:5" x14ac:dyDescent="0.25">
      <c r="A132" s="42"/>
      <c r="B132" s="7"/>
      <c r="C132" s="11"/>
      <c r="D132" s="43"/>
      <c r="E132" s="34"/>
    </row>
    <row r="133" spans="1:5" ht="15.75" thickBot="1" x14ac:dyDescent="0.3">
      <c r="A133" s="45"/>
      <c r="B133" s="46"/>
      <c r="C133" s="46"/>
      <c r="D133" s="47"/>
      <c r="E133" s="48"/>
    </row>
    <row r="134" spans="1:5" ht="15.75" thickTop="1" x14ac:dyDescent="0.25">
      <c r="A134" s="42"/>
      <c r="B134" s="7"/>
      <c r="C134" s="7"/>
      <c r="D134" s="8"/>
      <c r="E134" s="33"/>
    </row>
    <row r="135" spans="1:5" x14ac:dyDescent="0.25">
      <c r="A135" s="24"/>
      <c r="B135" s="7"/>
      <c r="C135" s="7"/>
      <c r="D135" s="8"/>
      <c r="E135" s="33"/>
    </row>
    <row r="136" spans="1:5" x14ac:dyDescent="0.25">
      <c r="A136" s="24"/>
      <c r="B136" s="25"/>
      <c r="C136" s="38"/>
      <c r="D136" s="27"/>
      <c r="E136" s="28"/>
    </row>
    <row r="137" spans="1:5" x14ac:dyDescent="0.25">
      <c r="A137" s="42"/>
      <c r="B137" s="7"/>
      <c r="C137" s="7"/>
      <c r="D137" s="8"/>
      <c r="E137" s="33"/>
    </row>
    <row r="138" spans="1:5" x14ac:dyDescent="0.25">
      <c r="A138" s="42"/>
      <c r="B138" s="7"/>
      <c r="C138" s="7"/>
      <c r="D138" s="8"/>
      <c r="E138" s="33"/>
    </row>
    <row r="139" spans="1:5" x14ac:dyDescent="0.25">
      <c r="A139" s="42"/>
      <c r="B139" s="7"/>
      <c r="C139" s="7"/>
      <c r="D139" s="8"/>
      <c r="E139" s="33"/>
    </row>
    <row r="140" spans="1:5" x14ac:dyDescent="0.25">
      <c r="A140" s="42"/>
      <c r="B140" s="11"/>
      <c r="C140" s="7"/>
      <c r="D140" s="8"/>
      <c r="E140" s="33"/>
    </row>
    <row r="141" spans="1:5" x14ac:dyDescent="0.25">
      <c r="A141" s="42"/>
      <c r="B141" s="7"/>
      <c r="C141" s="7"/>
      <c r="D141" s="8"/>
      <c r="E141" s="33"/>
    </row>
    <row r="142" spans="1:5" x14ac:dyDescent="0.25">
      <c r="A142" s="42"/>
      <c r="B142" s="7"/>
      <c r="C142" s="7"/>
      <c r="D142" s="8"/>
      <c r="E142" s="33"/>
    </row>
    <row r="143" spans="1:5" x14ac:dyDescent="0.25">
      <c r="A143" s="42"/>
      <c r="B143" s="7"/>
      <c r="C143" s="7"/>
      <c r="D143" s="44"/>
      <c r="E143" s="34"/>
    </row>
    <row r="144" spans="1:5" ht="15.75" thickBot="1" x14ac:dyDescent="0.3">
      <c r="A144" s="45"/>
      <c r="B144" s="46"/>
      <c r="C144" s="46"/>
      <c r="D144" s="47"/>
      <c r="E144" s="48"/>
    </row>
    <row r="145" spans="1:5" ht="15.75" thickTop="1" x14ac:dyDescent="0.25">
      <c r="A145" s="42"/>
      <c r="B145" s="7"/>
      <c r="C145" s="7"/>
      <c r="D145" s="8"/>
      <c r="E145" s="33"/>
    </row>
    <row r="146" spans="1:5" x14ac:dyDescent="0.25">
      <c r="A146" s="24"/>
      <c r="B146" s="7"/>
      <c r="C146" s="7"/>
      <c r="D146" s="8"/>
      <c r="E146" s="33"/>
    </row>
    <row r="147" spans="1:5" x14ac:dyDescent="0.25">
      <c r="A147" s="24"/>
      <c r="B147" s="25"/>
      <c r="C147" s="38"/>
      <c r="D147" s="27"/>
      <c r="E147" s="28"/>
    </row>
    <row r="148" spans="1:5" hidden="1" x14ac:dyDescent="0.25">
      <c r="A148" s="42"/>
      <c r="B148" s="7"/>
      <c r="C148" s="7"/>
      <c r="D148" s="8"/>
      <c r="E148" s="33"/>
    </row>
    <row r="149" spans="1:5" x14ac:dyDescent="0.25">
      <c r="A149" s="42"/>
      <c r="B149" s="11"/>
      <c r="C149" s="7"/>
      <c r="D149" s="8"/>
      <c r="E149" s="33"/>
    </row>
    <row r="150" spans="1:5" x14ac:dyDescent="0.25">
      <c r="A150" s="42"/>
      <c r="B150" s="7"/>
      <c r="C150" s="7"/>
      <c r="D150" s="8"/>
      <c r="E150" s="33"/>
    </row>
    <row r="151" spans="1:5" x14ac:dyDescent="0.25">
      <c r="A151" s="42"/>
      <c r="B151" s="11"/>
      <c r="C151" s="7"/>
      <c r="D151" s="8"/>
      <c r="E151" s="33"/>
    </row>
    <row r="152" spans="1:5" x14ac:dyDescent="0.25">
      <c r="A152" s="29"/>
      <c r="B152" s="11"/>
      <c r="C152" s="7"/>
      <c r="D152" s="8"/>
      <c r="E152" s="33"/>
    </row>
    <row r="153" spans="1:5" x14ac:dyDescent="0.25">
      <c r="A153" s="42"/>
      <c r="B153" s="11"/>
      <c r="C153" s="7"/>
      <c r="D153" s="8"/>
      <c r="E153" s="33"/>
    </row>
    <row r="154" spans="1:5" x14ac:dyDescent="0.25">
      <c r="A154" s="42"/>
      <c r="B154" s="11"/>
      <c r="C154" s="7"/>
      <c r="D154" s="44"/>
      <c r="E154" s="34"/>
    </row>
    <row r="155" spans="1:5" x14ac:dyDescent="0.25">
      <c r="A155" s="42"/>
      <c r="B155" s="11"/>
      <c r="C155" s="7"/>
      <c r="D155" s="8"/>
      <c r="E155" s="33"/>
    </row>
    <row r="156" spans="1:5" x14ac:dyDescent="0.25">
      <c r="A156" s="24"/>
      <c r="B156" s="11"/>
      <c r="C156" s="7"/>
      <c r="D156" s="8"/>
      <c r="E156" s="33"/>
    </row>
    <row r="157" spans="1:5" hidden="1" x14ac:dyDescent="0.25">
      <c r="A157" s="42"/>
      <c r="B157" s="11"/>
      <c r="C157" s="7"/>
      <c r="D157" s="8"/>
      <c r="E157" s="33"/>
    </row>
    <row r="158" spans="1:5" x14ac:dyDescent="0.25">
      <c r="A158" s="42"/>
      <c r="B158" s="11"/>
      <c r="C158" s="7"/>
      <c r="D158" s="8"/>
      <c r="E158" s="33"/>
    </row>
    <row r="159" spans="1:5" hidden="1" x14ac:dyDescent="0.25">
      <c r="A159" s="42"/>
      <c r="B159" s="11"/>
      <c r="C159" s="7"/>
      <c r="D159" s="8"/>
      <c r="E159" s="33"/>
    </row>
    <row r="160" spans="1:5" x14ac:dyDescent="0.25">
      <c r="A160" s="42"/>
      <c r="B160" s="11"/>
      <c r="C160" s="7"/>
      <c r="D160" s="8"/>
      <c r="E160" s="33"/>
    </row>
    <row r="161" spans="1:5" hidden="1" x14ac:dyDescent="0.25">
      <c r="A161" s="42"/>
      <c r="B161" s="11"/>
      <c r="C161" s="7"/>
      <c r="D161" s="8"/>
      <c r="E161" s="33"/>
    </row>
    <row r="162" spans="1:5" x14ac:dyDescent="0.25">
      <c r="A162" s="42"/>
      <c r="B162" s="11"/>
      <c r="C162" s="7"/>
      <c r="D162" s="8"/>
      <c r="E162" s="33"/>
    </row>
    <row r="163" spans="1:5" x14ac:dyDescent="0.25">
      <c r="A163" s="42"/>
      <c r="B163" s="11"/>
      <c r="C163" s="7"/>
      <c r="D163" s="8"/>
      <c r="E163" s="33"/>
    </row>
    <row r="164" spans="1:5" x14ac:dyDescent="0.25">
      <c r="A164" s="42"/>
      <c r="B164" s="11"/>
      <c r="C164" s="7"/>
      <c r="D164" s="8"/>
      <c r="E164" s="33"/>
    </row>
    <row r="165" spans="1:5" hidden="1" x14ac:dyDescent="0.25">
      <c r="A165" s="29"/>
      <c r="B165" s="30"/>
      <c r="C165" s="7"/>
      <c r="D165" s="32"/>
      <c r="E165" s="33"/>
    </row>
    <row r="166" spans="1:5" x14ac:dyDescent="0.25">
      <c r="A166" s="42"/>
      <c r="B166" s="11"/>
      <c r="C166" s="7"/>
      <c r="D166" s="8"/>
      <c r="E166" s="33"/>
    </row>
    <row r="167" spans="1:5" x14ac:dyDescent="0.25">
      <c r="A167" s="42"/>
      <c r="B167" s="7"/>
      <c r="C167" s="7"/>
      <c r="D167" s="8"/>
      <c r="E167" s="33"/>
    </row>
    <row r="168" spans="1:5" x14ac:dyDescent="0.25">
      <c r="A168" s="42"/>
      <c r="B168" s="7"/>
      <c r="C168" s="7"/>
      <c r="D168" s="8"/>
      <c r="E168" s="33"/>
    </row>
    <row r="169" spans="1:5" x14ac:dyDescent="0.25">
      <c r="A169" s="42"/>
      <c r="B169" s="11"/>
      <c r="C169" s="7"/>
      <c r="D169" s="8"/>
      <c r="E169" s="33"/>
    </row>
    <row r="170" spans="1:5" x14ac:dyDescent="0.25">
      <c r="A170" s="42"/>
      <c r="B170" s="11"/>
      <c r="C170" s="7"/>
      <c r="D170" s="8"/>
      <c r="E170" s="33"/>
    </row>
    <row r="171" spans="1:5" hidden="1" x14ac:dyDescent="0.25">
      <c r="A171" s="42"/>
      <c r="B171" s="11"/>
      <c r="C171" s="7"/>
      <c r="D171" s="8"/>
      <c r="E171" s="33"/>
    </row>
    <row r="172" spans="1:5" x14ac:dyDescent="0.25">
      <c r="A172" s="42"/>
      <c r="B172" s="11"/>
      <c r="C172" s="7"/>
      <c r="D172" s="8"/>
      <c r="E172" s="33"/>
    </row>
    <row r="173" spans="1:5" x14ac:dyDescent="0.25">
      <c r="A173" s="42"/>
      <c r="B173" s="11"/>
      <c r="C173" s="7"/>
      <c r="D173" s="8"/>
      <c r="E173" s="33"/>
    </row>
    <row r="174" spans="1:5" x14ac:dyDescent="0.25">
      <c r="A174" s="42"/>
      <c r="B174" s="11"/>
      <c r="C174" s="7"/>
      <c r="D174" s="8"/>
      <c r="E174" s="33"/>
    </row>
    <row r="175" spans="1:5" x14ac:dyDescent="0.25">
      <c r="A175" s="42"/>
      <c r="B175" s="11"/>
      <c r="C175" s="7"/>
      <c r="D175" s="8"/>
      <c r="E175" s="33"/>
    </row>
    <row r="176" spans="1:5" x14ac:dyDescent="0.25">
      <c r="A176" s="42"/>
      <c r="B176" s="11"/>
      <c r="C176" s="7"/>
      <c r="D176" s="8"/>
      <c r="E176" s="33"/>
    </row>
    <row r="177" spans="1:5" x14ac:dyDescent="0.25">
      <c r="A177" s="42"/>
      <c r="B177" s="11"/>
      <c r="C177" s="7"/>
      <c r="D177" s="8"/>
      <c r="E177" s="33"/>
    </row>
    <row r="178" spans="1:5" hidden="1" x14ac:dyDescent="0.25">
      <c r="A178" s="42"/>
      <c r="B178" s="11"/>
      <c r="C178" s="7"/>
      <c r="D178" s="8"/>
      <c r="E178" s="33"/>
    </row>
    <row r="179" spans="1:5" x14ac:dyDescent="0.25">
      <c r="A179" s="42"/>
      <c r="B179" s="11"/>
      <c r="C179" s="7"/>
      <c r="D179" s="8"/>
      <c r="E179" s="33"/>
    </row>
    <row r="180" spans="1:5" x14ac:dyDescent="0.25">
      <c r="A180" s="42"/>
      <c r="B180" s="11"/>
      <c r="C180" s="7"/>
      <c r="D180" s="44"/>
      <c r="E180" s="34"/>
    </row>
    <row r="181" spans="1:5" x14ac:dyDescent="0.25">
      <c r="A181" s="42"/>
      <c r="B181" s="11"/>
      <c r="C181" s="7"/>
      <c r="D181" s="8"/>
      <c r="E181" s="33"/>
    </row>
    <row r="182" spans="1:5" x14ac:dyDescent="0.25">
      <c r="A182" s="24"/>
      <c r="B182" s="11"/>
      <c r="C182" s="7"/>
      <c r="D182" s="8"/>
      <c r="E182" s="33"/>
    </row>
    <row r="183" spans="1:5" x14ac:dyDescent="0.25">
      <c r="A183" s="42"/>
      <c r="B183" s="13"/>
      <c r="C183" s="104"/>
      <c r="D183" s="105"/>
      <c r="E183" s="33"/>
    </row>
    <row r="184" spans="1:5" x14ac:dyDescent="0.25">
      <c r="A184" s="42"/>
      <c r="B184" s="11"/>
      <c r="C184" s="7"/>
      <c r="D184" s="8"/>
      <c r="E184" s="33"/>
    </row>
    <row r="185" spans="1:5" x14ac:dyDescent="0.25">
      <c r="A185" s="42"/>
      <c r="B185" s="11"/>
      <c r="C185" s="7"/>
      <c r="D185" s="8"/>
      <c r="E185" s="33"/>
    </row>
    <row r="186" spans="1:5" x14ac:dyDescent="0.25">
      <c r="A186" s="42"/>
      <c r="B186" s="11"/>
      <c r="C186" s="7"/>
      <c r="D186" s="8"/>
      <c r="E186" s="33"/>
    </row>
    <row r="187" spans="1:5" x14ac:dyDescent="0.25">
      <c r="A187" s="42"/>
      <c r="B187" s="11"/>
      <c r="C187" s="7"/>
      <c r="D187" s="8"/>
      <c r="E187" s="33"/>
    </row>
    <row r="188" spans="1:5" x14ac:dyDescent="0.25">
      <c r="A188" s="42"/>
      <c r="B188" s="11"/>
      <c r="C188" s="11"/>
      <c r="D188" s="8"/>
      <c r="E188" s="33"/>
    </row>
    <row r="189" spans="1:5" x14ac:dyDescent="0.25">
      <c r="A189" s="42"/>
      <c r="B189" s="11"/>
      <c r="C189" s="7"/>
      <c r="D189" s="8"/>
      <c r="E189" s="33"/>
    </row>
    <row r="190" spans="1:5" x14ac:dyDescent="0.25">
      <c r="A190" s="42"/>
      <c r="B190" s="11"/>
      <c r="C190" s="11"/>
      <c r="D190" s="8"/>
      <c r="E190" s="33"/>
    </row>
    <row r="191" spans="1:5" x14ac:dyDescent="0.25">
      <c r="A191" s="42"/>
      <c r="B191" s="11"/>
      <c r="C191" s="7"/>
      <c r="D191" s="8"/>
      <c r="E191" s="33"/>
    </row>
    <row r="192" spans="1:5" x14ac:dyDescent="0.25">
      <c r="A192" s="42"/>
      <c r="B192" s="11"/>
      <c r="C192" s="11"/>
      <c r="D192" s="8"/>
      <c r="E192" s="33"/>
    </row>
    <row r="193" spans="1:5" x14ac:dyDescent="0.25">
      <c r="A193" s="42"/>
      <c r="B193" s="11"/>
      <c r="C193" s="7"/>
      <c r="D193" s="8"/>
      <c r="E193" s="33"/>
    </row>
    <row r="194" spans="1:5" x14ac:dyDescent="0.25">
      <c r="A194" s="42"/>
      <c r="B194" s="11"/>
      <c r="C194" s="11"/>
      <c r="D194" s="8"/>
      <c r="E194" s="33"/>
    </row>
    <row r="195" spans="1:5" x14ac:dyDescent="0.25">
      <c r="A195" s="42"/>
      <c r="B195" s="11"/>
      <c r="C195" s="11"/>
      <c r="D195" s="8"/>
      <c r="E195" s="33"/>
    </row>
    <row r="196" spans="1:5" x14ac:dyDescent="0.25">
      <c r="A196" s="42"/>
      <c r="B196" s="11"/>
      <c r="C196" s="7"/>
      <c r="D196" s="8"/>
      <c r="E196" s="33"/>
    </row>
    <row r="197" spans="1:5" x14ac:dyDescent="0.25">
      <c r="A197" s="42"/>
      <c r="B197" s="11"/>
      <c r="C197" s="11"/>
      <c r="D197" s="8"/>
      <c r="E197" s="33"/>
    </row>
    <row r="198" spans="1:5" x14ac:dyDescent="0.25">
      <c r="A198" s="42"/>
      <c r="B198" s="11"/>
      <c r="C198" s="7"/>
      <c r="D198" s="8"/>
      <c r="E198" s="33"/>
    </row>
    <row r="199" spans="1:5" x14ac:dyDescent="0.25">
      <c r="A199" s="42"/>
      <c r="B199" s="11"/>
      <c r="C199" s="11"/>
      <c r="D199" s="8"/>
      <c r="E199" s="33"/>
    </row>
    <row r="200" spans="1:5" x14ac:dyDescent="0.25">
      <c r="A200" s="42"/>
      <c r="B200" s="11"/>
      <c r="C200" s="11"/>
      <c r="D200" s="8"/>
      <c r="E200" s="33"/>
    </row>
    <row r="201" spans="1:5" x14ac:dyDescent="0.25">
      <c r="A201" s="42"/>
      <c r="B201" s="11"/>
      <c r="C201" s="7"/>
      <c r="D201" s="8"/>
      <c r="E201" s="33"/>
    </row>
    <row r="202" spans="1:5" x14ac:dyDescent="0.25">
      <c r="A202" s="42"/>
      <c r="B202" s="11"/>
      <c r="C202" s="7"/>
      <c r="D202" s="8"/>
      <c r="E202" s="33"/>
    </row>
    <row r="203" spans="1:5" hidden="1" x14ac:dyDescent="0.25">
      <c r="A203" s="42"/>
      <c r="B203" s="11"/>
      <c r="C203" s="11"/>
      <c r="D203" s="8"/>
      <c r="E203" s="33"/>
    </row>
    <row r="204" spans="1:5" x14ac:dyDescent="0.25">
      <c r="A204" s="42"/>
      <c r="B204" s="11"/>
      <c r="C204" s="7"/>
      <c r="D204" s="8"/>
      <c r="E204" s="33"/>
    </row>
    <row r="205" spans="1:5" hidden="1" x14ac:dyDescent="0.25">
      <c r="A205" s="42"/>
      <c r="B205" s="11"/>
      <c r="C205" s="7"/>
      <c r="D205" s="8"/>
      <c r="E205" s="33"/>
    </row>
    <row r="206" spans="1:5" x14ac:dyDescent="0.25">
      <c r="A206" s="42"/>
      <c r="B206" s="11"/>
      <c r="C206" s="11"/>
      <c r="D206" s="8"/>
      <c r="E206" s="33"/>
    </row>
    <row r="207" spans="1:5" x14ac:dyDescent="0.25">
      <c r="A207" s="42"/>
      <c r="B207" s="11"/>
      <c r="C207" s="11"/>
      <c r="D207" s="8"/>
      <c r="E207" s="33"/>
    </row>
    <row r="208" spans="1:5" x14ac:dyDescent="0.25">
      <c r="A208" s="42"/>
      <c r="B208" s="11"/>
      <c r="C208" s="11"/>
      <c r="D208" s="8"/>
      <c r="E208" s="33"/>
    </row>
    <row r="209" spans="1:5" x14ac:dyDescent="0.25">
      <c r="A209" s="42"/>
      <c r="B209" s="11"/>
      <c r="C209" s="11"/>
      <c r="D209" s="8"/>
      <c r="E209" s="33"/>
    </row>
    <row r="210" spans="1:5" x14ac:dyDescent="0.25">
      <c r="A210" s="42"/>
      <c r="B210" s="11"/>
      <c r="C210" s="7"/>
      <c r="D210" s="8"/>
      <c r="E210" s="33"/>
    </row>
    <row r="211" spans="1:5" hidden="1" x14ac:dyDescent="0.25">
      <c r="A211" s="42"/>
      <c r="B211" s="11"/>
      <c r="C211" s="7"/>
      <c r="D211" s="8"/>
      <c r="E211" s="33"/>
    </row>
    <row r="212" spans="1:5" x14ac:dyDescent="0.25">
      <c r="A212" s="42"/>
      <c r="B212" s="11"/>
      <c r="C212" s="7"/>
      <c r="D212" s="8"/>
      <c r="E212" s="33"/>
    </row>
    <row r="213" spans="1:5" x14ac:dyDescent="0.25">
      <c r="A213" s="42"/>
      <c r="B213" s="11"/>
      <c r="C213" s="7"/>
      <c r="D213" s="8"/>
      <c r="E213" s="33"/>
    </row>
    <row r="214" spans="1:5" x14ac:dyDescent="0.25">
      <c r="A214" s="42"/>
      <c r="B214" s="11"/>
      <c r="C214" s="11"/>
      <c r="D214" s="8"/>
      <c r="E214" s="33"/>
    </row>
    <row r="215" spans="1:5" x14ac:dyDescent="0.25">
      <c r="A215" s="42"/>
      <c r="B215" s="11"/>
      <c r="C215" s="7"/>
      <c r="D215" s="8"/>
      <c r="E215" s="33"/>
    </row>
    <row r="216" spans="1:5" x14ac:dyDescent="0.25">
      <c r="A216" s="42"/>
      <c r="B216" s="11"/>
      <c r="C216" s="11"/>
      <c r="D216" s="8"/>
      <c r="E216" s="33"/>
    </row>
    <row r="217" spans="1:5" x14ac:dyDescent="0.25">
      <c r="A217" s="42"/>
      <c r="B217" s="11"/>
      <c r="C217" s="7"/>
      <c r="D217" s="8"/>
      <c r="E217" s="33"/>
    </row>
    <row r="218" spans="1:5" x14ac:dyDescent="0.25">
      <c r="A218" s="42"/>
      <c r="B218" s="11"/>
      <c r="C218" s="11"/>
      <c r="D218" s="8"/>
      <c r="E218" s="33"/>
    </row>
    <row r="219" spans="1:5" x14ac:dyDescent="0.25">
      <c r="A219" s="42"/>
      <c r="B219" s="11"/>
      <c r="C219" s="7"/>
      <c r="D219" s="8"/>
      <c r="E219" s="33"/>
    </row>
    <row r="220" spans="1:5" x14ac:dyDescent="0.25">
      <c r="A220" s="42"/>
      <c r="B220" s="11"/>
      <c r="C220" s="7"/>
      <c r="D220" s="8"/>
      <c r="E220" s="33"/>
    </row>
    <row r="221" spans="1:5" hidden="1" x14ac:dyDescent="0.25">
      <c r="A221" s="42"/>
      <c r="B221" s="11"/>
      <c r="C221" s="7"/>
      <c r="D221" s="8"/>
      <c r="E221" s="33"/>
    </row>
    <row r="222" spans="1:5" x14ac:dyDescent="0.25">
      <c r="A222" s="42"/>
      <c r="B222" s="11"/>
      <c r="C222" s="11"/>
      <c r="D222" s="8"/>
      <c r="E222" s="33"/>
    </row>
    <row r="223" spans="1:5" x14ac:dyDescent="0.25">
      <c r="A223" s="42"/>
      <c r="B223" s="11"/>
      <c r="C223" s="11"/>
      <c r="D223" s="8"/>
      <c r="E223" s="33"/>
    </row>
    <row r="224" spans="1:5" x14ac:dyDescent="0.25">
      <c r="A224" s="42"/>
      <c r="B224" s="11"/>
      <c r="C224" s="11"/>
      <c r="D224" s="8"/>
      <c r="E224" s="33"/>
    </row>
    <row r="225" spans="1:5" x14ac:dyDescent="0.25">
      <c r="A225" s="42"/>
      <c r="B225" s="11"/>
      <c r="C225" s="7"/>
      <c r="D225" s="8"/>
      <c r="E225" s="33"/>
    </row>
    <row r="226" spans="1:5" hidden="1" x14ac:dyDescent="0.25">
      <c r="A226" s="42"/>
      <c r="B226" s="11"/>
      <c r="C226" s="7"/>
      <c r="D226" s="8"/>
      <c r="E226" s="33"/>
    </row>
    <row r="227" spans="1:5" x14ac:dyDescent="0.25">
      <c r="A227" s="42"/>
      <c r="B227" s="11"/>
      <c r="C227" s="11"/>
      <c r="D227" s="8"/>
      <c r="E227" s="33"/>
    </row>
    <row r="228" spans="1:5" x14ac:dyDescent="0.25">
      <c r="A228" s="42"/>
      <c r="B228" s="11"/>
      <c r="C228" s="7"/>
      <c r="D228" s="8"/>
      <c r="E228" s="33"/>
    </row>
    <row r="229" spans="1:5" x14ac:dyDescent="0.25">
      <c r="A229" s="42"/>
      <c r="B229" s="11"/>
      <c r="C229" s="11"/>
      <c r="D229" s="8"/>
      <c r="E229" s="33"/>
    </row>
    <row r="230" spans="1:5" x14ac:dyDescent="0.25">
      <c r="A230" s="42"/>
      <c r="B230" s="11"/>
      <c r="C230" s="7"/>
      <c r="D230" s="8"/>
      <c r="E230" s="33"/>
    </row>
    <row r="231" spans="1:5" x14ac:dyDescent="0.25">
      <c r="A231" s="42"/>
      <c r="B231" s="11"/>
      <c r="C231" s="7"/>
      <c r="D231" s="44"/>
      <c r="E231" s="34"/>
    </row>
    <row r="232" spans="1:5" x14ac:dyDescent="0.25">
      <c r="A232" s="42"/>
      <c r="B232" s="11"/>
      <c r="C232" s="7"/>
      <c r="D232" s="8"/>
      <c r="E232" s="33"/>
    </row>
    <row r="233" spans="1:5" x14ac:dyDescent="0.25">
      <c r="A233" s="42"/>
      <c r="B233" s="11"/>
      <c r="C233" s="7"/>
      <c r="D233" s="8"/>
      <c r="E233" s="33"/>
    </row>
    <row r="234" spans="1:5" x14ac:dyDescent="0.25">
      <c r="A234" s="42"/>
      <c r="B234" s="11"/>
      <c r="C234" s="7"/>
      <c r="D234" s="8"/>
      <c r="E234" s="33"/>
    </row>
    <row r="235" spans="1:5" x14ac:dyDescent="0.25">
      <c r="A235" s="42"/>
      <c r="B235" s="11"/>
      <c r="C235" s="11"/>
      <c r="D235" s="8"/>
      <c r="E235" s="33"/>
    </row>
    <row r="236" spans="1:5" x14ac:dyDescent="0.25">
      <c r="A236" s="42"/>
      <c r="B236" s="11"/>
      <c r="C236" s="11"/>
      <c r="D236" s="8"/>
      <c r="E236" s="33"/>
    </row>
    <row r="237" spans="1:5" x14ac:dyDescent="0.25">
      <c r="A237" s="42"/>
      <c r="B237" s="11"/>
      <c r="C237" s="11"/>
      <c r="D237" s="8"/>
      <c r="E237" s="33"/>
    </row>
    <row r="238" spans="1:5" x14ac:dyDescent="0.25">
      <c r="A238" s="42"/>
      <c r="B238" s="11"/>
      <c r="C238" s="11"/>
      <c r="D238" s="8"/>
      <c r="E238" s="33"/>
    </row>
    <row r="239" spans="1:5" x14ac:dyDescent="0.25">
      <c r="A239" s="42"/>
      <c r="B239" s="11"/>
      <c r="C239" s="7"/>
      <c r="D239" s="8"/>
      <c r="E239" s="33"/>
    </row>
    <row r="240" spans="1:5" hidden="1" x14ac:dyDescent="0.25">
      <c r="A240" s="42"/>
      <c r="B240" s="11"/>
      <c r="C240" s="7"/>
      <c r="D240" s="8"/>
      <c r="E240" s="33"/>
    </row>
    <row r="241" spans="1:5" x14ac:dyDescent="0.25">
      <c r="A241" s="42"/>
      <c r="B241" s="11"/>
      <c r="C241" s="7"/>
      <c r="D241" s="8"/>
      <c r="E241" s="33"/>
    </row>
    <row r="242" spans="1:5" x14ac:dyDescent="0.25">
      <c r="A242" s="42"/>
      <c r="B242" s="11"/>
      <c r="C242" s="11"/>
      <c r="D242" s="8"/>
      <c r="E242" s="33"/>
    </row>
    <row r="243" spans="1:5" x14ac:dyDescent="0.25">
      <c r="A243" s="42"/>
      <c r="B243" s="11"/>
      <c r="C243" s="7"/>
      <c r="D243" s="8"/>
      <c r="E243" s="33"/>
    </row>
    <row r="244" spans="1:5" x14ac:dyDescent="0.25">
      <c r="A244" s="42"/>
      <c r="B244" s="11"/>
      <c r="C244" s="7"/>
      <c r="D244" s="8"/>
      <c r="E244" s="33"/>
    </row>
    <row r="245" spans="1:5" x14ac:dyDescent="0.25">
      <c r="A245" s="42"/>
      <c r="B245" s="11"/>
      <c r="C245" s="7"/>
      <c r="D245" s="8"/>
      <c r="E245" s="33"/>
    </row>
    <row r="246" spans="1:5" hidden="1" x14ac:dyDescent="0.25">
      <c r="A246" s="42"/>
      <c r="B246" s="11"/>
      <c r="C246" s="7"/>
      <c r="D246" s="8"/>
      <c r="E246" s="33"/>
    </row>
    <row r="247" spans="1:5" hidden="1" x14ac:dyDescent="0.25">
      <c r="A247" s="42"/>
      <c r="B247" s="11"/>
      <c r="C247" s="7"/>
      <c r="D247" s="8"/>
      <c r="E247" s="33"/>
    </row>
    <row r="248" spans="1:5" x14ac:dyDescent="0.25">
      <c r="A248" s="42"/>
      <c r="B248" s="11"/>
      <c r="C248" s="7"/>
      <c r="D248" s="8"/>
      <c r="E248" s="33"/>
    </row>
    <row r="249" spans="1:5" x14ac:dyDescent="0.25">
      <c r="A249" s="42"/>
      <c r="B249" s="11"/>
      <c r="C249" s="7"/>
      <c r="D249" s="44"/>
      <c r="E249" s="34"/>
    </row>
    <row r="250" spans="1:5" x14ac:dyDescent="0.25">
      <c r="A250" s="42"/>
      <c r="B250" s="11"/>
      <c r="C250" s="7"/>
      <c r="D250" s="8"/>
      <c r="E250" s="33"/>
    </row>
    <row r="251" spans="1:5" x14ac:dyDescent="0.25">
      <c r="A251" s="42"/>
      <c r="B251" s="11"/>
      <c r="C251" s="7"/>
      <c r="D251" s="8"/>
      <c r="E251" s="33"/>
    </row>
    <row r="252" spans="1:5" x14ac:dyDescent="0.25">
      <c r="A252" s="42"/>
      <c r="B252" s="11"/>
      <c r="C252" s="7"/>
      <c r="D252" s="8"/>
      <c r="E252" s="33"/>
    </row>
    <row r="253" spans="1:5" x14ac:dyDescent="0.25">
      <c r="A253" s="42"/>
      <c r="B253" s="11"/>
      <c r="C253" s="7"/>
      <c r="D253" s="8"/>
      <c r="E253" s="33"/>
    </row>
    <row r="254" spans="1:5" x14ac:dyDescent="0.25">
      <c r="A254" s="42"/>
      <c r="B254" s="11"/>
      <c r="C254" s="7"/>
      <c r="D254" s="8"/>
      <c r="E254" s="33"/>
    </row>
    <row r="255" spans="1:5" x14ac:dyDescent="0.25">
      <c r="A255" s="42"/>
      <c r="B255" s="11"/>
      <c r="C255" s="11"/>
      <c r="D255" s="8"/>
      <c r="E255" s="33"/>
    </row>
    <row r="256" spans="1:5" x14ac:dyDescent="0.25">
      <c r="A256" s="42"/>
      <c r="B256" s="11"/>
      <c r="C256" s="11"/>
      <c r="D256" s="8"/>
      <c r="E256" s="33"/>
    </row>
    <row r="257" spans="1:5" x14ac:dyDescent="0.25">
      <c r="A257" s="42"/>
      <c r="B257" s="11"/>
      <c r="C257" s="11"/>
      <c r="D257" s="8"/>
      <c r="E257" s="33"/>
    </row>
    <row r="258" spans="1:5" x14ac:dyDescent="0.25">
      <c r="A258" s="42"/>
      <c r="B258" s="11"/>
      <c r="C258" s="11"/>
      <c r="D258" s="8"/>
      <c r="E258" s="33"/>
    </row>
    <row r="259" spans="1:5" x14ac:dyDescent="0.25">
      <c r="A259" s="42"/>
      <c r="B259" s="11"/>
      <c r="C259" s="11"/>
      <c r="D259" s="8"/>
      <c r="E259" s="33"/>
    </row>
    <row r="260" spans="1:5" x14ac:dyDescent="0.25">
      <c r="A260" s="42"/>
      <c r="B260" s="11"/>
      <c r="C260" s="11"/>
      <c r="D260" s="8"/>
      <c r="E260" s="33"/>
    </row>
    <row r="261" spans="1:5" x14ac:dyDescent="0.25">
      <c r="A261" s="42"/>
      <c r="B261" s="11"/>
      <c r="C261" s="7"/>
      <c r="D261" s="8"/>
      <c r="E261" s="33"/>
    </row>
    <row r="262" spans="1:5" x14ac:dyDescent="0.25">
      <c r="A262" s="42"/>
      <c r="B262" s="11"/>
      <c r="C262" s="7"/>
      <c r="D262" s="44"/>
      <c r="E262" s="34"/>
    </row>
    <row r="263" spans="1:5" x14ac:dyDescent="0.25">
      <c r="A263" s="42"/>
      <c r="B263" s="7"/>
      <c r="C263" s="7"/>
      <c r="D263" s="8"/>
      <c r="E263" s="33"/>
    </row>
    <row r="264" spans="1:5" x14ac:dyDescent="0.25">
      <c r="A264" s="42"/>
      <c r="B264" s="7"/>
      <c r="C264" s="7"/>
      <c r="D264" s="44"/>
      <c r="E264" s="34"/>
    </row>
    <row r="265" spans="1:5" ht="15.75" thickBot="1" x14ac:dyDescent="0.3">
      <c r="A265" s="42"/>
      <c r="B265" s="7"/>
      <c r="C265" s="7"/>
      <c r="D265" s="8"/>
      <c r="E265" s="33"/>
    </row>
    <row r="266" spans="1:5" ht="15.75" thickTop="1" x14ac:dyDescent="0.25">
      <c r="A266" s="49"/>
      <c r="B266" s="21"/>
      <c r="C266" s="21"/>
      <c r="D266" s="22"/>
      <c r="E266" s="23"/>
    </row>
    <row r="267" spans="1:5" ht="15.75" x14ac:dyDescent="0.25">
      <c r="A267" s="42"/>
      <c r="B267" s="7"/>
      <c r="C267" s="5"/>
      <c r="D267" s="77"/>
      <c r="E267" s="78"/>
    </row>
    <row r="268" spans="1:5" ht="15.75" thickBot="1" x14ac:dyDescent="0.3">
      <c r="A268" s="45"/>
      <c r="B268" s="46"/>
      <c r="C268" s="46"/>
      <c r="D268" s="47"/>
      <c r="E268" s="48"/>
    </row>
    <row r="269" spans="1:5" ht="15.75" thickTop="1" x14ac:dyDescent="0.25">
      <c r="D269"/>
      <c r="E269"/>
    </row>
  </sheetData>
  <pageMargins left="0.44" right="0.38" top="0.74803149606299213" bottom="0.74803149606299213" header="0.31496062992125984" footer="0.31496062992125984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0"/>
  <sheetViews>
    <sheetView workbookViewId="0">
      <selection activeCell="C18" sqref="C18"/>
    </sheetView>
  </sheetViews>
  <sheetFormatPr baseColWidth="10" defaultRowHeight="15" x14ac:dyDescent="0.25"/>
  <cols>
    <col min="2" max="2" width="31.85546875" customWidth="1"/>
    <col min="3" max="3" width="12.28515625" bestFit="1" customWidth="1"/>
    <col min="4" max="4" width="11.42578125" style="10"/>
    <col min="5" max="5" width="17.140625" style="10" customWidth="1"/>
    <col min="6" max="6" width="15.7109375" customWidth="1"/>
    <col min="258" max="258" width="31.85546875" customWidth="1"/>
    <col min="259" max="259" width="12.28515625" bestFit="1" customWidth="1"/>
    <col min="261" max="261" width="17.140625" customWidth="1"/>
    <col min="262" max="262" width="15.7109375" customWidth="1"/>
    <col min="514" max="514" width="31.85546875" customWidth="1"/>
    <col min="515" max="515" width="12.28515625" bestFit="1" customWidth="1"/>
    <col min="517" max="517" width="17.140625" customWidth="1"/>
    <col min="518" max="518" width="15.7109375" customWidth="1"/>
    <col min="770" max="770" width="31.85546875" customWidth="1"/>
    <col min="771" max="771" width="12.28515625" bestFit="1" customWidth="1"/>
    <col min="773" max="773" width="17.140625" customWidth="1"/>
    <col min="774" max="774" width="15.7109375" customWidth="1"/>
    <col min="1026" max="1026" width="31.85546875" customWidth="1"/>
    <col min="1027" max="1027" width="12.28515625" bestFit="1" customWidth="1"/>
    <col min="1029" max="1029" width="17.140625" customWidth="1"/>
    <col min="1030" max="1030" width="15.7109375" customWidth="1"/>
    <col min="1282" max="1282" width="31.85546875" customWidth="1"/>
    <col min="1283" max="1283" width="12.28515625" bestFit="1" customWidth="1"/>
    <col min="1285" max="1285" width="17.140625" customWidth="1"/>
    <col min="1286" max="1286" width="15.7109375" customWidth="1"/>
    <col min="1538" max="1538" width="31.85546875" customWidth="1"/>
    <col min="1539" max="1539" width="12.28515625" bestFit="1" customWidth="1"/>
    <col min="1541" max="1541" width="17.140625" customWidth="1"/>
    <col min="1542" max="1542" width="15.7109375" customWidth="1"/>
    <col min="1794" max="1794" width="31.85546875" customWidth="1"/>
    <col min="1795" max="1795" width="12.28515625" bestFit="1" customWidth="1"/>
    <col min="1797" max="1797" width="17.140625" customWidth="1"/>
    <col min="1798" max="1798" width="15.7109375" customWidth="1"/>
    <col min="2050" max="2050" width="31.85546875" customWidth="1"/>
    <col min="2051" max="2051" width="12.28515625" bestFit="1" customWidth="1"/>
    <col min="2053" max="2053" width="17.140625" customWidth="1"/>
    <col min="2054" max="2054" width="15.7109375" customWidth="1"/>
    <col min="2306" max="2306" width="31.85546875" customWidth="1"/>
    <col min="2307" max="2307" width="12.28515625" bestFit="1" customWidth="1"/>
    <col min="2309" max="2309" width="17.140625" customWidth="1"/>
    <col min="2310" max="2310" width="15.7109375" customWidth="1"/>
    <col min="2562" max="2562" width="31.85546875" customWidth="1"/>
    <col min="2563" max="2563" width="12.28515625" bestFit="1" customWidth="1"/>
    <col min="2565" max="2565" width="17.140625" customWidth="1"/>
    <col min="2566" max="2566" width="15.7109375" customWidth="1"/>
    <col min="2818" max="2818" width="31.85546875" customWidth="1"/>
    <col min="2819" max="2819" width="12.28515625" bestFit="1" customWidth="1"/>
    <col min="2821" max="2821" width="17.140625" customWidth="1"/>
    <col min="2822" max="2822" width="15.7109375" customWidth="1"/>
    <col min="3074" max="3074" width="31.85546875" customWidth="1"/>
    <col min="3075" max="3075" width="12.28515625" bestFit="1" customWidth="1"/>
    <col min="3077" max="3077" width="17.140625" customWidth="1"/>
    <col min="3078" max="3078" width="15.7109375" customWidth="1"/>
    <col min="3330" max="3330" width="31.85546875" customWidth="1"/>
    <col min="3331" max="3331" width="12.28515625" bestFit="1" customWidth="1"/>
    <col min="3333" max="3333" width="17.140625" customWidth="1"/>
    <col min="3334" max="3334" width="15.7109375" customWidth="1"/>
    <col min="3586" max="3586" width="31.85546875" customWidth="1"/>
    <col min="3587" max="3587" width="12.28515625" bestFit="1" customWidth="1"/>
    <col min="3589" max="3589" width="17.140625" customWidth="1"/>
    <col min="3590" max="3590" width="15.7109375" customWidth="1"/>
    <col min="3842" max="3842" width="31.85546875" customWidth="1"/>
    <col min="3843" max="3843" width="12.28515625" bestFit="1" customWidth="1"/>
    <col min="3845" max="3845" width="17.140625" customWidth="1"/>
    <col min="3846" max="3846" width="15.7109375" customWidth="1"/>
    <col min="4098" max="4098" width="31.85546875" customWidth="1"/>
    <col min="4099" max="4099" width="12.28515625" bestFit="1" customWidth="1"/>
    <col min="4101" max="4101" width="17.140625" customWidth="1"/>
    <col min="4102" max="4102" width="15.7109375" customWidth="1"/>
    <col min="4354" max="4354" width="31.85546875" customWidth="1"/>
    <col min="4355" max="4355" width="12.28515625" bestFit="1" customWidth="1"/>
    <col min="4357" max="4357" width="17.140625" customWidth="1"/>
    <col min="4358" max="4358" width="15.7109375" customWidth="1"/>
    <col min="4610" max="4610" width="31.85546875" customWidth="1"/>
    <col min="4611" max="4611" width="12.28515625" bestFit="1" customWidth="1"/>
    <col min="4613" max="4613" width="17.140625" customWidth="1"/>
    <col min="4614" max="4614" width="15.7109375" customWidth="1"/>
    <col min="4866" max="4866" width="31.85546875" customWidth="1"/>
    <col min="4867" max="4867" width="12.28515625" bestFit="1" customWidth="1"/>
    <col min="4869" max="4869" width="17.140625" customWidth="1"/>
    <col min="4870" max="4870" width="15.7109375" customWidth="1"/>
    <col min="5122" max="5122" width="31.85546875" customWidth="1"/>
    <col min="5123" max="5123" width="12.28515625" bestFit="1" customWidth="1"/>
    <col min="5125" max="5125" width="17.140625" customWidth="1"/>
    <col min="5126" max="5126" width="15.7109375" customWidth="1"/>
    <col min="5378" max="5378" width="31.85546875" customWidth="1"/>
    <col min="5379" max="5379" width="12.28515625" bestFit="1" customWidth="1"/>
    <col min="5381" max="5381" width="17.140625" customWidth="1"/>
    <col min="5382" max="5382" width="15.7109375" customWidth="1"/>
    <col min="5634" max="5634" width="31.85546875" customWidth="1"/>
    <col min="5635" max="5635" width="12.28515625" bestFit="1" customWidth="1"/>
    <col min="5637" max="5637" width="17.140625" customWidth="1"/>
    <col min="5638" max="5638" width="15.7109375" customWidth="1"/>
    <col min="5890" max="5890" width="31.85546875" customWidth="1"/>
    <col min="5891" max="5891" width="12.28515625" bestFit="1" customWidth="1"/>
    <col min="5893" max="5893" width="17.140625" customWidth="1"/>
    <col min="5894" max="5894" width="15.7109375" customWidth="1"/>
    <col min="6146" max="6146" width="31.85546875" customWidth="1"/>
    <col min="6147" max="6147" width="12.28515625" bestFit="1" customWidth="1"/>
    <col min="6149" max="6149" width="17.140625" customWidth="1"/>
    <col min="6150" max="6150" width="15.7109375" customWidth="1"/>
    <col min="6402" max="6402" width="31.85546875" customWidth="1"/>
    <col min="6403" max="6403" width="12.28515625" bestFit="1" customWidth="1"/>
    <col min="6405" max="6405" width="17.140625" customWidth="1"/>
    <col min="6406" max="6406" width="15.7109375" customWidth="1"/>
    <col min="6658" max="6658" width="31.85546875" customWidth="1"/>
    <col min="6659" max="6659" width="12.28515625" bestFit="1" customWidth="1"/>
    <col min="6661" max="6661" width="17.140625" customWidth="1"/>
    <col min="6662" max="6662" width="15.7109375" customWidth="1"/>
    <col min="6914" max="6914" width="31.85546875" customWidth="1"/>
    <col min="6915" max="6915" width="12.28515625" bestFit="1" customWidth="1"/>
    <col min="6917" max="6917" width="17.140625" customWidth="1"/>
    <col min="6918" max="6918" width="15.7109375" customWidth="1"/>
    <col min="7170" max="7170" width="31.85546875" customWidth="1"/>
    <col min="7171" max="7171" width="12.28515625" bestFit="1" customWidth="1"/>
    <col min="7173" max="7173" width="17.140625" customWidth="1"/>
    <col min="7174" max="7174" width="15.7109375" customWidth="1"/>
    <col min="7426" max="7426" width="31.85546875" customWidth="1"/>
    <col min="7427" max="7427" width="12.28515625" bestFit="1" customWidth="1"/>
    <col min="7429" max="7429" width="17.140625" customWidth="1"/>
    <col min="7430" max="7430" width="15.7109375" customWidth="1"/>
    <col min="7682" max="7682" width="31.85546875" customWidth="1"/>
    <col min="7683" max="7683" width="12.28515625" bestFit="1" customWidth="1"/>
    <col min="7685" max="7685" width="17.140625" customWidth="1"/>
    <col min="7686" max="7686" width="15.7109375" customWidth="1"/>
    <col min="7938" max="7938" width="31.85546875" customWidth="1"/>
    <col min="7939" max="7939" width="12.28515625" bestFit="1" customWidth="1"/>
    <col min="7941" max="7941" width="17.140625" customWidth="1"/>
    <col min="7942" max="7942" width="15.7109375" customWidth="1"/>
    <col min="8194" max="8194" width="31.85546875" customWidth="1"/>
    <col min="8195" max="8195" width="12.28515625" bestFit="1" customWidth="1"/>
    <col min="8197" max="8197" width="17.140625" customWidth="1"/>
    <col min="8198" max="8198" width="15.7109375" customWidth="1"/>
    <col min="8450" max="8450" width="31.85546875" customWidth="1"/>
    <col min="8451" max="8451" width="12.28515625" bestFit="1" customWidth="1"/>
    <col min="8453" max="8453" width="17.140625" customWidth="1"/>
    <col min="8454" max="8454" width="15.7109375" customWidth="1"/>
    <col min="8706" max="8706" width="31.85546875" customWidth="1"/>
    <col min="8707" max="8707" width="12.28515625" bestFit="1" customWidth="1"/>
    <col min="8709" max="8709" width="17.140625" customWidth="1"/>
    <col min="8710" max="8710" width="15.7109375" customWidth="1"/>
    <col min="8962" max="8962" width="31.85546875" customWidth="1"/>
    <col min="8963" max="8963" width="12.28515625" bestFit="1" customWidth="1"/>
    <col min="8965" max="8965" width="17.140625" customWidth="1"/>
    <col min="8966" max="8966" width="15.7109375" customWidth="1"/>
    <col min="9218" max="9218" width="31.85546875" customWidth="1"/>
    <col min="9219" max="9219" width="12.28515625" bestFit="1" customWidth="1"/>
    <col min="9221" max="9221" width="17.140625" customWidth="1"/>
    <col min="9222" max="9222" width="15.7109375" customWidth="1"/>
    <col min="9474" max="9474" width="31.85546875" customWidth="1"/>
    <col min="9475" max="9475" width="12.28515625" bestFit="1" customWidth="1"/>
    <col min="9477" max="9477" width="17.140625" customWidth="1"/>
    <col min="9478" max="9478" width="15.7109375" customWidth="1"/>
    <col min="9730" max="9730" width="31.85546875" customWidth="1"/>
    <col min="9731" max="9731" width="12.28515625" bestFit="1" customWidth="1"/>
    <col min="9733" max="9733" width="17.140625" customWidth="1"/>
    <col min="9734" max="9734" width="15.7109375" customWidth="1"/>
    <col min="9986" max="9986" width="31.85546875" customWidth="1"/>
    <col min="9987" max="9987" width="12.28515625" bestFit="1" customWidth="1"/>
    <col min="9989" max="9989" width="17.140625" customWidth="1"/>
    <col min="9990" max="9990" width="15.7109375" customWidth="1"/>
    <col min="10242" max="10242" width="31.85546875" customWidth="1"/>
    <col min="10243" max="10243" width="12.28515625" bestFit="1" customWidth="1"/>
    <col min="10245" max="10245" width="17.140625" customWidth="1"/>
    <col min="10246" max="10246" width="15.7109375" customWidth="1"/>
    <col min="10498" max="10498" width="31.85546875" customWidth="1"/>
    <col min="10499" max="10499" width="12.28515625" bestFit="1" customWidth="1"/>
    <col min="10501" max="10501" width="17.140625" customWidth="1"/>
    <col min="10502" max="10502" width="15.7109375" customWidth="1"/>
    <col min="10754" max="10754" width="31.85546875" customWidth="1"/>
    <col min="10755" max="10755" width="12.28515625" bestFit="1" customWidth="1"/>
    <col min="10757" max="10757" width="17.140625" customWidth="1"/>
    <col min="10758" max="10758" width="15.7109375" customWidth="1"/>
    <col min="11010" max="11010" width="31.85546875" customWidth="1"/>
    <col min="11011" max="11011" width="12.28515625" bestFit="1" customWidth="1"/>
    <col min="11013" max="11013" width="17.140625" customWidth="1"/>
    <col min="11014" max="11014" width="15.7109375" customWidth="1"/>
    <col min="11266" max="11266" width="31.85546875" customWidth="1"/>
    <col min="11267" max="11267" width="12.28515625" bestFit="1" customWidth="1"/>
    <col min="11269" max="11269" width="17.140625" customWidth="1"/>
    <col min="11270" max="11270" width="15.7109375" customWidth="1"/>
    <col min="11522" max="11522" width="31.85546875" customWidth="1"/>
    <col min="11523" max="11523" width="12.28515625" bestFit="1" customWidth="1"/>
    <col min="11525" max="11525" width="17.140625" customWidth="1"/>
    <col min="11526" max="11526" width="15.7109375" customWidth="1"/>
    <col min="11778" max="11778" width="31.85546875" customWidth="1"/>
    <col min="11779" max="11779" width="12.28515625" bestFit="1" customWidth="1"/>
    <col min="11781" max="11781" width="17.140625" customWidth="1"/>
    <col min="11782" max="11782" width="15.7109375" customWidth="1"/>
    <col min="12034" max="12034" width="31.85546875" customWidth="1"/>
    <col min="12035" max="12035" width="12.28515625" bestFit="1" customWidth="1"/>
    <col min="12037" max="12037" width="17.140625" customWidth="1"/>
    <col min="12038" max="12038" width="15.7109375" customWidth="1"/>
    <col min="12290" max="12290" width="31.85546875" customWidth="1"/>
    <col min="12291" max="12291" width="12.28515625" bestFit="1" customWidth="1"/>
    <col min="12293" max="12293" width="17.140625" customWidth="1"/>
    <col min="12294" max="12294" width="15.7109375" customWidth="1"/>
    <col min="12546" max="12546" width="31.85546875" customWidth="1"/>
    <col min="12547" max="12547" width="12.28515625" bestFit="1" customWidth="1"/>
    <col min="12549" max="12549" width="17.140625" customWidth="1"/>
    <col min="12550" max="12550" width="15.7109375" customWidth="1"/>
    <col min="12802" max="12802" width="31.85546875" customWidth="1"/>
    <col min="12803" max="12803" width="12.28515625" bestFit="1" customWidth="1"/>
    <col min="12805" max="12805" width="17.140625" customWidth="1"/>
    <col min="12806" max="12806" width="15.7109375" customWidth="1"/>
    <col min="13058" max="13058" width="31.85546875" customWidth="1"/>
    <col min="13059" max="13059" width="12.28515625" bestFit="1" customWidth="1"/>
    <col min="13061" max="13061" width="17.140625" customWidth="1"/>
    <col min="13062" max="13062" width="15.7109375" customWidth="1"/>
    <col min="13314" max="13314" width="31.85546875" customWidth="1"/>
    <col min="13315" max="13315" width="12.28515625" bestFit="1" customWidth="1"/>
    <col min="13317" max="13317" width="17.140625" customWidth="1"/>
    <col min="13318" max="13318" width="15.7109375" customWidth="1"/>
    <col min="13570" max="13570" width="31.85546875" customWidth="1"/>
    <col min="13571" max="13571" width="12.28515625" bestFit="1" customWidth="1"/>
    <col min="13573" max="13573" width="17.140625" customWidth="1"/>
    <col min="13574" max="13574" width="15.7109375" customWidth="1"/>
    <col min="13826" max="13826" width="31.85546875" customWidth="1"/>
    <col min="13827" max="13827" width="12.28515625" bestFit="1" customWidth="1"/>
    <col min="13829" max="13829" width="17.140625" customWidth="1"/>
    <col min="13830" max="13830" width="15.7109375" customWidth="1"/>
    <col min="14082" max="14082" width="31.85546875" customWidth="1"/>
    <col min="14083" max="14083" width="12.28515625" bestFit="1" customWidth="1"/>
    <col min="14085" max="14085" width="17.140625" customWidth="1"/>
    <col min="14086" max="14086" width="15.7109375" customWidth="1"/>
    <col min="14338" max="14338" width="31.85546875" customWidth="1"/>
    <col min="14339" max="14339" width="12.28515625" bestFit="1" customWidth="1"/>
    <col min="14341" max="14341" width="17.140625" customWidth="1"/>
    <col min="14342" max="14342" width="15.7109375" customWidth="1"/>
    <col min="14594" max="14594" width="31.85546875" customWidth="1"/>
    <col min="14595" max="14595" width="12.28515625" bestFit="1" customWidth="1"/>
    <col min="14597" max="14597" width="17.140625" customWidth="1"/>
    <col min="14598" max="14598" width="15.7109375" customWidth="1"/>
    <col min="14850" max="14850" width="31.85546875" customWidth="1"/>
    <col min="14851" max="14851" width="12.28515625" bestFit="1" customWidth="1"/>
    <col min="14853" max="14853" width="17.140625" customWidth="1"/>
    <col min="14854" max="14854" width="15.7109375" customWidth="1"/>
    <col min="15106" max="15106" width="31.85546875" customWidth="1"/>
    <col min="15107" max="15107" width="12.28515625" bestFit="1" customWidth="1"/>
    <col min="15109" max="15109" width="17.140625" customWidth="1"/>
    <col min="15110" max="15110" width="15.7109375" customWidth="1"/>
    <col min="15362" max="15362" width="31.85546875" customWidth="1"/>
    <col min="15363" max="15363" width="12.28515625" bestFit="1" customWidth="1"/>
    <col min="15365" max="15365" width="17.140625" customWidth="1"/>
    <col min="15366" max="15366" width="15.7109375" customWidth="1"/>
    <col min="15618" max="15618" width="31.85546875" customWidth="1"/>
    <col min="15619" max="15619" width="12.28515625" bestFit="1" customWidth="1"/>
    <col min="15621" max="15621" width="17.140625" customWidth="1"/>
    <col min="15622" max="15622" width="15.7109375" customWidth="1"/>
    <col min="15874" max="15874" width="31.85546875" customWidth="1"/>
    <col min="15875" max="15875" width="12.28515625" bestFit="1" customWidth="1"/>
    <col min="15877" max="15877" width="17.140625" customWidth="1"/>
    <col min="15878" max="15878" width="15.7109375" customWidth="1"/>
    <col min="16130" max="16130" width="31.85546875" customWidth="1"/>
    <col min="16131" max="16131" width="12.28515625" bestFit="1" customWidth="1"/>
    <col min="16133" max="16133" width="17.140625" customWidth="1"/>
    <col min="16134" max="16134" width="15.7109375" customWidth="1"/>
  </cols>
  <sheetData>
    <row r="2" spans="1:6" s="50" customFormat="1" ht="18" x14ac:dyDescent="0.25">
      <c r="D2" s="99"/>
      <c r="F2" s="73"/>
    </row>
    <row r="3" spans="1:6" s="4" customFormat="1" ht="12.75" x14ac:dyDescent="0.2">
      <c r="B3" s="12"/>
      <c r="C3" s="12"/>
      <c r="D3" s="100"/>
      <c r="E3" s="100"/>
      <c r="F3" s="102"/>
    </row>
    <row r="4" spans="1:6" s="4" customFormat="1" ht="12.75" x14ac:dyDescent="0.2">
      <c r="B4" s="12"/>
      <c r="C4" s="12"/>
      <c r="D4" s="100"/>
      <c r="E4" s="100"/>
      <c r="F4" s="102"/>
    </row>
    <row r="5" spans="1:6" x14ac:dyDescent="0.25">
      <c r="A5" s="4"/>
      <c r="B5" s="12"/>
      <c r="C5" s="70"/>
      <c r="D5" s="71"/>
      <c r="E5" s="100"/>
      <c r="F5" s="4"/>
    </row>
    <row r="6" spans="1:6" x14ac:dyDescent="0.25">
      <c r="A6" s="4"/>
      <c r="B6" s="12"/>
      <c r="C6" s="70"/>
      <c r="D6" s="71"/>
      <c r="E6" s="100"/>
      <c r="F6" s="4"/>
    </row>
    <row r="7" spans="1:6" x14ac:dyDescent="0.25">
      <c r="A7" s="4"/>
      <c r="B7" s="12"/>
      <c r="C7" s="70"/>
      <c r="D7" s="71"/>
      <c r="E7" s="100"/>
      <c r="F7" s="4"/>
    </row>
    <row r="8" spans="1:6" x14ac:dyDescent="0.25">
      <c r="B8" s="12"/>
      <c r="C8" s="70"/>
      <c r="D8" s="71"/>
      <c r="E8" s="100"/>
      <c r="F8" s="4"/>
    </row>
    <row r="9" spans="1:6" x14ac:dyDescent="0.25">
      <c r="B9" s="12"/>
      <c r="C9" s="70"/>
      <c r="D9" s="71"/>
      <c r="E9" s="100"/>
      <c r="F9" s="4"/>
    </row>
    <row r="10" spans="1:6" x14ac:dyDescent="0.25">
      <c r="B10" s="12"/>
      <c r="C10" s="70"/>
      <c r="D10" s="71"/>
      <c r="E10" s="100"/>
      <c r="F10" s="4"/>
    </row>
    <row r="11" spans="1:6" x14ac:dyDescent="0.25">
      <c r="A11" s="4"/>
      <c r="B11" s="12"/>
      <c r="C11" s="70"/>
      <c r="D11" s="71"/>
      <c r="E11" s="100"/>
      <c r="F11" s="4"/>
    </row>
    <row r="12" spans="1:6" x14ac:dyDescent="0.25">
      <c r="A12" s="4"/>
      <c r="B12" s="4"/>
      <c r="C12" s="70"/>
      <c r="D12" s="71"/>
      <c r="E12" s="101"/>
      <c r="F12" s="4"/>
    </row>
    <row r="13" spans="1:6" x14ac:dyDescent="0.25">
      <c r="A13" s="4"/>
      <c r="B13" s="4"/>
      <c r="C13" s="70"/>
      <c r="D13" s="71"/>
      <c r="E13" s="101"/>
      <c r="F13" s="4"/>
    </row>
    <row r="14" spans="1:6" x14ac:dyDescent="0.25">
      <c r="B14" s="4"/>
      <c r="C14" s="70"/>
      <c r="D14" s="71"/>
      <c r="E14" s="101"/>
      <c r="F14" s="4"/>
    </row>
    <row r="15" spans="1:6" x14ac:dyDescent="0.25">
      <c r="B15" s="4"/>
      <c r="C15" s="70"/>
      <c r="D15" s="71"/>
      <c r="E15" s="101"/>
      <c r="F15" s="4"/>
    </row>
    <row r="16" spans="1:6" x14ac:dyDescent="0.25">
      <c r="B16" s="4"/>
      <c r="C16" s="70"/>
      <c r="D16" s="71"/>
      <c r="E16" s="101"/>
      <c r="F16" s="4"/>
    </row>
    <row r="17" spans="1:6" x14ac:dyDescent="0.25">
      <c r="A17" s="4"/>
      <c r="B17" s="4"/>
      <c r="C17" s="70"/>
      <c r="D17" s="71"/>
      <c r="E17" s="101"/>
      <c r="F17" s="4"/>
    </row>
    <row r="18" spans="1:6" x14ac:dyDescent="0.25">
      <c r="A18" s="4"/>
      <c r="B18" s="4"/>
      <c r="C18" s="70"/>
      <c r="D18" s="71"/>
      <c r="E18" s="101"/>
      <c r="F18" s="4"/>
    </row>
    <row r="19" spans="1:6" x14ac:dyDescent="0.25">
      <c r="A19" s="4"/>
      <c r="B19" s="4"/>
      <c r="C19" s="70"/>
      <c r="D19" s="71"/>
      <c r="E19" s="101"/>
      <c r="F19" s="4"/>
    </row>
    <row r="20" spans="1:6" x14ac:dyDescent="0.25">
      <c r="A20" s="4"/>
      <c r="B20" s="4"/>
      <c r="C20" s="70"/>
      <c r="D20" s="71"/>
      <c r="E20" s="101"/>
      <c r="F20" s="4"/>
    </row>
    <row r="21" spans="1:6" x14ac:dyDescent="0.25">
      <c r="A21" s="4"/>
      <c r="B21" s="4"/>
      <c r="C21" s="70"/>
      <c r="D21" s="71"/>
      <c r="E21" s="101"/>
      <c r="F21" s="4"/>
    </row>
    <row r="22" spans="1:6" x14ac:dyDescent="0.25">
      <c r="A22" s="4"/>
      <c r="B22" s="4"/>
      <c r="C22" s="70"/>
      <c r="D22" s="71"/>
      <c r="E22" s="101"/>
      <c r="F22" s="4"/>
    </row>
    <row r="23" spans="1:6" x14ac:dyDescent="0.25">
      <c r="A23" s="4"/>
      <c r="B23" s="4"/>
      <c r="C23" s="70"/>
      <c r="D23" s="71"/>
      <c r="E23" s="101"/>
      <c r="F23" s="4"/>
    </row>
    <row r="24" spans="1:6" x14ac:dyDescent="0.25">
      <c r="B24" s="4"/>
      <c r="C24" s="70"/>
      <c r="D24" s="71"/>
      <c r="E24" s="101"/>
      <c r="F24" s="4"/>
    </row>
    <row r="25" spans="1:6" x14ac:dyDescent="0.25">
      <c r="A25" s="4"/>
      <c r="B25" s="4"/>
      <c r="C25" s="70"/>
      <c r="D25" s="71"/>
      <c r="E25" s="101"/>
      <c r="F25" s="4"/>
    </row>
    <row r="26" spans="1:6" x14ac:dyDescent="0.25">
      <c r="B26" s="4"/>
      <c r="C26" s="70"/>
      <c r="D26" s="71"/>
      <c r="E26" s="101"/>
    </row>
    <row r="27" spans="1:6" x14ac:dyDescent="0.25">
      <c r="B27" s="4"/>
      <c r="C27" s="70"/>
      <c r="D27" s="71"/>
      <c r="E27" s="101"/>
    </row>
    <row r="28" spans="1:6" ht="18" x14ac:dyDescent="0.25">
      <c r="C28" s="70"/>
      <c r="D28" s="71"/>
      <c r="E28" s="72"/>
    </row>
    <row r="29" spans="1:6" ht="18" x14ac:dyDescent="0.25">
      <c r="C29" s="70"/>
      <c r="D29" s="71"/>
      <c r="E29" s="72"/>
    </row>
    <row r="30" spans="1:6" ht="18" x14ac:dyDescent="0.25">
      <c r="E30" s="99"/>
    </row>
    <row r="33" spans="4:5" ht="12" customHeight="1" x14ac:dyDescent="0.25">
      <c r="D33"/>
      <c r="E33"/>
    </row>
    <row r="34" spans="4:5" x14ac:dyDescent="0.25">
      <c r="D34"/>
      <c r="E34"/>
    </row>
    <row r="49" spans="4:5" hidden="1" x14ac:dyDescent="0.25">
      <c r="D49"/>
      <c r="E49"/>
    </row>
    <row r="50" spans="4:5" x14ac:dyDescent="0.25">
      <c r="D50"/>
      <c r="E50"/>
    </row>
    <row r="51" spans="4:5" x14ac:dyDescent="0.25">
      <c r="D51"/>
      <c r="E51"/>
    </row>
    <row r="52" spans="4:5" x14ac:dyDescent="0.25">
      <c r="D52"/>
      <c r="E52"/>
    </row>
    <row r="53" spans="4:5" hidden="1" x14ac:dyDescent="0.25">
      <c r="D53"/>
      <c r="E53"/>
    </row>
    <row r="54" spans="4:5" hidden="1" x14ac:dyDescent="0.25">
      <c r="D54"/>
      <c r="E54"/>
    </row>
    <row r="55" spans="4:5" hidden="1" x14ac:dyDescent="0.25">
      <c r="D55"/>
      <c r="E55"/>
    </row>
    <row r="56" spans="4:5" x14ac:dyDescent="0.25">
      <c r="D56"/>
      <c r="E56"/>
    </row>
    <row r="57" spans="4:5" x14ac:dyDescent="0.25">
      <c r="D57"/>
      <c r="E57"/>
    </row>
    <row r="58" spans="4:5" x14ac:dyDescent="0.25">
      <c r="D58"/>
      <c r="E58"/>
    </row>
    <row r="59" spans="4:5" x14ac:dyDescent="0.25">
      <c r="D59"/>
      <c r="E59"/>
    </row>
    <row r="60" spans="4:5" x14ac:dyDescent="0.25">
      <c r="D60"/>
      <c r="E60"/>
    </row>
    <row r="61" spans="4:5" x14ac:dyDescent="0.25">
      <c r="D61"/>
      <c r="E61"/>
    </row>
    <row r="62" spans="4:5" hidden="1" x14ac:dyDescent="0.25">
      <c r="D62"/>
      <c r="E62"/>
    </row>
    <row r="63" spans="4:5" x14ac:dyDescent="0.25">
      <c r="D63"/>
      <c r="E63"/>
    </row>
    <row r="64" spans="4:5" x14ac:dyDescent="0.25">
      <c r="D64"/>
      <c r="E64"/>
    </row>
    <row r="65" spans="4:5" x14ac:dyDescent="0.25">
      <c r="D65"/>
      <c r="E65"/>
    </row>
    <row r="66" spans="4:5" x14ac:dyDescent="0.25">
      <c r="D66"/>
      <c r="E66"/>
    </row>
    <row r="67" spans="4:5" x14ac:dyDescent="0.25">
      <c r="D67"/>
      <c r="E67"/>
    </row>
    <row r="68" spans="4:5" x14ac:dyDescent="0.25">
      <c r="D68"/>
      <c r="E68"/>
    </row>
    <row r="69" spans="4:5" x14ac:dyDescent="0.25">
      <c r="D69"/>
      <c r="E69"/>
    </row>
    <row r="70" spans="4:5" x14ac:dyDescent="0.25">
      <c r="D70"/>
      <c r="E70"/>
    </row>
    <row r="71" spans="4:5" x14ac:dyDescent="0.25">
      <c r="D71"/>
      <c r="E71"/>
    </row>
    <row r="72" spans="4:5" x14ac:dyDescent="0.25">
      <c r="D72"/>
      <c r="E72"/>
    </row>
    <row r="73" spans="4:5" x14ac:dyDescent="0.25">
      <c r="D73"/>
      <c r="E73"/>
    </row>
    <row r="74" spans="4:5" x14ac:dyDescent="0.25">
      <c r="D74"/>
      <c r="E74"/>
    </row>
    <row r="75" spans="4:5" x14ac:dyDescent="0.25">
      <c r="D75"/>
      <c r="E75"/>
    </row>
    <row r="76" spans="4:5" x14ac:dyDescent="0.25">
      <c r="D76"/>
      <c r="E76"/>
    </row>
    <row r="77" spans="4:5" x14ac:dyDescent="0.25">
      <c r="D77"/>
      <c r="E77"/>
    </row>
    <row r="78" spans="4:5" x14ac:dyDescent="0.25">
      <c r="D78"/>
      <c r="E78"/>
    </row>
    <row r="79" spans="4:5" x14ac:dyDescent="0.25">
      <c r="D79"/>
      <c r="E79"/>
    </row>
    <row r="80" spans="4:5" x14ac:dyDescent="0.25">
      <c r="D80"/>
      <c r="E80"/>
    </row>
    <row r="81" spans="4:5" x14ac:dyDescent="0.25">
      <c r="D81"/>
      <c r="E81"/>
    </row>
    <row r="82" spans="4:5" x14ac:dyDescent="0.25">
      <c r="D82"/>
      <c r="E82"/>
    </row>
    <row r="83" spans="4:5" x14ac:dyDescent="0.25">
      <c r="D83"/>
      <c r="E83"/>
    </row>
    <row r="84" spans="4:5" x14ac:dyDescent="0.25">
      <c r="D84"/>
      <c r="E84"/>
    </row>
    <row r="85" spans="4:5" x14ac:dyDescent="0.25">
      <c r="D85"/>
      <c r="E85"/>
    </row>
    <row r="86" spans="4:5" x14ac:dyDescent="0.25">
      <c r="D86"/>
      <c r="E86"/>
    </row>
    <row r="87" spans="4:5" x14ac:dyDescent="0.25">
      <c r="D87"/>
      <c r="E87"/>
    </row>
    <row r="88" spans="4:5" x14ac:dyDescent="0.25">
      <c r="D88"/>
      <c r="E88"/>
    </row>
    <row r="89" spans="4:5" x14ac:dyDescent="0.25">
      <c r="D89"/>
      <c r="E89"/>
    </row>
    <row r="90" spans="4:5" x14ac:dyDescent="0.25">
      <c r="D90"/>
      <c r="E90"/>
    </row>
    <row r="91" spans="4:5" x14ac:dyDescent="0.25">
      <c r="D91"/>
      <c r="E91"/>
    </row>
    <row r="92" spans="4:5" x14ac:dyDescent="0.25">
      <c r="D92"/>
      <c r="E92"/>
    </row>
    <row r="93" spans="4:5" x14ac:dyDescent="0.25">
      <c r="D93"/>
      <c r="E93"/>
    </row>
    <row r="94" spans="4:5" x14ac:dyDescent="0.25">
      <c r="D94"/>
      <c r="E94"/>
    </row>
    <row r="95" spans="4:5" x14ac:dyDescent="0.25">
      <c r="D95"/>
      <c r="E95"/>
    </row>
    <row r="96" spans="4:5" x14ac:dyDescent="0.25">
      <c r="D96"/>
      <c r="E96"/>
    </row>
    <row r="97" spans="4:5" x14ac:dyDescent="0.25">
      <c r="D97"/>
      <c r="E97"/>
    </row>
    <row r="98" spans="4:5" x14ac:dyDescent="0.25">
      <c r="D98"/>
      <c r="E98"/>
    </row>
    <row r="99" spans="4:5" x14ac:dyDescent="0.25">
      <c r="D99"/>
      <c r="E99"/>
    </row>
    <row r="100" spans="4:5" x14ac:dyDescent="0.25">
      <c r="D100"/>
      <c r="E100"/>
    </row>
    <row r="101" spans="4:5" x14ac:dyDescent="0.25">
      <c r="D101"/>
      <c r="E101"/>
    </row>
    <row r="102" spans="4:5" x14ac:dyDescent="0.25">
      <c r="D102"/>
      <c r="E102"/>
    </row>
    <row r="103" spans="4:5" x14ac:dyDescent="0.25">
      <c r="D103"/>
      <c r="E103"/>
    </row>
    <row r="104" spans="4:5" x14ac:dyDescent="0.25">
      <c r="D104"/>
      <c r="E104"/>
    </row>
    <row r="105" spans="4:5" x14ac:dyDescent="0.25">
      <c r="D105"/>
      <c r="E105"/>
    </row>
    <row r="106" spans="4:5" x14ac:dyDescent="0.25">
      <c r="D106"/>
      <c r="E106"/>
    </row>
    <row r="107" spans="4:5" x14ac:dyDescent="0.25">
      <c r="D107"/>
      <c r="E107"/>
    </row>
    <row r="108" spans="4:5" x14ac:dyDescent="0.25">
      <c r="D108"/>
      <c r="E108"/>
    </row>
    <row r="109" spans="4:5" x14ac:dyDescent="0.25">
      <c r="D109"/>
      <c r="E109"/>
    </row>
    <row r="110" spans="4:5" x14ac:dyDescent="0.25">
      <c r="D110"/>
      <c r="E110"/>
    </row>
    <row r="111" spans="4:5" x14ac:dyDescent="0.25">
      <c r="D111"/>
      <c r="E111"/>
    </row>
    <row r="112" spans="4:5" x14ac:dyDescent="0.25">
      <c r="D112"/>
      <c r="E112"/>
    </row>
    <row r="113" spans="4:5" x14ac:dyDescent="0.25">
      <c r="D113"/>
      <c r="E113"/>
    </row>
    <row r="114" spans="4:5" x14ac:dyDescent="0.25">
      <c r="D114"/>
      <c r="E114"/>
    </row>
    <row r="115" spans="4:5" x14ac:dyDescent="0.25">
      <c r="D115"/>
      <c r="E115"/>
    </row>
    <row r="116" spans="4:5" x14ac:dyDescent="0.25">
      <c r="D116"/>
      <c r="E116"/>
    </row>
    <row r="117" spans="4:5" x14ac:dyDescent="0.25">
      <c r="D117"/>
      <c r="E117"/>
    </row>
    <row r="118" spans="4:5" x14ac:dyDescent="0.25">
      <c r="D118"/>
      <c r="E118"/>
    </row>
    <row r="119" spans="4:5" x14ac:dyDescent="0.25">
      <c r="D119"/>
      <c r="E119"/>
    </row>
    <row r="120" spans="4:5" x14ac:dyDescent="0.25">
      <c r="D120"/>
      <c r="E120"/>
    </row>
    <row r="121" spans="4:5" x14ac:dyDescent="0.25">
      <c r="D121"/>
      <c r="E121"/>
    </row>
    <row r="122" spans="4:5" x14ac:dyDescent="0.25">
      <c r="D122"/>
      <c r="E122"/>
    </row>
    <row r="123" spans="4:5" x14ac:dyDescent="0.25">
      <c r="D123"/>
      <c r="E123"/>
    </row>
    <row r="124" spans="4:5" x14ac:dyDescent="0.25">
      <c r="D124"/>
      <c r="E124"/>
    </row>
    <row r="125" spans="4:5" x14ac:dyDescent="0.25">
      <c r="D125"/>
      <c r="E125"/>
    </row>
    <row r="126" spans="4:5" x14ac:dyDescent="0.25">
      <c r="D126"/>
      <c r="E126"/>
    </row>
    <row r="127" spans="4:5" x14ac:dyDescent="0.25">
      <c r="D127"/>
      <c r="E127"/>
    </row>
    <row r="128" spans="4:5" x14ac:dyDescent="0.25">
      <c r="D128"/>
      <c r="E128"/>
    </row>
    <row r="129" spans="4:5" x14ac:dyDescent="0.25">
      <c r="D129"/>
      <c r="E129"/>
    </row>
    <row r="130" spans="4:5" x14ac:dyDescent="0.25">
      <c r="D130"/>
      <c r="E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Deuda</vt:lpstr>
      <vt:lpstr>compras</vt:lpstr>
      <vt:lpstr>Alm Gral</vt:lpstr>
      <vt:lpstr>obrador</vt:lpstr>
      <vt:lpstr>Central</vt:lpstr>
      <vt:lpstr>CIC</vt:lpstr>
      <vt:lpstr>'Alm Gral'!Área_de_impresión</vt:lpstr>
      <vt:lpstr>Central!Área_de_impresión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2015-07-08T13:17:52Z</cp:lastPrinted>
  <dcterms:created xsi:type="dcterms:W3CDTF">2011-09-01T14:27:58Z</dcterms:created>
  <dcterms:modified xsi:type="dcterms:W3CDTF">2015-07-08T13:17:57Z</dcterms:modified>
</cp:coreProperties>
</file>