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0" windowWidth="14040" windowHeight="6975" firstSheet="10" activeTab="13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J u  l i o      2015" sheetId="19" r:id="rId14"/>
    <sheet name="Remisiones Julio 2015" sheetId="20" r:id="rId15"/>
    <sheet name="Hoja1" sheetId="21" r:id="rId16"/>
    <sheet name="Hoja5" sheetId="22" r:id="rId17"/>
    <sheet name="Hoja7" sheetId="23" r:id="rId18"/>
    <sheet name="Hoja8" sheetId="24" r:id="rId19"/>
  </sheets>
  <externalReferences>
    <externalReference r:id="rId20"/>
  </externalReferences>
  <calcPr calcId="144525"/>
</workbook>
</file>

<file path=xl/calcChain.xml><?xml version="1.0" encoding="utf-8"?>
<calcChain xmlns="http://schemas.openxmlformats.org/spreadsheetml/2006/main">
  <c r="L38" i="19" l="1"/>
  <c r="I38" i="19"/>
  <c r="K40" i="19" s="1"/>
  <c r="F38" i="19"/>
  <c r="F41" i="19" s="1"/>
  <c r="C38" i="19"/>
  <c r="F42" i="19" s="1"/>
  <c r="N37" i="19"/>
  <c r="F44" i="19" l="1"/>
  <c r="F46" i="19" s="1"/>
  <c r="K44" i="19" s="1"/>
  <c r="K47" i="19" s="1"/>
  <c r="F39" i="20"/>
  <c r="E27" i="20" l="1"/>
  <c r="J137" i="20" l="1"/>
  <c r="J136" i="20"/>
  <c r="J134" i="20"/>
  <c r="J135" i="20"/>
  <c r="J132" i="20"/>
  <c r="J133" i="20"/>
  <c r="J131" i="20"/>
  <c r="J130" i="20"/>
  <c r="J128" i="20"/>
  <c r="O151" i="20" l="1"/>
  <c r="L151" i="20"/>
  <c r="E17" i="20" l="1"/>
  <c r="J101" i="20"/>
  <c r="J102" i="20"/>
  <c r="J100" i="20"/>
  <c r="J99" i="20"/>
  <c r="J97" i="20"/>
  <c r="J98" i="20"/>
  <c r="J96" i="20"/>
  <c r="J95" i="20"/>
  <c r="J94" i="20"/>
  <c r="J93" i="20"/>
  <c r="J92" i="20"/>
  <c r="J104" i="20" s="1"/>
  <c r="O123" i="20"/>
  <c r="L123" i="20"/>
  <c r="E6" i="20" l="1"/>
  <c r="J56" i="20"/>
  <c r="J57" i="20"/>
  <c r="J55" i="20"/>
  <c r="J54" i="20"/>
  <c r="J53" i="20" l="1"/>
  <c r="J52" i="20"/>
  <c r="J51" i="20"/>
  <c r="J50" i="20"/>
  <c r="J49" i="20"/>
  <c r="J48" i="20"/>
  <c r="J47" i="20"/>
  <c r="J46" i="20"/>
  <c r="J60" i="20" s="1"/>
  <c r="O87" i="20"/>
  <c r="L87" i="20" l="1"/>
  <c r="F17" i="20" l="1"/>
  <c r="E32" i="18" l="1"/>
  <c r="J19" i="20"/>
  <c r="J18" i="20"/>
  <c r="J15" i="20"/>
  <c r="J11" i="20"/>
  <c r="J12" i="20"/>
  <c r="J8" i="20"/>
  <c r="J9" i="20"/>
  <c r="J7" i="20"/>
  <c r="J6" i="20"/>
  <c r="J5" i="20"/>
  <c r="J4" i="20"/>
  <c r="J21" i="20" s="1"/>
  <c r="O39" i="20"/>
  <c r="C51" i="20" l="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3" i="20"/>
  <c r="F22" i="20"/>
  <c r="F21" i="20"/>
  <c r="F24" i="20"/>
  <c r="F20" i="20"/>
  <c r="F19" i="20"/>
  <c r="F18" i="20"/>
  <c r="F16" i="20"/>
  <c r="E51" i="20"/>
  <c r="F14" i="20"/>
  <c r="F13" i="20"/>
  <c r="F12" i="20"/>
  <c r="F5" i="20"/>
  <c r="F11" i="20"/>
  <c r="F10" i="20"/>
  <c r="F9" i="20"/>
  <c r="F8" i="20"/>
  <c r="F7" i="20"/>
  <c r="F6" i="20"/>
  <c r="AB38" i="19"/>
  <c r="Y38" i="19"/>
  <c r="AA40" i="19" s="1"/>
  <c r="V38" i="19"/>
  <c r="V41" i="19" s="1"/>
  <c r="S38" i="19"/>
  <c r="V42" i="19" s="1"/>
  <c r="AD37" i="19"/>
  <c r="F15" i="20" l="1"/>
  <c r="F51" i="20" s="1"/>
  <c r="V44" i="19"/>
  <c r="V46" i="19" s="1"/>
  <c r="AA44" i="19" s="1"/>
  <c r="AA47" i="19" s="1"/>
  <c r="E16" i="18"/>
  <c r="J71" i="18"/>
  <c r="J69" i="18"/>
  <c r="J68" i="18"/>
  <c r="J65" i="18"/>
  <c r="J64" i="18"/>
  <c r="J66" i="18"/>
  <c r="J63" i="18"/>
  <c r="J62" i="18"/>
  <c r="J61" i="18"/>
  <c r="J60" i="18"/>
  <c r="J58" i="18"/>
  <c r="J57" i="18"/>
  <c r="J56" i="18"/>
  <c r="J73" i="18" s="1"/>
  <c r="O96" i="18"/>
  <c r="L96" i="18"/>
  <c r="L38" i="17" l="1"/>
  <c r="I38" i="17"/>
  <c r="K40" i="17" s="1"/>
  <c r="F38" i="17"/>
  <c r="F41" i="17" s="1"/>
  <c r="C38" i="17"/>
  <c r="F42" i="17" s="1"/>
  <c r="N37" i="17"/>
  <c r="F44" i="17" l="1"/>
  <c r="F46" i="17" s="1"/>
  <c r="K44" i="17" s="1"/>
  <c r="K47" i="17" s="1"/>
  <c r="AD37" i="17"/>
  <c r="N37" i="15"/>
  <c r="F38" i="13"/>
  <c r="F38" i="15"/>
  <c r="V38" i="17"/>
  <c r="E38" i="16" l="1"/>
  <c r="J26" i="18" l="1"/>
  <c r="J24" i="18"/>
  <c r="J23" i="18"/>
  <c r="J21" i="18"/>
  <c r="J19" i="18"/>
  <c r="J18" i="18"/>
  <c r="J17" i="18"/>
  <c r="J15" i="18"/>
  <c r="J12" i="18"/>
  <c r="J10" i="18"/>
  <c r="J11" i="18"/>
  <c r="J7" i="18"/>
  <c r="J9" i="18"/>
  <c r="J5" i="18"/>
  <c r="J4" i="18"/>
  <c r="O49" i="18"/>
  <c r="L49" i="18"/>
  <c r="AB38" i="17" l="1"/>
  <c r="Y38" i="17"/>
  <c r="AA40" i="17" s="1"/>
  <c r="V41" i="17"/>
  <c r="S38" i="17"/>
  <c r="V42" i="17" s="1"/>
  <c r="L38" i="15"/>
  <c r="I38" i="15"/>
  <c r="K40" i="15" s="1"/>
  <c r="F41" i="15"/>
  <c r="C38" i="15"/>
  <c r="F42" i="15" s="1"/>
  <c r="V44" i="17" l="1"/>
  <c r="V46" i="17" s="1"/>
  <c r="AA44" i="17" s="1"/>
  <c r="AA47" i="17" s="1"/>
  <c r="F44" i="15"/>
  <c r="F46" i="15" s="1"/>
  <c r="K44" i="15" s="1"/>
  <c r="K47" i="15" s="1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3" i="14" l="1"/>
  <c r="I101" i="14"/>
  <c r="I85" i="14"/>
  <c r="I84" i="14"/>
  <c r="I86" i="14"/>
  <c r="I87" i="14"/>
  <c r="I91" i="14"/>
  <c r="I93" i="14"/>
  <c r="I94" i="14"/>
  <c r="I98" i="14"/>
  <c r="I96" i="14"/>
  <c r="I99" i="14"/>
  <c r="I100" i="14"/>
  <c r="N128" i="14"/>
  <c r="K128" i="14" l="1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F7" i="16" l="1"/>
  <c r="F46" i="16" s="1"/>
  <c r="I60" i="14"/>
  <c r="E43" i="12"/>
  <c r="E40" i="12"/>
  <c r="I50" i="14"/>
  <c r="I52" i="14"/>
  <c r="I53" i="14"/>
  <c r="I54" i="14"/>
  <c r="I55" i="14"/>
  <c r="I57" i="14"/>
  <c r="I49" i="14"/>
  <c r="I47" i="14" l="1"/>
  <c r="N78" i="14"/>
  <c r="K78" i="14"/>
  <c r="I9" i="14" l="1"/>
  <c r="N38" i="14"/>
  <c r="I17" i="14"/>
  <c r="I13" i="14"/>
  <c r="I12" i="14"/>
  <c r="I11" i="14"/>
  <c r="I7" i="14"/>
  <c r="I5" i="14"/>
  <c r="I97" i="12"/>
  <c r="K38" i="14" l="1"/>
  <c r="I38" i="13"/>
  <c r="C38" i="13"/>
  <c r="F42" i="13" s="1"/>
  <c r="N37" i="13"/>
  <c r="L38" i="13"/>
  <c r="C38" i="11"/>
  <c r="C38" i="10"/>
  <c r="K40" i="13" l="1"/>
  <c r="F41" i="13" s="1"/>
  <c r="F44" i="13" s="1"/>
  <c r="F46" i="13" s="1"/>
  <c r="F48" i="13" s="1"/>
  <c r="K44" i="13" s="1"/>
  <c r="K47" i="13" s="1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  <c r="L39" i="20"/>
</calcChain>
</file>

<file path=xl/sharedStrings.xml><?xml version="1.0" encoding="utf-8"?>
<sst xmlns="http://schemas.openxmlformats.org/spreadsheetml/2006/main" count="1766" uniqueCount="588">
  <si>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</si>
  <si>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</si>
  <si>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</si>
  <si>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</si>
  <si>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</si>
  <si>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</si>
  <si>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</si>
  <si>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</si>
  <si>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</si>
  <si>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</si>
  <si>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</si>
  <si>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</si>
  <si>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</si>
  <si>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</si>
  <si>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</si>
  <si>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</si>
  <si>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</si>
  <si>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</si>
  <si>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</si>
  <si>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</si>
  <si>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</si>
  <si>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</si>
  <si>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</si>
  <si>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</si>
  <si>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</si>
  <si>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</si>
  <si>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</si>
  <si>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</si>
  <si>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</si>
  <si>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</si>
  <si>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</si>
  <si>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</si>
  <si>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</si>
  <si>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</si>
  <si>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</si>
  <si>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</si>
  <si>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</si>
  <si>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</si>
  <si>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</si>
  <si>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</si>
  <si>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</si>
  <si>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</si>
  <si>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</si>
  <si>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</si>
  <si>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</si>
  <si>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</si>
  <si>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</si>
  <si>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</si>
  <si>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</si>
  <si>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</si>
  <si>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</si>
  <si>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</si>
  <si>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</si>
  <si>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</si>
  <si>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</si>
  <si>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</si>
  <si>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</si>
  <si>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</si>
  <si>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</si>
  <si>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</si>
  <si>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</si>
  <si>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</si>
  <si>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</si>
  <si>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</si>
  <si>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</si>
  <si>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</si>
  <si>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</si>
  <si>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</si>
  <si>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</si>
  <si>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</si>
  <si>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</si>
  <si>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</si>
  <si>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</si>
  <si>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</si>
  <si>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</si>
  <si>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</si>
  <si>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</si>
  <si>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</si>
  <si>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</si>
  <si>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</si>
  <si>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</si>
  <si>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</si>
  <si>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</si>
  <si>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</si>
  <si>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</si>
  <si>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</si>
  <si>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</si>
  <si>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</si>
  <si>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</si>
  <si>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</si>
  <si>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</si>
  <si>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</si>
  <si>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</si>
  <si>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</si>
  <si>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</si>
  <si>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</si>
  <si>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</si>
  <si>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</si>
  <si>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</si>
  <si>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</si>
  <si>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</si>
  <si>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</si>
  <si>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</si>
  <si>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</si>
  <si>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</si>
  <si>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</si>
  <si>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</si>
  <si>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</si>
  <si>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</si>
  <si>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</si>
  <si>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</si>
  <si>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</si>
  <si>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</si>
  <si>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</si>
  <si>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</si>
  <si>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</si>
  <si>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</si>
  <si>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</si>
  <si>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</si>
  <si>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</si>
  <si>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</si>
  <si>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</si>
  <si>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</si>
  <si>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</si>
  <si>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</si>
  <si>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</si>
  <si>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</si>
  <si>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</si>
  <si>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</si>
  <si>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</si>
  <si>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</si>
  <si>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</si>
  <si>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</si>
  <si>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</si>
  <si>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</si>
  <si>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</si>
  <si>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</si>
  <si>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</si>
  <si>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</si>
  <si>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</si>
  <si>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</si>
  <si>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</si>
  <si>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</si>
  <si>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</si>
  <si>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</si>
  <si>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</si>
  <si>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</si>
  <si>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</si>
  <si>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</si>
  <si>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</si>
  <si>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</si>
  <si>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</si>
  <si>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</si>
  <si>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</si>
  <si>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</si>
  <si>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</si>
  <si>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</si>
  <si>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</si>
  <si>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</si>
  <si>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</si>
  <si>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</si>
  <si>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</si>
  <si>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</si>
  <si>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</si>
  <si>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</si>
  <si>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</si>
  <si>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</si>
  <si>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</si>
  <si>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</si>
  <si>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</si>
  <si>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</si>
  <si>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</si>
  <si>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</si>
  <si>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</si>
  <si>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</si>
  <si>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</si>
  <si>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</si>
  <si>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</si>
  <si>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</si>
  <si>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</si>
  <si>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</si>
  <si>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</si>
  <si>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</si>
  <si>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</si>
  <si>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</si>
  <si>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</si>
  <si>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</si>
  <si>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</si>
  <si>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</si>
  <si>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</si>
  <si>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</si>
  <si>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</si>
  <si>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</si>
  <si>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</si>
  <si>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</si>
  <si>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</si>
  <si>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</si>
  <si>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</si>
  <si>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</si>
  <si>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</si>
  <si>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</si>
  <si>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</si>
  <si>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</si>
  <si>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</si>
  <si>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</si>
  <si>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</si>
  <si>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</si>
  <si>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</si>
  <si>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</si>
  <si>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</si>
  <si>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</si>
  <si>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</si>
  <si>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</si>
  <si>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</si>
  <si>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</si>
  <si>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</si>
  <si>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</si>
  <si>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</si>
  <si>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</si>
  <si>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</si>
  <si>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</si>
  <si>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</si>
  <si>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</si>
  <si>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</si>
  <si>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</si>
  <si>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</si>
  <si>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</si>
  <si>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</si>
  <si>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</si>
  <si>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</si>
  <si>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</si>
  <si>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</si>
  <si>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</si>
  <si>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</si>
  <si>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</si>
  <si>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</si>
  <si>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</si>
  <si>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</si>
  <si>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</si>
  <si>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</si>
  <si>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</si>
  <si>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</si>
  <si>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</si>
  <si>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</si>
  <si>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</si>
  <si>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</si>
  <si>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</si>
  <si>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</si>
  <si>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</si>
  <si>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</si>
  <si>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</si>
  <si>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</si>
  <si>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</si>
  <si>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</si>
  <si>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</si>
  <si>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</si>
  <si>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</si>
  <si>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</si>
  <si>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</si>
  <si>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</si>
  <si>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</si>
  <si>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</si>
  <si>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</si>
  <si>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</si>
  <si>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</si>
  <si>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</si>
  <si>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</si>
  <si>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</si>
  <si>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</si>
  <si>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</si>
  <si>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</si>
  <si>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</si>
  <si>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</si>
  <si>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</si>
  <si>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</si>
  <si>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</si>
  <si>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</si>
  <si>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</si>
  <si>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</si>
  <si>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</si>
  <si>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</si>
  <si>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</si>
  <si>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</si>
  <si>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</si>
  <si>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</si>
  <si>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</si>
  <si>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</si>
  <si>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</si>
  <si>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</si>
  <si>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</si>
  <si>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</si>
  <si>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</si>
  <si>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</si>
  <si>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</si>
  <si>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</si>
  <si>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</si>
  <si>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</si>
  <si>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</si>
  <si>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</si>
  <si>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</si>
  <si>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</si>
  <si>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</si>
  <si>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</si>
  <si>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</si>
  <si>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</si>
  <si>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</si>
  <si>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</si>
  <si>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</si>
  <si>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</si>
  <si>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</si>
  <si>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</si>
  <si>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</si>
  <si>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</si>
  <si>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</si>
  <si>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</si>
  <si>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</si>
  <si>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</si>
  <si>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</si>
  <si>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</si>
  <si>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</si>
  <si>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</si>
  <si>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</si>
  <si>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</si>
  <si>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</si>
  <si>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</si>
  <si>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</si>
  <si>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</si>
  <si>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</si>
  <si>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</si>
  <si>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</si>
  <si>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</si>
  <si>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</si>
  <si>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</si>
  <si>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</si>
  <si>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</si>
  <si>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</si>
  <si>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</si>
  <si>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</si>
  <si>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</si>
  <si>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</si>
  <si>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</si>
  <si>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</si>
  <si>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</si>
  <si>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</si>
  <si>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</si>
  <si>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</si>
  <si>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</si>
  <si>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</si>
  <si>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</si>
  <si>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</si>
  <si>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</si>
  <si>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</si>
  <si>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</si>
  <si>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</si>
  <si>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</si>
  <si>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</si>
  <si>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</si>
  <si>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</si>
  <si>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</si>
  <si>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</si>
  <si>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</si>
  <si>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</si>
  <si>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</si>
  <si>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</si>
  <si>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</si>
  <si>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</si>
  <si>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</si>
  <si>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</si>
  <si>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</si>
  <si>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</si>
  <si>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</si>
  <si>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</si>
  <si>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</si>
  <si>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</si>
  <si>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</si>
  <si>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</si>
  <si>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</si>
  <si>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</si>
  <si>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</si>
  <si>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</si>
  <si>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</si>
  <si>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</si>
  <si>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</si>
  <si>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</si>
  <si>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</si>
  <si>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</si>
  <si>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</si>
  <si>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</si>
  <si>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</si>
  <si>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</si>
  <si>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</si>
  <si>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</si>
  <si>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</si>
  <si>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</si>
  <si>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</si>
  <si>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</si>
  <si>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</si>
  <si>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</si>
  <si>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</si>
  <si>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</si>
  <si>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</si>
  <si>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</si>
  <si>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</si>
  <si>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</si>
  <si>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</si>
  <si>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</si>
  <si>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</si>
  <si>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</si>
  <si>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</si>
  <si>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</si>
  <si>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</si>
  <si>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</si>
  <si>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</si>
  <si>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</si>
  <si>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</si>
  <si>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</si>
  <si>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</si>
  <si>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</si>
  <si>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</si>
  <si>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</si>
  <si>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</si>
  <si>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</si>
  <si>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</si>
  <si>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</si>
  <si>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</si>
  <si>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</si>
  <si>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</si>
  <si>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</si>
  <si>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</si>
  <si>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</si>
  <si>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</si>
  <si>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</si>
  <si>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</si>
  <si>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</si>
  <si>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</si>
  <si>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</si>
  <si>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</si>
  <si>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</si>
  <si>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</si>
  <si>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</si>
  <si>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</si>
  <si>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</si>
  <si>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</si>
  <si>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</si>
  <si>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64676---# 64715</t>
  </si>
  <si>
    <t># 64716---# 64760</t>
  </si>
  <si>
    <t># 65224---# 65296</t>
  </si>
  <si>
    <t>NOMINA 23</t>
  </si>
  <si>
    <t>NOMINA 24</t>
  </si>
  <si>
    <t>NOMINA 25</t>
  </si>
  <si>
    <t>NOMINA  26</t>
  </si>
  <si>
    <t xml:space="preserve">BALANCE       DE   JUNIO        2015     HERRADURA </t>
  </si>
  <si>
    <t># 65297---# 65332</t>
  </si>
  <si>
    <t># 65333---# 65375</t>
  </si>
  <si>
    <t># 65376---# 65415</t>
  </si>
  <si>
    <t># 65416---# 65461</t>
  </si>
  <si>
    <t># 65462---# 65520</t>
  </si>
  <si>
    <t>Tocino</t>
  </si>
  <si>
    <t># 65521---# 65585</t>
  </si>
  <si>
    <t># 65586---# 65650</t>
  </si>
  <si>
    <t># 65651---# 65711</t>
  </si>
  <si>
    <t>Santander</t>
  </si>
  <si>
    <t># 65712---65751</t>
  </si>
  <si>
    <t># 65752---# 65792</t>
  </si>
  <si>
    <t># 65793---# 65838</t>
  </si>
  <si>
    <t># 65839---# 65892</t>
  </si>
  <si>
    <t>Tripas --condimentos</t>
  </si>
  <si>
    <t># 65893---# 65969</t>
  </si>
  <si>
    <t xml:space="preserve">GANANCIA </t>
  </si>
  <si>
    <t>#65970---# 66028</t>
  </si>
  <si>
    <t>TRIPAS</t>
  </si>
  <si>
    <t># 66029---# 66087</t>
  </si>
  <si>
    <t># 66088---# 66121</t>
  </si>
  <si>
    <t># 66122---# 66162</t>
  </si>
  <si>
    <t>10-Jun FOLIO 1501</t>
  </si>
  <si>
    <t># 66163---# 66218</t>
  </si>
  <si>
    <t># 66219---# 66276</t>
  </si>
  <si>
    <t># 66277---# 66347</t>
  </si>
  <si>
    <t>santander</t>
  </si>
  <si>
    <t xml:space="preserve">10-jun --22-Jun </t>
  </si>
  <si>
    <t># 66348---# 66431</t>
  </si>
  <si>
    <t># 66432---# 66487</t>
  </si>
  <si>
    <t>0034 A</t>
  </si>
  <si>
    <t>0107 A</t>
  </si>
  <si>
    <t>0215 A</t>
  </si>
  <si>
    <t>0243 A</t>
  </si>
  <si>
    <t>0283 A</t>
  </si>
  <si>
    <t>0465 A</t>
  </si>
  <si>
    <t>0478 A</t>
  </si>
  <si>
    <t>0480 A</t>
  </si>
  <si>
    <t>0444 A</t>
  </si>
  <si>
    <t>0554 A</t>
  </si>
  <si>
    <t>0577 A</t>
  </si>
  <si>
    <t>0615 A</t>
  </si>
  <si>
    <t>0685 A</t>
  </si>
  <si>
    <t>0786 A</t>
  </si>
  <si>
    <t xml:space="preserve">BALANCE       DE   JUlIO        2015     HERRADURA 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</si>
  <si>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</si>
  <si>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</si>
  <si>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</si>
  <si>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</si>
  <si>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</si>
  <si>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</si>
  <si>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</si>
  <si>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</si>
  <si>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Deposito</t>
  </si>
  <si>
    <t>0950 A</t>
  </si>
  <si>
    <t xml:space="preserve">22-Jun --04-Jul </t>
  </si>
  <si>
    <t>1135 A</t>
  </si>
  <si>
    <t>1142 A</t>
  </si>
  <si>
    <t>1261 A</t>
  </si>
  <si>
    <t>1266 A</t>
  </si>
  <si>
    <t>1365 A</t>
  </si>
  <si>
    <t>1563 A</t>
  </si>
  <si>
    <t>1678 A</t>
  </si>
  <si>
    <t>1826 A</t>
  </si>
  <si>
    <t>1989 A</t>
  </si>
  <si>
    <t>2016 A</t>
  </si>
  <si>
    <t>Tripas</t>
  </si>
  <si>
    <t># 66928---# 66968</t>
  </si>
  <si>
    <t># 66969---# 66716</t>
  </si>
  <si>
    <t># 67017---# 67077</t>
  </si>
  <si>
    <t>#  67078---# 67150</t>
  </si>
  <si>
    <t>NOMINA 27</t>
  </si>
  <si>
    <t>NOMINA 28</t>
  </si>
  <si>
    <t>NOMINA 29</t>
  </si>
  <si>
    <t>NOMINA 30</t>
  </si>
  <si>
    <t>NOMINA  31</t>
  </si>
  <si>
    <t># 67151---# 67212</t>
  </si>
  <si>
    <t># 67213---# 67261</t>
  </si>
  <si>
    <t>0922 A</t>
  </si>
  <si>
    <t># 67262---# 67304</t>
  </si>
  <si>
    <t># 67305---# 67355</t>
  </si>
  <si>
    <t># 67356---# 67427</t>
  </si>
  <si>
    <t># 67428---# 67488</t>
  </si>
  <si>
    <t># 67489---# 67565</t>
  </si>
  <si>
    <t>May-Jun 12-jul</t>
  </si>
  <si>
    <t># 67566---# 67646</t>
  </si>
  <si>
    <t>2107 A</t>
  </si>
  <si>
    <t>2207 A</t>
  </si>
  <si>
    <t>2284 A</t>
  </si>
  <si>
    <t>2365 A</t>
  </si>
  <si>
    <t>2491 A</t>
  </si>
  <si>
    <t>04-Jul--16-Jul</t>
  </si>
  <si>
    <t>2419 A</t>
  </si>
  <si>
    <t>2507 A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</si>
  <si>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</si>
  <si>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</si>
  <si>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</si>
  <si>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</si>
  <si>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</si>
  <si>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</si>
  <si>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# 68000---# 68056</t>
  </si>
  <si>
    <t># 68057---# 68100</t>
  </si>
  <si>
    <t>2668 A</t>
  </si>
  <si>
    <t>2732 A</t>
  </si>
  <si>
    <t>2760 A</t>
  </si>
  <si>
    <t>2863 A</t>
  </si>
  <si>
    <t>2973 A</t>
  </si>
  <si>
    <t>16-Jul--22-Jul</t>
  </si>
  <si>
    <t># 66969---# 67016</t>
  </si>
  <si>
    <t>3211 A</t>
  </si>
  <si>
    <t>3323 A</t>
  </si>
  <si>
    <t>3469 A</t>
  </si>
  <si>
    <t>3489 A</t>
  </si>
  <si>
    <t>3499 A</t>
  </si>
  <si>
    <t>3580 A</t>
  </si>
  <si>
    <t>3648 A</t>
  </si>
  <si>
    <t>3662 A</t>
  </si>
  <si>
    <t>3858 A</t>
  </si>
  <si>
    <t>4021 A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</si>
  <si>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</si>
  <si>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</si>
  <si>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</si>
  <si>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</si>
  <si>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</si>
  <si>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</si>
  <si>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</si>
  <si>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</si>
  <si>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2863 a</t>
  </si>
  <si>
    <t xml:space="preserve">22-Jul --31-Jul </t>
  </si>
  <si>
    <t>3960 A</t>
  </si>
  <si>
    <t>3957 A</t>
  </si>
  <si>
    <t xml:space="preserve">                </t>
  </si>
  <si>
    <t># 68523---# 68566</t>
  </si>
  <si>
    <t># 38567---# 68616</t>
  </si>
  <si>
    <t># 68617---# 68686</t>
  </si>
  <si>
    <t>GANACIA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</si>
</sst>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45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left"/>
    </xf>
    <xf numFmtId="44" fontId="36" fillId="0" borderId="28" xfId="1" applyFont="1" applyBorder="1"/>
    <xf numFmtId="0" fontId="1" fillId="0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3" xfId="0" applyNumberFormat="1" applyBorder="1"/>
    <xf numFmtId="0" fontId="0" fillId="0" borderId="65" xfId="0" applyBorder="1"/>
    <xf numFmtId="44" fontId="1" fillId="0" borderId="65" xfId="1" applyFont="1" applyBorder="1"/>
    <xf numFmtId="165" fontId="0" fillId="0" borderId="57" xfId="0" applyNumberFormat="1" applyBorder="1"/>
    <xf numFmtId="44" fontId="26" fillId="0" borderId="25" xfId="1" applyFont="1" applyFill="1" applyBorder="1"/>
    <xf numFmtId="44" fontId="3" fillId="0" borderId="25" xfId="1" applyFont="1" applyFill="1" applyBorder="1"/>
    <xf numFmtId="44" fontId="3" fillId="0" borderId="42" xfId="1" applyFont="1" applyFill="1" applyBorder="1"/>
    <xf numFmtId="44" fontId="26" fillId="0" borderId="42" xfId="1" applyFont="1" applyFill="1" applyBorder="1"/>
    <xf numFmtId="44" fontId="26" fillId="0" borderId="43" xfId="1" applyFont="1" applyFill="1" applyBorder="1"/>
    <xf numFmtId="44" fontId="23" fillId="0" borderId="60" xfId="1" applyFont="1" applyFill="1" applyBorder="1"/>
    <xf numFmtId="0" fontId="25" fillId="0" borderId="15" xfId="0" applyFont="1" applyBorder="1"/>
    <xf numFmtId="0" fontId="37" fillId="0" borderId="25" xfId="0" applyFont="1" applyFill="1" applyBorder="1" applyAlignment="1">
      <alignment horizontal="center"/>
    </xf>
    <xf numFmtId="0" fontId="21" fillId="0" borderId="42" xfId="0" applyFont="1" applyFill="1" applyBorder="1"/>
    <xf numFmtId="14" fontId="1" fillId="0" borderId="42" xfId="0" applyNumberFormat="1" applyFont="1" applyFill="1" applyBorder="1"/>
    <xf numFmtId="0" fontId="21" fillId="0" borderId="42" xfId="0" applyFont="1" applyFill="1" applyBorder="1" applyAlignment="1">
      <alignment horizontal="left"/>
    </xf>
    <xf numFmtId="18" fontId="29" fillId="0" borderId="25" xfId="0" applyNumberFormat="1" applyFont="1" applyFill="1" applyBorder="1" applyAlignment="1">
      <alignment horizontal="center"/>
    </xf>
    <xf numFmtId="164" fontId="21" fillId="0" borderId="42" xfId="0" applyNumberFormat="1" applyFont="1" applyFill="1" applyBorder="1"/>
    <xf numFmtId="165" fontId="21" fillId="14" borderId="0" xfId="1" applyNumberFormat="1" applyFont="1" applyFill="1" applyBorder="1" applyAlignment="1">
      <alignment horizontal="center"/>
    </xf>
    <xf numFmtId="0" fontId="22" fillId="11" borderId="25" xfId="0" applyFont="1" applyFill="1" applyBorder="1" applyAlignment="1">
      <alignment horizontal="center"/>
    </xf>
    <xf numFmtId="44" fontId="23" fillId="4" borderId="27" xfId="1" applyFont="1" applyFill="1" applyBorder="1"/>
    <xf numFmtId="44" fontId="21" fillId="4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42" xfId="0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0" name="1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1" name="2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2" name="2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3" name="2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4" name="23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7" name="26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8" name="27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9" name="28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0" name="2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1" name="3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2" name="3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5" name="3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6" name="35 Conector recto de flecha"/>
        <xdr:cNvCxnSpPr/>
      </xdr:nvCxnSpPr>
      <xdr:spPr>
        <a:xfrm flipV="1">
          <a:off x="15516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408" t="s">
        <v>17</v>
      </c>
      <c r="D1" s="408"/>
      <c r="E1" s="408"/>
      <c r="F1" s="408"/>
      <c r="G1" s="408"/>
      <c r="H1" s="408"/>
      <c r="I1" s="408"/>
      <c r="J1" s="408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409" t="s">
        <v>14</v>
      </c>
      <c r="F4" s="410"/>
      <c r="I4" s="411" t="s">
        <v>4</v>
      </c>
      <c r="J4" s="412"/>
      <c r="K4" s="412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413" t="s">
        <v>7</v>
      </c>
      <c r="I40" s="414"/>
      <c r="J40" s="415">
        <f>I38+K38</f>
        <v>110987.84</v>
      </c>
      <c r="K40" s="416"/>
    </row>
    <row r="41" spans="1:12" ht="15.75" x14ac:dyDescent="0.25">
      <c r="D41" s="407" t="s">
        <v>8</v>
      </c>
      <c r="E41" s="407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417"/>
      <c r="J43" s="417"/>
      <c r="K43" s="2"/>
    </row>
    <row r="44" spans="1:12" ht="16.5" thickBot="1" x14ac:dyDescent="0.3">
      <c r="D44" s="406" t="s">
        <v>9</v>
      </c>
      <c r="E44" s="406"/>
      <c r="F44" s="59">
        <v>199262.3</v>
      </c>
      <c r="I44" s="418"/>
      <c r="J44" s="418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419" t="s">
        <v>13</v>
      </c>
      <c r="J45" s="420"/>
      <c r="K45" s="423">
        <f>F45+K44</f>
        <v>-229991.74999999983</v>
      </c>
    </row>
    <row r="46" spans="1:12" ht="15.75" thickBot="1" x14ac:dyDescent="0.3">
      <c r="D46" s="405"/>
      <c r="E46" s="405"/>
      <c r="F46" s="55"/>
      <c r="I46" s="421"/>
      <c r="J46" s="422"/>
      <c r="K46" s="424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opLeftCell="A2" workbookViewId="0">
      <selection activeCell="N41" sqref="N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64" customWidth="1"/>
    <col min="14" max="14" width="15.85546875" style="202" customWidth="1"/>
  </cols>
  <sheetData>
    <row r="1" spans="1:15" ht="23.25" x14ac:dyDescent="0.35">
      <c r="C1" s="408" t="s">
        <v>402</v>
      </c>
      <c r="D1" s="408"/>
      <c r="E1" s="408"/>
      <c r="F1" s="408"/>
      <c r="G1" s="408"/>
      <c r="H1" s="408"/>
      <c r="I1" s="408"/>
      <c r="J1" s="408"/>
      <c r="K1" s="408"/>
    </row>
    <row r="2" spans="1:15" ht="15.75" thickBot="1" x14ac:dyDescent="0.3">
      <c r="E2" s="36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365">
        <v>42140</v>
      </c>
      <c r="L24" s="55"/>
      <c r="M24" s="67" t="s">
        <v>444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445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446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61" t="s">
        <v>1</v>
      </c>
      <c r="F38" s="54">
        <f>SUM(F5:F37)</f>
        <v>1712498.5</v>
      </c>
      <c r="H38" s="363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13" t="s">
        <v>7</v>
      </c>
      <c r="I40" s="414"/>
      <c r="J40" s="362"/>
      <c r="K40" s="415">
        <f>I38+L38</f>
        <v>73406.490000000005</v>
      </c>
      <c r="L40" s="416"/>
    </row>
    <row r="41" spans="1:15" ht="15.75" customHeight="1" x14ac:dyDescent="0.25">
      <c r="D41" s="407" t="s">
        <v>8</v>
      </c>
      <c r="E41" s="407"/>
      <c r="F41" s="56">
        <f>F38-K40</f>
        <v>1639092.01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417"/>
      <c r="J43" s="417"/>
      <c r="K43" s="417"/>
      <c r="L43" s="2"/>
    </row>
    <row r="44" spans="1:15" ht="16.5" thickTop="1" x14ac:dyDescent="0.25">
      <c r="E44" s="5" t="s">
        <v>10</v>
      </c>
      <c r="F44" s="58">
        <f>SUM(F41:F43)</f>
        <v>68052.939999999944</v>
      </c>
      <c r="I44"/>
      <c r="J44" s="182" t="s">
        <v>251</v>
      </c>
      <c r="K44" s="434">
        <f>F46</f>
        <v>193184.67999999993</v>
      </c>
      <c r="L44" s="435"/>
    </row>
    <row r="45" spans="1:15" ht="15.75" customHeight="1" thickBot="1" x14ac:dyDescent="0.3">
      <c r="D45" s="361" t="s">
        <v>9</v>
      </c>
      <c r="E45" s="361"/>
      <c r="F45" s="366">
        <v>125131.74</v>
      </c>
      <c r="I45" s="443" t="s">
        <v>2</v>
      </c>
      <c r="J45" s="443"/>
      <c r="K45" s="436">
        <v>-149916.25</v>
      </c>
      <c r="L45" s="436"/>
    </row>
    <row r="46" spans="1:15" ht="15.75" customHeight="1" thickBot="1" x14ac:dyDescent="0.3">
      <c r="E46" s="6" t="s">
        <v>347</v>
      </c>
      <c r="F46" s="48">
        <f>F45+F44</f>
        <v>193184.67999999993</v>
      </c>
      <c r="I46"/>
      <c r="J46" s="178"/>
      <c r="K46" s="437">
        <v>0</v>
      </c>
      <c r="L46" s="437"/>
    </row>
    <row r="47" spans="1:15" ht="19.5" thickBot="1" x14ac:dyDescent="0.3">
      <c r="E47" s="5"/>
      <c r="F47" s="56"/>
      <c r="I47" s="447" t="s">
        <v>13</v>
      </c>
      <c r="J47" s="448"/>
      <c r="K47" s="440">
        <f>SUM(K44:L46)</f>
        <v>43268.429999999935</v>
      </c>
      <c r="L47" s="441"/>
    </row>
    <row r="48" spans="1:15" x14ac:dyDescent="0.25">
      <c r="D48" s="417"/>
      <c r="E48" s="417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28" workbookViewId="0">
      <selection activeCell="D38" sqref="D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1">
        <v>42140</v>
      </c>
      <c r="L2" s="215"/>
      <c r="M2" s="134" t="s">
        <v>200</v>
      </c>
      <c r="N2" s="88"/>
    </row>
    <row r="3" spans="1:16" ht="16.5" thickBot="1" x14ac:dyDescent="0.3">
      <c r="C3" s="444" t="s">
        <v>240</v>
      </c>
      <c r="D3" s="445"/>
      <c r="E3" s="446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29" t="s">
        <v>297</v>
      </c>
      <c r="D4" s="329"/>
      <c r="E4" s="329" t="s">
        <v>298</v>
      </c>
      <c r="F4" s="331" t="s">
        <v>299</v>
      </c>
      <c r="I4" s="49">
        <f>19926+6288.5</f>
        <v>26214.5</v>
      </c>
      <c r="J4" s="193">
        <v>19455</v>
      </c>
      <c r="K4" s="130">
        <v>24600.61</v>
      </c>
      <c r="L4" s="348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0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0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0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49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4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4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320">
        <v>42165</v>
      </c>
      <c r="E32" s="184">
        <v>26360.1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320">
        <v>42165</v>
      </c>
      <c r="E33" s="318">
        <v>30947.119999999999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320">
        <v>42165</v>
      </c>
      <c r="E34" s="318">
        <v>3714.8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320">
        <v>42165</v>
      </c>
      <c r="E35" s="184">
        <v>26917.93</v>
      </c>
      <c r="F35" s="155">
        <f t="shared" si="0"/>
        <v>0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320">
        <v>42165</v>
      </c>
      <c r="E36" s="184">
        <v>22200.37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320">
        <v>42165</v>
      </c>
      <c r="E37" s="184">
        <v>30328.78</v>
      </c>
      <c r="F37" s="155">
        <f t="shared" si="0"/>
        <v>0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29858</v>
      </c>
      <c r="D38" s="276" t="s">
        <v>474</v>
      </c>
      <c r="E38" s="318">
        <f>29349.6+508.4</f>
        <v>29858</v>
      </c>
      <c r="F38" s="155">
        <f t="shared" si="0"/>
        <v>0</v>
      </c>
      <c r="G38" s="367" t="s">
        <v>12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320">
        <v>42165</v>
      </c>
      <c r="E39" s="318">
        <v>53986.400000000001</v>
      </c>
      <c r="F39" s="155">
        <f t="shared" si="0"/>
        <v>0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320">
        <v>42165</v>
      </c>
      <c r="E40" s="318">
        <v>66211.100000000006</v>
      </c>
      <c r="F40" s="241">
        <f t="shared" si="0"/>
        <v>0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320">
        <v>42165</v>
      </c>
      <c r="E41" s="318">
        <v>27190.15</v>
      </c>
      <c r="F41" s="241">
        <f t="shared" si="0"/>
        <v>0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320">
        <v>42165</v>
      </c>
      <c r="E42" s="318">
        <v>3078.8</v>
      </c>
      <c r="F42" s="241">
        <f t="shared" si="0"/>
        <v>0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2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1570037.2700000003</v>
      </c>
      <c r="D46" s="58"/>
      <c r="E46" s="58">
        <f>SUM(E5:E45)</f>
        <v>1570037.2700000003</v>
      </c>
      <c r="F46" s="360">
        <f>SUM(F5:F45)</f>
        <v>0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38"/>
      <c r="M47" s="339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6"/>
      <c r="E48" s="56"/>
      <c r="F48" s="49"/>
      <c r="I48" s="43"/>
      <c r="J48" s="336"/>
      <c r="K48" s="337"/>
      <c r="L48" s="337"/>
      <c r="M48" s="337"/>
      <c r="N48" s="337"/>
      <c r="O48" s="336"/>
    </row>
    <row r="49" spans="1:16" ht="18.75" x14ac:dyDescent="0.3">
      <c r="A49" s="294"/>
      <c r="B49" s="357"/>
      <c r="C49" s="55"/>
      <c r="D49" s="356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58"/>
      <c r="C50" s="55"/>
      <c r="D50" s="359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58"/>
      <c r="C51" s="55"/>
      <c r="D51" s="359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57"/>
      <c r="C52" s="55"/>
      <c r="D52" s="356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57"/>
      <c r="C53" s="55"/>
      <c r="D53" s="55"/>
      <c r="E53" s="56"/>
      <c r="F53" s="49"/>
      <c r="H53" s="28"/>
      <c r="I53" s="49"/>
      <c r="J53" s="104"/>
      <c r="K53" s="352">
        <v>42147</v>
      </c>
      <c r="L53" s="215"/>
      <c r="M53" s="134" t="s">
        <v>200</v>
      </c>
      <c r="N53" s="88"/>
    </row>
    <row r="54" spans="1:16" x14ac:dyDescent="0.25">
      <c r="A54" s="294"/>
      <c r="B54" s="357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58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48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58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58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58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4"/>
      <c r="M61" s="226" t="s">
        <v>202</v>
      </c>
      <c r="N61" s="207">
        <v>5079.5</v>
      </c>
      <c r="O61" s="221">
        <v>42140</v>
      </c>
    </row>
    <row r="62" spans="1:16" x14ac:dyDescent="0.25">
      <c r="A62" s="330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0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0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0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0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0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0"/>
      <c r="B68"/>
      <c r="D68"/>
      <c r="E68" s="43"/>
      <c r="H68" s="28"/>
      <c r="I68" s="49"/>
      <c r="J68" s="144"/>
      <c r="K68" s="156"/>
      <c r="L68" s="334"/>
      <c r="M68" s="113" t="s">
        <v>202</v>
      </c>
      <c r="N68" s="207">
        <v>11712</v>
      </c>
      <c r="O68" s="221">
        <v>42142</v>
      </c>
    </row>
    <row r="69" spans="1:16" ht="15.75" x14ac:dyDescent="0.25">
      <c r="A69" s="330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0"/>
      <c r="B70"/>
      <c r="D70"/>
      <c r="E70" s="43"/>
      <c r="H70" s="28"/>
      <c r="I70" s="49"/>
      <c r="J70" s="144"/>
      <c r="K70" s="156"/>
      <c r="L70" s="207"/>
      <c r="M70" s="349" t="s">
        <v>423</v>
      </c>
      <c r="N70" s="207">
        <v>5132.5</v>
      </c>
      <c r="O70" s="221">
        <v>42143</v>
      </c>
    </row>
    <row r="71" spans="1:16" x14ac:dyDescent="0.25">
      <c r="A71" s="330"/>
      <c r="B71"/>
      <c r="D71"/>
      <c r="E71" s="43"/>
      <c r="H71" s="28"/>
      <c r="I71" s="88"/>
      <c r="J71" s="144"/>
      <c r="K71" s="156"/>
      <c r="L71" s="207"/>
      <c r="M71" s="349" t="s">
        <v>423</v>
      </c>
      <c r="N71" s="207">
        <v>4522.5</v>
      </c>
      <c r="O71" s="221">
        <v>42143</v>
      </c>
    </row>
    <row r="72" spans="1:16" x14ac:dyDescent="0.25">
      <c r="A72" s="330"/>
      <c r="B72"/>
      <c r="D72"/>
      <c r="E72" s="43"/>
      <c r="H72" s="28"/>
      <c r="I72" s="49"/>
      <c r="J72" s="144"/>
      <c r="K72" s="156"/>
      <c r="L72" s="207"/>
      <c r="M72" s="349" t="s">
        <v>423</v>
      </c>
      <c r="N72" s="207">
        <v>18545</v>
      </c>
      <c r="O72" s="221">
        <v>42143</v>
      </c>
    </row>
    <row r="73" spans="1:16" ht="15.75" x14ac:dyDescent="0.25">
      <c r="A73" s="330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0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0"/>
      <c r="B78"/>
      <c r="C78"/>
      <c r="D78"/>
      <c r="E78"/>
      <c r="F78" s="23"/>
      <c r="I78" s="43"/>
      <c r="J78" s="336"/>
      <c r="K78" s="337"/>
      <c r="L78" s="337"/>
      <c r="M78" s="337"/>
      <c r="N78" s="337">
        <v>0</v>
      </c>
      <c r="O78" s="336"/>
    </row>
    <row r="79" spans="1:16" ht="18.75" x14ac:dyDescent="0.3">
      <c r="A79" s="330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3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48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4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6"/>
      <c r="K97" s="337"/>
      <c r="L97" s="337"/>
      <c r="M97" s="337"/>
      <c r="N97" s="337">
        <v>0</v>
      </c>
      <c r="O97" s="336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7"/>
  <sheetViews>
    <sheetView topLeftCell="B6" workbookViewId="0">
      <selection activeCell="F36" sqref="F36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6" width="12.5703125" customWidth="1"/>
    <col min="17" max="17" width="4.7109375" customWidth="1"/>
    <col min="18" max="18" width="12.42578125" style="37" customWidth="1"/>
    <col min="19" max="19" width="16.42578125" style="43" customWidth="1"/>
    <col min="20" max="20" width="9" customWidth="1"/>
    <col min="22" max="22" width="17.85546875" style="43" customWidth="1"/>
    <col min="23" max="23" width="4.85546875" customWidth="1"/>
    <col min="25" max="25" width="13.7109375" style="43" customWidth="1"/>
    <col min="26" max="26" width="6.85546875" style="43" customWidth="1"/>
    <col min="28" max="28" width="14.5703125" customWidth="1"/>
    <col min="29" max="29" width="22.5703125" style="364" customWidth="1"/>
    <col min="30" max="30" width="15.85546875" style="202" customWidth="1"/>
  </cols>
  <sheetData>
    <row r="1" spans="1:31" ht="23.25" x14ac:dyDescent="0.35">
      <c r="B1" s="37"/>
      <c r="C1" s="408" t="s">
        <v>451</v>
      </c>
      <c r="D1" s="408"/>
      <c r="E1" s="408"/>
      <c r="F1" s="408"/>
      <c r="G1" s="408"/>
      <c r="H1" s="408"/>
      <c r="I1" s="408"/>
      <c r="J1" s="408"/>
      <c r="K1" s="408"/>
      <c r="M1" s="371"/>
      <c r="N1" s="202"/>
      <c r="O1" s="202"/>
      <c r="P1" s="202"/>
      <c r="S1" s="408" t="s">
        <v>451</v>
      </c>
      <c r="T1" s="408"/>
      <c r="U1" s="408"/>
      <c r="V1" s="408"/>
      <c r="W1" s="408"/>
      <c r="X1" s="408"/>
      <c r="Y1" s="408"/>
      <c r="Z1" s="408"/>
      <c r="AA1" s="408"/>
    </row>
    <row r="2" spans="1:31" ht="15.75" thickBot="1" x14ac:dyDescent="0.3">
      <c r="B2" s="37"/>
      <c r="C2" s="43"/>
      <c r="E2" s="370"/>
      <c r="F2" s="50"/>
      <c r="I2" s="43"/>
      <c r="J2" s="43"/>
      <c r="M2" s="371"/>
      <c r="N2" s="202"/>
      <c r="O2" s="202"/>
      <c r="P2" s="202"/>
      <c r="U2" s="363"/>
      <c r="V2" s="50"/>
    </row>
    <row r="3" spans="1:31" ht="15.75" thickBot="1" x14ac:dyDescent="0.3">
      <c r="B3" s="37"/>
      <c r="C3" s="44" t="s">
        <v>0</v>
      </c>
      <c r="D3" s="3"/>
      <c r="F3" s="43"/>
      <c r="I3" s="43"/>
      <c r="J3" s="43"/>
      <c r="M3" s="371"/>
      <c r="N3" s="202"/>
      <c r="O3" s="202"/>
      <c r="P3" s="202"/>
      <c r="S3" s="44" t="s">
        <v>0</v>
      </c>
      <c r="T3" s="3"/>
    </row>
    <row r="4" spans="1:31" ht="20.25" thickTop="1" thickBot="1" x14ac:dyDescent="0.35">
      <c r="A4" s="96" t="s">
        <v>2</v>
      </c>
      <c r="B4" s="38"/>
      <c r="C4" s="94">
        <v>125131.74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  <c r="N4" s="203" t="s">
        <v>264</v>
      </c>
      <c r="O4" s="203"/>
      <c r="P4" s="203"/>
      <c r="Q4" s="96" t="s">
        <v>2</v>
      </c>
      <c r="R4" s="38"/>
      <c r="S4" s="94">
        <v>125131.74</v>
      </c>
      <c r="T4" s="2"/>
      <c r="U4" s="429" t="s">
        <v>14</v>
      </c>
      <c r="V4" s="430"/>
      <c r="Y4" s="411" t="s">
        <v>4</v>
      </c>
      <c r="Z4" s="412"/>
      <c r="AA4" s="412"/>
      <c r="AB4" s="412"/>
      <c r="AC4" s="69" t="s">
        <v>18</v>
      </c>
      <c r="AD4" s="203" t="s">
        <v>264</v>
      </c>
    </row>
    <row r="5" spans="1:31" ht="15.75" thickTop="1" x14ac:dyDescent="0.25">
      <c r="A5" s="21"/>
      <c r="B5" s="39">
        <v>42156</v>
      </c>
      <c r="C5" s="45">
        <v>0</v>
      </c>
      <c r="D5" s="22"/>
      <c r="E5" s="26">
        <v>42156</v>
      </c>
      <c r="F5" s="51">
        <v>48039.5</v>
      </c>
      <c r="G5" s="23"/>
      <c r="H5" s="24">
        <v>42156</v>
      </c>
      <c r="I5" s="60">
        <v>200</v>
      </c>
      <c r="J5" s="87"/>
      <c r="K5" s="34"/>
      <c r="L5" s="34"/>
      <c r="M5" s="67" t="s">
        <v>452</v>
      </c>
      <c r="N5" s="75">
        <v>48650</v>
      </c>
      <c r="O5" s="75"/>
      <c r="P5" s="75"/>
      <c r="Q5" s="21"/>
      <c r="R5" s="39">
        <v>42156</v>
      </c>
      <c r="S5" s="45">
        <v>0</v>
      </c>
      <c r="T5" s="22"/>
      <c r="U5" s="26">
        <v>42156</v>
      </c>
      <c r="V5" s="51">
        <v>48039.5</v>
      </c>
      <c r="W5" s="23"/>
      <c r="X5" s="24">
        <v>42156</v>
      </c>
      <c r="Y5" s="60">
        <v>200</v>
      </c>
      <c r="Z5" s="87"/>
      <c r="AA5" s="34"/>
      <c r="AB5" s="34"/>
      <c r="AC5" s="67" t="s">
        <v>452</v>
      </c>
      <c r="AD5" s="75">
        <v>48650</v>
      </c>
      <c r="AE5" s="80"/>
    </row>
    <row r="6" spans="1:31" x14ac:dyDescent="0.25">
      <c r="A6" s="21"/>
      <c r="B6" s="39">
        <v>42157</v>
      </c>
      <c r="C6" s="45">
        <v>0</v>
      </c>
      <c r="D6" s="29"/>
      <c r="E6" s="26">
        <v>42157</v>
      </c>
      <c r="F6" s="51">
        <v>38655.5</v>
      </c>
      <c r="G6" s="19"/>
      <c r="H6" s="27">
        <v>42157</v>
      </c>
      <c r="I6" s="61">
        <v>200</v>
      </c>
      <c r="J6" s="88"/>
      <c r="K6" s="13" t="s">
        <v>5</v>
      </c>
      <c r="L6" s="20">
        <v>0</v>
      </c>
      <c r="M6" s="67" t="s">
        <v>453</v>
      </c>
      <c r="N6" s="75">
        <v>38570.5</v>
      </c>
      <c r="O6" s="75"/>
      <c r="P6" s="75"/>
      <c r="Q6" s="21"/>
      <c r="R6" s="39">
        <v>42157</v>
      </c>
      <c r="S6" s="45">
        <v>0</v>
      </c>
      <c r="T6" s="29"/>
      <c r="U6" s="26">
        <v>42157</v>
      </c>
      <c r="V6" s="51">
        <v>38655.5</v>
      </c>
      <c r="W6" s="19"/>
      <c r="X6" s="27">
        <v>42157</v>
      </c>
      <c r="Y6" s="61">
        <v>200</v>
      </c>
      <c r="Z6" s="88"/>
      <c r="AA6" s="13" t="s">
        <v>5</v>
      </c>
      <c r="AB6" s="20">
        <v>0</v>
      </c>
      <c r="AC6" s="67" t="s">
        <v>453</v>
      </c>
      <c r="AD6" s="75">
        <v>38570.5</v>
      </c>
      <c r="AE6" s="80"/>
    </row>
    <row r="7" spans="1:31" x14ac:dyDescent="0.25">
      <c r="A7" s="21"/>
      <c r="B7" s="39">
        <v>42158</v>
      </c>
      <c r="C7" s="45">
        <v>0</v>
      </c>
      <c r="D7" s="32"/>
      <c r="E7" s="26">
        <v>42158</v>
      </c>
      <c r="F7" s="51">
        <v>37835.5</v>
      </c>
      <c r="G7" s="23"/>
      <c r="H7" s="27">
        <v>42158</v>
      </c>
      <c r="I7" s="61">
        <v>200</v>
      </c>
      <c r="J7" s="88"/>
      <c r="K7" s="13" t="s">
        <v>3</v>
      </c>
      <c r="L7" s="20">
        <v>0</v>
      </c>
      <c r="M7" s="67" t="s">
        <v>454</v>
      </c>
      <c r="N7" s="75">
        <v>37700</v>
      </c>
      <c r="O7" s="75"/>
      <c r="P7" s="75"/>
      <c r="Q7" s="21"/>
      <c r="R7" s="39">
        <v>42158</v>
      </c>
      <c r="S7" s="45">
        <v>0</v>
      </c>
      <c r="T7" s="32"/>
      <c r="U7" s="26">
        <v>42158</v>
      </c>
      <c r="V7" s="51">
        <v>37835.5</v>
      </c>
      <c r="W7" s="23"/>
      <c r="X7" s="27">
        <v>42158</v>
      </c>
      <c r="Y7" s="61">
        <v>200</v>
      </c>
      <c r="Z7" s="88"/>
      <c r="AA7" s="13" t="s">
        <v>3</v>
      </c>
      <c r="AB7" s="20">
        <v>0</v>
      </c>
      <c r="AC7" s="67" t="s">
        <v>454</v>
      </c>
      <c r="AD7" s="75">
        <v>37700</v>
      </c>
      <c r="AE7" s="80"/>
    </row>
    <row r="8" spans="1:31" x14ac:dyDescent="0.25">
      <c r="A8" s="21"/>
      <c r="B8" s="39">
        <v>42159</v>
      </c>
      <c r="C8" s="45">
        <v>540</v>
      </c>
      <c r="D8" s="22" t="s">
        <v>50</v>
      </c>
      <c r="E8" s="26">
        <v>42159</v>
      </c>
      <c r="F8" s="51">
        <v>45256</v>
      </c>
      <c r="G8" s="23"/>
      <c r="H8" s="27">
        <v>42159</v>
      </c>
      <c r="I8" s="61">
        <v>200</v>
      </c>
      <c r="J8" s="88"/>
      <c r="K8" s="13" t="s">
        <v>6</v>
      </c>
      <c r="L8" s="20">
        <v>28750</v>
      </c>
      <c r="M8" s="201" t="s">
        <v>455</v>
      </c>
      <c r="N8" s="204">
        <v>44849.5</v>
      </c>
      <c r="O8" s="204"/>
      <c r="P8" s="204"/>
      <c r="Q8" s="21"/>
      <c r="R8" s="39">
        <v>42159</v>
      </c>
      <c r="S8" s="45">
        <v>540</v>
      </c>
      <c r="T8" s="22" t="s">
        <v>50</v>
      </c>
      <c r="U8" s="26">
        <v>42159</v>
      </c>
      <c r="V8" s="51">
        <v>45256</v>
      </c>
      <c r="W8" s="23"/>
      <c r="X8" s="27">
        <v>42159</v>
      </c>
      <c r="Y8" s="61">
        <v>200</v>
      </c>
      <c r="Z8" s="88"/>
      <c r="AA8" s="13" t="s">
        <v>6</v>
      </c>
      <c r="AB8" s="20">
        <v>28750</v>
      </c>
      <c r="AC8" s="201" t="s">
        <v>455</v>
      </c>
      <c r="AD8" s="204">
        <v>44849.5</v>
      </c>
      <c r="AE8" s="80"/>
    </row>
    <row r="9" spans="1:31" x14ac:dyDescent="0.25">
      <c r="A9" s="21"/>
      <c r="B9" s="39">
        <v>42160</v>
      </c>
      <c r="C9" s="45">
        <v>0</v>
      </c>
      <c r="D9" s="22"/>
      <c r="E9" s="26">
        <v>42160</v>
      </c>
      <c r="F9" s="51">
        <v>51278.5</v>
      </c>
      <c r="G9" s="23"/>
      <c r="H9" s="27">
        <v>42160</v>
      </c>
      <c r="I9" s="61">
        <v>232</v>
      </c>
      <c r="J9" s="88"/>
      <c r="K9" s="13" t="s">
        <v>406</v>
      </c>
      <c r="L9" s="20">
        <v>7662.72</v>
      </c>
      <c r="M9" s="67" t="s">
        <v>456</v>
      </c>
      <c r="N9" s="75">
        <v>48150</v>
      </c>
      <c r="O9" s="75"/>
      <c r="P9" s="75"/>
      <c r="Q9" s="21"/>
      <c r="R9" s="39">
        <v>42160</v>
      </c>
      <c r="S9" s="45">
        <v>0</v>
      </c>
      <c r="T9" s="22"/>
      <c r="U9" s="26">
        <v>42160</v>
      </c>
      <c r="V9" s="51">
        <v>51278.5</v>
      </c>
      <c r="W9" s="23"/>
      <c r="X9" s="27">
        <v>42160</v>
      </c>
      <c r="Y9" s="61">
        <v>232</v>
      </c>
      <c r="Z9" s="88"/>
      <c r="AA9" s="13" t="s">
        <v>406</v>
      </c>
      <c r="AB9" s="20">
        <v>7662.72</v>
      </c>
      <c r="AC9" s="67" t="s">
        <v>456</v>
      </c>
      <c r="AD9" s="75">
        <v>48150</v>
      </c>
      <c r="AE9" s="80"/>
    </row>
    <row r="10" spans="1:31" x14ac:dyDescent="0.25">
      <c r="A10" s="21"/>
      <c r="B10" s="39">
        <v>42161</v>
      </c>
      <c r="C10" s="45">
        <v>294.5</v>
      </c>
      <c r="D10" s="32" t="s">
        <v>457</v>
      </c>
      <c r="E10" s="26">
        <v>42161</v>
      </c>
      <c r="F10" s="51">
        <v>78335.5</v>
      </c>
      <c r="G10" s="23"/>
      <c r="H10" s="27">
        <v>42161</v>
      </c>
      <c r="I10" s="61">
        <v>200</v>
      </c>
      <c r="J10" s="88"/>
      <c r="K10" s="13" t="s">
        <v>447</v>
      </c>
      <c r="L10" s="20">
        <v>8038.91</v>
      </c>
      <c r="M10" s="67" t="s">
        <v>458</v>
      </c>
      <c r="N10" s="75">
        <v>74850</v>
      </c>
      <c r="O10" s="75"/>
      <c r="P10" s="75"/>
      <c r="Q10" s="21"/>
      <c r="R10" s="39">
        <v>42161</v>
      </c>
      <c r="S10" s="45">
        <v>294.5</v>
      </c>
      <c r="T10" s="32" t="s">
        <v>457</v>
      </c>
      <c r="U10" s="26">
        <v>42161</v>
      </c>
      <c r="V10" s="51">
        <v>78335.5</v>
      </c>
      <c r="W10" s="23"/>
      <c r="X10" s="27">
        <v>42161</v>
      </c>
      <c r="Y10" s="61">
        <v>200</v>
      </c>
      <c r="Z10" s="88"/>
      <c r="AA10" s="13" t="s">
        <v>447</v>
      </c>
      <c r="AB10" s="20">
        <v>8038.91</v>
      </c>
      <c r="AC10" s="67" t="s">
        <v>458</v>
      </c>
      <c r="AD10" s="75">
        <v>74850</v>
      </c>
      <c r="AE10" s="80"/>
    </row>
    <row r="11" spans="1:31" x14ac:dyDescent="0.25">
      <c r="A11" s="21"/>
      <c r="B11" s="39">
        <v>42162</v>
      </c>
      <c r="C11" s="45">
        <v>0</v>
      </c>
      <c r="D11" s="32"/>
      <c r="E11" s="26">
        <v>42162</v>
      </c>
      <c r="F11" s="51">
        <v>70168</v>
      </c>
      <c r="G11" s="23"/>
      <c r="H11" s="27">
        <v>42162</v>
      </c>
      <c r="I11" s="62">
        <v>0</v>
      </c>
      <c r="J11" s="88"/>
      <c r="K11" s="13" t="s">
        <v>448</v>
      </c>
      <c r="L11" s="20">
        <v>7777.05</v>
      </c>
      <c r="M11" s="67" t="s">
        <v>459</v>
      </c>
      <c r="N11" s="75">
        <v>76000</v>
      </c>
      <c r="O11" s="75"/>
      <c r="P11" s="75"/>
      <c r="Q11" s="21"/>
      <c r="R11" s="39">
        <v>42162</v>
      </c>
      <c r="S11" s="45">
        <v>0</v>
      </c>
      <c r="T11" s="32"/>
      <c r="U11" s="26">
        <v>42162</v>
      </c>
      <c r="V11" s="51">
        <v>70168</v>
      </c>
      <c r="W11" s="23"/>
      <c r="X11" s="27">
        <v>42162</v>
      </c>
      <c r="Y11" s="62">
        <v>0</v>
      </c>
      <c r="Z11" s="88"/>
      <c r="AA11" s="13" t="s">
        <v>448</v>
      </c>
      <c r="AB11" s="20">
        <v>7777.05</v>
      </c>
      <c r="AC11" s="67" t="s">
        <v>459</v>
      </c>
      <c r="AD11" s="75">
        <v>76000</v>
      </c>
      <c r="AE11" s="80"/>
    </row>
    <row r="12" spans="1:31" x14ac:dyDescent="0.25">
      <c r="A12" s="21"/>
      <c r="B12" s="39">
        <v>42163</v>
      </c>
      <c r="C12" s="45">
        <v>0</v>
      </c>
      <c r="D12" s="32"/>
      <c r="E12" s="26">
        <v>42163</v>
      </c>
      <c r="F12" s="51">
        <v>52426.5</v>
      </c>
      <c r="G12" s="23"/>
      <c r="H12" s="27">
        <v>42163</v>
      </c>
      <c r="I12" s="62">
        <v>0</v>
      </c>
      <c r="J12" s="88"/>
      <c r="K12" s="13" t="s">
        <v>449</v>
      </c>
      <c r="L12" s="20">
        <v>7508.06</v>
      </c>
      <c r="M12" s="67" t="s">
        <v>460</v>
      </c>
      <c r="N12" s="75">
        <v>41924.5</v>
      </c>
      <c r="O12" s="75"/>
      <c r="P12" s="75"/>
      <c r="Q12" s="21"/>
      <c r="R12" s="39">
        <v>42163</v>
      </c>
      <c r="S12" s="45">
        <v>0</v>
      </c>
      <c r="T12" s="32"/>
      <c r="U12" s="26">
        <v>42163</v>
      </c>
      <c r="V12" s="51">
        <v>52426.5</v>
      </c>
      <c r="W12" s="23"/>
      <c r="X12" s="27">
        <v>42163</v>
      </c>
      <c r="Y12" s="62">
        <v>0</v>
      </c>
      <c r="Z12" s="88"/>
      <c r="AA12" s="13" t="s">
        <v>449</v>
      </c>
      <c r="AB12" s="20">
        <v>0</v>
      </c>
      <c r="AC12" s="67" t="s">
        <v>460</v>
      </c>
      <c r="AD12" s="75">
        <v>41924.5</v>
      </c>
      <c r="AE12" s="80"/>
    </row>
    <row r="13" spans="1:31" x14ac:dyDescent="0.25">
      <c r="A13" s="21"/>
      <c r="B13" s="39">
        <v>42164</v>
      </c>
      <c r="C13" s="45">
        <v>0</v>
      </c>
      <c r="D13" s="32"/>
      <c r="E13" s="26">
        <v>42164</v>
      </c>
      <c r="F13" s="51">
        <v>27036</v>
      </c>
      <c r="G13" s="23"/>
      <c r="H13" s="27">
        <v>42164</v>
      </c>
      <c r="I13" s="62">
        <v>600</v>
      </c>
      <c r="J13" s="88"/>
      <c r="K13" s="13" t="s">
        <v>450</v>
      </c>
      <c r="L13" s="20">
        <v>7777.05</v>
      </c>
      <c r="M13" s="67" t="s">
        <v>462</v>
      </c>
      <c r="N13" s="75">
        <v>30070</v>
      </c>
      <c r="O13" s="75"/>
      <c r="P13" s="75"/>
      <c r="Q13" s="21"/>
      <c r="R13" s="39">
        <v>42164</v>
      </c>
      <c r="S13" s="45">
        <v>0</v>
      </c>
      <c r="T13" s="32"/>
      <c r="U13" s="26">
        <v>42164</v>
      </c>
      <c r="V13" s="51">
        <v>27036</v>
      </c>
      <c r="W13" s="23"/>
      <c r="X13" s="27">
        <v>42164</v>
      </c>
      <c r="Y13" s="62">
        <v>600</v>
      </c>
      <c r="Z13" s="88"/>
      <c r="AA13" s="13" t="s">
        <v>450</v>
      </c>
      <c r="AB13" s="20">
        <v>0</v>
      </c>
      <c r="AC13" s="67" t="s">
        <v>462</v>
      </c>
      <c r="AD13" s="75">
        <v>30070</v>
      </c>
      <c r="AE13" s="80"/>
    </row>
    <row r="14" spans="1:31" x14ac:dyDescent="0.25">
      <c r="A14" s="21"/>
      <c r="B14" s="39">
        <v>42165</v>
      </c>
      <c r="C14" s="45">
        <v>0</v>
      </c>
      <c r="D14" s="29"/>
      <c r="E14" s="26">
        <v>42165</v>
      </c>
      <c r="F14" s="51">
        <v>44965</v>
      </c>
      <c r="G14" s="23"/>
      <c r="H14" s="27">
        <v>42165</v>
      </c>
      <c r="I14" s="62">
        <v>200</v>
      </c>
      <c r="J14" s="88"/>
      <c r="K14" s="35" t="s">
        <v>16</v>
      </c>
      <c r="L14" s="20">
        <v>0</v>
      </c>
      <c r="M14" s="67" t="s">
        <v>463</v>
      </c>
      <c r="N14" s="75">
        <v>48110</v>
      </c>
      <c r="O14" s="75"/>
      <c r="P14" s="75"/>
      <c r="Q14" s="21"/>
      <c r="R14" s="39">
        <v>42165</v>
      </c>
      <c r="S14" s="45">
        <v>0</v>
      </c>
      <c r="T14" s="29"/>
      <c r="U14" s="26">
        <v>42165</v>
      </c>
      <c r="V14" s="51">
        <v>44965</v>
      </c>
      <c r="W14" s="23"/>
      <c r="X14" s="27">
        <v>42165</v>
      </c>
      <c r="Y14" s="62">
        <v>200</v>
      </c>
      <c r="Z14" s="88"/>
      <c r="AA14" s="35" t="s">
        <v>16</v>
      </c>
      <c r="AB14" s="20">
        <v>0</v>
      </c>
      <c r="AC14" s="67" t="s">
        <v>463</v>
      </c>
      <c r="AD14" s="75">
        <v>48110</v>
      </c>
      <c r="AE14" s="80"/>
    </row>
    <row r="15" spans="1:31" x14ac:dyDescent="0.25">
      <c r="A15" s="21"/>
      <c r="B15" s="39">
        <v>42166</v>
      </c>
      <c r="C15" s="45">
        <v>0</v>
      </c>
      <c r="D15" s="29"/>
      <c r="E15" s="26">
        <v>42166</v>
      </c>
      <c r="F15" s="51">
        <v>47817.5</v>
      </c>
      <c r="G15" s="23"/>
      <c r="H15" s="27">
        <v>42166</v>
      </c>
      <c r="I15" s="62">
        <v>200</v>
      </c>
      <c r="J15" s="88"/>
      <c r="K15" s="28" t="s">
        <v>15</v>
      </c>
      <c r="L15" s="20">
        <v>0</v>
      </c>
      <c r="M15" s="67" t="s">
        <v>464</v>
      </c>
      <c r="N15" s="75">
        <v>49100</v>
      </c>
      <c r="O15" s="75"/>
      <c r="P15" s="75"/>
      <c r="Q15" s="21"/>
      <c r="R15" s="39">
        <v>42166</v>
      </c>
      <c r="S15" s="45">
        <v>0</v>
      </c>
      <c r="T15" s="29"/>
      <c r="U15" s="26">
        <v>42166</v>
      </c>
      <c r="V15" s="51">
        <v>47817.5</v>
      </c>
      <c r="W15" s="23"/>
      <c r="X15" s="27">
        <v>42166</v>
      </c>
      <c r="Y15" s="62">
        <v>200</v>
      </c>
      <c r="Z15" s="88"/>
      <c r="AA15" s="28" t="s">
        <v>15</v>
      </c>
      <c r="AB15" s="20">
        <v>0</v>
      </c>
      <c r="AC15" s="67" t="s">
        <v>464</v>
      </c>
      <c r="AD15" s="75">
        <v>49100</v>
      </c>
      <c r="AE15" s="80"/>
    </row>
    <row r="16" spans="1:31" x14ac:dyDescent="0.25">
      <c r="A16" s="21"/>
      <c r="B16" s="39">
        <v>42167</v>
      </c>
      <c r="C16" s="45">
        <v>708</v>
      </c>
      <c r="D16" s="29" t="s">
        <v>466</v>
      </c>
      <c r="E16" s="26">
        <v>42167</v>
      </c>
      <c r="F16" s="51">
        <v>55532</v>
      </c>
      <c r="G16" s="23"/>
      <c r="H16" s="27">
        <v>42167</v>
      </c>
      <c r="I16" s="62">
        <v>200</v>
      </c>
      <c r="J16" s="88"/>
      <c r="K16" s="73" t="s">
        <v>52</v>
      </c>
      <c r="L16" s="74">
        <v>0</v>
      </c>
      <c r="M16" s="67" t="s">
        <v>465</v>
      </c>
      <c r="N16" s="75">
        <v>56150</v>
      </c>
      <c r="O16" s="75"/>
      <c r="P16" s="75"/>
      <c r="Q16" s="21"/>
      <c r="R16" s="39">
        <v>42167</v>
      </c>
      <c r="S16" s="45">
        <v>708</v>
      </c>
      <c r="T16" s="29" t="s">
        <v>466</v>
      </c>
      <c r="U16" s="26">
        <v>42167</v>
      </c>
      <c r="V16" s="51">
        <v>55532</v>
      </c>
      <c r="W16" s="23"/>
      <c r="X16" s="27">
        <v>42167</v>
      </c>
      <c r="Y16" s="62">
        <v>200</v>
      </c>
      <c r="Z16" s="88"/>
      <c r="AA16" s="73" t="s">
        <v>52</v>
      </c>
      <c r="AB16" s="74">
        <v>0</v>
      </c>
      <c r="AC16" s="67" t="s">
        <v>465</v>
      </c>
      <c r="AD16" s="75">
        <v>56150</v>
      </c>
      <c r="AE16" s="80"/>
    </row>
    <row r="17" spans="1:31" x14ac:dyDescent="0.25">
      <c r="A17" s="21"/>
      <c r="B17" s="39">
        <v>42168</v>
      </c>
      <c r="C17" s="45">
        <v>0</v>
      </c>
      <c r="D17" s="29"/>
      <c r="E17" s="26">
        <v>42168</v>
      </c>
      <c r="F17" s="51">
        <v>104726</v>
      </c>
      <c r="G17" s="23"/>
      <c r="H17" s="27">
        <v>42168</v>
      </c>
      <c r="I17" s="62">
        <v>245</v>
      </c>
      <c r="J17" s="88"/>
      <c r="K17" s="28" t="s">
        <v>53</v>
      </c>
      <c r="L17" s="74">
        <v>0</v>
      </c>
      <c r="M17" s="67" t="s">
        <v>467</v>
      </c>
      <c r="N17" s="75">
        <v>103849.5</v>
      </c>
      <c r="O17" s="75"/>
      <c r="P17" s="75"/>
      <c r="Q17" s="21"/>
      <c r="R17" s="39">
        <v>42168</v>
      </c>
      <c r="S17" s="45">
        <v>0</v>
      </c>
      <c r="T17" s="29"/>
      <c r="U17" s="26">
        <v>42168</v>
      </c>
      <c r="V17" s="51">
        <v>104726</v>
      </c>
      <c r="W17" s="23"/>
      <c r="X17" s="27">
        <v>42168</v>
      </c>
      <c r="Y17" s="62">
        <v>245</v>
      </c>
      <c r="Z17" s="88"/>
      <c r="AA17" s="28" t="s">
        <v>53</v>
      </c>
      <c r="AB17" s="74">
        <v>0</v>
      </c>
      <c r="AC17" s="67" t="s">
        <v>467</v>
      </c>
      <c r="AD17" s="75">
        <v>103849.5</v>
      </c>
      <c r="AE17" s="80"/>
    </row>
    <row r="18" spans="1:31" x14ac:dyDescent="0.25">
      <c r="A18" s="21"/>
      <c r="B18" s="39">
        <v>42169</v>
      </c>
      <c r="C18" s="45">
        <v>0</v>
      </c>
      <c r="D18" s="22"/>
      <c r="E18" s="26">
        <v>42169</v>
      </c>
      <c r="F18" s="51">
        <v>64761</v>
      </c>
      <c r="G18" s="23"/>
      <c r="H18" s="27">
        <v>42169</v>
      </c>
      <c r="I18" s="62">
        <v>200</v>
      </c>
      <c r="J18" s="89"/>
      <c r="K18" s="28" t="s">
        <v>54</v>
      </c>
      <c r="L18" s="75">
        <v>0</v>
      </c>
      <c r="M18" s="67" t="s">
        <v>469</v>
      </c>
      <c r="N18" s="75">
        <v>62900</v>
      </c>
      <c r="O18" s="75"/>
      <c r="P18" s="75"/>
      <c r="Q18" s="21"/>
      <c r="R18" s="39">
        <v>42169</v>
      </c>
      <c r="S18" s="45">
        <v>0</v>
      </c>
      <c r="T18" s="22"/>
      <c r="U18" s="26">
        <v>42169</v>
      </c>
      <c r="V18" s="51"/>
      <c r="W18" s="23"/>
      <c r="X18" s="27">
        <v>42169</v>
      </c>
      <c r="Y18" s="62"/>
      <c r="Z18" s="89"/>
      <c r="AA18" s="28" t="s">
        <v>54</v>
      </c>
      <c r="AB18" s="75">
        <v>0</v>
      </c>
      <c r="AC18" s="67"/>
      <c r="AD18" s="75">
        <v>0</v>
      </c>
      <c r="AE18" s="80"/>
    </row>
    <row r="19" spans="1:31" x14ac:dyDescent="0.25">
      <c r="A19" s="21"/>
      <c r="B19" s="39">
        <v>42170</v>
      </c>
      <c r="C19" s="45">
        <v>540</v>
      </c>
      <c r="D19" s="29" t="s">
        <v>470</v>
      </c>
      <c r="E19" s="26">
        <v>42170</v>
      </c>
      <c r="F19" s="51">
        <v>57643</v>
      </c>
      <c r="G19" s="23"/>
      <c r="H19" s="27">
        <v>42170</v>
      </c>
      <c r="I19" s="62">
        <v>200</v>
      </c>
      <c r="J19" s="88"/>
      <c r="K19" s="28" t="s">
        <v>55</v>
      </c>
      <c r="L19" s="75">
        <v>0</v>
      </c>
      <c r="M19" s="67" t="s">
        <v>471</v>
      </c>
      <c r="N19" s="75">
        <v>58800</v>
      </c>
      <c r="O19" s="75"/>
      <c r="P19" s="75"/>
      <c r="Q19" s="21"/>
      <c r="R19" s="39">
        <v>42170</v>
      </c>
      <c r="S19" s="45">
        <v>0</v>
      </c>
      <c r="T19" s="29"/>
      <c r="U19" s="26">
        <v>42170</v>
      </c>
      <c r="V19" s="51"/>
      <c r="W19" s="23"/>
      <c r="X19" s="27">
        <v>42170</v>
      </c>
      <c r="Y19" s="62"/>
      <c r="Z19" s="88"/>
      <c r="AA19" s="28" t="s">
        <v>55</v>
      </c>
      <c r="AB19" s="75">
        <v>0</v>
      </c>
      <c r="AC19" s="67"/>
      <c r="AD19" s="75">
        <v>0</v>
      </c>
      <c r="AE19" s="80"/>
    </row>
    <row r="20" spans="1:31" x14ac:dyDescent="0.25">
      <c r="A20" s="21"/>
      <c r="B20" s="39">
        <v>42171</v>
      </c>
      <c r="C20" s="45">
        <v>0</v>
      </c>
      <c r="D20" s="22"/>
      <c r="E20" s="26">
        <v>42171</v>
      </c>
      <c r="F20" s="51">
        <v>36791</v>
      </c>
      <c r="G20" s="23"/>
      <c r="H20" s="27">
        <v>42171</v>
      </c>
      <c r="I20" s="62">
        <v>200</v>
      </c>
      <c r="J20" s="90"/>
      <c r="K20" s="314" t="s">
        <v>408</v>
      </c>
      <c r="L20" s="55">
        <v>0</v>
      </c>
      <c r="M20" s="67" t="s">
        <v>472</v>
      </c>
      <c r="N20" s="75">
        <v>35660</v>
      </c>
      <c r="O20" s="75"/>
      <c r="P20" s="75"/>
      <c r="Q20" s="21"/>
      <c r="R20" s="39">
        <v>42171</v>
      </c>
      <c r="S20" s="45">
        <v>0</v>
      </c>
      <c r="T20" s="22"/>
      <c r="U20" s="26">
        <v>42171</v>
      </c>
      <c r="V20" s="51"/>
      <c r="W20" s="23"/>
      <c r="X20" s="27">
        <v>42171</v>
      </c>
      <c r="Y20" s="62"/>
      <c r="Z20" s="90"/>
      <c r="AA20" s="314" t="s">
        <v>408</v>
      </c>
      <c r="AB20" s="55">
        <v>0</v>
      </c>
      <c r="AC20" s="67"/>
      <c r="AD20" s="75">
        <v>0</v>
      </c>
      <c r="AE20" s="80"/>
    </row>
    <row r="21" spans="1:31" x14ac:dyDescent="0.25">
      <c r="A21" s="21"/>
      <c r="B21" s="39">
        <v>42172</v>
      </c>
      <c r="C21" s="45">
        <v>0</v>
      </c>
      <c r="D21" s="22"/>
      <c r="E21" s="26">
        <v>42172</v>
      </c>
      <c r="F21" s="51">
        <v>44588</v>
      </c>
      <c r="G21" s="23"/>
      <c r="H21" s="27">
        <v>42172</v>
      </c>
      <c r="I21" s="62">
        <v>200</v>
      </c>
      <c r="J21" s="88"/>
      <c r="K21" s="25" t="s">
        <v>99</v>
      </c>
      <c r="L21" s="55">
        <v>0</v>
      </c>
      <c r="M21" s="67" t="s">
        <v>473</v>
      </c>
      <c r="N21" s="75">
        <v>44300</v>
      </c>
      <c r="O21" s="75"/>
      <c r="P21" s="75"/>
      <c r="Q21" s="21"/>
      <c r="R21" s="39">
        <v>42172</v>
      </c>
      <c r="S21" s="45">
        <v>0</v>
      </c>
      <c r="T21" s="22"/>
      <c r="U21" s="26">
        <v>42172</v>
      </c>
      <c r="V21" s="51"/>
      <c r="W21" s="23"/>
      <c r="X21" s="27">
        <v>42172</v>
      </c>
      <c r="Y21" s="62"/>
      <c r="Z21" s="88"/>
      <c r="AA21" s="25" t="s">
        <v>99</v>
      </c>
      <c r="AB21" s="55">
        <v>0</v>
      </c>
      <c r="AC21" s="67"/>
      <c r="AD21" s="75">
        <v>0</v>
      </c>
      <c r="AE21" s="80"/>
    </row>
    <row r="22" spans="1:31" x14ac:dyDescent="0.25">
      <c r="A22" s="21"/>
      <c r="B22" s="39">
        <v>42173</v>
      </c>
      <c r="C22" s="45">
        <v>0</v>
      </c>
      <c r="D22" s="22"/>
      <c r="E22" s="26">
        <v>42173</v>
      </c>
      <c r="F22" s="51">
        <v>56129</v>
      </c>
      <c r="G22" s="23"/>
      <c r="H22" s="27">
        <v>42173</v>
      </c>
      <c r="I22" s="62">
        <v>200</v>
      </c>
      <c r="J22" s="90"/>
      <c r="K22" s="122" t="s">
        <v>213</v>
      </c>
      <c r="L22" s="55">
        <v>0</v>
      </c>
      <c r="M22" s="67" t="s">
        <v>475</v>
      </c>
      <c r="N22" s="75">
        <v>57830</v>
      </c>
      <c r="O22" s="75"/>
      <c r="P22" s="75"/>
      <c r="Q22" s="21"/>
      <c r="R22" s="39">
        <v>42173</v>
      </c>
      <c r="S22" s="45">
        <v>0</v>
      </c>
      <c r="T22" s="22"/>
      <c r="U22" s="26">
        <v>42173</v>
      </c>
      <c r="V22" s="51"/>
      <c r="W22" s="23"/>
      <c r="X22" s="27">
        <v>42173</v>
      </c>
      <c r="Y22" s="62"/>
      <c r="Z22" s="90"/>
      <c r="AA22" s="122" t="s">
        <v>213</v>
      </c>
      <c r="AB22" s="55">
        <v>0</v>
      </c>
      <c r="AC22" s="67"/>
      <c r="AD22" s="75">
        <v>0</v>
      </c>
      <c r="AE22" s="80"/>
    </row>
    <row r="23" spans="1:31" x14ac:dyDescent="0.25">
      <c r="A23" s="21"/>
      <c r="B23" s="39">
        <v>42174</v>
      </c>
      <c r="C23" s="45">
        <v>0</v>
      </c>
      <c r="D23" s="22"/>
      <c r="E23" s="26">
        <v>42174</v>
      </c>
      <c r="F23" s="51">
        <v>60736.5</v>
      </c>
      <c r="G23" s="23"/>
      <c r="H23" s="27">
        <v>42174</v>
      </c>
      <c r="I23" s="62">
        <v>200</v>
      </c>
      <c r="J23" s="88"/>
      <c r="K23" s="11" t="s">
        <v>332</v>
      </c>
      <c r="L23" s="55">
        <v>800</v>
      </c>
      <c r="M23" s="67" t="s">
        <v>476</v>
      </c>
      <c r="N23" s="75">
        <v>60200</v>
      </c>
      <c r="O23" s="75"/>
      <c r="P23" s="75"/>
      <c r="Q23" s="21"/>
      <c r="R23" s="39">
        <v>42174</v>
      </c>
      <c r="S23" s="45">
        <v>0</v>
      </c>
      <c r="T23" s="22"/>
      <c r="U23" s="26">
        <v>42174</v>
      </c>
      <c r="V23" s="51"/>
      <c r="W23" s="23"/>
      <c r="X23" s="27">
        <v>42174</v>
      </c>
      <c r="Y23" s="62"/>
      <c r="Z23" s="88"/>
      <c r="AA23" s="11" t="s">
        <v>332</v>
      </c>
      <c r="AB23" s="55">
        <v>800</v>
      </c>
      <c r="AC23" s="67"/>
      <c r="AD23" s="75">
        <v>0</v>
      </c>
      <c r="AE23" s="80"/>
    </row>
    <row r="24" spans="1:31" x14ac:dyDescent="0.25">
      <c r="A24" s="21"/>
      <c r="B24" s="39">
        <v>42175</v>
      </c>
      <c r="C24" s="45">
        <v>0</v>
      </c>
      <c r="D24" s="29"/>
      <c r="E24" s="26">
        <v>42175</v>
      </c>
      <c r="F24" s="51">
        <v>72354.5</v>
      </c>
      <c r="G24" s="23"/>
      <c r="H24" s="27">
        <v>42175</v>
      </c>
      <c r="I24" s="62">
        <v>200</v>
      </c>
      <c r="J24" s="88"/>
      <c r="K24" s="365">
        <v>42165</v>
      </c>
      <c r="L24" s="55"/>
      <c r="M24" s="67" t="s">
        <v>477</v>
      </c>
      <c r="N24" s="75">
        <v>70400</v>
      </c>
      <c r="O24" s="75"/>
      <c r="P24" s="75"/>
      <c r="Q24" s="21"/>
      <c r="R24" s="39">
        <v>42175</v>
      </c>
      <c r="S24" s="45">
        <v>0</v>
      </c>
      <c r="T24" s="29"/>
      <c r="U24" s="26">
        <v>42175</v>
      </c>
      <c r="V24" s="51"/>
      <c r="W24" s="23"/>
      <c r="X24" s="27">
        <v>42175</v>
      </c>
      <c r="Y24" s="62"/>
      <c r="Z24" s="88"/>
      <c r="AA24" s="365">
        <v>42165</v>
      </c>
      <c r="AB24" s="55"/>
      <c r="AC24" s="67"/>
      <c r="AD24" s="75">
        <v>0</v>
      </c>
      <c r="AE24" s="80"/>
    </row>
    <row r="25" spans="1:31" x14ac:dyDescent="0.25">
      <c r="A25" s="21"/>
      <c r="B25" s="39">
        <v>42176</v>
      </c>
      <c r="C25" s="45">
        <v>0</v>
      </c>
      <c r="D25" s="22"/>
      <c r="E25" s="26">
        <v>42176</v>
      </c>
      <c r="F25" s="51">
        <v>78864.5</v>
      </c>
      <c r="G25" s="23"/>
      <c r="H25" s="27">
        <v>42176</v>
      </c>
      <c r="I25" s="62">
        <v>200</v>
      </c>
      <c r="J25" s="88"/>
      <c r="K25" s="11"/>
      <c r="L25" s="55"/>
      <c r="M25" s="67" t="s">
        <v>480</v>
      </c>
      <c r="N25" s="75">
        <v>78100</v>
      </c>
      <c r="O25" s="75"/>
      <c r="P25" s="75"/>
      <c r="Q25" s="21"/>
      <c r="R25" s="39">
        <v>42176</v>
      </c>
      <c r="S25" s="45">
        <v>0</v>
      </c>
      <c r="T25" s="22"/>
      <c r="U25" s="26">
        <v>42176</v>
      </c>
      <c r="V25" s="51"/>
      <c r="W25" s="23"/>
      <c r="X25" s="27">
        <v>42176</v>
      </c>
      <c r="Y25" s="62"/>
      <c r="Z25" s="88"/>
      <c r="AA25" s="11"/>
      <c r="AB25" s="55"/>
      <c r="AC25" s="67"/>
      <c r="AD25" s="75">
        <v>0</v>
      </c>
      <c r="AE25" s="80"/>
    </row>
    <row r="26" spans="1:31" x14ac:dyDescent="0.25">
      <c r="A26" s="21"/>
      <c r="B26" s="39">
        <v>42177</v>
      </c>
      <c r="C26" s="45">
        <v>0</v>
      </c>
      <c r="D26" s="29"/>
      <c r="E26" s="26">
        <v>42177</v>
      </c>
      <c r="F26" s="51">
        <v>53017</v>
      </c>
      <c r="G26" s="23"/>
      <c r="H26" s="27">
        <v>42177</v>
      </c>
      <c r="I26" s="62">
        <v>200</v>
      </c>
      <c r="J26" s="88"/>
      <c r="K26" s="11"/>
      <c r="L26" s="55"/>
      <c r="M26" s="67" t="s">
        <v>481</v>
      </c>
      <c r="N26" s="75">
        <v>52500</v>
      </c>
      <c r="O26" s="75"/>
      <c r="P26" s="75"/>
      <c r="Q26" s="21"/>
      <c r="R26" s="39">
        <v>42177</v>
      </c>
      <c r="S26" s="45">
        <v>0</v>
      </c>
      <c r="T26" s="29"/>
      <c r="U26" s="26">
        <v>42177</v>
      </c>
      <c r="V26" s="51"/>
      <c r="W26" s="23"/>
      <c r="X26" s="27">
        <v>42177</v>
      </c>
      <c r="Y26" s="62"/>
      <c r="Z26" s="88"/>
      <c r="AA26" s="11"/>
      <c r="AB26" s="55"/>
      <c r="AC26" s="67"/>
      <c r="AD26" s="75">
        <v>0</v>
      </c>
      <c r="AE26" s="80"/>
    </row>
    <row r="27" spans="1:31" x14ac:dyDescent="0.25">
      <c r="A27" s="21"/>
      <c r="B27" s="39">
        <v>42178</v>
      </c>
      <c r="C27" s="45">
        <v>0</v>
      </c>
      <c r="D27" s="29"/>
      <c r="E27" s="26">
        <v>42178</v>
      </c>
      <c r="F27" s="51">
        <v>42632</v>
      </c>
      <c r="G27" s="23"/>
      <c r="H27" s="27">
        <v>42178</v>
      </c>
      <c r="I27" s="62">
        <v>200</v>
      </c>
      <c r="J27" s="88"/>
      <c r="K27" s="11"/>
      <c r="L27" s="55"/>
      <c r="M27" s="201" t="s">
        <v>497</v>
      </c>
      <c r="N27" s="204">
        <v>42650</v>
      </c>
      <c r="O27" s="204"/>
      <c r="P27" s="204"/>
      <c r="Q27" s="21"/>
      <c r="R27" s="39">
        <v>42178</v>
      </c>
      <c r="S27" s="45">
        <v>0</v>
      </c>
      <c r="T27" s="29"/>
      <c r="U27" s="26">
        <v>42178</v>
      </c>
      <c r="V27" s="51"/>
      <c r="W27" s="23"/>
      <c r="X27" s="27">
        <v>42178</v>
      </c>
      <c r="Y27" s="62"/>
      <c r="Z27" s="88"/>
      <c r="AA27" s="11"/>
      <c r="AB27" s="55"/>
      <c r="AC27" s="201"/>
      <c r="AD27" s="204">
        <v>0</v>
      </c>
      <c r="AE27" s="80"/>
    </row>
    <row r="28" spans="1:31" x14ac:dyDescent="0.25">
      <c r="A28" s="21"/>
      <c r="B28" s="39">
        <v>42179</v>
      </c>
      <c r="C28" s="45">
        <v>0</v>
      </c>
      <c r="D28" s="29"/>
      <c r="E28" s="26">
        <v>42179</v>
      </c>
      <c r="F28" s="51">
        <v>42115</v>
      </c>
      <c r="G28" s="23"/>
      <c r="H28" s="27">
        <v>42179</v>
      </c>
      <c r="I28" s="62">
        <v>200</v>
      </c>
      <c r="J28" s="88"/>
      <c r="K28" s="11"/>
      <c r="L28" s="55"/>
      <c r="M28" s="201" t="s">
        <v>498</v>
      </c>
      <c r="N28" s="204">
        <v>43660</v>
      </c>
      <c r="O28" s="204"/>
      <c r="P28" s="204"/>
      <c r="Q28" s="21"/>
      <c r="R28" s="39">
        <v>42179</v>
      </c>
      <c r="S28" s="45">
        <v>0</v>
      </c>
      <c r="T28" s="29"/>
      <c r="U28" s="26">
        <v>42179</v>
      </c>
      <c r="V28" s="51"/>
      <c r="W28" s="23"/>
      <c r="X28" s="27">
        <v>42179</v>
      </c>
      <c r="Y28" s="62"/>
      <c r="Z28" s="88"/>
      <c r="AA28" s="11"/>
      <c r="AB28" s="55"/>
      <c r="AC28" s="201"/>
      <c r="AD28" s="204">
        <v>0</v>
      </c>
      <c r="AE28" s="80"/>
    </row>
    <row r="29" spans="1:31" x14ac:dyDescent="0.25">
      <c r="A29" s="21"/>
      <c r="B29" s="39">
        <v>42180</v>
      </c>
      <c r="C29" s="45">
        <v>0</v>
      </c>
      <c r="D29" s="29"/>
      <c r="E29" s="26">
        <v>42180</v>
      </c>
      <c r="F29" s="51">
        <v>59020</v>
      </c>
      <c r="G29" s="23"/>
      <c r="H29" s="27">
        <v>42180</v>
      </c>
      <c r="I29" s="62">
        <v>200</v>
      </c>
      <c r="J29" s="88"/>
      <c r="K29" s="11"/>
      <c r="L29" s="20"/>
      <c r="M29" s="67" t="s">
        <v>499</v>
      </c>
      <c r="N29" s="75">
        <v>59200</v>
      </c>
      <c r="O29" s="75"/>
      <c r="P29" s="75"/>
      <c r="Q29" s="21"/>
      <c r="R29" s="39">
        <v>42180</v>
      </c>
      <c r="S29" s="45">
        <v>0</v>
      </c>
      <c r="T29" s="29"/>
      <c r="U29" s="26">
        <v>42180</v>
      </c>
      <c r="V29" s="51"/>
      <c r="W29" s="23"/>
      <c r="X29" s="27">
        <v>42180</v>
      </c>
      <c r="Y29" s="62"/>
      <c r="Z29" s="88"/>
      <c r="AA29" s="11"/>
      <c r="AB29" s="20"/>
      <c r="AC29" s="67"/>
      <c r="AD29" s="75">
        <v>0</v>
      </c>
      <c r="AE29" s="80"/>
    </row>
    <row r="30" spans="1:31" x14ac:dyDescent="0.25">
      <c r="A30" s="21"/>
      <c r="B30" s="39">
        <v>42181</v>
      </c>
      <c r="C30" s="45">
        <v>0</v>
      </c>
      <c r="D30" s="22"/>
      <c r="E30" s="26">
        <v>42181</v>
      </c>
      <c r="F30" s="51">
        <v>69872</v>
      </c>
      <c r="G30" s="23"/>
      <c r="H30" s="27">
        <v>42181</v>
      </c>
      <c r="I30" s="62">
        <v>200</v>
      </c>
      <c r="J30" s="88"/>
      <c r="K30" s="11"/>
      <c r="L30" s="20"/>
      <c r="M30" s="201" t="s">
        <v>500</v>
      </c>
      <c r="N30" s="204">
        <v>67800</v>
      </c>
      <c r="O30" s="204"/>
      <c r="P30" s="204"/>
      <c r="Q30" s="21"/>
      <c r="R30" s="39">
        <v>42181</v>
      </c>
      <c r="S30" s="45">
        <v>0</v>
      </c>
      <c r="T30" s="22"/>
      <c r="U30" s="26">
        <v>42181</v>
      </c>
      <c r="V30" s="51"/>
      <c r="W30" s="23"/>
      <c r="X30" s="27">
        <v>42181</v>
      </c>
      <c r="Y30" s="62"/>
      <c r="Z30" s="88"/>
      <c r="AA30" s="11"/>
      <c r="AB30" s="20"/>
      <c r="AC30" s="201"/>
      <c r="AD30" s="204">
        <v>0</v>
      </c>
      <c r="AE30" s="80"/>
    </row>
    <row r="31" spans="1:31" x14ac:dyDescent="0.25">
      <c r="A31" s="21"/>
      <c r="B31" s="39">
        <v>42182</v>
      </c>
      <c r="C31" s="45">
        <v>307</v>
      </c>
      <c r="D31" s="22" t="s">
        <v>457</v>
      </c>
      <c r="E31" s="26">
        <v>42182</v>
      </c>
      <c r="F31" s="51">
        <v>92994.5</v>
      </c>
      <c r="G31" s="23"/>
      <c r="H31" s="27">
        <v>42182</v>
      </c>
      <c r="I31" s="62">
        <v>200</v>
      </c>
      <c r="J31" s="88"/>
      <c r="K31" s="11"/>
      <c r="L31" s="20"/>
      <c r="M31" s="201" t="s">
        <v>501</v>
      </c>
      <c r="N31" s="204">
        <v>91100</v>
      </c>
      <c r="O31" s="204"/>
      <c r="P31" s="204"/>
      <c r="Q31" s="21"/>
      <c r="R31" s="39">
        <v>42182</v>
      </c>
      <c r="S31" s="45">
        <v>0</v>
      </c>
      <c r="T31" s="22"/>
      <c r="U31" s="26">
        <v>42182</v>
      </c>
      <c r="V31" s="51"/>
      <c r="W31" s="23"/>
      <c r="X31" s="27">
        <v>42182</v>
      </c>
      <c r="Y31" s="62"/>
      <c r="Z31" s="88"/>
      <c r="AA31" s="11"/>
      <c r="AB31" s="20"/>
      <c r="AC31" s="201"/>
      <c r="AD31" s="204">
        <v>0</v>
      </c>
      <c r="AE31" s="80"/>
    </row>
    <row r="32" spans="1:31" x14ac:dyDescent="0.25">
      <c r="A32" s="21"/>
      <c r="B32" s="39">
        <v>42183</v>
      </c>
      <c r="C32" s="45">
        <v>0</v>
      </c>
      <c r="D32" s="22"/>
      <c r="E32" s="26">
        <v>42183</v>
      </c>
      <c r="F32" s="51">
        <v>85990</v>
      </c>
      <c r="G32" s="23"/>
      <c r="H32" s="27">
        <v>42183</v>
      </c>
      <c r="I32" s="62">
        <v>200</v>
      </c>
      <c r="J32" s="88"/>
      <c r="K32" s="11"/>
      <c r="L32" s="20"/>
      <c r="M32" s="67" t="s">
        <v>502</v>
      </c>
      <c r="N32" s="75">
        <v>81580</v>
      </c>
      <c r="O32" s="75"/>
      <c r="P32" s="75"/>
      <c r="Q32" s="21"/>
      <c r="R32" s="39">
        <v>42183</v>
      </c>
      <c r="S32" s="45">
        <v>0</v>
      </c>
      <c r="T32" s="22"/>
      <c r="U32" s="26">
        <v>42183</v>
      </c>
      <c r="V32" s="51"/>
      <c r="W32" s="23"/>
      <c r="X32" s="27">
        <v>42183</v>
      </c>
      <c r="Y32" s="62"/>
      <c r="Z32" s="88"/>
      <c r="AA32" s="11"/>
      <c r="AB32" s="20"/>
      <c r="AC32" s="67"/>
      <c r="AD32" s="75">
        <v>0</v>
      </c>
      <c r="AE32" s="80"/>
    </row>
    <row r="33" spans="1:31" x14ac:dyDescent="0.25">
      <c r="A33" s="21"/>
      <c r="B33" s="39">
        <v>42184</v>
      </c>
      <c r="C33" s="45">
        <v>0</v>
      </c>
      <c r="D33" s="32"/>
      <c r="E33" s="26">
        <v>42184</v>
      </c>
      <c r="F33" s="51">
        <v>49043</v>
      </c>
      <c r="G33" s="23"/>
      <c r="H33" s="27">
        <v>42184</v>
      </c>
      <c r="I33" s="62">
        <v>232</v>
      </c>
      <c r="J33" s="88"/>
      <c r="K33" s="11"/>
      <c r="L33" s="20"/>
      <c r="M33" s="67" t="s">
        <v>503</v>
      </c>
      <c r="N33" s="75">
        <v>54200</v>
      </c>
      <c r="O33" s="75"/>
      <c r="P33" s="75"/>
      <c r="Q33" s="21"/>
      <c r="R33" s="39">
        <v>42184</v>
      </c>
      <c r="S33" s="45">
        <v>0</v>
      </c>
      <c r="T33" s="32"/>
      <c r="U33" s="26">
        <v>42184</v>
      </c>
      <c r="V33" s="51"/>
      <c r="W33" s="23"/>
      <c r="X33" s="27">
        <v>42184</v>
      </c>
      <c r="Y33" s="62"/>
      <c r="Z33" s="88"/>
      <c r="AA33" s="11"/>
      <c r="AB33" s="20"/>
      <c r="AC33" s="67"/>
      <c r="AD33" s="75">
        <v>0</v>
      </c>
      <c r="AE33" s="80"/>
    </row>
    <row r="34" spans="1:31" x14ac:dyDescent="0.25">
      <c r="A34" s="21"/>
      <c r="B34" s="39">
        <v>42185</v>
      </c>
      <c r="C34" s="45">
        <v>0</v>
      </c>
      <c r="D34" s="72"/>
      <c r="E34" s="26">
        <v>42185</v>
      </c>
      <c r="F34" s="51">
        <v>61147.5</v>
      </c>
      <c r="G34" s="23"/>
      <c r="H34" s="27">
        <v>42185</v>
      </c>
      <c r="I34" s="62">
        <v>200</v>
      </c>
      <c r="J34" s="88"/>
      <c r="K34" s="11"/>
      <c r="L34" s="20"/>
      <c r="M34" s="258" t="s">
        <v>504</v>
      </c>
      <c r="N34" s="202">
        <v>57520</v>
      </c>
      <c r="O34" s="202"/>
      <c r="P34" s="202"/>
      <c r="Q34" s="21"/>
      <c r="R34" s="39">
        <v>42185</v>
      </c>
      <c r="S34" s="45">
        <v>0</v>
      </c>
      <c r="T34" s="72"/>
      <c r="U34" s="26">
        <v>42185</v>
      </c>
      <c r="V34" s="51"/>
      <c r="W34" s="23"/>
      <c r="X34" s="27">
        <v>42185</v>
      </c>
      <c r="Y34" s="62"/>
      <c r="Z34" s="88"/>
      <c r="AA34" s="11"/>
      <c r="AB34" s="20"/>
      <c r="AC34" s="258"/>
      <c r="AD34" s="202">
        <v>0</v>
      </c>
      <c r="AE34" s="80"/>
    </row>
    <row r="35" spans="1:31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  <c r="O35" s="74"/>
      <c r="P35" s="74"/>
      <c r="Q35" s="21"/>
      <c r="R35" s="39"/>
      <c r="S35" s="45"/>
      <c r="T35" s="22"/>
      <c r="U35" s="26"/>
      <c r="V35" s="51"/>
      <c r="W35" s="23"/>
      <c r="X35" s="27"/>
      <c r="Y35" s="62"/>
      <c r="Z35" s="88"/>
      <c r="AA35" s="11" t="s">
        <v>345</v>
      </c>
      <c r="AB35" s="20"/>
      <c r="AC35" s="71"/>
      <c r="AD35" s="74">
        <v>0</v>
      </c>
    </row>
    <row r="36" spans="1:31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1"/>
      <c r="N36" s="346">
        <v>0</v>
      </c>
      <c r="O36" s="74"/>
      <c r="P36" s="74"/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D36" s="346">
        <v>0</v>
      </c>
    </row>
    <row r="37" spans="1:31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1"/>
      <c r="N37" s="345">
        <f>SUM(N5:N36)</f>
        <v>1716374</v>
      </c>
      <c r="O37" s="372"/>
      <c r="P37" s="372"/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D37" s="345">
        <f>SUM(AD5:AD36)</f>
        <v>697974</v>
      </c>
    </row>
    <row r="38" spans="1:31" x14ac:dyDescent="0.25">
      <c r="B38" s="42" t="s">
        <v>1</v>
      </c>
      <c r="C38" s="48">
        <f>SUM(C5:C37)</f>
        <v>2389.5</v>
      </c>
      <c r="E38" s="368" t="s">
        <v>1</v>
      </c>
      <c r="F38" s="54">
        <f>SUM(F5:F37)</f>
        <v>1729770</v>
      </c>
      <c r="H38" s="370" t="s">
        <v>1</v>
      </c>
      <c r="I38" s="58">
        <f>SUM(I5:I37)</f>
        <v>6109</v>
      </c>
      <c r="J38" s="58"/>
      <c r="K38" s="17" t="s">
        <v>1</v>
      </c>
      <c r="L38" s="4">
        <f t="shared" ref="L38" si="0">SUM(L5:L37)</f>
        <v>68313.790000000008</v>
      </c>
      <c r="M38" s="371"/>
      <c r="N38" s="202"/>
      <c r="O38" s="202"/>
      <c r="P38" s="202"/>
      <c r="R38" s="42" t="s">
        <v>1</v>
      </c>
      <c r="S38" s="48">
        <f>SUM(S5:S37)</f>
        <v>1542.5</v>
      </c>
      <c r="U38" s="361" t="s">
        <v>1</v>
      </c>
      <c r="V38" s="54">
        <f>SUM(V5:V37)</f>
        <v>702071.5</v>
      </c>
      <c r="X38" s="363" t="s">
        <v>1</v>
      </c>
      <c r="Y38" s="58">
        <f>SUM(Y5:Y37)</f>
        <v>2677</v>
      </c>
      <c r="Z38" s="58"/>
      <c r="AA38" s="17" t="s">
        <v>1</v>
      </c>
      <c r="AB38" s="4">
        <f t="shared" ref="AB38" si="1">SUM(AB5:AB37)</f>
        <v>53028.680000000008</v>
      </c>
    </row>
    <row r="39" spans="1:31" x14ac:dyDescent="0.25">
      <c r="B39" s="37"/>
      <c r="C39" s="43"/>
      <c r="F39" s="43"/>
      <c r="I39" s="43"/>
      <c r="J39" s="43"/>
      <c r="M39" s="371"/>
      <c r="N39" s="202"/>
      <c r="O39" s="202"/>
      <c r="P39" s="202"/>
    </row>
    <row r="40" spans="1:31" ht="15.75" customHeight="1" x14ac:dyDescent="0.25">
      <c r="A40" s="5"/>
      <c r="B40" s="37"/>
      <c r="C40" s="49">
        <v>0</v>
      </c>
      <c r="D40" s="13"/>
      <c r="E40" s="13"/>
      <c r="F40" s="55"/>
      <c r="H40" s="413" t="s">
        <v>7</v>
      </c>
      <c r="I40" s="414"/>
      <c r="J40" s="369"/>
      <c r="K40" s="415">
        <f>I38+L38</f>
        <v>74422.790000000008</v>
      </c>
      <c r="L40" s="416"/>
      <c r="M40" s="371"/>
      <c r="N40" s="202"/>
      <c r="O40" s="202"/>
      <c r="P40" s="202"/>
      <c r="Q40" s="5"/>
      <c r="S40" s="49">
        <v>0</v>
      </c>
      <c r="T40" s="13"/>
      <c r="U40" s="13"/>
      <c r="V40" s="55"/>
      <c r="X40" s="413" t="s">
        <v>7</v>
      </c>
      <c r="Y40" s="414"/>
      <c r="Z40" s="362"/>
      <c r="AA40" s="415">
        <f>Y38+AB38</f>
        <v>55705.680000000008</v>
      </c>
      <c r="AB40" s="416"/>
    </row>
    <row r="41" spans="1:31" ht="15.75" customHeight="1" x14ac:dyDescent="0.25">
      <c r="B41" s="37"/>
      <c r="C41" s="43"/>
      <c r="D41" s="407" t="s">
        <v>8</v>
      </c>
      <c r="E41" s="407"/>
      <c r="F41" s="56">
        <f>F38-K40</f>
        <v>1655347.21</v>
      </c>
      <c r="I41" s="65"/>
      <c r="J41" s="65"/>
      <c r="M41" s="371"/>
      <c r="N41" s="202"/>
      <c r="O41" s="202"/>
      <c r="P41" s="202"/>
      <c r="T41" s="407" t="s">
        <v>8</v>
      </c>
      <c r="U41" s="407"/>
      <c r="V41" s="56">
        <f>V38-AA40</f>
        <v>646365.81999999995</v>
      </c>
      <c r="Y41" s="65"/>
      <c r="Z41" s="65"/>
    </row>
    <row r="42" spans="1:31" x14ac:dyDescent="0.25">
      <c r="B42" s="37"/>
      <c r="C42" s="43"/>
      <c r="D42" s="13"/>
      <c r="E42" s="13" t="s">
        <v>0</v>
      </c>
      <c r="F42" s="56">
        <f>-C38</f>
        <v>-2389.5</v>
      </c>
      <c r="I42" s="43"/>
      <c r="J42" s="43"/>
      <c r="M42" s="371"/>
      <c r="N42" s="202"/>
      <c r="O42" s="202"/>
      <c r="P42" s="202"/>
      <c r="T42" s="13"/>
      <c r="U42" s="13" t="s">
        <v>0</v>
      </c>
      <c r="V42" s="56">
        <f>-S38</f>
        <v>-1542.5</v>
      </c>
    </row>
    <row r="43" spans="1:31" ht="15.75" thickBot="1" x14ac:dyDescent="0.3">
      <c r="B43" s="37"/>
      <c r="C43" s="43" t="s">
        <v>12</v>
      </c>
      <c r="D43" t="s">
        <v>303</v>
      </c>
      <c r="F43" s="125">
        <v>-1581936.53</v>
      </c>
      <c r="I43" s="417"/>
      <c r="J43" s="417"/>
      <c r="K43" s="417"/>
      <c r="L43" s="2"/>
      <c r="M43" s="371"/>
      <c r="N43" s="202"/>
      <c r="O43" s="202"/>
      <c r="P43" s="202"/>
      <c r="S43" s="43" t="s">
        <v>12</v>
      </c>
      <c r="T43" t="s">
        <v>303</v>
      </c>
      <c r="V43" s="125">
        <v>-683123.4</v>
      </c>
      <c r="Y43" s="417"/>
      <c r="Z43" s="417"/>
      <c r="AA43" s="417"/>
      <c r="AB43" s="2"/>
    </row>
    <row r="44" spans="1:31" ht="16.5" thickTop="1" x14ac:dyDescent="0.25">
      <c r="B44" s="37"/>
      <c r="C44" s="43"/>
      <c r="E44" s="5" t="s">
        <v>10</v>
      </c>
      <c r="F44" s="58">
        <f>SUM(F41:F43)</f>
        <v>71021.179999999935</v>
      </c>
      <c r="I44" s="449" t="s">
        <v>251</v>
      </c>
      <c r="J44" s="449"/>
      <c r="K44" s="434">
        <f>F46</f>
        <v>183039.44999999995</v>
      </c>
      <c r="L44" s="435"/>
      <c r="M44" s="371"/>
      <c r="N44" s="202"/>
      <c r="O44" s="202"/>
      <c r="P44" s="202"/>
      <c r="U44" s="5" t="s">
        <v>10</v>
      </c>
      <c r="V44" s="58">
        <f>SUM(V41:V43)</f>
        <v>-38300.080000000075</v>
      </c>
      <c r="Y44" s="449" t="s">
        <v>251</v>
      </c>
      <c r="Z44" s="449"/>
      <c r="AA44" s="434">
        <f>V46</f>
        <v>150420.62999999992</v>
      </c>
      <c r="AB44" s="435"/>
    </row>
    <row r="45" spans="1:31" ht="15.75" customHeight="1" thickBot="1" x14ac:dyDescent="0.3">
      <c r="B45" s="37"/>
      <c r="C45" s="43"/>
      <c r="D45" s="368" t="s">
        <v>9</v>
      </c>
      <c r="E45" s="368"/>
      <c r="F45" s="366">
        <v>112018.27</v>
      </c>
      <c r="I45" s="443" t="s">
        <v>2</v>
      </c>
      <c r="J45" s="443"/>
      <c r="K45" s="436">
        <v>-125131.74</v>
      </c>
      <c r="L45" s="436"/>
      <c r="M45" s="371"/>
      <c r="N45" s="202"/>
      <c r="O45" s="202"/>
      <c r="P45" s="202"/>
      <c r="T45" s="361" t="s">
        <v>9</v>
      </c>
      <c r="U45" s="361"/>
      <c r="V45" s="366">
        <v>188720.71</v>
      </c>
      <c r="Y45" s="443" t="s">
        <v>2</v>
      </c>
      <c r="Z45" s="443"/>
      <c r="AA45" s="436">
        <v>-125131.74</v>
      </c>
      <c r="AB45" s="436"/>
    </row>
    <row r="46" spans="1:31" ht="15.75" customHeight="1" thickBot="1" x14ac:dyDescent="0.3">
      <c r="B46" s="37"/>
      <c r="C46" s="43"/>
      <c r="E46" s="6" t="s">
        <v>347</v>
      </c>
      <c r="F46" s="48">
        <f>F45+F44</f>
        <v>183039.44999999995</v>
      </c>
      <c r="J46" s="178"/>
      <c r="K46" s="437">
        <v>0</v>
      </c>
      <c r="L46" s="437"/>
      <c r="M46" s="371"/>
      <c r="N46" s="202"/>
      <c r="O46" s="202"/>
      <c r="P46" s="202"/>
      <c r="U46" s="6" t="s">
        <v>347</v>
      </c>
      <c r="V46" s="48">
        <f>V45+V44</f>
        <v>150420.62999999992</v>
      </c>
      <c r="Y46"/>
      <c r="Z46" s="178"/>
      <c r="AA46" s="437">
        <v>0</v>
      </c>
      <c r="AB46" s="437"/>
    </row>
    <row r="47" spans="1:31" ht="19.5" thickBot="1" x14ac:dyDescent="0.3">
      <c r="B47" s="37"/>
      <c r="C47" s="43"/>
      <c r="E47" s="5"/>
      <c r="F47" s="56"/>
      <c r="I47" s="447" t="s">
        <v>468</v>
      </c>
      <c r="J47" s="448"/>
      <c r="K47" s="440">
        <f>SUM(K44:L46)</f>
        <v>57907.709999999948</v>
      </c>
      <c r="L47" s="441"/>
      <c r="M47" s="371"/>
      <c r="N47" s="202"/>
      <c r="O47" s="202"/>
      <c r="P47" s="202"/>
      <c r="U47" s="5"/>
      <c r="V47" s="56"/>
      <c r="Y47" s="447" t="s">
        <v>468</v>
      </c>
      <c r="Z47" s="448"/>
      <c r="AA47" s="440">
        <f>SUM(AA44:AB46)</f>
        <v>25288.889999999912</v>
      </c>
      <c r="AB47" s="441"/>
    </row>
    <row r="48" spans="1:31" x14ac:dyDescent="0.25">
      <c r="B48" s="37"/>
      <c r="C48" s="43"/>
      <c r="D48" s="417"/>
      <c r="E48" s="417"/>
      <c r="F48" s="58"/>
      <c r="I48" s="43"/>
      <c r="J48" s="43"/>
      <c r="M48" s="371"/>
      <c r="N48" s="202"/>
      <c r="O48" s="202"/>
      <c r="P48" s="202"/>
      <c r="T48" s="417"/>
      <c r="U48" s="417"/>
      <c r="V48" s="58"/>
    </row>
    <row r="49" spans="18:30" x14ac:dyDescent="0.25">
      <c r="R49"/>
      <c r="S49"/>
      <c r="V49"/>
      <c r="Y49"/>
      <c r="Z49"/>
      <c r="AC49"/>
      <c r="AD49" s="43"/>
    </row>
    <row r="50" spans="18:30" x14ac:dyDescent="0.25">
      <c r="R50"/>
      <c r="S50"/>
      <c r="V50"/>
      <c r="Y50"/>
      <c r="Z50"/>
      <c r="AC50"/>
      <c r="AD50" s="43"/>
    </row>
    <row r="51" spans="18:30" x14ac:dyDescent="0.25">
      <c r="R51"/>
      <c r="S51"/>
      <c r="V51"/>
      <c r="Y51"/>
      <c r="Z51"/>
      <c r="AC51"/>
      <c r="AD51" s="43"/>
    </row>
    <row r="52" spans="18:30" x14ac:dyDescent="0.25">
      <c r="R52"/>
      <c r="S52"/>
      <c r="V52"/>
      <c r="Y52"/>
      <c r="Z52"/>
      <c r="AC52"/>
    </row>
    <row r="53" spans="18:30" x14ac:dyDescent="0.25">
      <c r="R53"/>
      <c r="S53"/>
      <c r="V53"/>
      <c r="Y53"/>
      <c r="Z53"/>
      <c r="AC53"/>
    </row>
    <row r="54" spans="18:30" x14ac:dyDescent="0.25">
      <c r="R54"/>
      <c r="S54"/>
      <c r="V54"/>
      <c r="Y54"/>
      <c r="Z54"/>
      <c r="AC54"/>
    </row>
    <row r="55" spans="18:30" x14ac:dyDescent="0.25">
      <c r="R55"/>
      <c r="S55"/>
      <c r="V55"/>
      <c r="Y55"/>
      <c r="Z55"/>
      <c r="AC55"/>
      <c r="AD55" s="43"/>
    </row>
    <row r="56" spans="18:30" x14ac:dyDescent="0.25">
      <c r="R56"/>
      <c r="S56"/>
      <c r="V56"/>
      <c r="Y56"/>
      <c r="Z56"/>
      <c r="AC56"/>
      <c r="AD56" s="43"/>
    </row>
    <row r="57" spans="18:30" x14ac:dyDescent="0.25">
      <c r="R57"/>
      <c r="S57"/>
      <c r="V57"/>
      <c r="Y57"/>
      <c r="Z57"/>
      <c r="AC57"/>
      <c r="AD57" s="43"/>
    </row>
    <row r="58" spans="18:30" x14ac:dyDescent="0.25">
      <c r="R58"/>
      <c r="S58"/>
      <c r="V58"/>
      <c r="Y58"/>
      <c r="Z58"/>
      <c r="AC58"/>
      <c r="AD58" s="43"/>
    </row>
    <row r="59" spans="18:30" x14ac:dyDescent="0.25">
      <c r="R59"/>
      <c r="S59"/>
      <c r="V59"/>
      <c r="Y59"/>
      <c r="Z59"/>
      <c r="AC59"/>
      <c r="AD59" s="43"/>
    </row>
    <row r="60" spans="18:30" x14ac:dyDescent="0.25">
      <c r="R60"/>
      <c r="S60"/>
      <c r="V60"/>
      <c r="Y60"/>
      <c r="Z60"/>
      <c r="AC60"/>
      <c r="AD60" s="43"/>
    </row>
    <row r="61" spans="18:30" x14ac:dyDescent="0.25">
      <c r="R61"/>
      <c r="S61"/>
      <c r="V61"/>
      <c r="Y61"/>
      <c r="Z61"/>
      <c r="AC61"/>
      <c r="AD61" s="43"/>
    </row>
    <row r="62" spans="18:30" x14ac:dyDescent="0.25">
      <c r="R62"/>
      <c r="S62"/>
      <c r="V62"/>
      <c r="Y62"/>
      <c r="Z62"/>
      <c r="AC62"/>
      <c r="AD62" s="43"/>
    </row>
    <row r="63" spans="18:30" x14ac:dyDescent="0.25">
      <c r="R63"/>
      <c r="S63"/>
      <c r="V63"/>
      <c r="Y63"/>
      <c r="Z63"/>
      <c r="AC63"/>
      <c r="AD63" s="43"/>
    </row>
    <row r="64" spans="18:30" x14ac:dyDescent="0.25">
      <c r="R64"/>
      <c r="S64"/>
      <c r="V64"/>
      <c r="Y64"/>
      <c r="Z64"/>
      <c r="AC64"/>
      <c r="AD64" s="43"/>
    </row>
    <row r="65" spans="18:30" x14ac:dyDescent="0.25">
      <c r="R65"/>
      <c r="S65"/>
      <c r="V65"/>
      <c r="Y65"/>
      <c r="Z65"/>
      <c r="AC65"/>
      <c r="AD65" s="43"/>
    </row>
    <row r="66" spans="18:30" x14ac:dyDescent="0.25">
      <c r="R66"/>
      <c r="S66"/>
      <c r="V66"/>
      <c r="Y66"/>
      <c r="Z66"/>
      <c r="AC66"/>
      <c r="AD66" s="43"/>
    </row>
    <row r="67" spans="18:30" x14ac:dyDescent="0.25">
      <c r="R67"/>
      <c r="S67"/>
      <c r="V67"/>
      <c r="Y67"/>
      <c r="Z67"/>
      <c r="AC67"/>
      <c r="AD67" s="43"/>
    </row>
    <row r="68" spans="18:30" x14ac:dyDescent="0.25">
      <c r="R68"/>
      <c r="S68"/>
      <c r="V68"/>
      <c r="Y68"/>
      <c r="Z68"/>
      <c r="AC68"/>
      <c r="AD68" s="43"/>
    </row>
    <row r="69" spans="18:30" x14ac:dyDescent="0.25">
      <c r="R69"/>
      <c r="S69"/>
      <c r="V69"/>
      <c r="Y69"/>
      <c r="Z69"/>
      <c r="AC69"/>
      <c r="AD69" s="43"/>
    </row>
    <row r="70" spans="18:30" x14ac:dyDescent="0.25">
      <c r="R70"/>
      <c r="S70"/>
      <c r="V70"/>
      <c r="Y70"/>
      <c r="Z70"/>
      <c r="AC70"/>
      <c r="AD70" s="43"/>
    </row>
    <row r="71" spans="18:30" x14ac:dyDescent="0.25">
      <c r="R71"/>
      <c r="S71"/>
      <c r="V71"/>
      <c r="Y71"/>
      <c r="Z71"/>
      <c r="AC71"/>
      <c r="AD71" s="43"/>
    </row>
    <row r="72" spans="18:30" x14ac:dyDescent="0.25">
      <c r="R72"/>
      <c r="S72"/>
      <c r="V72"/>
      <c r="Y72"/>
      <c r="Z72"/>
      <c r="AC72"/>
      <c r="AD72" s="43"/>
    </row>
    <row r="73" spans="18:30" x14ac:dyDescent="0.25">
      <c r="R73"/>
      <c r="S73"/>
      <c r="V73"/>
      <c r="Y73"/>
      <c r="Z73"/>
      <c r="AC73"/>
      <c r="AD73" s="43"/>
    </row>
    <row r="74" spans="18:30" x14ac:dyDescent="0.25">
      <c r="R74"/>
      <c r="S74"/>
      <c r="V74"/>
      <c r="Y74"/>
      <c r="Z74"/>
      <c r="AC74"/>
      <c r="AD74" s="43"/>
    </row>
    <row r="75" spans="18:30" x14ac:dyDescent="0.25">
      <c r="R75"/>
      <c r="S75"/>
      <c r="V75"/>
      <c r="Y75"/>
      <c r="Z75"/>
      <c r="AC75"/>
    </row>
    <row r="76" spans="18:30" x14ac:dyDescent="0.25">
      <c r="R76"/>
      <c r="S76"/>
      <c r="V76"/>
      <c r="Y76"/>
      <c r="Z76"/>
      <c r="AC76"/>
    </row>
    <row r="77" spans="18:30" x14ac:dyDescent="0.25">
      <c r="R77"/>
      <c r="S77"/>
      <c r="V77"/>
      <c r="Y77"/>
      <c r="Z77"/>
      <c r="AC77"/>
    </row>
    <row r="78" spans="18:30" x14ac:dyDescent="0.25">
      <c r="R78"/>
      <c r="S78"/>
      <c r="V78"/>
      <c r="Y78"/>
      <c r="Z78"/>
      <c r="AC78"/>
    </row>
    <row r="79" spans="18:30" x14ac:dyDescent="0.25">
      <c r="R79"/>
      <c r="S79"/>
      <c r="V79"/>
      <c r="Y79"/>
      <c r="Z79"/>
      <c r="AC79"/>
    </row>
    <row r="80" spans="18:30" x14ac:dyDescent="0.25">
      <c r="R80"/>
      <c r="S80"/>
      <c r="V80"/>
      <c r="Y80"/>
      <c r="Z80"/>
      <c r="AC80"/>
    </row>
    <row r="81" spans="18:30" x14ac:dyDescent="0.25">
      <c r="R81"/>
      <c r="S81"/>
      <c r="V81"/>
      <c r="Y81"/>
      <c r="Z81"/>
      <c r="AC81"/>
      <c r="AD81"/>
    </row>
    <row r="82" spans="18:30" x14ac:dyDescent="0.25">
      <c r="R82"/>
      <c r="S82"/>
      <c r="V82"/>
      <c r="Y82"/>
      <c r="Z82"/>
      <c r="AC82"/>
      <c r="AD82"/>
    </row>
    <row r="83" spans="18:30" x14ac:dyDescent="0.25">
      <c r="R83"/>
      <c r="S83"/>
      <c r="V83"/>
      <c r="Y83"/>
      <c r="Z83"/>
      <c r="AC83"/>
      <c r="AD83"/>
    </row>
    <row r="84" spans="18:30" x14ac:dyDescent="0.25">
      <c r="R84"/>
      <c r="S84"/>
      <c r="V84"/>
      <c r="Y84"/>
      <c r="Z84"/>
      <c r="AC84"/>
      <c r="AD84"/>
    </row>
    <row r="85" spans="18:30" x14ac:dyDescent="0.25">
      <c r="R85"/>
      <c r="S85"/>
      <c r="V85"/>
      <c r="Y85"/>
      <c r="Z85"/>
      <c r="AC85"/>
      <c r="AD85"/>
    </row>
    <row r="86" spans="18:30" x14ac:dyDescent="0.25">
      <c r="R86"/>
      <c r="S86"/>
      <c r="V86"/>
      <c r="Y86"/>
      <c r="Z86"/>
      <c r="AC86"/>
      <c r="AD86"/>
    </row>
    <row r="87" spans="18:30" x14ac:dyDescent="0.25">
      <c r="R87"/>
      <c r="S87"/>
      <c r="V87"/>
      <c r="Y87"/>
      <c r="Z87"/>
      <c r="AC87"/>
      <c r="AD87"/>
    </row>
    <row r="88" spans="18:30" x14ac:dyDescent="0.25">
      <c r="R88"/>
      <c r="S88"/>
      <c r="V88"/>
      <c r="Y88"/>
      <c r="Z88"/>
      <c r="AC88"/>
      <c r="AD88"/>
    </row>
    <row r="89" spans="18:30" x14ac:dyDescent="0.25">
      <c r="R89"/>
      <c r="S89"/>
      <c r="V89"/>
      <c r="Y89"/>
      <c r="Z89"/>
      <c r="AC89"/>
      <c r="AD89"/>
    </row>
    <row r="90" spans="18:30" x14ac:dyDescent="0.25">
      <c r="R90"/>
      <c r="S90"/>
      <c r="V90"/>
      <c r="Y90"/>
      <c r="Z90"/>
      <c r="AC90"/>
      <c r="AD90"/>
    </row>
    <row r="91" spans="18:30" x14ac:dyDescent="0.25">
      <c r="R91"/>
      <c r="S91"/>
      <c r="V91"/>
      <c r="Y91"/>
      <c r="Z91"/>
      <c r="AC91"/>
      <c r="AD91"/>
    </row>
    <row r="92" spans="18:30" x14ac:dyDescent="0.25">
      <c r="R92"/>
      <c r="S92"/>
      <c r="V92"/>
      <c r="Y92"/>
      <c r="Z92"/>
      <c r="AC92"/>
      <c r="AD92"/>
    </row>
    <row r="93" spans="18:30" x14ac:dyDescent="0.25">
      <c r="R93"/>
      <c r="S93"/>
      <c r="V93"/>
      <c r="Y93"/>
      <c r="Z93"/>
      <c r="AC93"/>
      <c r="AD93"/>
    </row>
    <row r="94" spans="18:30" x14ac:dyDescent="0.25">
      <c r="R94"/>
      <c r="S94"/>
      <c r="V94"/>
      <c r="Y94"/>
      <c r="Z94"/>
      <c r="AC94"/>
      <c r="AD94"/>
    </row>
    <row r="95" spans="18:30" x14ac:dyDescent="0.25">
      <c r="R95"/>
      <c r="S95"/>
      <c r="V95"/>
      <c r="Y95"/>
      <c r="Z95"/>
      <c r="AC95"/>
      <c r="AD95"/>
    </row>
    <row r="96" spans="18:30" x14ac:dyDescent="0.25">
      <c r="R96"/>
      <c r="S96"/>
      <c r="V96"/>
      <c r="Y96"/>
      <c r="Z96"/>
      <c r="AC96"/>
      <c r="AD96"/>
    </row>
    <row r="97" spans="18:30" x14ac:dyDescent="0.25">
      <c r="R97"/>
      <c r="S97"/>
      <c r="V97"/>
      <c r="Y97"/>
      <c r="Z97"/>
      <c r="AC97"/>
      <c r="AD97"/>
    </row>
  </sheetData>
  <mergeCells count="30">
    <mergeCell ref="AA46:AB46"/>
    <mergeCell ref="Y47:Z47"/>
    <mergeCell ref="AA47:AB47"/>
    <mergeCell ref="T48:U48"/>
    <mergeCell ref="T41:U41"/>
    <mergeCell ref="Y43:AA43"/>
    <mergeCell ref="AA44:AB44"/>
    <mergeCell ref="Y45:Z45"/>
    <mergeCell ref="AA45:AB45"/>
    <mergeCell ref="Y44:Z44"/>
    <mergeCell ref="S1:AA1"/>
    <mergeCell ref="U4:V4"/>
    <mergeCell ref="Y4:AB4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35433070866141736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106"/>
  <sheetViews>
    <sheetView topLeftCell="A49" workbookViewId="0">
      <selection activeCell="F74" sqref="F7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42165</v>
      </c>
      <c r="M2" s="215"/>
      <c r="N2" s="134" t="s">
        <v>200</v>
      </c>
      <c r="O2" s="88"/>
    </row>
    <row r="3" spans="1:17" ht="16.5" thickBot="1" x14ac:dyDescent="0.3">
      <c r="C3" s="444" t="s">
        <v>240</v>
      </c>
      <c r="D3" s="445"/>
      <c r="E3" s="446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54" t="s">
        <v>297</v>
      </c>
      <c r="D4" s="354"/>
      <c r="E4" s="354" t="s">
        <v>298</v>
      </c>
      <c r="F4" s="331" t="s">
        <v>299</v>
      </c>
      <c r="J4" s="43">
        <f>20234.5+6125.5</f>
        <v>26360</v>
      </c>
      <c r="K4" s="144">
        <v>22408</v>
      </c>
      <c r="L4" s="156">
        <v>26360.1</v>
      </c>
      <c r="M4" s="348"/>
      <c r="N4" s="113" t="s">
        <v>202</v>
      </c>
      <c r="O4" s="214">
        <v>20234.5</v>
      </c>
      <c r="P4" s="221">
        <v>42151</v>
      </c>
    </row>
    <row r="5" spans="1:17" ht="15.75" x14ac:dyDescent="0.25">
      <c r="A5" s="243">
        <v>42156</v>
      </c>
      <c r="B5" s="244">
        <v>22878</v>
      </c>
      <c r="C5" s="245">
        <v>34832.379999999997</v>
      </c>
      <c r="D5" s="104">
        <v>42165</v>
      </c>
      <c r="E5" s="245">
        <v>34832.379999999997</v>
      </c>
      <c r="F5" s="246">
        <f t="shared" ref="F5:F48" si="0">C5-E5</f>
        <v>0</v>
      </c>
      <c r="G5" s="105"/>
      <c r="H5" s="106"/>
      <c r="J5" s="43">
        <f>24499.5+6447.5</f>
        <v>30947</v>
      </c>
      <c r="K5" s="144">
        <v>22443</v>
      </c>
      <c r="L5" s="156">
        <v>30947.119999999999</v>
      </c>
      <c r="M5" s="207"/>
      <c r="N5" s="113" t="s">
        <v>202</v>
      </c>
      <c r="O5" s="207">
        <v>6125.5</v>
      </c>
      <c r="P5" s="221">
        <v>42151</v>
      </c>
    </row>
    <row r="6" spans="1:17" ht="15.75" x14ac:dyDescent="0.25">
      <c r="A6" s="143">
        <v>42157</v>
      </c>
      <c r="B6" s="144">
        <v>22987</v>
      </c>
      <c r="C6" s="156">
        <v>3996</v>
      </c>
      <c r="D6" s="104">
        <v>42165</v>
      </c>
      <c r="E6" s="156">
        <v>3996</v>
      </c>
      <c r="F6" s="154">
        <f t="shared" si="0"/>
        <v>0</v>
      </c>
      <c r="G6" s="105"/>
      <c r="H6" s="108"/>
      <c r="J6" s="43">
        <v>3715</v>
      </c>
      <c r="K6" s="144">
        <v>22444</v>
      </c>
      <c r="L6" s="156">
        <v>3714.8</v>
      </c>
      <c r="M6" s="207"/>
      <c r="N6" s="113" t="s">
        <v>202</v>
      </c>
      <c r="O6" s="207">
        <v>17878</v>
      </c>
      <c r="P6" s="221">
        <v>42152</v>
      </c>
    </row>
    <row r="7" spans="1:17" ht="15.75" x14ac:dyDescent="0.25">
      <c r="A7" s="143">
        <v>42157</v>
      </c>
      <c r="B7" s="144">
        <v>23028</v>
      </c>
      <c r="C7" s="156">
        <v>29685.65</v>
      </c>
      <c r="D7" s="104">
        <v>42165</v>
      </c>
      <c r="E7" s="156">
        <v>29685.65</v>
      </c>
      <c r="F7" s="155">
        <f t="shared" si="0"/>
        <v>0</v>
      </c>
      <c r="G7" s="105"/>
      <c r="H7" s="108"/>
      <c r="J7" s="43">
        <f>17878+2815+6225</f>
        <v>26918</v>
      </c>
      <c r="K7" s="144">
        <v>22539</v>
      </c>
      <c r="L7" s="156">
        <v>26917.93</v>
      </c>
      <c r="M7" s="130"/>
      <c r="N7" s="113" t="s">
        <v>202</v>
      </c>
      <c r="O7" s="207">
        <v>3715</v>
      </c>
      <c r="P7" s="221">
        <v>42152</v>
      </c>
    </row>
    <row r="8" spans="1:17" ht="15.75" x14ac:dyDescent="0.25">
      <c r="A8" s="143">
        <v>42158</v>
      </c>
      <c r="B8" s="144">
        <v>23129</v>
      </c>
      <c r="C8" s="156">
        <v>29697.32</v>
      </c>
      <c r="D8" s="104">
        <v>42165</v>
      </c>
      <c r="E8" s="156">
        <v>29697.32</v>
      </c>
      <c r="F8" s="155">
        <f t="shared" si="0"/>
        <v>0</v>
      </c>
      <c r="G8" s="105"/>
      <c r="H8" s="106"/>
      <c r="J8" s="43">
        <v>22200</v>
      </c>
      <c r="K8" s="144">
        <v>22588</v>
      </c>
      <c r="L8" s="156">
        <v>22200.37</v>
      </c>
      <c r="M8" s="130"/>
      <c r="N8" s="113" t="s">
        <v>202</v>
      </c>
      <c r="O8" s="214">
        <v>24499.5</v>
      </c>
      <c r="P8" s="221">
        <v>42152</v>
      </c>
    </row>
    <row r="9" spans="1:17" ht="15.75" x14ac:dyDescent="0.25">
      <c r="A9" s="243">
        <v>42158</v>
      </c>
      <c r="B9" s="244">
        <v>23142</v>
      </c>
      <c r="C9" s="245">
        <v>24630.14</v>
      </c>
      <c r="D9" s="104">
        <v>42165</v>
      </c>
      <c r="E9" s="245">
        <v>24630.14</v>
      </c>
      <c r="F9" s="155">
        <f t="shared" si="0"/>
        <v>0</v>
      </c>
      <c r="J9" s="43">
        <f>30000+329</f>
        <v>30329</v>
      </c>
      <c r="K9" s="292">
        <v>22603</v>
      </c>
      <c r="L9" s="157">
        <v>30328.78</v>
      </c>
      <c r="M9" s="207"/>
      <c r="N9" s="113" t="s">
        <v>202</v>
      </c>
      <c r="O9" s="207">
        <v>6447.5</v>
      </c>
      <c r="P9" s="221">
        <v>42152</v>
      </c>
    </row>
    <row r="10" spans="1:17" ht="15.75" x14ac:dyDescent="0.25">
      <c r="A10" s="143">
        <v>42158</v>
      </c>
      <c r="B10" s="144">
        <v>23143</v>
      </c>
      <c r="C10" s="156">
        <v>2864</v>
      </c>
      <c r="D10" s="104">
        <v>42165</v>
      </c>
      <c r="E10" s="156">
        <v>2864</v>
      </c>
      <c r="F10" s="155">
        <f t="shared" si="0"/>
        <v>0</v>
      </c>
      <c r="J10" s="43">
        <f>22464+6885.5</f>
        <v>29349.5</v>
      </c>
      <c r="K10" s="292">
        <v>22654</v>
      </c>
      <c r="L10" s="157">
        <v>29349.599999999999</v>
      </c>
      <c r="M10" s="334"/>
      <c r="N10" s="113" t="s">
        <v>202</v>
      </c>
      <c r="O10" s="207">
        <v>30000</v>
      </c>
      <c r="P10" s="221">
        <v>42153</v>
      </c>
    </row>
    <row r="11" spans="1:17" ht="15.75" x14ac:dyDescent="0.25">
      <c r="A11" s="143">
        <v>42159</v>
      </c>
      <c r="B11" s="144">
        <v>23196</v>
      </c>
      <c r="C11" s="156">
        <v>34811.4</v>
      </c>
      <c r="D11" s="104">
        <v>42165</v>
      </c>
      <c r="E11" s="156">
        <v>34811.4</v>
      </c>
      <c r="F11" s="155">
        <f t="shared" si="0"/>
        <v>0</v>
      </c>
      <c r="J11" s="43">
        <f>47071.5+6914.5</f>
        <v>53986</v>
      </c>
      <c r="K11" s="292">
        <v>22661</v>
      </c>
      <c r="L11" s="157">
        <v>53986.400000000001</v>
      </c>
      <c r="M11" s="321"/>
      <c r="N11" s="113" t="s">
        <v>461</v>
      </c>
      <c r="O11" s="207">
        <v>22200</v>
      </c>
      <c r="P11" s="221">
        <v>42154</v>
      </c>
      <c r="Q11" s="21">
        <v>42153</v>
      </c>
    </row>
    <row r="12" spans="1:17" ht="15.75" x14ac:dyDescent="0.25">
      <c r="A12" s="143">
        <v>42159</v>
      </c>
      <c r="B12" s="144">
        <v>23242</v>
      </c>
      <c r="C12" s="156">
        <v>27584.83</v>
      </c>
      <c r="D12" s="104">
        <v>42165</v>
      </c>
      <c r="E12" s="156">
        <v>27584.83</v>
      </c>
      <c r="F12" s="155">
        <f t="shared" si="0"/>
        <v>0</v>
      </c>
      <c r="J12" s="43">
        <f>55618.5+10592.5</f>
        <v>66211</v>
      </c>
      <c r="K12" s="292">
        <v>22772</v>
      </c>
      <c r="L12" s="157">
        <v>66211.100000000006</v>
      </c>
      <c r="M12" s="207"/>
      <c r="N12" s="113" t="s">
        <v>461</v>
      </c>
      <c r="O12" s="207">
        <v>2815</v>
      </c>
      <c r="P12" s="221">
        <v>42154</v>
      </c>
      <c r="Q12" s="21">
        <v>42153</v>
      </c>
    </row>
    <row r="13" spans="1:17" ht="15.75" x14ac:dyDescent="0.25">
      <c r="A13" s="143">
        <v>42160</v>
      </c>
      <c r="B13" s="144">
        <v>23341</v>
      </c>
      <c r="C13" s="156">
        <v>75748.92</v>
      </c>
      <c r="D13" s="104">
        <v>42165</v>
      </c>
      <c r="E13" s="156">
        <v>75748.92</v>
      </c>
      <c r="F13" s="155">
        <f t="shared" si="0"/>
        <v>0</v>
      </c>
      <c r="J13" s="43">
        <v>27190</v>
      </c>
      <c r="K13" s="306">
        <v>22846</v>
      </c>
      <c r="L13" s="88">
        <v>27190.15</v>
      </c>
      <c r="M13" s="207"/>
      <c r="N13" s="113" t="s">
        <v>461</v>
      </c>
      <c r="O13" s="207">
        <v>329</v>
      </c>
      <c r="P13" s="221">
        <v>42154</v>
      </c>
      <c r="Q13" s="21">
        <v>42153</v>
      </c>
    </row>
    <row r="14" spans="1:17" ht="15.75" x14ac:dyDescent="0.25">
      <c r="A14" s="143">
        <v>42161</v>
      </c>
      <c r="B14" s="144">
        <v>23431</v>
      </c>
      <c r="C14" s="156">
        <v>85960.94</v>
      </c>
      <c r="D14" s="104">
        <v>42165</v>
      </c>
      <c r="E14" s="156">
        <v>85960.94</v>
      </c>
      <c r="F14" s="155">
        <f t="shared" si="0"/>
        <v>0</v>
      </c>
      <c r="J14" s="43">
        <v>3079</v>
      </c>
      <c r="K14" s="307">
        <v>22847</v>
      </c>
      <c r="L14" s="207">
        <v>3078.8</v>
      </c>
      <c r="M14" s="207"/>
      <c r="N14" s="113" t="s">
        <v>461</v>
      </c>
      <c r="O14" s="207">
        <v>6225</v>
      </c>
      <c r="P14" s="221">
        <v>42154</v>
      </c>
      <c r="Q14" s="21">
        <v>42153</v>
      </c>
    </row>
    <row r="15" spans="1:17" ht="15.75" x14ac:dyDescent="0.25">
      <c r="A15" s="143">
        <v>42163</v>
      </c>
      <c r="B15" s="144">
        <v>23516</v>
      </c>
      <c r="C15" s="156">
        <v>5768.4</v>
      </c>
      <c r="D15" s="104">
        <v>42165</v>
      </c>
      <c r="E15" s="156">
        <v>5768.4</v>
      </c>
      <c r="F15" s="155">
        <f t="shared" si="0"/>
        <v>0</v>
      </c>
      <c r="J15" s="43">
        <f>19369.5+8132.5+7330.5</f>
        <v>34832.5</v>
      </c>
      <c r="K15" s="244">
        <v>22878</v>
      </c>
      <c r="L15" s="245">
        <v>34832.379999999997</v>
      </c>
      <c r="M15" s="207"/>
      <c r="N15" s="113" t="s">
        <v>461</v>
      </c>
      <c r="O15" s="207">
        <v>47071.5</v>
      </c>
      <c r="P15" s="221">
        <v>42154</v>
      </c>
    </row>
    <row r="16" spans="1:17" ht="15.75" x14ac:dyDescent="0.25">
      <c r="A16" s="143">
        <v>42163</v>
      </c>
      <c r="B16" s="144">
        <v>23599</v>
      </c>
      <c r="C16" s="156">
        <v>36408.5</v>
      </c>
      <c r="D16" s="328" t="s">
        <v>479</v>
      </c>
      <c r="E16" s="156">
        <f>19483.37+16925.13</f>
        <v>36408.5</v>
      </c>
      <c r="F16" s="155">
        <f t="shared" si="0"/>
        <v>0</v>
      </c>
      <c r="J16" s="43">
        <v>3996</v>
      </c>
      <c r="K16" s="144">
        <v>22987</v>
      </c>
      <c r="L16" s="156">
        <v>3996</v>
      </c>
      <c r="M16" s="207"/>
      <c r="N16" s="113" t="s">
        <v>461</v>
      </c>
      <c r="O16" s="207">
        <v>22464</v>
      </c>
      <c r="P16" s="221">
        <v>42154</v>
      </c>
    </row>
    <row r="17" spans="1:17" ht="15.75" x14ac:dyDescent="0.25">
      <c r="A17" s="143">
        <v>42164</v>
      </c>
      <c r="B17" s="144">
        <v>23703</v>
      </c>
      <c r="C17" s="156">
        <v>53043.14</v>
      </c>
      <c r="D17" s="104">
        <v>42177</v>
      </c>
      <c r="E17" s="156">
        <v>53043.14</v>
      </c>
      <c r="F17" s="155">
        <f t="shared" si="0"/>
        <v>0</v>
      </c>
      <c r="J17" s="43">
        <f>23165.5+6520</f>
        <v>29685.5</v>
      </c>
      <c r="K17" s="144">
        <v>23028</v>
      </c>
      <c r="L17" s="156">
        <v>29685.65</v>
      </c>
      <c r="M17" s="334"/>
      <c r="N17" s="113" t="s">
        <v>461</v>
      </c>
      <c r="O17" s="207">
        <v>6914.5</v>
      </c>
      <c r="P17" s="221">
        <v>42154</v>
      </c>
    </row>
    <row r="18" spans="1:17" ht="15.75" x14ac:dyDescent="0.25">
      <c r="A18" s="143">
        <v>42165</v>
      </c>
      <c r="B18" s="144">
        <v>23792</v>
      </c>
      <c r="C18" s="156">
        <v>34394.86</v>
      </c>
      <c r="D18" s="104">
        <v>42177</v>
      </c>
      <c r="E18" s="156">
        <v>34394.86</v>
      </c>
      <c r="F18" s="155">
        <f t="shared" si="0"/>
        <v>0</v>
      </c>
      <c r="J18" s="43">
        <f>23292+6405.5</f>
        <v>29697.5</v>
      </c>
      <c r="K18" s="144">
        <v>23129</v>
      </c>
      <c r="L18" s="156">
        <v>29697.32</v>
      </c>
      <c r="M18" s="207"/>
      <c r="N18" s="113" t="s">
        <v>202</v>
      </c>
      <c r="O18" s="207">
        <v>27190</v>
      </c>
      <c r="P18" s="221">
        <v>42156</v>
      </c>
      <c r="Q18" s="21">
        <v>42155</v>
      </c>
    </row>
    <row r="19" spans="1:17" ht="15.75" x14ac:dyDescent="0.25">
      <c r="A19" s="143">
        <v>42166</v>
      </c>
      <c r="B19" s="144">
        <v>23861</v>
      </c>
      <c r="C19" s="156">
        <v>70083.48</v>
      </c>
      <c r="D19" s="104">
        <v>42177</v>
      </c>
      <c r="E19" s="156">
        <v>70083.48</v>
      </c>
      <c r="F19" s="155">
        <f t="shared" si="0"/>
        <v>0</v>
      </c>
      <c r="J19" s="43">
        <f>8002.5+10286.5+6341</f>
        <v>24630</v>
      </c>
      <c r="K19" s="244">
        <v>23142</v>
      </c>
      <c r="L19" s="245">
        <v>24630.14</v>
      </c>
      <c r="M19" s="207"/>
      <c r="N19" s="113" t="s">
        <v>202</v>
      </c>
      <c r="O19" s="207">
        <v>6885.5</v>
      </c>
      <c r="P19" s="221">
        <v>42156</v>
      </c>
      <c r="Q19" s="21">
        <v>42155</v>
      </c>
    </row>
    <row r="20" spans="1:17" ht="15.75" x14ac:dyDescent="0.25">
      <c r="A20" s="143">
        <v>42167</v>
      </c>
      <c r="B20" s="144">
        <v>24023</v>
      </c>
      <c r="C20" s="156">
        <v>6708.74</v>
      </c>
      <c r="D20" s="104">
        <v>42177</v>
      </c>
      <c r="E20" s="156">
        <v>6708.74</v>
      </c>
      <c r="F20" s="155">
        <f t="shared" si="0"/>
        <v>0</v>
      </c>
      <c r="J20" s="43">
        <v>2864</v>
      </c>
      <c r="K20" s="144">
        <v>23143</v>
      </c>
      <c r="L20" s="156">
        <v>2864</v>
      </c>
      <c r="M20" s="207"/>
      <c r="N20" s="113" t="s">
        <v>202</v>
      </c>
      <c r="O20" s="207">
        <v>3079</v>
      </c>
      <c r="P20" s="221">
        <v>42156</v>
      </c>
      <c r="Q20" s="21">
        <v>42155</v>
      </c>
    </row>
    <row r="21" spans="1:17" ht="15.75" x14ac:dyDescent="0.25">
      <c r="A21" s="143">
        <v>42168</v>
      </c>
      <c r="B21" s="144">
        <v>24039</v>
      </c>
      <c r="C21" s="156">
        <v>50274</v>
      </c>
      <c r="D21" s="104">
        <v>42177</v>
      </c>
      <c r="E21" s="156">
        <v>50274</v>
      </c>
      <c r="F21" s="155">
        <f t="shared" si="0"/>
        <v>0</v>
      </c>
      <c r="J21" s="43">
        <f>25358.5+3445.5+6007.5</f>
        <v>34811.5</v>
      </c>
      <c r="K21" s="144">
        <v>23196</v>
      </c>
      <c r="L21" s="156">
        <v>34811.4</v>
      </c>
      <c r="M21" s="207"/>
      <c r="N21" s="113" t="s">
        <v>202</v>
      </c>
      <c r="O21" s="207">
        <v>55618.5</v>
      </c>
      <c r="P21" s="221">
        <v>42156</v>
      </c>
      <c r="Q21" s="21">
        <v>42155</v>
      </c>
    </row>
    <row r="22" spans="1:17" ht="15.75" x14ac:dyDescent="0.25">
      <c r="A22" s="143">
        <v>42168</v>
      </c>
      <c r="B22" s="144">
        <v>24122</v>
      </c>
      <c r="C22" s="156">
        <v>76630.7</v>
      </c>
      <c r="D22" s="104">
        <v>42177</v>
      </c>
      <c r="E22" s="156">
        <v>76630.7</v>
      </c>
      <c r="F22" s="155">
        <f t="shared" si="0"/>
        <v>0</v>
      </c>
      <c r="J22" s="43">
        <v>27585</v>
      </c>
      <c r="K22" s="144">
        <v>23242</v>
      </c>
      <c r="L22" s="156">
        <v>27584.83</v>
      </c>
      <c r="M22" s="207"/>
      <c r="N22" s="113" t="s">
        <v>202</v>
      </c>
      <c r="O22" s="207">
        <v>10592.5</v>
      </c>
      <c r="P22" s="221">
        <v>42156</v>
      </c>
      <c r="Q22" s="21">
        <v>42155</v>
      </c>
    </row>
    <row r="23" spans="1:17" ht="15.75" x14ac:dyDescent="0.25">
      <c r="A23" s="143">
        <v>42170</v>
      </c>
      <c r="B23" s="144">
        <v>24221</v>
      </c>
      <c r="C23" s="207">
        <v>60227.15</v>
      </c>
      <c r="D23" s="104">
        <v>42177</v>
      </c>
      <c r="E23" s="207">
        <v>60227.15</v>
      </c>
      <c r="F23" s="155">
        <f t="shared" si="0"/>
        <v>0</v>
      </c>
      <c r="J23" s="43">
        <f>11112+55733+8904</f>
        <v>75749</v>
      </c>
      <c r="K23" s="144">
        <v>23341</v>
      </c>
      <c r="L23" s="156">
        <v>75748.92</v>
      </c>
      <c r="M23" s="260"/>
      <c r="N23" s="113" t="s">
        <v>202</v>
      </c>
      <c r="O23" s="207">
        <v>19369.5</v>
      </c>
      <c r="P23" s="221">
        <v>42156</v>
      </c>
    </row>
    <row r="24" spans="1:17" ht="15.75" x14ac:dyDescent="0.25">
      <c r="A24" s="143">
        <v>42171</v>
      </c>
      <c r="B24" s="144">
        <v>24382</v>
      </c>
      <c r="C24" s="156">
        <v>47344.42</v>
      </c>
      <c r="D24" s="104">
        <v>42177</v>
      </c>
      <c r="E24" s="156">
        <v>47344.42</v>
      </c>
      <c r="F24" s="155">
        <f t="shared" si="0"/>
        <v>0</v>
      </c>
      <c r="J24" s="43">
        <f>10213+68864+6884</f>
        <v>85961</v>
      </c>
      <c r="K24" s="144">
        <v>23431</v>
      </c>
      <c r="L24" s="156">
        <v>85960.94</v>
      </c>
      <c r="M24" s="130"/>
      <c r="N24" s="113" t="s">
        <v>202</v>
      </c>
      <c r="O24" s="207">
        <v>8132.5</v>
      </c>
      <c r="P24" s="221">
        <v>42156</v>
      </c>
    </row>
    <row r="25" spans="1:17" ht="15.75" x14ac:dyDescent="0.25">
      <c r="A25" s="143">
        <v>42172</v>
      </c>
      <c r="B25" s="144">
        <v>24493</v>
      </c>
      <c r="C25" s="156">
        <v>36401.300000000003</v>
      </c>
      <c r="D25" s="104">
        <v>42177</v>
      </c>
      <c r="E25" s="156">
        <v>36401.300000000003</v>
      </c>
      <c r="F25" s="155">
        <f t="shared" si="0"/>
        <v>0</v>
      </c>
      <c r="J25" s="43">
        <v>5768.5</v>
      </c>
      <c r="K25" s="144">
        <v>23516</v>
      </c>
      <c r="L25" s="156">
        <v>5768.4</v>
      </c>
      <c r="M25" s="207"/>
      <c r="N25" s="113" t="s">
        <v>202</v>
      </c>
      <c r="O25" s="214">
        <v>7330.5</v>
      </c>
      <c r="P25" s="221">
        <v>42156</v>
      </c>
    </row>
    <row r="26" spans="1:17" ht="15.75" x14ac:dyDescent="0.25">
      <c r="A26" s="143">
        <v>42173</v>
      </c>
      <c r="B26" s="144">
        <v>24575</v>
      </c>
      <c r="C26" s="156">
        <v>29397.919999999998</v>
      </c>
      <c r="D26" s="104">
        <v>42177</v>
      </c>
      <c r="E26" s="156">
        <v>29397.919999999998</v>
      </c>
      <c r="F26" s="155">
        <f t="shared" si="0"/>
        <v>0</v>
      </c>
      <c r="J26" s="43">
        <f>7136+11043.5+1304</f>
        <v>19483.5</v>
      </c>
      <c r="K26" s="144">
        <v>23599</v>
      </c>
      <c r="L26" s="156">
        <v>19483.37</v>
      </c>
      <c r="M26" s="207" t="s">
        <v>361</v>
      </c>
      <c r="N26" s="113" t="s">
        <v>202</v>
      </c>
      <c r="O26" s="207">
        <v>23165.5</v>
      </c>
      <c r="P26" s="221">
        <v>42157</v>
      </c>
    </row>
    <row r="27" spans="1:17" ht="15.75" x14ac:dyDescent="0.25">
      <c r="A27" s="143">
        <v>42173</v>
      </c>
      <c r="B27" s="144">
        <v>24577</v>
      </c>
      <c r="C27" s="156">
        <v>24382.05</v>
      </c>
      <c r="D27" s="104">
        <v>42177</v>
      </c>
      <c r="E27" s="156">
        <v>24382.05</v>
      </c>
      <c r="F27" s="155">
        <f t="shared" si="0"/>
        <v>0</v>
      </c>
      <c r="K27" s="264"/>
      <c r="L27" s="207"/>
      <c r="M27" s="207"/>
      <c r="N27" s="113" t="s">
        <v>202</v>
      </c>
      <c r="O27" s="207">
        <v>3996</v>
      </c>
      <c r="P27" s="221">
        <v>42157</v>
      </c>
    </row>
    <row r="28" spans="1:17" ht="15.75" x14ac:dyDescent="0.25">
      <c r="A28" s="143">
        <v>42174</v>
      </c>
      <c r="B28" s="144">
        <v>24706</v>
      </c>
      <c r="C28" s="156">
        <v>30668.9</v>
      </c>
      <c r="D28" s="104">
        <v>42177</v>
      </c>
      <c r="E28" s="156">
        <v>30668.9</v>
      </c>
      <c r="F28" s="155">
        <f t="shared" si="0"/>
        <v>0</v>
      </c>
      <c r="K28" s="264"/>
      <c r="L28" s="130"/>
      <c r="M28" s="130"/>
      <c r="N28" s="113" t="s">
        <v>202</v>
      </c>
      <c r="O28" s="207">
        <v>6520</v>
      </c>
      <c r="P28" s="221">
        <v>42157</v>
      </c>
    </row>
    <row r="29" spans="1:17" ht="15.75" x14ac:dyDescent="0.25">
      <c r="A29" s="143">
        <v>42174</v>
      </c>
      <c r="B29" s="144">
        <v>24710</v>
      </c>
      <c r="C29" s="156">
        <v>23925</v>
      </c>
      <c r="D29" s="104">
        <v>42177</v>
      </c>
      <c r="E29" s="156">
        <v>23925</v>
      </c>
      <c r="F29" s="155">
        <f t="shared" si="0"/>
        <v>0</v>
      </c>
      <c r="K29" s="193"/>
      <c r="L29" s="207"/>
      <c r="M29" s="207"/>
      <c r="N29" s="113" t="s">
        <v>202</v>
      </c>
      <c r="O29" s="207">
        <v>23292</v>
      </c>
      <c r="P29" s="221">
        <v>42158</v>
      </c>
    </row>
    <row r="30" spans="1:17" ht="15.75" x14ac:dyDescent="0.25">
      <c r="A30" s="143">
        <v>42175</v>
      </c>
      <c r="B30" s="144">
        <v>24807</v>
      </c>
      <c r="C30" s="156">
        <v>34084</v>
      </c>
      <c r="D30" s="104">
        <v>42177</v>
      </c>
      <c r="E30" s="156">
        <v>34084</v>
      </c>
      <c r="F30" s="155">
        <f t="shared" si="0"/>
        <v>0</v>
      </c>
      <c r="K30" s="193"/>
      <c r="L30" s="207"/>
      <c r="M30" s="207"/>
      <c r="N30" s="113" t="s">
        <v>202</v>
      </c>
      <c r="O30" s="214">
        <v>8002.5</v>
      </c>
      <c r="P30" s="221">
        <v>42158</v>
      </c>
    </row>
    <row r="31" spans="1:17" ht="15.75" x14ac:dyDescent="0.25">
      <c r="A31" s="143">
        <v>42175</v>
      </c>
      <c r="B31" s="144">
        <v>24816</v>
      </c>
      <c r="C31" s="156">
        <v>29511.4</v>
      </c>
      <c r="D31" s="104">
        <v>42177</v>
      </c>
      <c r="E31" s="156">
        <v>29511.4</v>
      </c>
      <c r="F31" s="155">
        <f t="shared" si="0"/>
        <v>0</v>
      </c>
      <c r="K31" s="193"/>
      <c r="L31" s="207"/>
      <c r="M31" s="207"/>
      <c r="N31" s="113" t="s">
        <v>202</v>
      </c>
      <c r="O31" s="207">
        <v>6405.5</v>
      </c>
      <c r="P31" s="221">
        <v>42158</v>
      </c>
    </row>
    <row r="32" spans="1:17" ht="15.75" x14ac:dyDescent="0.25">
      <c r="A32" s="143">
        <v>42175</v>
      </c>
      <c r="B32" s="144">
        <v>24821</v>
      </c>
      <c r="C32" s="156">
        <v>24161.5</v>
      </c>
      <c r="D32" s="320" t="s">
        <v>507</v>
      </c>
      <c r="E32" s="184">
        <f>11248.31+12913.19</f>
        <v>24161.5</v>
      </c>
      <c r="F32" s="155">
        <f t="shared" si="0"/>
        <v>0</v>
      </c>
      <c r="K32" s="193"/>
      <c r="L32" s="207"/>
      <c r="M32" s="207"/>
      <c r="N32" s="113" t="s">
        <v>202</v>
      </c>
      <c r="O32" s="207">
        <v>10286.5</v>
      </c>
      <c r="P32" s="221">
        <v>42159</v>
      </c>
    </row>
    <row r="33" spans="1:17" ht="15.75" x14ac:dyDescent="0.25">
      <c r="A33" s="143">
        <v>42176</v>
      </c>
      <c r="B33" s="144">
        <v>24883</v>
      </c>
      <c r="C33" s="156">
        <v>53722.95</v>
      </c>
      <c r="D33" s="320">
        <v>42189</v>
      </c>
      <c r="E33" s="382">
        <v>53722.95</v>
      </c>
      <c r="F33" s="155">
        <f t="shared" si="0"/>
        <v>0</v>
      </c>
      <c r="K33" s="193"/>
      <c r="L33" s="207"/>
      <c r="M33" s="207"/>
      <c r="N33" s="113" t="s">
        <v>202</v>
      </c>
      <c r="O33" s="207">
        <v>25358.5</v>
      </c>
      <c r="P33" s="221">
        <v>42159</v>
      </c>
    </row>
    <row r="34" spans="1:17" ht="15.75" x14ac:dyDescent="0.25">
      <c r="A34" s="143">
        <v>42177</v>
      </c>
      <c r="B34" s="144" t="s">
        <v>482</v>
      </c>
      <c r="C34" s="156">
        <v>33848.199999999997</v>
      </c>
      <c r="D34" s="320">
        <v>42189</v>
      </c>
      <c r="E34" s="382">
        <v>33848.199999999997</v>
      </c>
      <c r="F34" s="155">
        <f t="shared" si="0"/>
        <v>0</v>
      </c>
      <c r="K34" s="206"/>
      <c r="L34" s="207"/>
      <c r="M34" s="207"/>
      <c r="N34" s="113" t="s">
        <v>202</v>
      </c>
      <c r="O34" s="207">
        <v>2864</v>
      </c>
      <c r="P34" s="221">
        <v>42159</v>
      </c>
    </row>
    <row r="35" spans="1:17" ht="15.75" x14ac:dyDescent="0.25">
      <c r="A35" s="143">
        <v>42178</v>
      </c>
      <c r="B35" s="144" t="s">
        <v>483</v>
      </c>
      <c r="C35" s="156">
        <v>35304.050000000003</v>
      </c>
      <c r="D35" s="320">
        <v>42189</v>
      </c>
      <c r="E35" s="382">
        <v>35304.050000000003</v>
      </c>
      <c r="F35" s="155">
        <f t="shared" si="0"/>
        <v>0</v>
      </c>
      <c r="K35" s="206"/>
      <c r="L35" s="207"/>
      <c r="M35" s="207"/>
      <c r="N35" s="113" t="s">
        <v>202</v>
      </c>
      <c r="O35" s="207">
        <v>6341</v>
      </c>
      <c r="P35" s="222">
        <v>42159</v>
      </c>
    </row>
    <row r="36" spans="1:17" ht="15.75" x14ac:dyDescent="0.25">
      <c r="A36" s="143">
        <v>42179</v>
      </c>
      <c r="B36" s="144" t="s">
        <v>484</v>
      </c>
      <c r="C36" s="156">
        <v>34365.360000000001</v>
      </c>
      <c r="D36" s="320">
        <v>42189</v>
      </c>
      <c r="E36" s="382">
        <v>34365.360000000001</v>
      </c>
      <c r="F36" s="155">
        <f t="shared" si="0"/>
        <v>0</v>
      </c>
      <c r="K36" s="193"/>
      <c r="L36" s="207"/>
      <c r="M36" s="207"/>
      <c r="N36" s="113" t="s">
        <v>202</v>
      </c>
      <c r="O36" s="207">
        <v>27585</v>
      </c>
      <c r="P36" s="221">
        <v>42160</v>
      </c>
    </row>
    <row r="37" spans="1:17" ht="15.75" x14ac:dyDescent="0.25">
      <c r="A37" s="143">
        <v>42180</v>
      </c>
      <c r="B37" s="292" t="s">
        <v>485</v>
      </c>
      <c r="C37" s="157">
        <v>106449.26</v>
      </c>
      <c r="D37" s="320">
        <v>42189</v>
      </c>
      <c r="E37" s="383">
        <v>106449.26</v>
      </c>
      <c r="F37" s="155">
        <f t="shared" si="0"/>
        <v>0</v>
      </c>
      <c r="K37" s="119"/>
      <c r="L37" s="121"/>
      <c r="M37" s="121"/>
      <c r="N37" s="113" t="s">
        <v>202</v>
      </c>
      <c r="O37" s="121">
        <v>3445.5</v>
      </c>
      <c r="P37" s="222">
        <v>42160</v>
      </c>
    </row>
    <row r="38" spans="1:17" ht="15.75" x14ac:dyDescent="0.25">
      <c r="A38" s="143">
        <v>42180</v>
      </c>
      <c r="B38" s="292" t="s">
        <v>486</v>
      </c>
      <c r="C38" s="157">
        <v>6843.2</v>
      </c>
      <c r="D38" s="320">
        <v>42189</v>
      </c>
      <c r="E38" s="383">
        <v>6843.2</v>
      </c>
      <c r="F38" s="155">
        <f t="shared" si="0"/>
        <v>0</v>
      </c>
      <c r="K38" s="119"/>
      <c r="L38" s="121"/>
      <c r="M38" s="121"/>
      <c r="N38" s="113" t="s">
        <v>202</v>
      </c>
      <c r="O38" s="121">
        <v>11112</v>
      </c>
      <c r="P38" s="222">
        <v>42160</v>
      </c>
    </row>
    <row r="39" spans="1:17" ht="15.75" x14ac:dyDescent="0.25">
      <c r="A39" s="143">
        <v>42181</v>
      </c>
      <c r="B39" s="292" t="s">
        <v>490</v>
      </c>
      <c r="C39" s="157">
        <v>12844.8</v>
      </c>
      <c r="D39" s="320">
        <v>42189</v>
      </c>
      <c r="E39" s="383">
        <v>12844.8</v>
      </c>
      <c r="F39" s="155">
        <f t="shared" si="0"/>
        <v>0</v>
      </c>
      <c r="K39" s="119"/>
      <c r="L39" s="121"/>
      <c r="M39" s="121"/>
      <c r="N39" s="113" t="s">
        <v>202</v>
      </c>
      <c r="O39" s="121">
        <v>6007.5</v>
      </c>
      <c r="P39" s="222">
        <v>42160</v>
      </c>
    </row>
    <row r="40" spans="1:17" ht="15.75" customHeight="1" x14ac:dyDescent="0.25">
      <c r="A40" s="143">
        <v>42182</v>
      </c>
      <c r="B40" s="292" t="s">
        <v>487</v>
      </c>
      <c r="C40" s="157">
        <v>25121.25</v>
      </c>
      <c r="D40" s="320">
        <v>42189</v>
      </c>
      <c r="E40" s="383">
        <v>25121.25</v>
      </c>
      <c r="F40" s="241">
        <f t="shared" si="0"/>
        <v>0</v>
      </c>
      <c r="K40" s="119"/>
      <c r="L40" s="121"/>
      <c r="M40" s="121"/>
      <c r="N40" s="113" t="s">
        <v>202</v>
      </c>
      <c r="O40" s="121">
        <v>55733</v>
      </c>
      <c r="P40" s="222">
        <v>42161</v>
      </c>
    </row>
    <row r="41" spans="1:17" ht="15.75" customHeight="1" x14ac:dyDescent="0.25">
      <c r="A41" s="305">
        <v>42182</v>
      </c>
      <c r="B41" s="306" t="s">
        <v>488</v>
      </c>
      <c r="C41" s="88">
        <v>50517.5</v>
      </c>
      <c r="D41" s="320">
        <v>42189</v>
      </c>
      <c r="E41" s="318">
        <v>50517.5</v>
      </c>
      <c r="F41" s="241">
        <f t="shared" si="0"/>
        <v>0</v>
      </c>
      <c r="K41" s="119"/>
      <c r="L41" s="121"/>
      <c r="M41" s="121"/>
      <c r="N41" s="113" t="s">
        <v>202</v>
      </c>
      <c r="O41" s="121">
        <v>10213</v>
      </c>
      <c r="P41" s="222">
        <v>42161</v>
      </c>
    </row>
    <row r="42" spans="1:17" ht="15.75" x14ac:dyDescent="0.25">
      <c r="A42" s="143">
        <v>42182</v>
      </c>
      <c r="B42" s="307" t="s">
        <v>489</v>
      </c>
      <c r="C42" s="207">
        <v>4929.3999999999996</v>
      </c>
      <c r="D42" s="320">
        <v>42189</v>
      </c>
      <c r="E42" s="384">
        <v>4929.3999999999996</v>
      </c>
      <c r="F42" s="241">
        <f t="shared" si="0"/>
        <v>0</v>
      </c>
      <c r="K42" s="119"/>
      <c r="L42" s="121"/>
      <c r="M42" s="121"/>
      <c r="N42" s="113" t="s">
        <v>202</v>
      </c>
      <c r="O42" s="121">
        <v>8904</v>
      </c>
      <c r="P42" s="222">
        <v>42161</v>
      </c>
    </row>
    <row r="43" spans="1:17" ht="15.75" x14ac:dyDescent="0.25">
      <c r="A43" s="143">
        <v>42182</v>
      </c>
      <c r="B43" s="307" t="s">
        <v>491</v>
      </c>
      <c r="C43" s="207">
        <v>92028.44</v>
      </c>
      <c r="D43" s="320">
        <v>42189</v>
      </c>
      <c r="E43" s="384">
        <v>92028.44</v>
      </c>
      <c r="F43" s="241">
        <f t="shared" si="0"/>
        <v>0</v>
      </c>
      <c r="K43" s="119"/>
      <c r="L43" s="121"/>
      <c r="M43" s="121"/>
      <c r="N43" s="113" t="s">
        <v>202</v>
      </c>
      <c r="O43" s="121">
        <v>68864</v>
      </c>
      <c r="P43" s="222">
        <v>42163</v>
      </c>
    </row>
    <row r="44" spans="1:17" ht="15.75" x14ac:dyDescent="0.25">
      <c r="A44" s="143">
        <v>42183</v>
      </c>
      <c r="B44" s="282" t="s">
        <v>492</v>
      </c>
      <c r="C44" s="207">
        <v>2229.2800000000002</v>
      </c>
      <c r="D44" s="320">
        <v>42189</v>
      </c>
      <c r="E44" s="384">
        <v>2229.2800000000002</v>
      </c>
      <c r="F44" s="241">
        <f t="shared" si="0"/>
        <v>0</v>
      </c>
      <c r="K44" s="119"/>
      <c r="L44" s="121"/>
      <c r="M44" s="121"/>
      <c r="N44" s="113" t="s">
        <v>202</v>
      </c>
      <c r="O44" s="121">
        <v>7136</v>
      </c>
      <c r="P44" s="222">
        <v>42163</v>
      </c>
      <c r="Q44" s="21">
        <v>42162</v>
      </c>
    </row>
    <row r="45" spans="1:17" ht="16.5" customHeight="1" x14ac:dyDescent="0.25">
      <c r="A45" s="143">
        <v>42183</v>
      </c>
      <c r="B45" s="293" t="s">
        <v>493</v>
      </c>
      <c r="C45" s="130">
        <v>3271.8</v>
      </c>
      <c r="D45" s="320">
        <v>42189</v>
      </c>
      <c r="E45" s="385">
        <v>3271.8</v>
      </c>
      <c r="F45" s="241">
        <f t="shared" si="0"/>
        <v>0</v>
      </c>
      <c r="K45" s="119"/>
      <c r="L45" s="121"/>
      <c r="M45" s="121"/>
      <c r="N45" s="113" t="s">
        <v>202</v>
      </c>
      <c r="O45" s="121">
        <v>6884</v>
      </c>
      <c r="P45" s="222">
        <v>42163</v>
      </c>
    </row>
    <row r="46" spans="1:17" ht="15.75" x14ac:dyDescent="0.25">
      <c r="A46" s="143">
        <v>42184</v>
      </c>
      <c r="B46" s="293" t="s">
        <v>494</v>
      </c>
      <c r="C46" s="130">
        <v>60605.25</v>
      </c>
      <c r="D46" s="320">
        <v>42189</v>
      </c>
      <c r="E46" s="385">
        <v>60605.25</v>
      </c>
      <c r="F46" s="241">
        <f t="shared" si="0"/>
        <v>0</v>
      </c>
      <c r="K46" s="196"/>
      <c r="L46" s="121">
        <v>0</v>
      </c>
      <c r="M46" s="121"/>
      <c r="N46" s="113" t="s">
        <v>202</v>
      </c>
      <c r="O46" s="121">
        <v>5768.5</v>
      </c>
      <c r="P46" s="222">
        <v>42163</v>
      </c>
    </row>
    <row r="47" spans="1:17" ht="17.25" x14ac:dyDescent="0.4">
      <c r="A47" s="295">
        <v>42185</v>
      </c>
      <c r="B47" s="297" t="s">
        <v>495</v>
      </c>
      <c r="C47" s="230">
        <v>36628.75</v>
      </c>
      <c r="D47" s="320">
        <v>42189</v>
      </c>
      <c r="E47" s="386">
        <v>36628.75</v>
      </c>
      <c r="F47" s="241">
        <f t="shared" si="0"/>
        <v>0</v>
      </c>
      <c r="K47" s="119"/>
      <c r="L47" s="121"/>
      <c r="M47" s="338"/>
      <c r="N47" s="339" t="s">
        <v>202</v>
      </c>
      <c r="O47" s="121">
        <v>11043.5</v>
      </c>
      <c r="P47" s="222">
        <v>42163</v>
      </c>
    </row>
    <row r="48" spans="1:17" ht="15.75" thickBot="1" x14ac:dyDescent="0.3">
      <c r="A48" s="143"/>
      <c r="B48" s="293"/>
      <c r="C48" s="207"/>
      <c r="D48" s="300"/>
      <c r="E48" s="121"/>
      <c r="F48" s="332">
        <f t="shared" si="0"/>
        <v>0</v>
      </c>
      <c r="K48" s="336"/>
      <c r="L48" s="337"/>
      <c r="M48" s="337"/>
      <c r="N48" s="337" t="s">
        <v>202</v>
      </c>
      <c r="O48" s="337">
        <v>1304</v>
      </c>
      <c r="P48" s="222">
        <v>42163</v>
      </c>
    </row>
    <row r="49" spans="1:17" ht="18.75" x14ac:dyDescent="0.3">
      <c r="A49" s="285"/>
      <c r="B49" s="290"/>
      <c r="C49" s="150"/>
      <c r="D49" s="300"/>
      <c r="E49" s="121"/>
      <c r="F49" s="332"/>
      <c r="L49" s="131">
        <f>SUM(L4:L47)</f>
        <v>695348.50000000023</v>
      </c>
      <c r="M49" s="131"/>
      <c r="N49" s="131"/>
      <c r="O49" s="131">
        <f>SUM(O4:O48)</f>
        <v>695348.5</v>
      </c>
    </row>
    <row r="50" spans="1:17" x14ac:dyDescent="0.25">
      <c r="A50" s="286"/>
      <c r="B50" s="291"/>
      <c r="C50" s="150"/>
      <c r="D50" s="159"/>
      <c r="E50" s="150"/>
      <c r="F50" s="332"/>
    </row>
    <row r="51" spans="1:17" x14ac:dyDescent="0.25">
      <c r="A51" s="286"/>
      <c r="B51" s="291"/>
      <c r="C51" s="150"/>
      <c r="D51" s="159"/>
      <c r="E51" s="150"/>
      <c r="F51" s="332"/>
    </row>
    <row r="52" spans="1:17" x14ac:dyDescent="0.25">
      <c r="A52" s="285"/>
      <c r="B52" s="290"/>
      <c r="C52" s="150"/>
      <c r="D52" s="300"/>
      <c r="E52" s="121"/>
      <c r="F52" s="332"/>
    </row>
    <row r="53" spans="1:17" ht="15.75" x14ac:dyDescent="0.25">
      <c r="A53" s="285"/>
      <c r="B53" s="290"/>
      <c r="C53" s="150"/>
      <c r="D53" s="150"/>
      <c r="E53" s="121"/>
      <c r="F53" s="332"/>
      <c r="H53" s="28"/>
      <c r="K53" s="104"/>
      <c r="L53" s="333">
        <v>42177</v>
      </c>
      <c r="M53" s="215"/>
      <c r="N53" s="134" t="s">
        <v>200</v>
      </c>
      <c r="O53" s="88"/>
    </row>
    <row r="54" spans="1:17" x14ac:dyDescent="0.25">
      <c r="A54" s="285"/>
      <c r="B54" s="290"/>
      <c r="C54" s="150"/>
      <c r="D54" s="150"/>
      <c r="E54" s="121"/>
      <c r="F54" s="332"/>
      <c r="H54" s="28"/>
      <c r="K54" s="104"/>
      <c r="L54" s="103"/>
      <c r="M54" s="103"/>
      <c r="N54" s="103"/>
      <c r="O54" s="213"/>
    </row>
    <row r="55" spans="1:17" ht="15.75" x14ac:dyDescent="0.25">
      <c r="A55" s="286"/>
      <c r="B55" s="291"/>
      <c r="C55" s="150"/>
      <c r="D55" s="119"/>
      <c r="E55" s="150"/>
      <c r="F55" s="332"/>
      <c r="H55" s="28"/>
      <c r="J55" s="43">
        <v>16925</v>
      </c>
      <c r="K55" s="144">
        <v>23599</v>
      </c>
      <c r="L55" s="156">
        <v>16925.13</v>
      </c>
      <c r="M55" s="348"/>
      <c r="N55" s="113" t="s">
        <v>202</v>
      </c>
      <c r="O55" s="214">
        <v>16925</v>
      </c>
      <c r="P55" s="221">
        <v>42164</v>
      </c>
      <c r="Q55" s="21">
        <v>42163</v>
      </c>
    </row>
    <row r="56" spans="1:17" ht="15.75" x14ac:dyDescent="0.25">
      <c r="A56" s="286"/>
      <c r="B56" s="291"/>
      <c r="C56" s="150"/>
      <c r="D56" s="119"/>
      <c r="E56" s="150"/>
      <c r="F56" s="332"/>
      <c r="H56" s="28"/>
      <c r="J56" s="43">
        <f>15834+14236+12371+10602</f>
        <v>53043</v>
      </c>
      <c r="K56" s="144">
        <v>23703</v>
      </c>
      <c r="L56" s="156">
        <v>53043.14</v>
      </c>
      <c r="M56" s="207"/>
      <c r="N56" s="113" t="s">
        <v>202</v>
      </c>
      <c r="O56" s="207">
        <v>15834</v>
      </c>
      <c r="P56" s="221">
        <v>42164</v>
      </c>
    </row>
    <row r="57" spans="1:17" ht="15.75" x14ac:dyDescent="0.25">
      <c r="A57" s="286"/>
      <c r="B57" s="291"/>
      <c r="C57" s="150"/>
      <c r="D57" s="119"/>
      <c r="E57" s="150"/>
      <c r="F57" s="332"/>
      <c r="H57" s="28"/>
      <c r="J57" s="43">
        <f>25137+9258</f>
        <v>34395</v>
      </c>
      <c r="K57" s="144">
        <v>23792</v>
      </c>
      <c r="L57" s="156">
        <v>34394.86</v>
      </c>
      <c r="M57" s="207"/>
      <c r="N57" s="113" t="s">
        <v>202</v>
      </c>
      <c r="O57" s="207">
        <v>14236</v>
      </c>
      <c r="P57" s="221">
        <v>42164</v>
      </c>
    </row>
    <row r="58" spans="1:17" ht="15.75" x14ac:dyDescent="0.25">
      <c r="A58" s="286"/>
      <c r="B58" s="291"/>
      <c r="C58" s="150"/>
      <c r="D58" s="119"/>
      <c r="E58" s="150"/>
      <c r="F58" s="332"/>
      <c r="H58" s="28"/>
      <c r="J58" s="43">
        <f>32885+6957+22438+7803.5</f>
        <v>70083.5</v>
      </c>
      <c r="K58" s="144">
        <v>23861</v>
      </c>
      <c r="L58" s="156">
        <v>70083.48</v>
      </c>
      <c r="M58" s="130"/>
      <c r="N58" s="113" t="s">
        <v>202</v>
      </c>
      <c r="O58" s="207">
        <v>25137</v>
      </c>
      <c r="P58" s="221">
        <v>42165</v>
      </c>
    </row>
    <row r="59" spans="1:17" ht="15.75" x14ac:dyDescent="0.25">
      <c r="A59" s="286"/>
      <c r="B59" s="289"/>
      <c r="C59" s="150"/>
      <c r="D59" s="119"/>
      <c r="E59" s="150"/>
      <c r="F59" s="332"/>
      <c r="H59" s="28"/>
      <c r="J59" s="43">
        <v>6709</v>
      </c>
      <c r="K59" s="144">
        <v>24023</v>
      </c>
      <c r="L59" s="156">
        <v>6708.74</v>
      </c>
      <c r="M59" s="130"/>
      <c r="N59" s="113" t="s">
        <v>202</v>
      </c>
      <c r="O59" s="214">
        <v>12371</v>
      </c>
      <c r="P59" s="221">
        <v>42165</v>
      </c>
    </row>
    <row r="60" spans="1:17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J60" s="43">
        <f>25908.5+18088+6277.5</f>
        <v>50274</v>
      </c>
      <c r="K60" s="144">
        <v>24039</v>
      </c>
      <c r="L60" s="156">
        <v>50274</v>
      </c>
      <c r="M60" s="207"/>
      <c r="N60" s="113" t="s">
        <v>202</v>
      </c>
      <c r="O60" s="207">
        <v>10602</v>
      </c>
      <c r="P60" s="221">
        <v>42165</v>
      </c>
    </row>
    <row r="61" spans="1:17" ht="16.5" thickTop="1" x14ac:dyDescent="0.25">
      <c r="C61" s="58">
        <f>SUM(C5:C60)</f>
        <v>1581936.5300000003</v>
      </c>
      <c r="D61" s="58"/>
      <c r="E61" s="58">
        <f>SUM(E5:E60)</f>
        <v>1581936.5300000003</v>
      </c>
      <c r="F61" s="242">
        <f>SUM(F5:F60)</f>
        <v>0</v>
      </c>
      <c r="H61" s="28"/>
      <c r="J61" s="43">
        <f>63875.5+5277.5+3622.5+3855.5</f>
        <v>76631</v>
      </c>
      <c r="K61" s="144">
        <v>24122</v>
      </c>
      <c r="L61" s="156">
        <v>76630.7</v>
      </c>
      <c r="M61" s="334"/>
      <c r="N61" s="113" t="s">
        <v>202</v>
      </c>
      <c r="O61" s="207">
        <v>32885</v>
      </c>
      <c r="P61" s="221">
        <v>42166</v>
      </c>
    </row>
    <row r="62" spans="1:17" ht="15.75" x14ac:dyDescent="0.25">
      <c r="A62" s="355"/>
      <c r="B62"/>
      <c r="D62"/>
      <c r="E62" s="43"/>
      <c r="H62" s="28"/>
      <c r="J62" s="43">
        <f>27430.5+22800+8569.5+1427</f>
        <v>60227</v>
      </c>
      <c r="K62" s="144">
        <v>24221</v>
      </c>
      <c r="L62" s="207">
        <v>60227.15</v>
      </c>
      <c r="M62" s="321"/>
      <c r="N62" s="113" t="s">
        <v>202</v>
      </c>
      <c r="O62" s="207">
        <v>9258</v>
      </c>
      <c r="P62" s="221">
        <v>42166</v>
      </c>
    </row>
    <row r="63" spans="1:17" ht="15.75" x14ac:dyDescent="0.25">
      <c r="A63" s="355"/>
      <c r="B63"/>
      <c r="D63"/>
      <c r="E63" s="43"/>
      <c r="H63" s="28"/>
      <c r="J63" s="43">
        <f>27560+6673+5507.5+7604</f>
        <v>47344.5</v>
      </c>
      <c r="K63" s="144">
        <v>24382</v>
      </c>
      <c r="L63" s="156">
        <v>47344.42</v>
      </c>
      <c r="M63" s="207"/>
      <c r="N63" s="113" t="s">
        <v>202</v>
      </c>
      <c r="O63" s="207">
        <v>6957</v>
      </c>
      <c r="P63" s="221">
        <v>42166</v>
      </c>
    </row>
    <row r="64" spans="1:17" ht="15.75" x14ac:dyDescent="0.25">
      <c r="A64" s="143"/>
      <c r="B64" s="389"/>
      <c r="C64" s="389"/>
      <c r="D64" s="390"/>
      <c r="E64" s="156"/>
      <c r="H64" s="28"/>
      <c r="J64" s="43">
        <f>31188.5+5213</f>
        <v>36401.5</v>
      </c>
      <c r="K64" s="144">
        <v>24493</v>
      </c>
      <c r="L64" s="156">
        <v>36401.300000000003</v>
      </c>
      <c r="M64" s="207"/>
      <c r="N64" s="113" t="s">
        <v>202</v>
      </c>
      <c r="O64" s="207">
        <v>25908.5</v>
      </c>
      <c r="P64" s="221">
        <v>42167</v>
      </c>
    </row>
    <row r="65" spans="1:17" ht="15.75" x14ac:dyDescent="0.25">
      <c r="A65" s="143"/>
      <c r="B65" s="389"/>
      <c r="C65" s="389"/>
      <c r="D65" s="391"/>
      <c r="E65" s="156"/>
      <c r="H65" s="28"/>
      <c r="J65" s="43">
        <f>22103+6132+1163</f>
        <v>29398</v>
      </c>
      <c r="K65" s="144">
        <v>24575</v>
      </c>
      <c r="L65" s="156">
        <v>29397.919999999998</v>
      </c>
      <c r="M65" s="207"/>
      <c r="N65" s="113" t="s">
        <v>202</v>
      </c>
      <c r="O65" s="207">
        <v>22438</v>
      </c>
      <c r="P65" s="221">
        <v>42167</v>
      </c>
    </row>
    <row r="66" spans="1:17" ht="15.75" x14ac:dyDescent="0.25">
      <c r="A66" s="143"/>
      <c r="B66" s="389"/>
      <c r="C66" s="389"/>
      <c r="D66" s="391"/>
      <c r="E66" s="156"/>
      <c r="H66" s="28"/>
      <c r="J66" s="43">
        <f>24382</f>
        <v>24382</v>
      </c>
      <c r="K66" s="144">
        <v>24577</v>
      </c>
      <c r="L66" s="156">
        <v>24382.05</v>
      </c>
      <c r="M66" s="207"/>
      <c r="N66" s="113" t="s">
        <v>202</v>
      </c>
      <c r="O66" s="207">
        <v>7803.5</v>
      </c>
      <c r="P66" s="221">
        <v>42167</v>
      </c>
    </row>
    <row r="67" spans="1:17" ht="15.75" x14ac:dyDescent="0.25">
      <c r="A67" s="143"/>
      <c r="B67" s="389"/>
      <c r="C67" s="389"/>
      <c r="D67" s="391"/>
      <c r="E67" s="156"/>
      <c r="H67" s="28"/>
      <c r="J67" s="43">
        <v>30669</v>
      </c>
      <c r="K67" s="144">
        <v>24706</v>
      </c>
      <c r="L67" s="156">
        <v>30668.9</v>
      </c>
      <c r="M67" s="207"/>
      <c r="N67" s="113" t="s">
        <v>202</v>
      </c>
      <c r="O67" s="207">
        <v>63875.5</v>
      </c>
      <c r="P67" s="221">
        <v>42168</v>
      </c>
    </row>
    <row r="68" spans="1:17" ht="15.75" x14ac:dyDescent="0.25">
      <c r="A68" s="143"/>
      <c r="B68" s="389"/>
      <c r="C68" s="389"/>
      <c r="D68" s="391"/>
      <c r="E68" s="156"/>
      <c r="H68" s="28"/>
      <c r="J68" s="43">
        <f>22577+1348</f>
        <v>23925</v>
      </c>
      <c r="K68" s="144">
        <v>24710</v>
      </c>
      <c r="L68" s="156">
        <v>23925</v>
      </c>
      <c r="M68" s="334"/>
      <c r="N68" s="113" t="s">
        <v>202</v>
      </c>
      <c r="O68" s="207">
        <v>5277.5</v>
      </c>
      <c r="P68" s="221">
        <v>42168</v>
      </c>
    </row>
    <row r="69" spans="1:17" ht="15.75" x14ac:dyDescent="0.25">
      <c r="A69" s="143"/>
      <c r="B69" s="389"/>
      <c r="C69" s="389"/>
      <c r="D69" s="391"/>
      <c r="E69" s="156"/>
      <c r="H69" s="28"/>
      <c r="J69" s="43">
        <f>27456.5+6627.5</f>
        <v>34084</v>
      </c>
      <c r="K69" s="144">
        <v>24807</v>
      </c>
      <c r="L69" s="156">
        <v>34084</v>
      </c>
      <c r="M69" s="207"/>
      <c r="N69" s="113" t="s">
        <v>202</v>
      </c>
      <c r="O69" s="207">
        <v>18088</v>
      </c>
      <c r="P69" s="221">
        <v>42168</v>
      </c>
    </row>
    <row r="70" spans="1:17" ht="15.75" x14ac:dyDescent="0.25">
      <c r="A70" s="143"/>
      <c r="B70" s="389"/>
      <c r="C70" s="389"/>
      <c r="D70" s="390"/>
      <c r="E70" s="156"/>
      <c r="H70" s="28"/>
      <c r="J70" s="43">
        <v>29511.5</v>
      </c>
      <c r="K70" s="144">
        <v>24816</v>
      </c>
      <c r="L70" s="156">
        <v>29511.4</v>
      </c>
      <c r="M70" s="207"/>
      <c r="N70" s="113" t="s">
        <v>202</v>
      </c>
      <c r="O70" s="207">
        <v>3622.5</v>
      </c>
      <c r="P70" s="221">
        <v>42170</v>
      </c>
      <c r="Q70" s="21">
        <v>42168</v>
      </c>
    </row>
    <row r="71" spans="1:17" ht="15.75" x14ac:dyDescent="0.25">
      <c r="A71" s="143"/>
      <c r="B71" s="389"/>
      <c r="C71" s="389"/>
      <c r="D71" s="392"/>
      <c r="E71" s="156"/>
      <c r="H71" s="28"/>
      <c r="J71" s="43">
        <f>5456.5+5791</f>
        <v>11247.5</v>
      </c>
      <c r="K71" s="144">
        <v>24821</v>
      </c>
      <c r="L71" s="156">
        <v>11248.31</v>
      </c>
      <c r="M71" s="207" t="s">
        <v>242</v>
      </c>
      <c r="N71" s="113" t="s">
        <v>202</v>
      </c>
      <c r="O71" s="207">
        <v>6709</v>
      </c>
      <c r="P71" s="221">
        <v>42168</v>
      </c>
    </row>
    <row r="72" spans="1:17" ht="16.5" thickBot="1" x14ac:dyDescent="0.3">
      <c r="A72" s="143"/>
      <c r="B72" s="389"/>
      <c r="C72" s="389"/>
      <c r="D72" s="390"/>
      <c r="E72" s="156"/>
      <c r="H72" s="28"/>
      <c r="J72" s="275">
        <v>0</v>
      </c>
      <c r="K72" s="144"/>
      <c r="L72" s="156"/>
      <c r="M72" s="207"/>
      <c r="N72" s="113" t="s">
        <v>202</v>
      </c>
      <c r="O72" s="207">
        <v>6277.5</v>
      </c>
      <c r="P72" s="221">
        <v>42170</v>
      </c>
      <c r="Q72" s="21">
        <v>42168</v>
      </c>
    </row>
    <row r="73" spans="1:17" ht="16.5" thickTop="1" x14ac:dyDescent="0.25">
      <c r="A73" s="143"/>
      <c r="B73" s="389"/>
      <c r="C73" s="389"/>
      <c r="D73" s="390"/>
      <c r="E73" s="156"/>
      <c r="H73" s="28"/>
      <c r="J73" s="43">
        <f>SUM(J55:J72)</f>
        <v>635250.5</v>
      </c>
      <c r="K73" s="144"/>
      <c r="L73" s="156"/>
      <c r="M73" s="207"/>
      <c r="N73" s="113" t="s">
        <v>202</v>
      </c>
      <c r="O73" s="207">
        <v>3855.5</v>
      </c>
      <c r="P73" s="221">
        <v>42170</v>
      </c>
      <c r="Q73" s="21">
        <v>42169</v>
      </c>
    </row>
    <row r="74" spans="1:17" ht="15.75" x14ac:dyDescent="0.25">
      <c r="A74" s="143"/>
      <c r="B74" s="389"/>
      <c r="C74" s="389"/>
      <c r="D74" s="390"/>
      <c r="E74" s="156"/>
      <c r="H74" s="28"/>
      <c r="K74" s="144"/>
      <c r="L74" s="156"/>
      <c r="M74" s="260"/>
      <c r="N74" s="113" t="s">
        <v>202</v>
      </c>
      <c r="O74" s="207">
        <v>27430.5</v>
      </c>
      <c r="P74" s="221">
        <v>42170</v>
      </c>
    </row>
    <row r="75" spans="1:17" ht="15.75" x14ac:dyDescent="0.25">
      <c r="A75" s="143"/>
      <c r="B75" s="389"/>
      <c r="C75" s="389"/>
      <c r="D75" s="390"/>
      <c r="E75" s="156"/>
      <c r="H75" s="28"/>
      <c r="K75" s="144"/>
      <c r="L75" s="156"/>
      <c r="M75" s="130"/>
      <c r="N75" s="113" t="s">
        <v>202</v>
      </c>
      <c r="O75" s="207">
        <v>22800</v>
      </c>
      <c r="P75" s="221">
        <v>42171</v>
      </c>
      <c r="Q75" s="21">
        <v>42170</v>
      </c>
    </row>
    <row r="76" spans="1:17" ht="15.75" x14ac:dyDescent="0.25">
      <c r="A76" s="143"/>
      <c r="B76" s="389"/>
      <c r="C76" s="389"/>
      <c r="D76" s="390"/>
      <c r="E76" s="156"/>
      <c r="K76" s="144"/>
      <c r="L76" s="156"/>
      <c r="M76" s="207"/>
      <c r="N76" s="113" t="s">
        <v>202</v>
      </c>
      <c r="O76" s="214">
        <v>8569.5</v>
      </c>
      <c r="P76" s="221">
        <v>42170</v>
      </c>
    </row>
    <row r="77" spans="1:17" ht="15.75" x14ac:dyDescent="0.25">
      <c r="A77" s="143"/>
      <c r="B77" s="389"/>
      <c r="C77" s="389"/>
      <c r="D77" s="390"/>
      <c r="E77" s="156"/>
      <c r="K77" s="144"/>
      <c r="L77" s="156"/>
      <c r="M77" s="207"/>
      <c r="N77" s="113" t="s">
        <v>202</v>
      </c>
      <c r="O77" s="207">
        <v>27560</v>
      </c>
      <c r="P77" s="221">
        <v>42171</v>
      </c>
    </row>
    <row r="78" spans="1:17" ht="15.75" x14ac:dyDescent="0.25">
      <c r="A78" s="143"/>
      <c r="B78" s="389"/>
      <c r="C78" s="389"/>
      <c r="D78" s="390"/>
      <c r="E78" s="156"/>
      <c r="F78" s="23"/>
      <c r="K78" s="264"/>
      <c r="L78" s="207"/>
      <c r="M78" s="207"/>
      <c r="N78" s="113" t="s">
        <v>202</v>
      </c>
      <c r="O78" s="207">
        <v>1427</v>
      </c>
      <c r="P78" s="221">
        <v>42171</v>
      </c>
    </row>
    <row r="79" spans="1:17" ht="15.75" x14ac:dyDescent="0.25">
      <c r="A79" s="143"/>
      <c r="B79" s="389"/>
      <c r="C79" s="389"/>
      <c r="D79" s="390"/>
      <c r="E79" s="156"/>
      <c r="F79" s="23"/>
      <c r="K79" s="264"/>
      <c r="L79" s="130"/>
      <c r="M79" s="130"/>
      <c r="N79" s="113" t="s">
        <v>202</v>
      </c>
      <c r="O79" s="207">
        <v>6673</v>
      </c>
      <c r="P79" s="221">
        <v>42171</v>
      </c>
    </row>
    <row r="80" spans="1:17" ht="15.75" x14ac:dyDescent="0.25">
      <c r="A80" s="143"/>
      <c r="B80" s="389"/>
      <c r="C80" s="389"/>
      <c r="D80" s="390"/>
      <c r="E80" s="156"/>
      <c r="K80" s="193"/>
      <c r="L80" s="207"/>
      <c r="M80" s="207"/>
      <c r="N80" s="113" t="s">
        <v>202</v>
      </c>
      <c r="O80" s="207">
        <v>31188.5</v>
      </c>
      <c r="P80" s="221">
        <v>42172</v>
      </c>
    </row>
    <row r="81" spans="1:16" ht="15.75" x14ac:dyDescent="0.25">
      <c r="A81" s="143"/>
      <c r="B81" s="389"/>
      <c r="C81" s="389"/>
      <c r="D81" s="390"/>
      <c r="E81" s="156"/>
      <c r="K81" s="193"/>
      <c r="L81" s="207"/>
      <c r="M81" s="207"/>
      <c r="N81" s="113" t="s">
        <v>202</v>
      </c>
      <c r="O81" s="214">
        <v>5507.5</v>
      </c>
      <c r="P81" s="221">
        <v>42172</v>
      </c>
    </row>
    <row r="82" spans="1:16" ht="15.75" x14ac:dyDescent="0.25">
      <c r="A82" s="143"/>
      <c r="B82" s="389"/>
      <c r="C82" s="389"/>
      <c r="D82" s="390"/>
      <c r="E82" s="156"/>
      <c r="K82" s="193"/>
      <c r="L82" s="207"/>
      <c r="M82" s="207"/>
      <c r="N82" s="113" t="s">
        <v>202</v>
      </c>
      <c r="O82" s="207">
        <v>7604</v>
      </c>
      <c r="P82" s="221">
        <v>42172</v>
      </c>
    </row>
    <row r="83" spans="1:16" ht="15.75" x14ac:dyDescent="0.25">
      <c r="A83" s="143"/>
      <c r="B83" s="389"/>
      <c r="C83" s="389"/>
      <c r="D83" s="390"/>
      <c r="E83" s="156"/>
      <c r="F83"/>
      <c r="G83"/>
      <c r="K83" s="193"/>
      <c r="L83" s="207"/>
      <c r="M83" s="207"/>
      <c r="N83" s="113" t="s">
        <v>202</v>
      </c>
      <c r="O83" s="207">
        <v>24382</v>
      </c>
      <c r="P83" s="221">
        <v>42173</v>
      </c>
    </row>
    <row r="84" spans="1:16" ht="15.75" x14ac:dyDescent="0.25">
      <c r="A84" s="143"/>
      <c r="B84" s="389"/>
      <c r="C84" s="389"/>
      <c r="D84" s="390"/>
      <c r="E84" s="156"/>
      <c r="F84"/>
      <c r="G84"/>
      <c r="K84" s="193"/>
      <c r="L84" s="207"/>
      <c r="M84" s="207"/>
      <c r="N84" s="113" t="s">
        <v>202</v>
      </c>
      <c r="O84" s="207">
        <v>22103</v>
      </c>
      <c r="P84" s="221">
        <v>42173</v>
      </c>
    </row>
    <row r="85" spans="1:16" ht="15.75" x14ac:dyDescent="0.25">
      <c r="A85" s="143"/>
      <c r="B85" s="389"/>
      <c r="C85" s="389"/>
      <c r="D85" s="390"/>
      <c r="E85" s="156"/>
      <c r="F85"/>
      <c r="G85"/>
      <c r="K85" s="206"/>
      <c r="L85" s="207"/>
      <c r="M85" s="207"/>
      <c r="N85" s="113" t="s">
        <v>202</v>
      </c>
      <c r="O85" s="207">
        <v>5213</v>
      </c>
      <c r="P85" s="221">
        <v>42173</v>
      </c>
    </row>
    <row r="86" spans="1:16" ht="15.75" x14ac:dyDescent="0.25">
      <c r="A86" s="143"/>
      <c r="B86" s="389"/>
      <c r="C86" s="389"/>
      <c r="D86" s="390"/>
      <c r="E86" s="156"/>
      <c r="F86"/>
      <c r="G86"/>
      <c r="K86" s="206"/>
      <c r="L86" s="207"/>
      <c r="M86" s="207"/>
      <c r="N86" s="113" t="s">
        <v>202</v>
      </c>
      <c r="O86" s="207">
        <v>6132</v>
      </c>
      <c r="P86" s="222">
        <v>42173</v>
      </c>
    </row>
    <row r="87" spans="1:16" ht="15.75" x14ac:dyDescent="0.25">
      <c r="A87" s="143"/>
      <c r="B87" s="389"/>
      <c r="C87" s="389"/>
      <c r="D87" s="390"/>
      <c r="E87" s="156"/>
      <c r="F87"/>
      <c r="G87"/>
      <c r="K87" s="193"/>
      <c r="L87" s="207"/>
      <c r="M87" s="207"/>
      <c r="N87" s="113" t="s">
        <v>202</v>
      </c>
      <c r="O87" s="207">
        <v>53246</v>
      </c>
      <c r="P87" s="221">
        <v>42174</v>
      </c>
    </row>
    <row r="88" spans="1:16" ht="15.75" x14ac:dyDescent="0.25">
      <c r="A88" s="143"/>
      <c r="B88" s="389"/>
      <c r="C88" s="389"/>
      <c r="D88" s="390"/>
      <c r="E88" s="156"/>
      <c r="F88"/>
      <c r="G88"/>
      <c r="K88" s="119"/>
      <c r="L88" s="121"/>
      <c r="M88" s="121"/>
      <c r="N88" s="113" t="s">
        <v>202</v>
      </c>
      <c r="O88" s="121">
        <v>1163</v>
      </c>
      <c r="P88" s="222">
        <v>42174</v>
      </c>
    </row>
    <row r="89" spans="1:16" ht="15.75" x14ac:dyDescent="0.25">
      <c r="A89" s="143"/>
      <c r="B89" s="389"/>
      <c r="C89" s="389"/>
      <c r="D89" s="390"/>
      <c r="E89" s="156"/>
      <c r="F89"/>
      <c r="G89"/>
      <c r="K89" s="119"/>
      <c r="L89" s="121"/>
      <c r="M89" s="121"/>
      <c r="N89" s="113" t="s">
        <v>202</v>
      </c>
      <c r="O89" s="323">
        <v>5791</v>
      </c>
      <c r="P89" s="222">
        <v>42174</v>
      </c>
    </row>
    <row r="90" spans="1:16" ht="15.75" x14ac:dyDescent="0.25">
      <c r="A90" s="143"/>
      <c r="B90" s="389"/>
      <c r="C90" s="389"/>
      <c r="D90" s="392"/>
      <c r="E90" s="156"/>
      <c r="F90"/>
      <c r="G90"/>
      <c r="K90" s="119"/>
      <c r="L90" s="121"/>
      <c r="M90" s="121"/>
      <c r="N90" s="113" t="s">
        <v>478</v>
      </c>
      <c r="O90" s="121">
        <v>29511.5</v>
      </c>
      <c r="P90" s="222">
        <v>42175</v>
      </c>
    </row>
    <row r="91" spans="1:16" ht="15.75" x14ac:dyDescent="0.25">
      <c r="A91" s="143"/>
      <c r="B91" s="389"/>
      <c r="C91" s="389"/>
      <c r="D91" s="390"/>
      <c r="E91" s="156"/>
      <c r="F91"/>
      <c r="G91"/>
      <c r="K91" s="119"/>
      <c r="L91" s="121"/>
      <c r="M91" s="121"/>
      <c r="N91" s="113" t="s">
        <v>478</v>
      </c>
      <c r="O91" s="121">
        <v>27456.5</v>
      </c>
      <c r="P91" s="222">
        <v>42175</v>
      </c>
    </row>
    <row r="92" spans="1:16" ht="15.75" x14ac:dyDescent="0.25">
      <c r="A92" s="143"/>
      <c r="B92" s="389"/>
      <c r="C92" s="389"/>
      <c r="D92" s="390"/>
      <c r="E92" s="156"/>
      <c r="F92"/>
      <c r="G92"/>
      <c r="K92" s="119"/>
      <c r="L92" s="121"/>
      <c r="M92" s="121"/>
      <c r="N92" s="113" t="s">
        <v>478</v>
      </c>
      <c r="O92" s="121">
        <v>5456.5</v>
      </c>
      <c r="P92" s="222">
        <v>42175</v>
      </c>
    </row>
    <row r="93" spans="1:16" ht="15.75" x14ac:dyDescent="0.25">
      <c r="A93" s="143"/>
      <c r="B93" s="393"/>
      <c r="C93" s="393"/>
      <c r="D93" s="394"/>
      <c r="E93" s="157"/>
      <c r="F93"/>
      <c r="G93"/>
      <c r="K93" s="119"/>
      <c r="L93" s="121"/>
      <c r="M93" s="121"/>
      <c r="N93" s="113" t="s">
        <v>478</v>
      </c>
      <c r="O93" s="121">
        <v>1348</v>
      </c>
      <c r="P93" s="222">
        <v>42175</v>
      </c>
    </row>
    <row r="94" spans="1:16" ht="15.75" x14ac:dyDescent="0.25">
      <c r="A94" s="143"/>
      <c r="B94" s="292"/>
      <c r="C94" s="292"/>
      <c r="D94" s="394"/>
      <c r="E94" s="157"/>
      <c r="F94"/>
      <c r="G94"/>
      <c r="K94" s="119"/>
      <c r="L94" s="121"/>
      <c r="M94" s="121"/>
      <c r="N94" s="113" t="s">
        <v>478</v>
      </c>
      <c r="O94" s="121">
        <v>6627.5</v>
      </c>
      <c r="P94" s="222">
        <v>42175</v>
      </c>
    </row>
    <row r="95" spans="1:16" ht="15.75" thickBot="1" x14ac:dyDescent="0.3">
      <c r="A95" s="143"/>
      <c r="B95" s="292"/>
      <c r="C95" s="292"/>
      <c r="D95" s="390"/>
      <c r="E95" s="156"/>
      <c r="F95"/>
      <c r="G95"/>
      <c r="K95" s="336"/>
      <c r="L95" s="337"/>
      <c r="M95" s="337"/>
      <c r="N95" s="337"/>
      <c r="O95" s="337"/>
      <c r="P95" s="222"/>
    </row>
    <row r="96" spans="1:16" ht="18.75" x14ac:dyDescent="0.3">
      <c r="A96" s="143"/>
      <c r="B96" s="292"/>
      <c r="C96" s="292"/>
      <c r="D96" s="390"/>
      <c r="E96" s="156"/>
      <c r="L96" s="131">
        <f>SUM(L55:L94)</f>
        <v>635250.5</v>
      </c>
      <c r="M96" s="131"/>
      <c r="N96" s="131"/>
      <c r="O96" s="131">
        <f>SUM(O55:O95)</f>
        <v>635250.5</v>
      </c>
    </row>
    <row r="97" spans="1:5" x14ac:dyDescent="0.25">
      <c r="A97" s="143"/>
      <c r="B97" s="292"/>
      <c r="C97" s="292"/>
      <c r="D97" s="390"/>
      <c r="E97" s="156"/>
    </row>
    <row r="98" spans="1:5" x14ac:dyDescent="0.25">
      <c r="A98" s="143"/>
      <c r="B98" s="393"/>
      <c r="C98" s="393"/>
      <c r="D98" s="390"/>
      <c r="E98" s="156"/>
    </row>
    <row r="99" spans="1:5" x14ac:dyDescent="0.25">
      <c r="A99" s="143"/>
      <c r="B99" s="292"/>
      <c r="C99" s="292"/>
      <c r="D99" s="390"/>
      <c r="E99" s="156"/>
    </row>
    <row r="100" spans="1:5" x14ac:dyDescent="0.25">
      <c r="A100" s="143"/>
      <c r="B100" s="393"/>
      <c r="C100" s="393"/>
      <c r="D100" s="390"/>
      <c r="E100" s="156"/>
    </row>
    <row r="101" spans="1:5" x14ac:dyDescent="0.25">
      <c r="A101" s="143"/>
      <c r="B101" s="393"/>
      <c r="C101" s="393"/>
      <c r="D101" s="390"/>
      <c r="E101" s="156"/>
    </row>
    <row r="102" spans="1:5" x14ac:dyDescent="0.25">
      <c r="A102" s="143"/>
      <c r="B102" s="393"/>
      <c r="C102" s="393"/>
      <c r="D102" s="392"/>
      <c r="E102" s="156"/>
    </row>
    <row r="103" spans="1:5" x14ac:dyDescent="0.25">
      <c r="A103" s="143"/>
      <c r="B103" s="292"/>
      <c r="C103" s="292"/>
      <c r="D103" s="390"/>
      <c r="E103" s="156"/>
    </row>
    <row r="104" spans="1:5" x14ac:dyDescent="0.25">
      <c r="A104" s="143"/>
      <c r="B104" s="292"/>
      <c r="C104" s="292"/>
      <c r="D104" s="392"/>
      <c r="E104" s="156"/>
    </row>
    <row r="105" spans="1:5" x14ac:dyDescent="0.25">
      <c r="A105" s="143"/>
      <c r="B105" s="292"/>
      <c r="C105" s="292"/>
      <c r="D105" s="390"/>
      <c r="E105" s="156"/>
    </row>
    <row r="106" spans="1:5" x14ac:dyDescent="0.25">
      <c r="A106" s="143"/>
      <c r="B106" s="393"/>
      <c r="C106" s="393"/>
      <c r="D106" s="390"/>
      <c r="E106" s="156"/>
    </row>
  </sheetData>
  <sortState ref="A34:C47">
    <sortCondition ref="B34:B47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48"/>
  <sheetViews>
    <sheetView tabSelected="1" topLeftCell="A25" workbookViewId="0">
      <selection activeCell="G48" sqref="G48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4.7109375" customWidth="1"/>
    <col min="19" max="19" width="12.5703125" bestFit="1" customWidth="1"/>
    <col min="22" max="22" width="14.140625" bestFit="1" customWidth="1"/>
    <col min="29" max="29" width="19.42578125" bestFit="1" customWidth="1"/>
    <col min="30" max="30" width="14.140625" bestFit="1" customWidth="1"/>
  </cols>
  <sheetData>
    <row r="1" spans="1:30" ht="23.25" x14ac:dyDescent="0.35">
      <c r="B1" s="37"/>
      <c r="C1" s="408" t="s">
        <v>496</v>
      </c>
      <c r="D1" s="408"/>
      <c r="E1" s="408"/>
      <c r="F1" s="408"/>
      <c r="G1" s="408"/>
      <c r="H1" s="408"/>
      <c r="I1" s="408"/>
      <c r="J1" s="408"/>
      <c r="K1" s="408"/>
      <c r="M1" s="402"/>
      <c r="N1" s="202"/>
      <c r="R1" s="37"/>
      <c r="S1" s="408" t="s">
        <v>496</v>
      </c>
      <c r="T1" s="408"/>
      <c r="U1" s="408"/>
      <c r="V1" s="408"/>
      <c r="W1" s="408"/>
      <c r="X1" s="408"/>
      <c r="Y1" s="408"/>
      <c r="Z1" s="408"/>
      <c r="AA1" s="408"/>
      <c r="AC1" s="377"/>
      <c r="AD1" s="202"/>
    </row>
    <row r="2" spans="1:30" ht="15.75" thickBot="1" x14ac:dyDescent="0.3">
      <c r="B2" s="37"/>
      <c r="C2" s="43"/>
      <c r="E2" s="401"/>
      <c r="F2" s="50"/>
      <c r="I2" s="43"/>
      <c r="J2" s="43"/>
      <c r="M2" s="402"/>
      <c r="N2" s="202"/>
      <c r="R2" s="37"/>
      <c r="S2" s="43"/>
      <c r="U2" s="375"/>
      <c r="V2" s="50"/>
      <c r="Y2" s="43"/>
      <c r="Z2" s="43"/>
      <c r="AC2" s="377"/>
      <c r="AD2" s="202"/>
    </row>
    <row r="3" spans="1:30" ht="15.75" thickBot="1" x14ac:dyDescent="0.3">
      <c r="B3" s="37"/>
      <c r="C3" s="44" t="s">
        <v>0</v>
      </c>
      <c r="D3" s="3"/>
      <c r="F3" s="43"/>
      <c r="I3" s="43"/>
      <c r="J3" s="43"/>
      <c r="M3" s="402"/>
      <c r="N3" s="202"/>
      <c r="R3" s="37"/>
      <c r="S3" s="44" t="s">
        <v>0</v>
      </c>
      <c r="T3" s="3"/>
      <c r="V3" s="43"/>
      <c r="Y3" s="43"/>
      <c r="Z3" s="43"/>
      <c r="AC3" s="377"/>
      <c r="AD3" s="202"/>
    </row>
    <row r="4" spans="1:30" ht="20.25" thickTop="1" thickBot="1" x14ac:dyDescent="0.35">
      <c r="A4" s="96" t="s">
        <v>2</v>
      </c>
      <c r="B4" s="38"/>
      <c r="C4" s="94">
        <v>112018.27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  <c r="N4" s="203" t="s">
        <v>264</v>
      </c>
      <c r="Q4" s="96" t="s">
        <v>2</v>
      </c>
      <c r="R4" s="38"/>
      <c r="S4" s="94">
        <v>112018.27</v>
      </c>
      <c r="T4" s="2"/>
      <c r="U4" s="429" t="s">
        <v>14</v>
      </c>
      <c r="V4" s="430"/>
      <c r="Y4" s="411" t="s">
        <v>4</v>
      </c>
      <c r="Z4" s="412"/>
      <c r="AA4" s="412"/>
      <c r="AB4" s="412"/>
      <c r="AC4" s="69" t="s">
        <v>18</v>
      </c>
      <c r="AD4" s="203" t="s">
        <v>264</v>
      </c>
    </row>
    <row r="5" spans="1:30" ht="15.75" thickTop="1" x14ac:dyDescent="0.25">
      <c r="A5" s="21"/>
      <c r="B5" s="39">
        <v>42186</v>
      </c>
      <c r="C5" s="45">
        <v>900</v>
      </c>
      <c r="D5" s="22" t="s">
        <v>518</v>
      </c>
      <c r="E5" s="26">
        <v>42186</v>
      </c>
      <c r="F5" s="51">
        <v>30663.5</v>
      </c>
      <c r="G5" s="23"/>
      <c r="H5" s="24">
        <v>42186</v>
      </c>
      <c r="I5" s="60">
        <v>200</v>
      </c>
      <c r="J5" s="87"/>
      <c r="K5" s="34"/>
      <c r="L5" s="34"/>
      <c r="M5" s="67" t="s">
        <v>519</v>
      </c>
      <c r="N5" s="75">
        <v>29180</v>
      </c>
      <c r="Q5" s="21"/>
      <c r="R5" s="39">
        <v>42186</v>
      </c>
      <c r="S5" s="45">
        <v>900</v>
      </c>
      <c r="T5" s="22" t="s">
        <v>518</v>
      </c>
      <c r="U5" s="26">
        <v>42186</v>
      </c>
      <c r="V5" s="51">
        <v>30663.5</v>
      </c>
      <c r="W5" s="23"/>
      <c r="X5" s="24">
        <v>42186</v>
      </c>
      <c r="Y5" s="60">
        <v>200</v>
      </c>
      <c r="Z5" s="87"/>
      <c r="AA5" s="34"/>
      <c r="AB5" s="34"/>
      <c r="AC5" s="67" t="s">
        <v>519</v>
      </c>
      <c r="AD5" s="75">
        <v>29180</v>
      </c>
    </row>
    <row r="6" spans="1:30" x14ac:dyDescent="0.25">
      <c r="A6" s="21"/>
      <c r="B6" s="39">
        <v>42187</v>
      </c>
      <c r="C6" s="45">
        <v>0</v>
      </c>
      <c r="D6" s="29"/>
      <c r="E6" s="26">
        <v>42187</v>
      </c>
      <c r="F6" s="51">
        <v>48789.5</v>
      </c>
      <c r="G6" s="19"/>
      <c r="H6" s="27">
        <v>42187</v>
      </c>
      <c r="I6" s="61">
        <v>200</v>
      </c>
      <c r="J6" s="88"/>
      <c r="K6" s="13" t="s">
        <v>5</v>
      </c>
      <c r="L6" s="20">
        <v>614</v>
      </c>
      <c r="M6" s="67" t="s">
        <v>560</v>
      </c>
      <c r="N6" s="75">
        <v>49700</v>
      </c>
      <c r="Q6" s="21"/>
      <c r="R6" s="39">
        <v>42187</v>
      </c>
      <c r="S6" s="45">
        <v>0</v>
      </c>
      <c r="T6" s="29"/>
      <c r="U6" s="26">
        <v>42187</v>
      </c>
      <c r="V6" s="51">
        <v>48789.5</v>
      </c>
      <c r="W6" s="19"/>
      <c r="X6" s="27">
        <v>42187</v>
      </c>
      <c r="Y6" s="61">
        <v>200</v>
      </c>
      <c r="Z6" s="88"/>
      <c r="AA6" s="13" t="s">
        <v>5</v>
      </c>
      <c r="AB6" s="20">
        <v>614</v>
      </c>
      <c r="AC6" s="67" t="s">
        <v>520</v>
      </c>
      <c r="AD6" s="75">
        <v>49700</v>
      </c>
    </row>
    <row r="7" spans="1:30" x14ac:dyDescent="0.25">
      <c r="A7" s="21"/>
      <c r="B7" s="39">
        <v>42188</v>
      </c>
      <c r="C7" s="45">
        <v>0</v>
      </c>
      <c r="D7" s="32"/>
      <c r="E7" s="26">
        <v>42188</v>
      </c>
      <c r="F7" s="51">
        <v>64461.5</v>
      </c>
      <c r="G7" s="23"/>
      <c r="H7" s="27">
        <v>42188</v>
      </c>
      <c r="I7" s="61">
        <v>200</v>
      </c>
      <c r="J7" s="88"/>
      <c r="K7" s="13" t="s">
        <v>3</v>
      </c>
      <c r="L7" s="20">
        <v>12626</v>
      </c>
      <c r="M7" s="67" t="s">
        <v>521</v>
      </c>
      <c r="N7" s="75">
        <v>66250</v>
      </c>
      <c r="Q7" s="21"/>
      <c r="R7" s="39">
        <v>42188</v>
      </c>
      <c r="S7" s="45">
        <v>0</v>
      </c>
      <c r="T7" s="32"/>
      <c r="U7" s="26">
        <v>42188</v>
      </c>
      <c r="V7" s="51">
        <v>64461.5</v>
      </c>
      <c r="W7" s="23"/>
      <c r="X7" s="27">
        <v>42188</v>
      </c>
      <c r="Y7" s="61">
        <v>200</v>
      </c>
      <c r="Z7" s="88"/>
      <c r="AA7" s="13" t="s">
        <v>3</v>
      </c>
      <c r="AB7" s="20">
        <v>12626</v>
      </c>
      <c r="AC7" s="67" t="s">
        <v>521</v>
      </c>
      <c r="AD7" s="75">
        <v>66250</v>
      </c>
    </row>
    <row r="8" spans="1:30" x14ac:dyDescent="0.25">
      <c r="A8" s="21"/>
      <c r="B8" s="39">
        <v>42189</v>
      </c>
      <c r="C8" s="45">
        <v>0</v>
      </c>
      <c r="D8" s="22"/>
      <c r="E8" s="26">
        <v>42189</v>
      </c>
      <c r="F8" s="51">
        <v>83074</v>
      </c>
      <c r="G8" s="23"/>
      <c r="H8" s="27">
        <v>42189</v>
      </c>
      <c r="I8" s="61">
        <v>200</v>
      </c>
      <c r="J8" s="88"/>
      <c r="K8" s="13" t="s">
        <v>6</v>
      </c>
      <c r="L8" s="20">
        <v>28750</v>
      </c>
      <c r="M8" s="201" t="s">
        <v>522</v>
      </c>
      <c r="N8" s="204">
        <v>77250</v>
      </c>
      <c r="Q8" s="21"/>
      <c r="R8" s="39">
        <v>42189</v>
      </c>
      <c r="S8" s="45">
        <v>0</v>
      </c>
      <c r="T8" s="22"/>
      <c r="U8" s="26">
        <v>42189</v>
      </c>
      <c r="V8" s="51">
        <v>83074</v>
      </c>
      <c r="W8" s="23"/>
      <c r="X8" s="27">
        <v>42189</v>
      </c>
      <c r="Y8" s="61">
        <v>200</v>
      </c>
      <c r="Z8" s="88"/>
      <c r="AA8" s="13" t="s">
        <v>6</v>
      </c>
      <c r="AB8" s="20">
        <v>28750</v>
      </c>
      <c r="AC8" s="201" t="s">
        <v>522</v>
      </c>
      <c r="AD8" s="204">
        <v>77250</v>
      </c>
    </row>
    <row r="9" spans="1:30" x14ac:dyDescent="0.25">
      <c r="A9" s="21"/>
      <c r="B9" s="39">
        <v>42190</v>
      </c>
      <c r="C9" s="45">
        <v>0</v>
      </c>
      <c r="D9" s="22"/>
      <c r="E9" s="26">
        <v>42190</v>
      </c>
      <c r="F9" s="51">
        <v>68483</v>
      </c>
      <c r="G9" s="23"/>
      <c r="H9" s="27">
        <v>42190</v>
      </c>
      <c r="I9" s="61">
        <v>200</v>
      </c>
      <c r="J9" s="88"/>
      <c r="K9" s="13" t="s">
        <v>523</v>
      </c>
      <c r="L9" s="20">
        <v>8038.91</v>
      </c>
      <c r="M9" s="67" t="s">
        <v>528</v>
      </c>
      <c r="N9" s="75">
        <v>72250</v>
      </c>
      <c r="Q9" s="21"/>
      <c r="R9" s="39">
        <v>42190</v>
      </c>
      <c r="S9" s="45">
        <v>0</v>
      </c>
      <c r="T9" s="22"/>
      <c r="U9" s="26">
        <v>42190</v>
      </c>
      <c r="V9" s="51">
        <v>68483</v>
      </c>
      <c r="W9" s="23"/>
      <c r="X9" s="27">
        <v>42190</v>
      </c>
      <c r="Y9" s="61">
        <v>200</v>
      </c>
      <c r="Z9" s="88"/>
      <c r="AA9" s="13" t="s">
        <v>523</v>
      </c>
      <c r="AB9" s="20">
        <v>8038.91</v>
      </c>
      <c r="AC9" s="67" t="s">
        <v>528</v>
      </c>
      <c r="AD9" s="75">
        <v>72250</v>
      </c>
    </row>
    <row r="10" spans="1:30" x14ac:dyDescent="0.25">
      <c r="A10" s="21"/>
      <c r="B10" s="39">
        <v>42191</v>
      </c>
      <c r="C10" s="45">
        <v>0</v>
      </c>
      <c r="D10" s="32"/>
      <c r="E10" s="26">
        <v>42191</v>
      </c>
      <c r="F10" s="51">
        <v>61395.5</v>
      </c>
      <c r="G10" s="23"/>
      <c r="H10" s="27">
        <v>42191</v>
      </c>
      <c r="I10" s="61">
        <v>200</v>
      </c>
      <c r="J10" s="88"/>
      <c r="K10" s="13" t="s">
        <v>524</v>
      </c>
      <c r="L10" s="19">
        <v>6434.83</v>
      </c>
      <c r="M10" s="67" t="s">
        <v>529</v>
      </c>
      <c r="N10" s="75">
        <v>60000</v>
      </c>
      <c r="Q10" s="21"/>
      <c r="R10" s="39">
        <v>42191</v>
      </c>
      <c r="S10" s="45">
        <v>0</v>
      </c>
      <c r="T10" s="32"/>
      <c r="U10" s="26">
        <v>42191</v>
      </c>
      <c r="V10" s="51">
        <v>61395.5</v>
      </c>
      <c r="W10" s="23"/>
      <c r="X10" s="27">
        <v>42191</v>
      </c>
      <c r="Y10" s="61">
        <v>200</v>
      </c>
      <c r="Z10" s="88"/>
      <c r="AA10" s="13" t="s">
        <v>524</v>
      </c>
      <c r="AB10" s="20">
        <v>0</v>
      </c>
      <c r="AC10" s="67" t="s">
        <v>529</v>
      </c>
      <c r="AD10" s="75">
        <v>60000</v>
      </c>
    </row>
    <row r="11" spans="1:30" x14ac:dyDescent="0.25">
      <c r="A11" s="21"/>
      <c r="B11" s="39">
        <v>42192</v>
      </c>
      <c r="C11" s="45">
        <v>0</v>
      </c>
      <c r="D11" s="32"/>
      <c r="E11" s="26">
        <v>42192</v>
      </c>
      <c r="F11" s="51">
        <v>41930.5</v>
      </c>
      <c r="G11" s="23"/>
      <c r="H11" s="27">
        <v>42192</v>
      </c>
      <c r="I11" s="62">
        <v>200</v>
      </c>
      <c r="J11" s="88"/>
      <c r="K11" s="13" t="s">
        <v>525</v>
      </c>
      <c r="L11" s="19">
        <v>4705.51</v>
      </c>
      <c r="M11" s="67" t="s">
        <v>531</v>
      </c>
      <c r="N11" s="75">
        <v>42000</v>
      </c>
      <c r="Q11" s="21"/>
      <c r="R11" s="39">
        <v>42192</v>
      </c>
      <c r="S11" s="45">
        <v>0</v>
      </c>
      <c r="T11" s="32"/>
      <c r="U11" s="26">
        <v>42192</v>
      </c>
      <c r="V11" s="51"/>
      <c r="W11" s="23"/>
      <c r="X11" s="27">
        <v>42192</v>
      </c>
      <c r="Y11" s="62"/>
      <c r="Z11" s="88"/>
      <c r="AA11" s="13" t="s">
        <v>525</v>
      </c>
      <c r="AB11" s="20">
        <v>0</v>
      </c>
      <c r="AC11" s="67"/>
      <c r="AD11" s="75"/>
    </row>
    <row r="12" spans="1:30" x14ac:dyDescent="0.25">
      <c r="A12" s="21"/>
      <c r="B12" s="39">
        <v>42193</v>
      </c>
      <c r="C12" s="45">
        <v>0</v>
      </c>
      <c r="D12" s="32"/>
      <c r="E12" s="26">
        <v>42193</v>
      </c>
      <c r="F12" s="51">
        <v>36935.5</v>
      </c>
      <c r="G12" s="23"/>
      <c r="H12" s="27">
        <v>42193</v>
      </c>
      <c r="I12" s="62">
        <v>200</v>
      </c>
      <c r="J12" s="88"/>
      <c r="K12" s="13" t="s">
        <v>526</v>
      </c>
      <c r="L12" s="20">
        <v>6309.58</v>
      </c>
      <c r="M12" s="67" t="s">
        <v>532</v>
      </c>
      <c r="N12" s="75">
        <v>38500</v>
      </c>
      <c r="Q12" s="21"/>
      <c r="R12" s="39">
        <v>42193</v>
      </c>
      <c r="S12" s="45">
        <v>0</v>
      </c>
      <c r="T12" s="32"/>
      <c r="U12" s="26">
        <v>42193</v>
      </c>
      <c r="V12" s="51"/>
      <c r="W12" s="23"/>
      <c r="X12" s="27">
        <v>42193</v>
      </c>
      <c r="Y12" s="62"/>
      <c r="Z12" s="88"/>
      <c r="AA12" s="13" t="s">
        <v>526</v>
      </c>
      <c r="AB12" s="20">
        <v>0</v>
      </c>
      <c r="AC12" s="67"/>
      <c r="AD12" s="75"/>
    </row>
    <row r="13" spans="1:30" x14ac:dyDescent="0.25">
      <c r="A13" s="21"/>
      <c r="B13" s="39">
        <v>42194</v>
      </c>
      <c r="C13" s="45">
        <v>0</v>
      </c>
      <c r="D13" s="32"/>
      <c r="E13" s="26">
        <v>42194</v>
      </c>
      <c r="F13" s="51">
        <v>59053</v>
      </c>
      <c r="G13" s="23"/>
      <c r="H13" s="27">
        <v>42194</v>
      </c>
      <c r="I13" s="62">
        <v>200</v>
      </c>
      <c r="J13" s="88"/>
      <c r="K13" s="13" t="s">
        <v>527</v>
      </c>
      <c r="L13" s="20">
        <v>0</v>
      </c>
      <c r="M13" s="67" t="s">
        <v>533</v>
      </c>
      <c r="N13" s="75">
        <v>58300</v>
      </c>
      <c r="Q13" s="21"/>
      <c r="R13" s="39">
        <v>42194</v>
      </c>
      <c r="S13" s="45">
        <v>0</v>
      </c>
      <c r="T13" s="32"/>
      <c r="U13" s="26">
        <v>42194</v>
      </c>
      <c r="V13" s="51"/>
      <c r="W13" s="23"/>
      <c r="X13" s="27">
        <v>42194</v>
      </c>
      <c r="Y13" s="62"/>
      <c r="Z13" s="88"/>
      <c r="AA13" s="13" t="s">
        <v>527</v>
      </c>
      <c r="AB13" s="20">
        <v>0</v>
      </c>
      <c r="AC13" s="67"/>
      <c r="AD13" s="75"/>
    </row>
    <row r="14" spans="1:30" x14ac:dyDescent="0.25">
      <c r="A14" s="21"/>
      <c r="B14" s="39">
        <v>42195</v>
      </c>
      <c r="C14" s="45">
        <v>0</v>
      </c>
      <c r="D14" s="29"/>
      <c r="E14" s="26">
        <v>42195</v>
      </c>
      <c r="F14" s="51">
        <v>64332.5</v>
      </c>
      <c r="G14" s="23"/>
      <c r="H14" s="27">
        <v>42195</v>
      </c>
      <c r="I14" s="62">
        <v>232</v>
      </c>
      <c r="J14" s="88"/>
      <c r="K14" s="35" t="s">
        <v>16</v>
      </c>
      <c r="L14" s="20">
        <v>0</v>
      </c>
      <c r="M14" s="67" t="s">
        <v>534</v>
      </c>
      <c r="N14" s="75">
        <v>63052.5</v>
      </c>
      <c r="Q14" s="21"/>
      <c r="R14" s="39">
        <v>42195</v>
      </c>
      <c r="S14" s="45">
        <v>0</v>
      </c>
      <c r="T14" s="29"/>
      <c r="U14" s="26">
        <v>42195</v>
      </c>
      <c r="V14" s="51"/>
      <c r="W14" s="23"/>
      <c r="X14" s="27">
        <v>42195</v>
      </c>
      <c r="Y14" s="62"/>
      <c r="Z14" s="88"/>
      <c r="AA14" s="35" t="s">
        <v>16</v>
      </c>
      <c r="AB14" s="20">
        <v>0</v>
      </c>
      <c r="AC14" s="67"/>
      <c r="AD14" s="75"/>
    </row>
    <row r="15" spans="1:30" x14ac:dyDescent="0.25">
      <c r="A15" s="21"/>
      <c r="B15" s="39">
        <v>42196</v>
      </c>
      <c r="C15" s="45">
        <v>293.55</v>
      </c>
      <c r="D15" s="29" t="s">
        <v>31</v>
      </c>
      <c r="E15" s="26">
        <v>42196</v>
      </c>
      <c r="F15" s="51">
        <v>88073</v>
      </c>
      <c r="G15" s="23"/>
      <c r="H15" s="27">
        <v>42196</v>
      </c>
      <c r="I15" s="62">
        <v>200</v>
      </c>
      <c r="J15" s="88"/>
      <c r="K15" s="28" t="s">
        <v>15</v>
      </c>
      <c r="L15" s="20">
        <v>0</v>
      </c>
      <c r="M15" s="67" t="s">
        <v>535</v>
      </c>
      <c r="N15" s="75">
        <v>89124</v>
      </c>
      <c r="Q15" s="21"/>
      <c r="R15" s="39">
        <v>42196</v>
      </c>
      <c r="S15" s="45">
        <v>0</v>
      </c>
      <c r="T15" s="29"/>
      <c r="U15" s="26">
        <v>42196</v>
      </c>
      <c r="V15" s="51"/>
      <c r="W15" s="23"/>
      <c r="X15" s="27">
        <v>42196</v>
      </c>
      <c r="Y15" s="62"/>
      <c r="Z15" s="88"/>
      <c r="AA15" s="28" t="s">
        <v>15</v>
      </c>
      <c r="AB15" s="20">
        <v>0</v>
      </c>
      <c r="AC15" s="67"/>
      <c r="AD15" s="75"/>
    </row>
    <row r="16" spans="1:30" x14ac:dyDescent="0.25">
      <c r="A16" s="21"/>
      <c r="B16" s="39">
        <v>42197</v>
      </c>
      <c r="C16" s="45">
        <v>0</v>
      </c>
      <c r="D16" s="29"/>
      <c r="E16" s="26">
        <v>42197</v>
      </c>
      <c r="F16" s="51">
        <v>69254.5</v>
      </c>
      <c r="G16" s="23"/>
      <c r="H16" s="27">
        <v>42197</v>
      </c>
      <c r="I16" s="62">
        <v>600</v>
      </c>
      <c r="J16" s="88"/>
      <c r="K16" s="73" t="s">
        <v>52</v>
      </c>
      <c r="L16" s="74">
        <v>0</v>
      </c>
      <c r="M16" s="67" t="s">
        <v>537</v>
      </c>
      <c r="N16" s="75">
        <v>65051.5</v>
      </c>
      <c r="Q16" s="21"/>
      <c r="R16" s="39">
        <v>42197</v>
      </c>
      <c r="S16" s="45">
        <v>0</v>
      </c>
      <c r="T16" s="29"/>
      <c r="U16" s="26">
        <v>42197</v>
      </c>
      <c r="V16" s="51"/>
      <c r="W16" s="23"/>
      <c r="X16" s="27">
        <v>42197</v>
      </c>
      <c r="Y16" s="62"/>
      <c r="Z16" s="88"/>
      <c r="AA16" s="73" t="s">
        <v>52</v>
      </c>
      <c r="AB16" s="74">
        <v>0</v>
      </c>
      <c r="AC16" s="67"/>
      <c r="AD16" s="75"/>
    </row>
    <row r="17" spans="1:30" x14ac:dyDescent="0.25">
      <c r="A17" s="21"/>
      <c r="B17" s="39">
        <v>42198</v>
      </c>
      <c r="C17" s="45">
        <v>0</v>
      </c>
      <c r="D17" s="29"/>
      <c r="E17" s="26">
        <v>42198</v>
      </c>
      <c r="F17" s="51">
        <v>44040</v>
      </c>
      <c r="G17" s="23"/>
      <c r="H17" s="27">
        <v>42198</v>
      </c>
      <c r="I17" s="62">
        <v>200</v>
      </c>
      <c r="J17" s="88"/>
      <c r="K17" s="28" t="s">
        <v>53</v>
      </c>
      <c r="L17" s="74">
        <v>0</v>
      </c>
      <c r="M17" s="67" t="s">
        <v>546</v>
      </c>
      <c r="N17" s="75">
        <v>44543.5</v>
      </c>
      <c r="Q17" s="21"/>
      <c r="R17" s="39">
        <v>42198</v>
      </c>
      <c r="S17" s="45">
        <v>0</v>
      </c>
      <c r="T17" s="29"/>
      <c r="U17" s="26">
        <v>42198</v>
      </c>
      <c r="V17" s="51"/>
      <c r="W17" s="23"/>
      <c r="X17" s="27">
        <v>42198</v>
      </c>
      <c r="Y17" s="62"/>
      <c r="Z17" s="88"/>
      <c r="AA17" s="28" t="s">
        <v>53</v>
      </c>
      <c r="AB17" s="74">
        <v>0</v>
      </c>
      <c r="AC17" s="67"/>
      <c r="AD17" s="75"/>
    </row>
    <row r="18" spans="1:30" x14ac:dyDescent="0.25">
      <c r="A18" s="21"/>
      <c r="B18" s="39">
        <v>42199</v>
      </c>
      <c r="C18" s="45">
        <v>0</v>
      </c>
      <c r="D18" s="22"/>
      <c r="E18" s="26">
        <v>42199</v>
      </c>
      <c r="F18" s="51">
        <v>39111.5</v>
      </c>
      <c r="G18" s="23"/>
      <c r="H18" s="27">
        <v>42199</v>
      </c>
      <c r="I18" s="62">
        <v>200</v>
      </c>
      <c r="J18" s="89"/>
      <c r="K18" s="28" t="s">
        <v>54</v>
      </c>
      <c r="L18" s="75">
        <v>0</v>
      </c>
      <c r="M18" s="67" t="s">
        <v>547</v>
      </c>
      <c r="N18" s="75">
        <v>37075</v>
      </c>
      <c r="Q18" s="21"/>
      <c r="R18" s="39">
        <v>42199</v>
      </c>
      <c r="S18" s="45">
        <v>0</v>
      </c>
      <c r="T18" s="22"/>
      <c r="U18" s="26">
        <v>42199</v>
      </c>
      <c r="V18" s="51"/>
      <c r="W18" s="23"/>
      <c r="X18" s="27">
        <v>42199</v>
      </c>
      <c r="Y18" s="62"/>
      <c r="Z18" s="89"/>
      <c r="AA18" s="28" t="s">
        <v>54</v>
      </c>
      <c r="AB18" s="75">
        <v>0</v>
      </c>
      <c r="AC18" s="67"/>
      <c r="AD18" s="75"/>
    </row>
    <row r="19" spans="1:30" x14ac:dyDescent="0.25">
      <c r="A19" s="21"/>
      <c r="B19" s="39">
        <v>42200</v>
      </c>
      <c r="C19" s="45">
        <v>0</v>
      </c>
      <c r="D19" s="29"/>
      <c r="E19" s="26">
        <v>42200</v>
      </c>
      <c r="F19" s="51">
        <v>39677</v>
      </c>
      <c r="G19" s="23"/>
      <c r="H19" s="27">
        <v>42200</v>
      </c>
      <c r="I19" s="62">
        <v>200</v>
      </c>
      <c r="J19" s="88"/>
      <c r="K19" s="28" t="s">
        <v>55</v>
      </c>
      <c r="L19" s="75">
        <v>0</v>
      </c>
      <c r="M19" s="67" t="s">
        <v>548</v>
      </c>
      <c r="N19" s="75">
        <v>40800</v>
      </c>
      <c r="Q19" s="21"/>
      <c r="R19" s="39">
        <v>42200</v>
      </c>
      <c r="S19" s="45">
        <v>0</v>
      </c>
      <c r="T19" s="29"/>
      <c r="U19" s="26">
        <v>42200</v>
      </c>
      <c r="V19" s="51"/>
      <c r="W19" s="23"/>
      <c r="X19" s="27">
        <v>42200</v>
      </c>
      <c r="Y19" s="62"/>
      <c r="Z19" s="88"/>
      <c r="AA19" s="28" t="s">
        <v>55</v>
      </c>
      <c r="AB19" s="75">
        <v>0</v>
      </c>
      <c r="AC19" s="67"/>
      <c r="AD19" s="75"/>
    </row>
    <row r="20" spans="1:30" x14ac:dyDescent="0.25">
      <c r="A20" s="21"/>
      <c r="B20" s="39">
        <v>42201</v>
      </c>
      <c r="C20" s="45">
        <v>0</v>
      </c>
      <c r="D20" s="22"/>
      <c r="E20" s="26">
        <v>42201</v>
      </c>
      <c r="F20" s="51">
        <v>49999.5</v>
      </c>
      <c r="G20" s="23"/>
      <c r="H20" s="27">
        <v>42201</v>
      </c>
      <c r="I20" s="62">
        <v>200</v>
      </c>
      <c r="J20" s="90"/>
      <c r="K20" s="314" t="s">
        <v>408</v>
      </c>
      <c r="L20" s="55">
        <v>0</v>
      </c>
      <c r="M20" s="67" t="s">
        <v>549</v>
      </c>
      <c r="N20" s="75">
        <v>52400</v>
      </c>
      <c r="Q20" s="21"/>
      <c r="R20" s="39">
        <v>42201</v>
      </c>
      <c r="S20" s="45">
        <v>0</v>
      </c>
      <c r="T20" s="22"/>
      <c r="U20" s="26">
        <v>42201</v>
      </c>
      <c r="V20" s="51"/>
      <c r="W20" s="23"/>
      <c r="X20" s="27">
        <v>42201</v>
      </c>
      <c r="Y20" s="62"/>
      <c r="Z20" s="90"/>
      <c r="AA20" s="314" t="s">
        <v>408</v>
      </c>
      <c r="AB20" s="55">
        <v>0</v>
      </c>
      <c r="AC20" s="67"/>
      <c r="AD20" s="75"/>
    </row>
    <row r="21" spans="1:30" x14ac:dyDescent="0.25">
      <c r="A21" s="21"/>
      <c r="B21" s="39">
        <v>42202</v>
      </c>
      <c r="C21" s="45">
        <v>0</v>
      </c>
      <c r="D21" s="22"/>
      <c r="E21" s="26">
        <v>42202</v>
      </c>
      <c r="F21" s="51">
        <v>67420</v>
      </c>
      <c r="G21" s="23"/>
      <c r="H21" s="27">
        <v>42202</v>
      </c>
      <c r="I21" s="62">
        <v>232</v>
      </c>
      <c r="J21" s="88"/>
      <c r="K21" s="25" t="s">
        <v>99</v>
      </c>
      <c r="L21" s="55">
        <v>0</v>
      </c>
      <c r="M21" s="67" t="s">
        <v>550</v>
      </c>
      <c r="N21" s="75">
        <v>67200</v>
      </c>
      <c r="Q21" s="21"/>
      <c r="R21" s="39">
        <v>42202</v>
      </c>
      <c r="S21" s="45">
        <v>0</v>
      </c>
      <c r="T21" s="22"/>
      <c r="U21" s="26">
        <v>42202</v>
      </c>
      <c r="V21" s="51"/>
      <c r="W21" s="23"/>
      <c r="X21" s="27">
        <v>42202</v>
      </c>
      <c r="Y21" s="62"/>
      <c r="Z21" s="88"/>
      <c r="AA21" s="25" t="s">
        <v>99</v>
      </c>
      <c r="AB21" s="55">
        <v>0</v>
      </c>
      <c r="AC21" s="67"/>
      <c r="AD21" s="75"/>
    </row>
    <row r="22" spans="1:30" x14ac:dyDescent="0.25">
      <c r="A22" s="21"/>
      <c r="B22" s="39">
        <v>42203</v>
      </c>
      <c r="C22" s="45">
        <v>580</v>
      </c>
      <c r="D22" s="22" t="s">
        <v>518</v>
      </c>
      <c r="E22" s="26">
        <v>42203</v>
      </c>
      <c r="F22" s="51">
        <v>72700.5</v>
      </c>
      <c r="G22" s="23"/>
      <c r="H22" s="27">
        <v>42203</v>
      </c>
      <c r="I22" s="62">
        <v>200</v>
      </c>
      <c r="J22" s="90"/>
      <c r="K22" s="388" t="s">
        <v>213</v>
      </c>
      <c r="L22" s="55">
        <v>1800</v>
      </c>
      <c r="M22" s="67" t="s">
        <v>551</v>
      </c>
      <c r="N22" s="75">
        <v>71499.5</v>
      </c>
      <c r="Q22" s="21"/>
      <c r="R22" s="39">
        <v>42203</v>
      </c>
      <c r="S22" s="45">
        <v>0</v>
      </c>
      <c r="T22" s="22"/>
      <c r="U22" s="26">
        <v>42203</v>
      </c>
      <c r="V22" s="51"/>
      <c r="W22" s="23"/>
      <c r="X22" s="27">
        <v>42203</v>
      </c>
      <c r="Y22" s="62"/>
      <c r="Z22" s="90"/>
      <c r="AA22" s="122" t="s">
        <v>213</v>
      </c>
      <c r="AB22" s="55">
        <v>0</v>
      </c>
      <c r="AC22" s="67"/>
      <c r="AD22" s="75"/>
    </row>
    <row r="23" spans="1:30" x14ac:dyDescent="0.25">
      <c r="A23" s="21"/>
      <c r="B23" s="39">
        <v>42204</v>
      </c>
      <c r="C23" s="45">
        <v>0</v>
      </c>
      <c r="D23" s="22"/>
      <c r="E23" s="26">
        <v>42204</v>
      </c>
      <c r="F23" s="51">
        <v>47041.5</v>
      </c>
      <c r="G23" s="23"/>
      <c r="H23" s="27">
        <v>42204</v>
      </c>
      <c r="I23" s="62">
        <v>200</v>
      </c>
      <c r="J23" s="88"/>
      <c r="K23" s="388" t="s">
        <v>536</v>
      </c>
      <c r="L23" s="55">
        <v>0</v>
      </c>
      <c r="M23" s="67" t="s">
        <v>552</v>
      </c>
      <c r="N23" s="75">
        <v>46800</v>
      </c>
      <c r="Q23" s="21"/>
      <c r="R23" s="39">
        <v>42204</v>
      </c>
      <c r="S23" s="45">
        <v>0</v>
      </c>
      <c r="T23" s="22"/>
      <c r="U23" s="26">
        <v>42204</v>
      </c>
      <c r="V23" s="51"/>
      <c r="W23" s="23"/>
      <c r="X23" s="27">
        <v>42204</v>
      </c>
      <c r="Y23" s="62"/>
      <c r="Z23" s="88"/>
      <c r="AA23" s="11" t="s">
        <v>332</v>
      </c>
      <c r="AB23" s="55">
        <v>0</v>
      </c>
      <c r="AC23" s="67"/>
      <c r="AD23" s="75"/>
    </row>
    <row r="24" spans="1:30" x14ac:dyDescent="0.25">
      <c r="A24" s="21"/>
      <c r="B24" s="39">
        <v>42205</v>
      </c>
      <c r="C24" s="45">
        <v>0</v>
      </c>
      <c r="D24" s="29"/>
      <c r="E24" s="26">
        <v>42205</v>
      </c>
      <c r="F24" s="51">
        <v>36723.5</v>
      </c>
      <c r="G24" s="23"/>
      <c r="H24" s="27">
        <v>42205</v>
      </c>
      <c r="I24" s="62">
        <v>200</v>
      </c>
      <c r="J24" s="88"/>
      <c r="K24" s="365" t="s">
        <v>332</v>
      </c>
      <c r="L24" s="55">
        <v>800</v>
      </c>
      <c r="M24" s="67" t="s">
        <v>553</v>
      </c>
      <c r="N24" s="75">
        <v>33850</v>
      </c>
      <c r="Q24" s="21"/>
      <c r="R24" s="39">
        <v>42205</v>
      </c>
      <c r="S24" s="45">
        <v>0</v>
      </c>
      <c r="T24" s="29"/>
      <c r="U24" s="26">
        <v>42205</v>
      </c>
      <c r="V24" s="51"/>
      <c r="W24" s="23"/>
      <c r="X24" s="27">
        <v>42205</v>
      </c>
      <c r="Y24" s="62"/>
      <c r="Z24" s="88"/>
      <c r="AA24" s="365">
        <v>42165</v>
      </c>
      <c r="AB24" s="55"/>
      <c r="AC24" s="67"/>
      <c r="AD24" s="75"/>
    </row>
    <row r="25" spans="1:30" x14ac:dyDescent="0.25">
      <c r="A25" s="21"/>
      <c r="B25" s="39">
        <v>42206</v>
      </c>
      <c r="C25" s="45">
        <v>0</v>
      </c>
      <c r="D25" s="22"/>
      <c r="E25" s="26">
        <v>42206</v>
      </c>
      <c r="F25" s="51">
        <v>29028</v>
      </c>
      <c r="G25" s="23"/>
      <c r="H25" s="27">
        <v>42206</v>
      </c>
      <c r="I25" s="62">
        <v>200</v>
      </c>
      <c r="J25" s="88"/>
      <c r="K25" s="11"/>
      <c r="L25" s="55"/>
      <c r="M25" s="67" t="s">
        <v>571</v>
      </c>
      <c r="N25" s="75">
        <v>30400</v>
      </c>
      <c r="Q25" s="21"/>
      <c r="R25" s="39">
        <v>42206</v>
      </c>
      <c r="S25" s="45">
        <v>0</v>
      </c>
      <c r="T25" s="22"/>
      <c r="U25" s="26">
        <v>42206</v>
      </c>
      <c r="V25" s="51"/>
      <c r="W25" s="23"/>
      <c r="X25" s="27">
        <v>42206</v>
      </c>
      <c r="Y25" s="62"/>
      <c r="Z25" s="88"/>
      <c r="AA25" s="11"/>
      <c r="AB25" s="55"/>
      <c r="AC25" s="67"/>
      <c r="AD25" s="75"/>
    </row>
    <row r="26" spans="1:30" x14ac:dyDescent="0.25">
      <c r="A26" s="21"/>
      <c r="B26" s="39">
        <v>42207</v>
      </c>
      <c r="C26" s="45">
        <v>0</v>
      </c>
      <c r="D26" s="29"/>
      <c r="E26" s="26">
        <v>42207</v>
      </c>
      <c r="F26" s="51">
        <v>31598</v>
      </c>
      <c r="G26" s="23"/>
      <c r="H26" s="27">
        <v>42207</v>
      </c>
      <c r="I26" s="62">
        <v>200</v>
      </c>
      <c r="J26" s="88"/>
      <c r="K26" s="11"/>
      <c r="L26" s="55"/>
      <c r="M26" s="67" t="s">
        <v>572</v>
      </c>
      <c r="N26" s="75">
        <v>29779</v>
      </c>
      <c r="Q26" s="21"/>
      <c r="R26" s="39">
        <v>42207</v>
      </c>
      <c r="S26" s="45">
        <v>0</v>
      </c>
      <c r="T26" s="29"/>
      <c r="U26" s="26">
        <v>42207</v>
      </c>
      <c r="V26" s="51"/>
      <c r="W26" s="23"/>
      <c r="X26" s="27">
        <v>42207</v>
      </c>
      <c r="Y26" s="62"/>
      <c r="Z26" s="88"/>
      <c r="AA26" s="11"/>
      <c r="AB26" s="55"/>
      <c r="AC26" s="67"/>
      <c r="AD26" s="75"/>
    </row>
    <row r="27" spans="1:30" x14ac:dyDescent="0.25">
      <c r="A27" s="21"/>
      <c r="B27" s="39">
        <v>42208</v>
      </c>
      <c r="C27" s="45">
        <v>0</v>
      </c>
      <c r="D27" s="29"/>
      <c r="E27" s="26">
        <v>42208</v>
      </c>
      <c r="F27" s="51">
        <v>49605</v>
      </c>
      <c r="G27" s="23"/>
      <c r="H27" s="27">
        <v>42208</v>
      </c>
      <c r="I27" s="62">
        <v>200</v>
      </c>
      <c r="J27" s="88"/>
      <c r="K27" s="11"/>
      <c r="L27" s="55"/>
      <c r="M27" s="201" t="s">
        <v>573</v>
      </c>
      <c r="N27" s="204">
        <v>49158</v>
      </c>
      <c r="Q27" s="21"/>
      <c r="R27" s="39">
        <v>42208</v>
      </c>
      <c r="S27" s="45">
        <v>0</v>
      </c>
      <c r="T27" s="29"/>
      <c r="U27" s="26">
        <v>42208</v>
      </c>
      <c r="V27" s="51"/>
      <c r="W27" s="23"/>
      <c r="X27" s="27">
        <v>42208</v>
      </c>
      <c r="Y27" s="62"/>
      <c r="Z27" s="88"/>
      <c r="AA27" s="11"/>
      <c r="AB27" s="55"/>
      <c r="AC27" s="201"/>
      <c r="AD27" s="204"/>
    </row>
    <row r="28" spans="1:30" x14ac:dyDescent="0.25">
      <c r="A28" s="21"/>
      <c r="B28" s="39">
        <v>42209</v>
      </c>
      <c r="C28" s="45">
        <v>0</v>
      </c>
      <c r="D28" s="29"/>
      <c r="E28" s="26">
        <v>42209</v>
      </c>
      <c r="F28" s="51">
        <v>49886.5</v>
      </c>
      <c r="G28" s="23"/>
      <c r="H28" s="27">
        <v>42209</v>
      </c>
      <c r="I28" s="62">
        <v>200</v>
      </c>
      <c r="J28" s="88"/>
      <c r="K28" s="11"/>
      <c r="L28" s="55"/>
      <c r="M28" s="201" t="s">
        <v>574</v>
      </c>
      <c r="N28" s="204">
        <v>50250</v>
      </c>
      <c r="Q28" s="21"/>
      <c r="R28" s="39">
        <v>42209</v>
      </c>
      <c r="S28" s="45">
        <v>0</v>
      </c>
      <c r="T28" s="29"/>
      <c r="U28" s="26">
        <v>42209</v>
      </c>
      <c r="V28" s="51"/>
      <c r="W28" s="23"/>
      <c r="X28" s="27">
        <v>42209</v>
      </c>
      <c r="Y28" s="62"/>
      <c r="Z28" s="88"/>
      <c r="AA28" s="11"/>
      <c r="AB28" s="55"/>
      <c r="AC28" s="201"/>
      <c r="AD28" s="204">
        <v>0</v>
      </c>
    </row>
    <row r="29" spans="1:30" x14ac:dyDescent="0.25">
      <c r="A29" s="21"/>
      <c r="B29" s="39">
        <v>42210</v>
      </c>
      <c r="C29" s="45">
        <v>0</v>
      </c>
      <c r="D29" s="29"/>
      <c r="E29" s="26">
        <v>42210</v>
      </c>
      <c r="F29" s="51">
        <v>63623</v>
      </c>
      <c r="G29" s="23"/>
      <c r="H29" s="27">
        <v>42210</v>
      </c>
      <c r="I29" s="62">
        <v>200</v>
      </c>
      <c r="J29" s="88"/>
      <c r="K29" s="11"/>
      <c r="L29" s="20"/>
      <c r="M29" s="67" t="s">
        <v>575</v>
      </c>
      <c r="N29" s="75">
        <v>62050</v>
      </c>
      <c r="Q29" s="21"/>
      <c r="R29" s="39">
        <v>42210</v>
      </c>
      <c r="S29" s="45">
        <v>0</v>
      </c>
      <c r="T29" s="29"/>
      <c r="U29" s="26">
        <v>42210</v>
      </c>
      <c r="V29" s="51"/>
      <c r="W29" s="23"/>
      <c r="X29" s="27">
        <v>42210</v>
      </c>
      <c r="Y29" s="62"/>
      <c r="Z29" s="88"/>
      <c r="AA29" s="11"/>
      <c r="AB29" s="20"/>
      <c r="AC29" s="67"/>
      <c r="AD29" s="75">
        <v>0</v>
      </c>
    </row>
    <row r="30" spans="1:30" x14ac:dyDescent="0.25">
      <c r="A30" s="21"/>
      <c r="B30" s="39">
        <v>42211</v>
      </c>
      <c r="C30" s="45">
        <v>0</v>
      </c>
      <c r="D30" s="22"/>
      <c r="E30" s="26">
        <v>42211</v>
      </c>
      <c r="F30" s="51">
        <v>70627.5</v>
      </c>
      <c r="G30" s="23"/>
      <c r="H30" s="27">
        <v>42211</v>
      </c>
      <c r="I30" s="62">
        <v>220</v>
      </c>
      <c r="J30" s="88"/>
      <c r="K30" s="11"/>
      <c r="L30" s="20"/>
      <c r="M30" s="201" t="s">
        <v>576</v>
      </c>
      <c r="N30" s="204">
        <v>70320</v>
      </c>
      <c r="Q30" s="21"/>
      <c r="R30" s="39">
        <v>42211</v>
      </c>
      <c r="S30" s="45">
        <v>0</v>
      </c>
      <c r="T30" s="22"/>
      <c r="U30" s="26">
        <v>42211</v>
      </c>
      <c r="V30" s="51"/>
      <c r="W30" s="23"/>
      <c r="X30" s="27">
        <v>42211</v>
      </c>
      <c r="Y30" s="62"/>
      <c r="Z30" s="88"/>
      <c r="AA30" s="11"/>
      <c r="AB30" s="20"/>
      <c r="AC30" s="201"/>
      <c r="AD30" s="204">
        <v>0</v>
      </c>
    </row>
    <row r="31" spans="1:30" x14ac:dyDescent="0.25">
      <c r="A31" s="21"/>
      <c r="B31" s="39">
        <v>42212</v>
      </c>
      <c r="C31" s="45">
        <v>0</v>
      </c>
      <c r="D31" s="22"/>
      <c r="E31" s="26">
        <v>42212</v>
      </c>
      <c r="F31" s="51">
        <v>44446</v>
      </c>
      <c r="G31" s="23"/>
      <c r="H31" s="27">
        <v>42212</v>
      </c>
      <c r="I31" s="62">
        <v>232</v>
      </c>
      <c r="J31" s="88"/>
      <c r="K31" s="11"/>
      <c r="L31" s="20"/>
      <c r="M31" s="201" t="s">
        <v>577</v>
      </c>
      <c r="N31" s="204">
        <v>43680</v>
      </c>
      <c r="Q31" s="21"/>
      <c r="R31" s="39">
        <v>42212</v>
      </c>
      <c r="S31" s="45">
        <v>0</v>
      </c>
      <c r="T31" s="22"/>
      <c r="U31" s="26">
        <v>42212</v>
      </c>
      <c r="V31" s="51"/>
      <c r="W31" s="23"/>
      <c r="X31" s="27">
        <v>42212</v>
      </c>
      <c r="Y31" s="62"/>
      <c r="Z31" s="88"/>
      <c r="AA31" s="11"/>
      <c r="AB31" s="20"/>
      <c r="AC31" s="201"/>
      <c r="AD31" s="204">
        <v>0</v>
      </c>
    </row>
    <row r="32" spans="1:30" x14ac:dyDescent="0.25">
      <c r="A32" s="21"/>
      <c r="B32" s="39">
        <v>42213</v>
      </c>
      <c r="C32" s="45">
        <v>0</v>
      </c>
      <c r="D32" s="22"/>
      <c r="E32" s="26">
        <v>42213</v>
      </c>
      <c r="F32" s="51">
        <v>32577.5</v>
      </c>
      <c r="G32" s="23"/>
      <c r="H32" s="27">
        <v>42213</v>
      </c>
      <c r="I32" s="62">
        <v>200</v>
      </c>
      <c r="J32" s="88"/>
      <c r="K32" s="11"/>
      <c r="L32" s="20"/>
      <c r="M32" s="67" t="s">
        <v>578</v>
      </c>
      <c r="N32" s="75">
        <v>30700</v>
      </c>
      <c r="Q32" s="21"/>
      <c r="R32" s="39">
        <v>42213</v>
      </c>
      <c r="S32" s="45">
        <v>0</v>
      </c>
      <c r="T32" s="22"/>
      <c r="U32" s="26">
        <v>42213</v>
      </c>
      <c r="V32" s="51"/>
      <c r="W32" s="23"/>
      <c r="X32" s="27">
        <v>42213</v>
      </c>
      <c r="Y32" s="62"/>
      <c r="Z32" s="88"/>
      <c r="AA32" s="11"/>
      <c r="AB32" s="20"/>
      <c r="AC32" s="67"/>
      <c r="AD32" s="75">
        <v>0</v>
      </c>
    </row>
    <row r="33" spans="1:30" x14ac:dyDescent="0.25">
      <c r="A33" s="21"/>
      <c r="B33" s="39">
        <v>42214</v>
      </c>
      <c r="C33" s="45">
        <v>0</v>
      </c>
      <c r="D33" s="32"/>
      <c r="E33" s="26">
        <v>42214</v>
      </c>
      <c r="F33" s="51">
        <v>37875.5</v>
      </c>
      <c r="G33" s="23"/>
      <c r="H33" s="27">
        <v>42214</v>
      </c>
      <c r="I33" s="62">
        <v>200</v>
      </c>
      <c r="J33" s="88"/>
      <c r="K33" s="11"/>
      <c r="L33" s="20"/>
      <c r="M33" s="67" t="s">
        <v>584</v>
      </c>
      <c r="N33" s="75">
        <v>40270</v>
      </c>
      <c r="Q33" s="21"/>
      <c r="R33" s="39">
        <v>42214</v>
      </c>
      <c r="S33" s="45">
        <v>0</v>
      </c>
      <c r="T33" s="32"/>
      <c r="U33" s="26">
        <v>42214</v>
      </c>
      <c r="V33" s="51"/>
      <c r="W33" s="23"/>
      <c r="X33" s="27">
        <v>42214</v>
      </c>
      <c r="Y33" s="62"/>
      <c r="Z33" s="88"/>
      <c r="AA33" s="11"/>
      <c r="AB33" s="20"/>
      <c r="AC33" s="67"/>
      <c r="AD33" s="75">
        <v>0</v>
      </c>
    </row>
    <row r="34" spans="1:30" x14ac:dyDescent="0.25">
      <c r="A34" s="21"/>
      <c r="B34" s="39">
        <v>42215</v>
      </c>
      <c r="C34" s="45">
        <v>0</v>
      </c>
      <c r="D34" s="72"/>
      <c r="E34" s="26">
        <v>42215</v>
      </c>
      <c r="F34" s="51">
        <v>52353</v>
      </c>
      <c r="G34" s="23"/>
      <c r="H34" s="27">
        <v>42215</v>
      </c>
      <c r="I34" s="62">
        <v>200</v>
      </c>
      <c r="J34" s="88"/>
      <c r="K34" s="11"/>
      <c r="L34" s="20"/>
      <c r="M34" s="258" t="s">
        <v>585</v>
      </c>
      <c r="N34" s="202">
        <v>52800</v>
      </c>
      <c r="Q34" s="21"/>
      <c r="R34" s="39">
        <v>42215</v>
      </c>
      <c r="S34" s="45">
        <v>0</v>
      </c>
      <c r="T34" s="72"/>
      <c r="U34" s="26">
        <v>42215</v>
      </c>
      <c r="V34" s="51"/>
      <c r="W34" s="23"/>
      <c r="X34" s="27">
        <v>42215</v>
      </c>
      <c r="Y34" s="62"/>
      <c r="Z34" s="88"/>
      <c r="AA34" s="11"/>
      <c r="AB34" s="20"/>
      <c r="AC34" s="258"/>
      <c r="AD34" s="202">
        <v>0</v>
      </c>
    </row>
    <row r="35" spans="1:30" ht="15.75" thickBot="1" x14ac:dyDescent="0.3">
      <c r="A35" s="21"/>
      <c r="B35" s="39">
        <v>42216</v>
      </c>
      <c r="C35" s="45">
        <v>0</v>
      </c>
      <c r="D35" s="22"/>
      <c r="E35" s="26">
        <v>42216</v>
      </c>
      <c r="F35" s="51">
        <v>53234</v>
      </c>
      <c r="G35" s="23"/>
      <c r="H35" s="27">
        <v>42216</v>
      </c>
      <c r="I35" s="62">
        <v>200</v>
      </c>
      <c r="J35" s="88"/>
      <c r="K35" s="11"/>
      <c r="L35" s="20"/>
      <c r="M35" s="71" t="s">
        <v>586</v>
      </c>
      <c r="N35" s="74">
        <v>53400</v>
      </c>
      <c r="Q35" s="21"/>
      <c r="R35" s="39">
        <v>42216</v>
      </c>
      <c r="S35" s="45">
        <v>0</v>
      </c>
      <c r="T35" s="22"/>
      <c r="U35" s="26">
        <v>42216</v>
      </c>
      <c r="V35" s="51"/>
      <c r="W35" s="23"/>
      <c r="X35" s="27">
        <v>42216</v>
      </c>
      <c r="Y35" s="62"/>
      <c r="Z35" s="88"/>
      <c r="AA35" s="11" t="s">
        <v>345</v>
      </c>
      <c r="AB35" s="20"/>
      <c r="AC35" s="71"/>
      <c r="AD35" s="74">
        <v>0</v>
      </c>
    </row>
    <row r="36" spans="1:30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402"/>
      <c r="N36" s="346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377"/>
      <c r="AD36" s="346">
        <v>0</v>
      </c>
    </row>
    <row r="37" spans="1:30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402"/>
      <c r="N37" s="345">
        <f>SUM(N5:N36)</f>
        <v>1617633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377"/>
      <c r="AD37" s="345">
        <f>SUM(AD5:AD36)</f>
        <v>354630</v>
      </c>
    </row>
    <row r="38" spans="1:30" x14ac:dyDescent="0.25">
      <c r="B38" s="42" t="s">
        <v>1</v>
      </c>
      <c r="C38" s="48">
        <f>SUM(C5:C37)</f>
        <v>1773.55</v>
      </c>
      <c r="E38" s="399" t="s">
        <v>1</v>
      </c>
      <c r="F38" s="54">
        <f>SUM(F5:F37)</f>
        <v>1628013.5</v>
      </c>
      <c r="H38" s="401" t="s">
        <v>1</v>
      </c>
      <c r="I38" s="58">
        <f>SUM(I5:I37)</f>
        <v>6716</v>
      </c>
      <c r="J38" s="58"/>
      <c r="K38" s="17" t="s">
        <v>1</v>
      </c>
      <c r="L38" s="4">
        <f t="shared" ref="L38" si="0">SUM(L5:L37)</f>
        <v>70078.83</v>
      </c>
      <c r="M38" s="402"/>
      <c r="N38" s="202"/>
      <c r="R38" s="42" t="s">
        <v>1</v>
      </c>
      <c r="S38" s="48">
        <f>SUM(S5:S37)</f>
        <v>900</v>
      </c>
      <c r="U38" s="373" t="s">
        <v>1</v>
      </c>
      <c r="V38" s="54">
        <f>SUM(V5:V37)</f>
        <v>356867</v>
      </c>
      <c r="X38" s="375" t="s">
        <v>1</v>
      </c>
      <c r="Y38" s="58">
        <f>SUM(Y5:Y37)</f>
        <v>1200</v>
      </c>
      <c r="Z38" s="58"/>
      <c r="AA38" s="17" t="s">
        <v>1</v>
      </c>
      <c r="AB38" s="4">
        <f t="shared" ref="AB38" si="1">SUM(AB5:AB37)</f>
        <v>50028.91</v>
      </c>
      <c r="AC38" s="377"/>
      <c r="AD38" s="202"/>
    </row>
    <row r="39" spans="1:30" x14ac:dyDescent="0.25">
      <c r="B39" s="37"/>
      <c r="C39" s="43"/>
      <c r="F39" s="43"/>
      <c r="I39" s="43"/>
      <c r="J39" s="43"/>
      <c r="M39" s="402"/>
      <c r="N39" s="202"/>
      <c r="R39" s="37"/>
      <c r="S39" s="43"/>
      <c r="V39" s="43"/>
      <c r="Y39" s="43"/>
      <c r="Z39" s="43"/>
      <c r="AC39" s="377"/>
      <c r="AD39" s="202"/>
    </row>
    <row r="40" spans="1:30" ht="15.75" customHeight="1" x14ac:dyDescent="0.25">
      <c r="A40" s="5"/>
      <c r="B40" s="37"/>
      <c r="C40" s="49">
        <v>0</v>
      </c>
      <c r="D40" s="13"/>
      <c r="E40" s="13"/>
      <c r="F40" s="55"/>
      <c r="H40" s="413" t="s">
        <v>7</v>
      </c>
      <c r="I40" s="414"/>
      <c r="J40" s="400"/>
      <c r="K40" s="415">
        <f>I38+L38</f>
        <v>76794.83</v>
      </c>
      <c r="L40" s="416"/>
      <c r="M40" s="402"/>
      <c r="N40" s="202"/>
      <c r="Q40" s="5"/>
      <c r="R40" s="37"/>
      <c r="S40" s="49">
        <v>0</v>
      </c>
      <c r="T40" s="13"/>
      <c r="U40" s="13"/>
      <c r="V40" s="55"/>
      <c r="X40" s="413" t="s">
        <v>7</v>
      </c>
      <c r="Y40" s="414"/>
      <c r="Z40" s="374"/>
      <c r="AA40" s="415">
        <f>Y38+AB38</f>
        <v>51228.91</v>
      </c>
      <c r="AB40" s="416"/>
      <c r="AC40" s="377"/>
      <c r="AD40" s="202"/>
    </row>
    <row r="41" spans="1:30" ht="15.75" customHeight="1" x14ac:dyDescent="0.25">
      <c r="B41" s="37"/>
      <c r="C41" s="43"/>
      <c r="D41" s="407" t="s">
        <v>8</v>
      </c>
      <c r="E41" s="407"/>
      <c r="F41" s="56">
        <f>F38-K40</f>
        <v>1551218.67</v>
      </c>
      <c r="I41" s="65"/>
      <c r="J41" s="65"/>
      <c r="M41" s="402"/>
      <c r="N41" s="202"/>
      <c r="R41" s="37"/>
      <c r="S41" s="43"/>
      <c r="T41" s="407" t="s">
        <v>8</v>
      </c>
      <c r="U41" s="407"/>
      <c r="V41" s="56">
        <f>V38-AA40</f>
        <v>305638.08999999997</v>
      </c>
      <c r="Y41" s="65"/>
      <c r="Z41" s="65"/>
      <c r="AC41" s="377"/>
      <c r="AD41" s="202"/>
    </row>
    <row r="42" spans="1:30" x14ac:dyDescent="0.25">
      <c r="B42" s="37"/>
      <c r="C42" s="43"/>
      <c r="D42" s="13"/>
      <c r="E42" s="13" t="s">
        <v>0</v>
      </c>
      <c r="F42" s="56">
        <f>-C38</f>
        <v>-1773.55</v>
      </c>
      <c r="I42" s="43"/>
      <c r="J42" s="43"/>
      <c r="M42" s="402"/>
      <c r="N42" s="202"/>
      <c r="R42" s="37"/>
      <c r="S42" s="43"/>
      <c r="T42" s="13"/>
      <c r="U42" s="13" t="s">
        <v>0</v>
      </c>
      <c r="V42" s="56">
        <f>-S38</f>
        <v>-900</v>
      </c>
      <c r="Y42" s="43"/>
      <c r="Z42" s="43"/>
      <c r="AC42" s="377"/>
      <c r="AD42" s="202"/>
    </row>
    <row r="43" spans="1:30" ht="15.75" thickBot="1" x14ac:dyDescent="0.3">
      <c r="B43" s="37"/>
      <c r="C43" s="43" t="s">
        <v>12</v>
      </c>
      <c r="D43" t="s">
        <v>303</v>
      </c>
      <c r="F43" s="125">
        <v>-1486536.39</v>
      </c>
      <c r="I43" s="417"/>
      <c r="J43" s="417"/>
      <c r="K43" s="417"/>
      <c r="L43" s="2"/>
      <c r="M43" s="402"/>
      <c r="N43" s="202"/>
      <c r="R43" s="37"/>
      <c r="S43" s="43" t="s">
        <v>12</v>
      </c>
      <c r="T43" t="s">
        <v>303</v>
      </c>
      <c r="V43" s="125">
        <v>-311090.99</v>
      </c>
      <c r="Y43" s="417"/>
      <c r="Z43" s="417"/>
      <c r="AA43" s="417"/>
      <c r="AB43" s="2"/>
      <c r="AC43" s="377"/>
      <c r="AD43" s="202"/>
    </row>
    <row r="44" spans="1:30" ht="16.5" thickTop="1" x14ac:dyDescent="0.25">
      <c r="B44" s="37"/>
      <c r="C44" s="43"/>
      <c r="E44" s="5" t="s">
        <v>10</v>
      </c>
      <c r="F44" s="58">
        <f>SUM(F41:F43)</f>
        <v>62908.729999999981</v>
      </c>
      <c r="I44" s="449" t="s">
        <v>251</v>
      </c>
      <c r="J44" s="449"/>
      <c r="K44" s="434">
        <f>F46</f>
        <v>170158.52999999997</v>
      </c>
      <c r="L44" s="435"/>
      <c r="M44" s="402"/>
      <c r="N44" s="202"/>
      <c r="R44" s="37"/>
      <c r="S44" s="43"/>
      <c r="U44" s="5" t="s">
        <v>10</v>
      </c>
      <c r="V44" s="58">
        <f>SUM(V41:V43)</f>
        <v>-6352.9000000000233</v>
      </c>
      <c r="Y44" s="449" t="s">
        <v>251</v>
      </c>
      <c r="Z44" s="449"/>
      <c r="AA44" s="434">
        <f>V46</f>
        <v>92956.599999999977</v>
      </c>
      <c r="AB44" s="435"/>
      <c r="AC44" s="377"/>
      <c r="AD44" s="202"/>
    </row>
    <row r="45" spans="1:30" ht="16.5" thickBot="1" x14ac:dyDescent="0.3">
      <c r="B45" s="37"/>
      <c r="C45" s="43"/>
      <c r="D45" s="399" t="s">
        <v>9</v>
      </c>
      <c r="E45" s="399"/>
      <c r="F45" s="366">
        <v>107249.8</v>
      </c>
      <c r="I45" s="443" t="s">
        <v>2</v>
      </c>
      <c r="J45" s="443"/>
      <c r="K45" s="436">
        <v>-112018.27</v>
      </c>
      <c r="L45" s="436"/>
      <c r="M45" s="402"/>
      <c r="N45" s="202"/>
      <c r="R45" s="37"/>
      <c r="S45" s="43"/>
      <c r="T45" s="373" t="s">
        <v>9</v>
      </c>
      <c r="U45" s="373"/>
      <c r="V45" s="366">
        <v>99309.5</v>
      </c>
      <c r="Y45" s="443" t="s">
        <v>2</v>
      </c>
      <c r="Z45" s="443"/>
      <c r="AA45" s="436">
        <v>-112018.27</v>
      </c>
      <c r="AB45" s="436"/>
      <c r="AC45" s="377"/>
      <c r="AD45" s="202"/>
    </row>
    <row r="46" spans="1:30" ht="19.5" thickBot="1" x14ac:dyDescent="0.3">
      <c r="B46" s="37"/>
      <c r="C46" s="43"/>
      <c r="E46" s="6" t="s">
        <v>347</v>
      </c>
      <c r="F46" s="48">
        <f>F45+F44</f>
        <v>170158.52999999997</v>
      </c>
      <c r="J46" s="178"/>
      <c r="K46" s="437">
        <v>0</v>
      </c>
      <c r="L46" s="437"/>
      <c r="M46" s="402"/>
      <c r="N46" s="202"/>
      <c r="R46" s="37"/>
      <c r="S46" s="43"/>
      <c r="U46" s="6" t="s">
        <v>347</v>
      </c>
      <c r="V46" s="48">
        <f>V45+V44</f>
        <v>92956.599999999977</v>
      </c>
      <c r="Z46" s="178"/>
      <c r="AA46" s="437">
        <v>0</v>
      </c>
      <c r="AB46" s="437"/>
      <c r="AC46" s="377"/>
      <c r="AD46" s="202"/>
    </row>
    <row r="47" spans="1:30" ht="19.5" thickBot="1" x14ac:dyDescent="0.3">
      <c r="B47" s="37"/>
      <c r="C47" s="43"/>
      <c r="E47" s="5"/>
      <c r="F47" s="56"/>
      <c r="I47" s="447" t="s">
        <v>587</v>
      </c>
      <c r="J47" s="448"/>
      <c r="K47" s="440">
        <f>SUM(K44:L46)</f>
        <v>58140.259999999966</v>
      </c>
      <c r="L47" s="441"/>
      <c r="M47" s="402"/>
      <c r="N47" s="202"/>
      <c r="R47" s="37"/>
      <c r="S47" s="43"/>
      <c r="U47" s="5"/>
      <c r="V47" s="56"/>
      <c r="Y47" s="447" t="s">
        <v>401</v>
      </c>
      <c r="Z47" s="448"/>
      <c r="AA47" s="440">
        <f>SUM(AA44:AB46)</f>
        <v>-19061.670000000027</v>
      </c>
      <c r="AB47" s="441"/>
      <c r="AC47" s="377"/>
      <c r="AD47" s="202"/>
    </row>
    <row r="48" spans="1:30" x14ac:dyDescent="0.25">
      <c r="B48" s="37"/>
      <c r="C48" s="43"/>
      <c r="D48" s="417"/>
      <c r="E48" s="417"/>
      <c r="F48" s="58"/>
      <c r="I48" s="43"/>
      <c r="J48" s="43"/>
      <c r="M48" s="402"/>
      <c r="N48" s="202"/>
      <c r="R48" s="37"/>
      <c r="S48" s="43"/>
      <c r="T48" s="417"/>
      <c r="U48" s="417"/>
      <c r="V48" s="58"/>
      <c r="Y48" s="43"/>
      <c r="Z48" s="43"/>
      <c r="AC48" s="377"/>
      <c r="AD48" s="202"/>
    </row>
  </sheetData>
  <mergeCells count="3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T41:U41"/>
    <mergeCell ref="S1:AA1"/>
    <mergeCell ref="U4:V4"/>
    <mergeCell ref="Y4:AB4"/>
    <mergeCell ref="X40:Y40"/>
    <mergeCell ref="AA40:AB40"/>
    <mergeCell ref="Y47:Z47"/>
    <mergeCell ref="AA47:AB47"/>
    <mergeCell ref="T48:U48"/>
    <mergeCell ref="Y43:AA43"/>
    <mergeCell ref="Y44:Z44"/>
    <mergeCell ref="AA44:AB44"/>
    <mergeCell ref="Y45:Z45"/>
    <mergeCell ref="AA45:AB45"/>
    <mergeCell ref="AA46:AB46"/>
  </mergeCells>
  <pageMargins left="0.51181102362204722" right="0.31496062992125984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Q151"/>
  <sheetViews>
    <sheetView topLeftCell="A26" workbookViewId="0">
      <selection activeCell="A44" sqref="A4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9.5703125" bestFit="1" customWidth="1"/>
  </cols>
  <sheetData>
    <row r="2" spans="1:17" ht="16.5" thickBot="1" x14ac:dyDescent="0.3">
      <c r="K2" s="104"/>
      <c r="L2" s="351">
        <v>42189</v>
      </c>
      <c r="M2" s="215"/>
      <c r="N2" s="134" t="s">
        <v>200</v>
      </c>
      <c r="O2" s="88"/>
    </row>
    <row r="3" spans="1:17" ht="16.5" thickBot="1" x14ac:dyDescent="0.3">
      <c r="C3" s="444" t="s">
        <v>240</v>
      </c>
      <c r="D3" s="445"/>
      <c r="E3" s="446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76" t="s">
        <v>297</v>
      </c>
      <c r="D4" s="376"/>
      <c r="E4" s="376" t="s">
        <v>298</v>
      </c>
      <c r="F4" s="331" t="s">
        <v>299</v>
      </c>
      <c r="J4" s="43">
        <f>18705</f>
        <v>18705</v>
      </c>
      <c r="K4" s="144">
        <v>24821</v>
      </c>
      <c r="L4" s="156">
        <v>12913.19</v>
      </c>
      <c r="M4" s="348"/>
      <c r="N4" s="113" t="s">
        <v>202</v>
      </c>
      <c r="O4" s="214">
        <v>8382</v>
      </c>
      <c r="P4" s="221">
        <v>42177</v>
      </c>
      <c r="Q4" s="21">
        <v>42176</v>
      </c>
    </row>
    <row r="5" spans="1:17" ht="15.75" x14ac:dyDescent="0.25">
      <c r="A5" s="243">
        <v>42186</v>
      </c>
      <c r="B5" s="244" t="s">
        <v>530</v>
      </c>
      <c r="C5" s="245">
        <v>4077</v>
      </c>
      <c r="D5" s="104">
        <v>42201</v>
      </c>
      <c r="E5" s="245">
        <v>4077</v>
      </c>
      <c r="F5" s="387">
        <f t="shared" ref="F5:F15" si="0">C5-E5</f>
        <v>0</v>
      </c>
      <c r="G5" s="105"/>
      <c r="H5" s="106"/>
      <c r="J5" s="43">
        <f>8382+45341</f>
        <v>53723</v>
      </c>
      <c r="K5" s="144">
        <v>24883</v>
      </c>
      <c r="L5" s="156">
        <v>53722.95</v>
      </c>
      <c r="M5" s="207"/>
      <c r="N5" s="113" t="s">
        <v>202</v>
      </c>
      <c r="O5" s="207">
        <v>18705</v>
      </c>
      <c r="P5" s="221">
        <v>42177</v>
      </c>
      <c r="Q5" s="21">
        <v>42176</v>
      </c>
    </row>
    <row r="6" spans="1:17" ht="15.75" x14ac:dyDescent="0.25">
      <c r="A6" s="143">
        <v>42187</v>
      </c>
      <c r="B6" s="144" t="s">
        <v>506</v>
      </c>
      <c r="C6" s="156">
        <v>104690.78</v>
      </c>
      <c r="D6" s="104" t="s">
        <v>543</v>
      </c>
      <c r="E6" s="156">
        <f>5792.82+98897.96</f>
        <v>104690.78</v>
      </c>
      <c r="F6" s="154">
        <f t="shared" si="0"/>
        <v>0</v>
      </c>
      <c r="G6" s="105"/>
      <c r="H6" s="108"/>
      <c r="J6" s="43">
        <f>24909+7091+1848</f>
        <v>33848</v>
      </c>
      <c r="K6" s="144" t="s">
        <v>482</v>
      </c>
      <c r="L6" s="156">
        <v>33848.199999999997</v>
      </c>
      <c r="M6" s="207"/>
      <c r="N6" s="113" t="s">
        <v>202</v>
      </c>
      <c r="O6" s="207">
        <v>45341</v>
      </c>
      <c r="P6" s="221">
        <v>42177</v>
      </c>
      <c r="Q6" s="21">
        <v>42176</v>
      </c>
    </row>
    <row r="7" spans="1:17" ht="15.75" x14ac:dyDescent="0.25">
      <c r="A7" s="143">
        <v>42188</v>
      </c>
      <c r="B7" s="144" t="s">
        <v>508</v>
      </c>
      <c r="C7" s="156">
        <v>43946.82</v>
      </c>
      <c r="D7" s="104">
        <v>42201</v>
      </c>
      <c r="E7" s="156">
        <v>43946.82</v>
      </c>
      <c r="F7" s="154">
        <f t="shared" si="0"/>
        <v>0</v>
      </c>
      <c r="G7" s="105"/>
      <c r="H7" s="108"/>
      <c r="J7" s="43">
        <f>9263.5+26040.5</f>
        <v>35304</v>
      </c>
      <c r="K7" s="144" t="s">
        <v>483</v>
      </c>
      <c r="L7" s="156">
        <v>35304.050000000003</v>
      </c>
      <c r="M7" s="130"/>
      <c r="N7" s="113" t="s">
        <v>202</v>
      </c>
      <c r="O7" s="207">
        <v>24909</v>
      </c>
      <c r="P7" s="221">
        <v>42177</v>
      </c>
    </row>
    <row r="8" spans="1:17" ht="15.75" x14ac:dyDescent="0.25">
      <c r="A8" s="143">
        <v>42188</v>
      </c>
      <c r="B8" s="144" t="s">
        <v>509</v>
      </c>
      <c r="C8" s="156">
        <v>62146.51</v>
      </c>
      <c r="D8" s="104">
        <v>42201</v>
      </c>
      <c r="E8" s="156">
        <v>62146.51</v>
      </c>
      <c r="F8" s="155">
        <f t="shared" si="0"/>
        <v>0</v>
      </c>
      <c r="H8" s="106"/>
      <c r="J8" s="43">
        <f>6920.5+27445</f>
        <v>34365.5</v>
      </c>
      <c r="K8" s="144" t="s">
        <v>484</v>
      </c>
      <c r="L8" s="156">
        <v>34365.360000000001</v>
      </c>
      <c r="M8" s="130"/>
      <c r="N8" s="113" t="s">
        <v>202</v>
      </c>
      <c r="O8" s="214">
        <v>7091</v>
      </c>
      <c r="P8" s="221">
        <v>42177</v>
      </c>
    </row>
    <row r="9" spans="1:17" ht="15.75" x14ac:dyDescent="0.25">
      <c r="A9" s="243">
        <v>42189</v>
      </c>
      <c r="B9" s="244" t="s">
        <v>510</v>
      </c>
      <c r="C9" s="245">
        <v>27111.7</v>
      </c>
      <c r="D9" s="104">
        <v>42201</v>
      </c>
      <c r="E9" s="245">
        <v>27111.7</v>
      </c>
      <c r="F9" s="155">
        <f t="shared" si="0"/>
        <v>0</v>
      </c>
      <c r="J9" s="43">
        <f>34614.5+9045.5+7300.5+51899.5+3589.5</f>
        <v>106449.5</v>
      </c>
      <c r="K9" s="292" t="s">
        <v>485</v>
      </c>
      <c r="L9" s="157">
        <v>106449.26</v>
      </c>
      <c r="M9" s="207"/>
      <c r="N9" s="113" t="s">
        <v>202</v>
      </c>
      <c r="O9" s="207">
        <v>9263.5</v>
      </c>
      <c r="P9" s="221">
        <v>42178</v>
      </c>
    </row>
    <row r="10" spans="1:17" ht="15.75" x14ac:dyDescent="0.25">
      <c r="A10" s="143">
        <v>42189</v>
      </c>
      <c r="B10" s="144" t="s">
        <v>511</v>
      </c>
      <c r="C10" s="156">
        <v>37830.6</v>
      </c>
      <c r="D10" s="104">
        <v>42201</v>
      </c>
      <c r="E10" s="156">
        <v>37830.6</v>
      </c>
      <c r="F10" s="155">
        <f t="shared" si="0"/>
        <v>0</v>
      </c>
      <c r="J10" s="43">
        <v>6843</v>
      </c>
      <c r="K10" s="292" t="s">
        <v>486</v>
      </c>
      <c r="L10" s="157">
        <v>6843.2</v>
      </c>
      <c r="M10" s="334"/>
      <c r="N10" s="113" t="s">
        <v>202</v>
      </c>
      <c r="O10" s="207">
        <v>1848</v>
      </c>
      <c r="P10" s="221">
        <v>42178</v>
      </c>
    </row>
    <row r="11" spans="1:17" ht="15.75" x14ac:dyDescent="0.25">
      <c r="A11" s="143">
        <v>42191</v>
      </c>
      <c r="B11" s="144" t="s">
        <v>512</v>
      </c>
      <c r="C11" s="156">
        <v>31287.58</v>
      </c>
      <c r="D11" s="104">
        <v>42201</v>
      </c>
      <c r="E11" s="156">
        <v>31287.58</v>
      </c>
      <c r="F11" s="155">
        <f t="shared" si="0"/>
        <v>0</v>
      </c>
      <c r="J11" s="43">
        <f>7807.5+5037.5</f>
        <v>12845</v>
      </c>
      <c r="K11" s="292" t="s">
        <v>490</v>
      </c>
      <c r="L11" s="157">
        <v>12844.8</v>
      </c>
      <c r="M11" s="321"/>
      <c r="N11" s="113" t="s">
        <v>202</v>
      </c>
      <c r="O11" s="207">
        <v>26040.5</v>
      </c>
      <c r="P11" s="221">
        <v>42178</v>
      </c>
      <c r="Q11" s="21"/>
    </row>
    <row r="12" spans="1:17" ht="15.75" x14ac:dyDescent="0.25">
      <c r="A12" s="143">
        <v>42192</v>
      </c>
      <c r="B12" s="144" t="s">
        <v>513</v>
      </c>
      <c r="C12" s="156">
        <v>54743.6</v>
      </c>
      <c r="D12" s="104">
        <v>42201</v>
      </c>
      <c r="E12" s="156">
        <v>54743.6</v>
      </c>
      <c r="F12" s="155">
        <f t="shared" si="0"/>
        <v>0</v>
      </c>
      <c r="J12" s="43">
        <f>23002+2119.5</f>
        <v>25121.5</v>
      </c>
      <c r="K12" s="292" t="s">
        <v>487</v>
      </c>
      <c r="L12" s="157">
        <v>25121.25</v>
      </c>
      <c r="M12" s="207"/>
      <c r="N12" s="113" t="s">
        <v>202</v>
      </c>
      <c r="O12" s="207">
        <v>34614.5</v>
      </c>
      <c r="P12" s="221">
        <v>42179</v>
      </c>
      <c r="Q12" s="21"/>
    </row>
    <row r="13" spans="1:17" ht="15.75" x14ac:dyDescent="0.25">
      <c r="A13" s="143">
        <v>42193</v>
      </c>
      <c r="B13" s="144" t="s">
        <v>514</v>
      </c>
      <c r="C13" s="156">
        <v>67359.12</v>
      </c>
      <c r="D13" s="104">
        <v>42201</v>
      </c>
      <c r="E13" s="156">
        <v>67359.12</v>
      </c>
      <c r="F13" s="155">
        <f t="shared" si="0"/>
        <v>0</v>
      </c>
      <c r="J13" s="43">
        <v>50517.5</v>
      </c>
      <c r="K13" s="306" t="s">
        <v>488</v>
      </c>
      <c r="L13" s="88">
        <v>50517.5</v>
      </c>
      <c r="M13" s="207"/>
      <c r="N13" s="113" t="s">
        <v>202</v>
      </c>
      <c r="O13" s="207">
        <v>9045.5</v>
      </c>
      <c r="P13" s="221">
        <v>42179</v>
      </c>
      <c r="Q13" s="21"/>
    </row>
    <row r="14" spans="1:17" ht="15.75" x14ac:dyDescent="0.25">
      <c r="A14" s="143">
        <v>42195</v>
      </c>
      <c r="B14" s="144" t="s">
        <v>515</v>
      </c>
      <c r="C14" s="156">
        <v>69655.06</v>
      </c>
      <c r="D14" s="104">
        <v>42201</v>
      </c>
      <c r="E14" s="156">
        <v>69655.06</v>
      </c>
      <c r="F14" s="155">
        <f t="shared" si="0"/>
        <v>0</v>
      </c>
      <c r="J14" s="43">
        <v>4929.5</v>
      </c>
      <c r="K14" s="307" t="s">
        <v>489</v>
      </c>
      <c r="L14" s="207">
        <v>4929.3999999999996</v>
      </c>
      <c r="M14" s="207"/>
      <c r="N14" s="113" t="s">
        <v>202</v>
      </c>
      <c r="O14" s="207">
        <v>7300.5</v>
      </c>
      <c r="P14" s="221">
        <v>42180</v>
      </c>
      <c r="Q14" s="21"/>
    </row>
    <row r="15" spans="1:17" ht="15.75" x14ac:dyDescent="0.25">
      <c r="A15" s="143">
        <v>42196</v>
      </c>
      <c r="B15" s="144" t="s">
        <v>516</v>
      </c>
      <c r="C15" s="156">
        <v>76226.3</v>
      </c>
      <c r="D15" s="328">
        <v>42201</v>
      </c>
      <c r="E15" s="156">
        <v>76226.3</v>
      </c>
      <c r="F15" s="155">
        <f t="shared" si="0"/>
        <v>0</v>
      </c>
      <c r="J15" s="43">
        <f>8100+12588.5+8273+63067</f>
        <v>92028.5</v>
      </c>
      <c r="K15" s="307" t="s">
        <v>491</v>
      </c>
      <c r="L15" s="207">
        <v>92028.44</v>
      </c>
      <c r="M15" s="207"/>
      <c r="N15" s="113" t="s">
        <v>202</v>
      </c>
      <c r="O15" s="207">
        <v>51899.5</v>
      </c>
      <c r="P15" s="221">
        <v>42180</v>
      </c>
    </row>
    <row r="16" spans="1:17" ht="15.75" x14ac:dyDescent="0.25">
      <c r="A16" s="143">
        <v>42196</v>
      </c>
      <c r="B16" s="144" t="s">
        <v>517</v>
      </c>
      <c r="C16" s="156">
        <v>31381.200000000001</v>
      </c>
      <c r="D16" s="104">
        <v>42201</v>
      </c>
      <c r="E16" s="156">
        <v>31381.200000000001</v>
      </c>
      <c r="F16" s="155">
        <f t="shared" ref="F16:F24" si="1">C16-E16</f>
        <v>0</v>
      </c>
      <c r="J16" s="43">
        <v>2229.5</v>
      </c>
      <c r="K16" s="282" t="s">
        <v>492</v>
      </c>
      <c r="L16" s="207">
        <v>2229.2800000000002</v>
      </c>
      <c r="M16" s="207"/>
      <c r="N16" s="113" t="s">
        <v>202</v>
      </c>
      <c r="O16" s="207">
        <v>6920.5</v>
      </c>
      <c r="P16" s="221">
        <v>42181</v>
      </c>
    </row>
    <row r="17" spans="1:17" ht="15.75" x14ac:dyDescent="0.25">
      <c r="A17" s="143">
        <v>42197</v>
      </c>
      <c r="B17" s="144" t="s">
        <v>538</v>
      </c>
      <c r="C17" s="156">
        <v>76233.72</v>
      </c>
      <c r="D17" s="104" t="s">
        <v>559</v>
      </c>
      <c r="E17" s="156">
        <f>49181.55+27052.17</f>
        <v>76233.72</v>
      </c>
      <c r="F17" s="155">
        <f t="shared" si="1"/>
        <v>0</v>
      </c>
      <c r="G17" s="105"/>
      <c r="J17" s="43">
        <v>3272</v>
      </c>
      <c r="K17" s="293" t="s">
        <v>493</v>
      </c>
      <c r="L17" s="130">
        <v>3271.8</v>
      </c>
      <c r="M17" s="334"/>
      <c r="N17" s="113" t="s">
        <v>202</v>
      </c>
      <c r="O17" s="207">
        <v>6843</v>
      </c>
      <c r="P17" s="221">
        <v>42181</v>
      </c>
    </row>
    <row r="18" spans="1:17" ht="15.75" x14ac:dyDescent="0.25">
      <c r="A18" s="143">
        <v>42198</v>
      </c>
      <c r="B18" s="144" t="s">
        <v>539</v>
      </c>
      <c r="C18" s="156">
        <v>8037</v>
      </c>
      <c r="D18" s="104">
        <v>42207</v>
      </c>
      <c r="E18" s="156">
        <v>8037</v>
      </c>
      <c r="F18" s="155">
        <f t="shared" si="1"/>
        <v>0</v>
      </c>
      <c r="J18" s="43">
        <f>10456+22000+21744+6405</f>
        <v>60605</v>
      </c>
      <c r="K18" s="293" t="s">
        <v>494</v>
      </c>
      <c r="L18" s="130">
        <v>60605.25</v>
      </c>
      <c r="M18" s="207"/>
      <c r="N18" s="113" t="s">
        <v>202</v>
      </c>
      <c r="O18" s="207">
        <v>3589.5</v>
      </c>
      <c r="P18" s="221">
        <v>42181</v>
      </c>
      <c r="Q18" s="21"/>
    </row>
    <row r="19" spans="1:17" ht="15.75" x14ac:dyDescent="0.25">
      <c r="A19" s="143">
        <v>42199</v>
      </c>
      <c r="B19" s="144" t="s">
        <v>540</v>
      </c>
      <c r="C19" s="156">
        <v>13439.7</v>
      </c>
      <c r="D19" s="104">
        <v>42207</v>
      </c>
      <c r="E19" s="156">
        <v>13439.7</v>
      </c>
      <c r="F19" s="155">
        <f t="shared" si="1"/>
        <v>0</v>
      </c>
      <c r="J19" s="43">
        <f>27628+9001</f>
        <v>36629</v>
      </c>
      <c r="K19" s="297" t="s">
        <v>495</v>
      </c>
      <c r="L19" s="230">
        <v>36628.75</v>
      </c>
      <c r="M19" s="207"/>
      <c r="N19" s="113" t="s">
        <v>202</v>
      </c>
      <c r="O19" s="207">
        <v>23002</v>
      </c>
      <c r="P19" s="221">
        <v>42181</v>
      </c>
      <c r="Q19" s="21"/>
    </row>
    <row r="20" spans="1:17" ht="15.75" x14ac:dyDescent="0.25">
      <c r="A20" s="143">
        <v>42200</v>
      </c>
      <c r="B20" s="144" t="s">
        <v>541</v>
      </c>
      <c r="C20" s="156">
        <v>28302.37</v>
      </c>
      <c r="D20" s="104">
        <v>42207</v>
      </c>
      <c r="E20" s="156">
        <v>28302.37</v>
      </c>
      <c r="F20" s="155">
        <f t="shared" si="1"/>
        <v>0</v>
      </c>
      <c r="J20" s="43">
        <v>0</v>
      </c>
      <c r="K20" s="144" t="s">
        <v>506</v>
      </c>
      <c r="L20" s="156">
        <v>5792.82</v>
      </c>
      <c r="M20" s="207" t="s">
        <v>361</v>
      </c>
      <c r="N20" s="113" t="s">
        <v>202</v>
      </c>
      <c r="O20" s="207">
        <v>27445</v>
      </c>
      <c r="P20" s="221">
        <v>42181</v>
      </c>
      <c r="Q20" s="21"/>
    </row>
    <row r="21" spans="1:17" ht="15.75" x14ac:dyDescent="0.25">
      <c r="A21" s="143">
        <v>42200</v>
      </c>
      <c r="B21" s="144" t="s">
        <v>544</v>
      </c>
      <c r="C21" s="156">
        <v>23684.400000000001</v>
      </c>
      <c r="D21" s="104">
        <v>42207</v>
      </c>
      <c r="E21" s="156">
        <v>23684.400000000001</v>
      </c>
      <c r="F21" s="155">
        <f t="shared" si="1"/>
        <v>0</v>
      </c>
      <c r="J21" s="43">
        <f>SUM(J4:J20)</f>
        <v>577415.5</v>
      </c>
      <c r="K21" s="144"/>
      <c r="L21" s="156"/>
      <c r="M21" s="207"/>
      <c r="N21" s="113" t="s">
        <v>202</v>
      </c>
      <c r="O21" s="207">
        <v>8100</v>
      </c>
      <c r="P21" s="221">
        <v>42184</v>
      </c>
      <c r="Q21" s="21">
        <v>42182</v>
      </c>
    </row>
    <row r="22" spans="1:17" ht="15.75" x14ac:dyDescent="0.25">
      <c r="A22" s="143">
        <v>42200</v>
      </c>
      <c r="B22" s="144" t="s">
        <v>542</v>
      </c>
      <c r="C22" s="157">
        <v>46455.13</v>
      </c>
      <c r="D22" s="104">
        <v>42207</v>
      </c>
      <c r="E22" s="157">
        <v>46455.13</v>
      </c>
      <c r="F22" s="155">
        <f t="shared" si="1"/>
        <v>0</v>
      </c>
      <c r="K22" s="144"/>
      <c r="L22" s="156"/>
      <c r="M22" s="207"/>
      <c r="N22" s="113" t="s">
        <v>461</v>
      </c>
      <c r="O22" s="207">
        <v>7807.5</v>
      </c>
      <c r="P22" s="221">
        <v>42182</v>
      </c>
      <c r="Q22" s="21"/>
    </row>
    <row r="23" spans="1:17" ht="15.75" x14ac:dyDescent="0.25">
      <c r="A23" s="143">
        <v>42201</v>
      </c>
      <c r="B23" s="144" t="s">
        <v>545</v>
      </c>
      <c r="C23" s="130">
        <v>58032.81</v>
      </c>
      <c r="D23" s="104">
        <v>42207</v>
      </c>
      <c r="E23" s="130">
        <v>58032.81</v>
      </c>
      <c r="F23" s="155">
        <f t="shared" si="1"/>
        <v>0</v>
      </c>
      <c r="K23" s="144"/>
      <c r="L23" s="156"/>
      <c r="M23" s="260"/>
      <c r="N23" s="113" t="s">
        <v>461</v>
      </c>
      <c r="O23" s="207">
        <v>2119.5</v>
      </c>
      <c r="P23" s="221">
        <v>42182</v>
      </c>
    </row>
    <row r="24" spans="1:17" ht="15.75" x14ac:dyDescent="0.25">
      <c r="A24" s="143">
        <v>42202</v>
      </c>
      <c r="B24" s="144" t="s">
        <v>554</v>
      </c>
      <c r="C24" s="156">
        <v>48325.05</v>
      </c>
      <c r="D24" s="104">
        <v>42207</v>
      </c>
      <c r="E24" s="156">
        <v>48325.05</v>
      </c>
      <c r="F24" s="155">
        <f t="shared" si="1"/>
        <v>0</v>
      </c>
      <c r="K24" s="144"/>
      <c r="L24" s="156"/>
      <c r="M24" s="130"/>
      <c r="N24" s="113" t="s">
        <v>461</v>
      </c>
      <c r="O24" s="207">
        <v>4929.5</v>
      </c>
      <c r="P24" s="221">
        <v>42182</v>
      </c>
    </row>
    <row r="25" spans="1:17" ht="15.75" x14ac:dyDescent="0.25">
      <c r="A25" s="143">
        <v>42203</v>
      </c>
      <c r="B25" s="144" t="s">
        <v>555</v>
      </c>
      <c r="C25" s="156">
        <v>13529.7</v>
      </c>
      <c r="D25" s="104">
        <v>42207</v>
      </c>
      <c r="E25" s="156">
        <v>13529.7</v>
      </c>
      <c r="F25" s="155">
        <f t="shared" ref="F25:F39" si="2">C25-E25</f>
        <v>0</v>
      </c>
      <c r="K25" s="144"/>
      <c r="L25" s="156"/>
      <c r="M25" s="207"/>
      <c r="N25" s="113" t="s">
        <v>461</v>
      </c>
      <c r="O25" s="214">
        <v>5037.5</v>
      </c>
      <c r="P25" s="221">
        <v>42182</v>
      </c>
    </row>
    <row r="26" spans="1:17" ht="15.75" x14ac:dyDescent="0.25">
      <c r="A26" s="143">
        <v>42203</v>
      </c>
      <c r="B26" s="144" t="s">
        <v>556</v>
      </c>
      <c r="C26" s="156">
        <v>47909.4</v>
      </c>
      <c r="D26" s="104">
        <v>42207</v>
      </c>
      <c r="E26" s="156">
        <v>47909.4</v>
      </c>
      <c r="F26" s="155">
        <f t="shared" si="2"/>
        <v>0</v>
      </c>
      <c r="K26" s="144"/>
      <c r="L26" s="156"/>
      <c r="M26" s="207"/>
      <c r="N26" s="113" t="s">
        <v>505</v>
      </c>
      <c r="O26" s="207">
        <v>12588.5</v>
      </c>
      <c r="P26" s="221">
        <v>42182</v>
      </c>
    </row>
    <row r="27" spans="1:17" ht="15.75" x14ac:dyDescent="0.25">
      <c r="A27" s="143">
        <v>42204</v>
      </c>
      <c r="B27" s="144" t="s">
        <v>557</v>
      </c>
      <c r="C27" s="156">
        <v>47261.7</v>
      </c>
      <c r="D27" s="104" t="s">
        <v>580</v>
      </c>
      <c r="E27" s="156">
        <f>34690.47+12571.23</f>
        <v>47261.7</v>
      </c>
      <c r="F27" s="155">
        <f t="shared" si="2"/>
        <v>0</v>
      </c>
      <c r="K27" s="264"/>
      <c r="L27" s="207"/>
      <c r="M27" s="207"/>
      <c r="N27" s="113" t="s">
        <v>505</v>
      </c>
      <c r="O27" s="207">
        <v>50517.5</v>
      </c>
      <c r="P27" s="221">
        <v>42182</v>
      </c>
    </row>
    <row r="28" spans="1:17" ht="15.75" x14ac:dyDescent="0.25">
      <c r="A28" s="143">
        <v>42205</v>
      </c>
      <c r="B28" s="144" t="s">
        <v>558</v>
      </c>
      <c r="C28" s="156">
        <v>1269.5999999999999</v>
      </c>
      <c r="D28" s="104">
        <v>42216</v>
      </c>
      <c r="E28" s="156">
        <v>1269.5999999999999</v>
      </c>
      <c r="F28" s="155">
        <f t="shared" si="2"/>
        <v>0</v>
      </c>
      <c r="K28" s="264"/>
      <c r="L28" s="130"/>
      <c r="M28" s="130"/>
      <c r="N28" s="113" t="s">
        <v>202</v>
      </c>
      <c r="O28" s="207">
        <v>8273</v>
      </c>
      <c r="P28" s="221">
        <v>42184</v>
      </c>
      <c r="Q28" s="21">
        <v>42183</v>
      </c>
    </row>
    <row r="29" spans="1:17" ht="15.75" x14ac:dyDescent="0.25">
      <c r="A29" s="143">
        <v>42207</v>
      </c>
      <c r="B29" s="144" t="s">
        <v>561</v>
      </c>
      <c r="C29" s="156">
        <v>29779.47</v>
      </c>
      <c r="D29" s="104">
        <v>42216</v>
      </c>
      <c r="E29" s="156">
        <v>29779.47</v>
      </c>
      <c r="F29" s="155">
        <f t="shared" si="2"/>
        <v>0</v>
      </c>
      <c r="K29" s="193"/>
      <c r="L29" s="207"/>
      <c r="M29" s="207"/>
      <c r="N29" s="113" t="s">
        <v>202</v>
      </c>
      <c r="O29" s="207">
        <v>2229.5</v>
      </c>
      <c r="P29" s="221">
        <v>42184</v>
      </c>
      <c r="Q29" s="21">
        <v>42183</v>
      </c>
    </row>
    <row r="30" spans="1:17" ht="15.75" x14ac:dyDescent="0.25">
      <c r="A30" s="143">
        <v>42208</v>
      </c>
      <c r="B30" s="144" t="s">
        <v>562</v>
      </c>
      <c r="C30" s="156">
        <v>69324.88</v>
      </c>
      <c r="D30" s="104">
        <v>42216</v>
      </c>
      <c r="E30" s="156">
        <v>69324.88</v>
      </c>
      <c r="F30" s="155">
        <f t="shared" si="2"/>
        <v>0</v>
      </c>
      <c r="K30" s="193"/>
      <c r="L30" s="207"/>
      <c r="M30" s="207"/>
      <c r="N30" s="113" t="s">
        <v>202</v>
      </c>
      <c r="O30" s="214">
        <v>3272</v>
      </c>
      <c r="P30" s="221">
        <v>42184</v>
      </c>
      <c r="Q30" s="21">
        <v>42183</v>
      </c>
    </row>
    <row r="31" spans="1:17" ht="15.75" x14ac:dyDescent="0.25">
      <c r="A31" s="143">
        <v>42209</v>
      </c>
      <c r="B31" s="144" t="s">
        <v>563</v>
      </c>
      <c r="C31" s="156">
        <v>3333.4</v>
      </c>
      <c r="D31" s="104">
        <v>42216</v>
      </c>
      <c r="E31" s="103">
        <v>3333.4</v>
      </c>
      <c r="F31" s="155">
        <f t="shared" si="2"/>
        <v>0</v>
      </c>
      <c r="K31" s="193"/>
      <c r="L31" s="207"/>
      <c r="M31" s="207"/>
      <c r="N31" s="113" t="s">
        <v>202</v>
      </c>
      <c r="O31" s="207">
        <v>63067</v>
      </c>
      <c r="P31" s="221">
        <v>42184</v>
      </c>
      <c r="Q31" s="21">
        <v>42183</v>
      </c>
    </row>
    <row r="32" spans="1:17" ht="15.75" x14ac:dyDescent="0.25">
      <c r="A32" s="143">
        <v>42210</v>
      </c>
      <c r="B32" s="144" t="s">
        <v>564</v>
      </c>
      <c r="C32" s="156">
        <v>25436.7</v>
      </c>
      <c r="D32" s="104">
        <v>42216</v>
      </c>
      <c r="E32" s="88">
        <v>25436.7</v>
      </c>
      <c r="F32" s="155">
        <f t="shared" si="2"/>
        <v>0</v>
      </c>
      <c r="K32" s="193"/>
      <c r="L32" s="207"/>
      <c r="M32" s="207"/>
      <c r="N32" s="113" t="s">
        <v>202</v>
      </c>
      <c r="O32" s="207">
        <v>10456</v>
      </c>
      <c r="P32" s="221">
        <v>42184</v>
      </c>
    </row>
    <row r="33" spans="1:17" ht="15.75" x14ac:dyDescent="0.25">
      <c r="A33" s="143">
        <v>42210</v>
      </c>
      <c r="B33" s="144" t="s">
        <v>565</v>
      </c>
      <c r="C33" s="156">
        <v>25841.7</v>
      </c>
      <c r="D33" s="104">
        <v>42216</v>
      </c>
      <c r="E33" s="88">
        <v>25841.7</v>
      </c>
      <c r="F33" s="155">
        <f t="shared" si="2"/>
        <v>0</v>
      </c>
      <c r="K33" s="206"/>
      <c r="L33" s="207"/>
      <c r="M33" s="207"/>
      <c r="N33" s="113" t="s">
        <v>202</v>
      </c>
      <c r="O33" s="207">
        <v>22000</v>
      </c>
      <c r="P33" s="221">
        <v>42185</v>
      </c>
      <c r="Q33" s="21">
        <v>42184</v>
      </c>
    </row>
    <row r="34" spans="1:17" ht="15.75" x14ac:dyDescent="0.25">
      <c r="A34" s="143">
        <v>42210</v>
      </c>
      <c r="B34" s="144" t="s">
        <v>566</v>
      </c>
      <c r="C34" s="156">
        <v>49863.35</v>
      </c>
      <c r="D34" s="104">
        <v>42216</v>
      </c>
      <c r="E34" s="103">
        <v>49863.35</v>
      </c>
      <c r="F34" s="155">
        <f t="shared" si="2"/>
        <v>0</v>
      </c>
      <c r="K34" s="206"/>
      <c r="L34" s="207"/>
      <c r="M34" s="207"/>
      <c r="N34" s="113" t="s">
        <v>202</v>
      </c>
      <c r="O34" s="207">
        <v>21744</v>
      </c>
      <c r="P34" s="222">
        <v>42184</v>
      </c>
    </row>
    <row r="35" spans="1:17" ht="15.75" x14ac:dyDescent="0.25">
      <c r="A35" s="143">
        <v>42211</v>
      </c>
      <c r="B35" s="144" t="s">
        <v>567</v>
      </c>
      <c r="C35" s="156">
        <v>29047.599999999999</v>
      </c>
      <c r="D35" s="104">
        <v>42216</v>
      </c>
      <c r="E35" s="103">
        <v>29047.599999999999</v>
      </c>
      <c r="F35" s="155">
        <f t="shared" si="2"/>
        <v>0</v>
      </c>
      <c r="K35" s="193"/>
      <c r="L35" s="207"/>
      <c r="M35" s="207"/>
      <c r="N35" s="113" t="s">
        <v>202</v>
      </c>
      <c r="O35" s="207">
        <v>27628</v>
      </c>
      <c r="P35" s="221">
        <v>42185</v>
      </c>
    </row>
    <row r="36" spans="1:17" ht="15.75" x14ac:dyDescent="0.25">
      <c r="A36" s="143">
        <v>42212</v>
      </c>
      <c r="B36" s="292" t="s">
        <v>568</v>
      </c>
      <c r="C36" s="157">
        <v>33606.400000000001</v>
      </c>
      <c r="D36" s="104">
        <v>42216</v>
      </c>
      <c r="E36" s="398">
        <v>20439.57</v>
      </c>
      <c r="F36" s="397">
        <f t="shared" si="2"/>
        <v>13166.830000000002</v>
      </c>
      <c r="K36" s="119"/>
      <c r="L36" s="121"/>
      <c r="M36" s="121"/>
      <c r="N36" s="113" t="s">
        <v>202</v>
      </c>
      <c r="O36" s="121">
        <v>6405</v>
      </c>
      <c r="P36" s="222">
        <v>42185</v>
      </c>
    </row>
    <row r="37" spans="1:17" ht="15.75" x14ac:dyDescent="0.25">
      <c r="A37" s="143">
        <v>42213</v>
      </c>
      <c r="B37" s="292" t="s">
        <v>569</v>
      </c>
      <c r="C37" s="157">
        <v>60131.68</v>
      </c>
      <c r="D37" s="298"/>
      <c r="E37" s="88"/>
      <c r="F37" s="155">
        <f t="shared" si="2"/>
        <v>60131.68</v>
      </c>
      <c r="K37" s="237"/>
      <c r="L37" s="238"/>
      <c r="M37" s="238"/>
      <c r="N37" s="132" t="s">
        <v>202</v>
      </c>
      <c r="O37" s="238">
        <v>9001</v>
      </c>
      <c r="P37" s="378">
        <v>42185</v>
      </c>
    </row>
    <row r="38" spans="1:17" ht="15.75" thickBot="1" x14ac:dyDescent="0.3">
      <c r="A38" s="143">
        <v>42215</v>
      </c>
      <c r="B38" s="293" t="s">
        <v>570</v>
      </c>
      <c r="C38" s="207">
        <v>103676.19</v>
      </c>
      <c r="D38" s="300"/>
      <c r="E38" s="121"/>
      <c r="F38" s="207">
        <f t="shared" si="2"/>
        <v>103676.19</v>
      </c>
      <c r="K38" s="379"/>
      <c r="L38" s="380"/>
      <c r="M38" s="380"/>
      <c r="N38" s="380"/>
      <c r="O38" s="380">
        <v>0</v>
      </c>
      <c r="P38" s="381"/>
    </row>
    <row r="39" spans="1:17" ht="18.75" x14ac:dyDescent="0.3">
      <c r="A39" s="285">
        <v>42214</v>
      </c>
      <c r="B39" s="240" t="s">
        <v>581</v>
      </c>
      <c r="C39" s="121">
        <v>5216.3999999999996</v>
      </c>
      <c r="D39" s="300" t="s">
        <v>583</v>
      </c>
      <c r="E39" s="121"/>
      <c r="F39" s="207">
        <f t="shared" si="2"/>
        <v>5216.3999999999996</v>
      </c>
      <c r="L39" s="131">
        <f>SUM(L4:L37)</f>
        <v>577415.5</v>
      </c>
      <c r="M39" s="131"/>
      <c r="N39" s="131"/>
      <c r="O39" s="131">
        <f>SUM(O4:O38)</f>
        <v>577415.5</v>
      </c>
    </row>
    <row r="40" spans="1:17" x14ac:dyDescent="0.25">
      <c r="A40" s="285">
        <v>42214</v>
      </c>
      <c r="B40" s="404" t="s">
        <v>582</v>
      </c>
      <c r="C40" s="121">
        <v>28341.77</v>
      </c>
      <c r="D40" s="159"/>
      <c r="E40" s="150"/>
      <c r="F40" s="207"/>
    </row>
    <row r="41" spans="1:17" x14ac:dyDescent="0.25">
      <c r="A41" s="403"/>
      <c r="B41" s="291"/>
      <c r="C41" s="150"/>
      <c r="D41" s="159"/>
      <c r="E41" s="150"/>
      <c r="F41" s="207"/>
    </row>
    <row r="42" spans="1:17" x14ac:dyDescent="0.25">
      <c r="A42" s="285"/>
      <c r="B42" s="290"/>
      <c r="C42" s="150"/>
      <c r="D42" s="300"/>
      <c r="E42" s="121"/>
      <c r="F42" s="207"/>
    </row>
    <row r="43" spans="1:17" ht="15.75" x14ac:dyDescent="0.25">
      <c r="A43" s="285"/>
      <c r="B43" s="290"/>
      <c r="C43" s="150"/>
      <c r="D43" s="150"/>
      <c r="E43" s="121"/>
      <c r="F43" s="207"/>
      <c r="H43" s="28"/>
      <c r="J43" s="49"/>
      <c r="K43" s="104"/>
      <c r="L43" s="395">
        <v>42201</v>
      </c>
      <c r="M43" s="215"/>
      <c r="N43" s="134" t="s">
        <v>200</v>
      </c>
      <c r="O43" s="88"/>
      <c r="Q43" s="28"/>
    </row>
    <row r="44" spans="1:17" x14ac:dyDescent="0.25">
      <c r="A44" s="285"/>
      <c r="B44" s="290"/>
      <c r="C44" s="150"/>
      <c r="D44" s="150"/>
      <c r="E44" s="121"/>
      <c r="F44" s="207"/>
      <c r="H44" s="28"/>
      <c r="J44" s="49"/>
      <c r="K44" s="104"/>
      <c r="L44" s="103"/>
      <c r="M44" s="103"/>
      <c r="N44" s="103"/>
      <c r="O44" s="213"/>
      <c r="Q44" s="28"/>
    </row>
    <row r="45" spans="1:17" ht="15.75" x14ac:dyDescent="0.25">
      <c r="A45" s="403"/>
      <c r="B45" s="291"/>
      <c r="C45" s="150"/>
      <c r="D45" s="119"/>
      <c r="E45" s="150"/>
      <c r="F45" s="332"/>
      <c r="H45" s="28"/>
      <c r="J45" s="49">
        <v>4077</v>
      </c>
      <c r="K45" s="144" t="s">
        <v>530</v>
      </c>
      <c r="L45" s="156">
        <v>4077</v>
      </c>
      <c r="M45" s="348"/>
      <c r="N45" s="113" t="s">
        <v>461</v>
      </c>
      <c r="O45" s="214">
        <v>7944.5</v>
      </c>
      <c r="P45" s="221">
        <v>42186</v>
      </c>
      <c r="Q45" s="252"/>
    </row>
    <row r="46" spans="1:17" ht="15.75" x14ac:dyDescent="0.25">
      <c r="A46" s="403"/>
      <c r="B46" s="291"/>
      <c r="C46" s="150"/>
      <c r="D46" s="119"/>
      <c r="E46" s="150"/>
      <c r="F46" s="332"/>
      <c r="H46" s="28"/>
      <c r="J46" s="49">
        <f>7944.5+21235.5+41372+8328+25811</f>
        <v>104691</v>
      </c>
      <c r="K46" s="144" t="s">
        <v>506</v>
      </c>
      <c r="L46" s="156">
        <v>98897.76</v>
      </c>
      <c r="M46" s="207"/>
      <c r="N46" s="113" t="s">
        <v>461</v>
      </c>
      <c r="O46" s="207">
        <v>21235.5</v>
      </c>
      <c r="P46" s="221">
        <v>42186</v>
      </c>
      <c r="Q46" s="28"/>
    </row>
    <row r="47" spans="1:17" ht="15.75" x14ac:dyDescent="0.25">
      <c r="A47" s="403"/>
      <c r="B47" s="291"/>
      <c r="C47" s="150"/>
      <c r="D47" s="119"/>
      <c r="E47" s="150"/>
      <c r="F47" s="332"/>
      <c r="H47" s="28"/>
      <c r="J47" s="49">
        <f>31037.5+9401.5+3508</f>
        <v>43947</v>
      </c>
      <c r="K47" s="144" t="s">
        <v>508</v>
      </c>
      <c r="L47" s="156">
        <v>43946.82</v>
      </c>
      <c r="M47" s="207"/>
      <c r="N47" s="113" t="s">
        <v>461</v>
      </c>
      <c r="O47" s="207">
        <v>41372</v>
      </c>
      <c r="P47" s="221">
        <v>42187</v>
      </c>
      <c r="Q47" s="28"/>
    </row>
    <row r="48" spans="1:17" ht="15.75" x14ac:dyDescent="0.25">
      <c r="A48" s="403"/>
      <c r="B48" s="291"/>
      <c r="C48" s="150"/>
      <c r="D48" s="119"/>
      <c r="E48" s="150"/>
      <c r="F48" s="332"/>
      <c r="H48" s="28"/>
      <c r="J48" s="49">
        <f>55508.5+6638</f>
        <v>62146.5</v>
      </c>
      <c r="K48" s="144" t="s">
        <v>509</v>
      </c>
      <c r="L48" s="156">
        <v>62146.51</v>
      </c>
      <c r="M48" s="130"/>
      <c r="N48" s="113" t="s">
        <v>461</v>
      </c>
      <c r="O48" s="207">
        <v>8328</v>
      </c>
      <c r="P48" s="221">
        <v>42187</v>
      </c>
      <c r="Q48" s="28"/>
    </row>
    <row r="49" spans="1:17" ht="15.75" x14ac:dyDescent="0.25">
      <c r="A49" s="403"/>
      <c r="B49" s="289"/>
      <c r="C49" s="150"/>
      <c r="D49" s="119"/>
      <c r="E49" s="150"/>
      <c r="F49" s="332"/>
      <c r="H49" s="28"/>
      <c r="J49" s="49">
        <f>11595.5+9725.5</f>
        <v>21321</v>
      </c>
      <c r="K49" s="244" t="s">
        <v>510</v>
      </c>
      <c r="L49" s="245">
        <v>27111.7</v>
      </c>
      <c r="M49" s="130"/>
      <c r="N49" s="113" t="s">
        <v>461</v>
      </c>
      <c r="O49" s="214">
        <v>31037.5</v>
      </c>
      <c r="P49" s="221">
        <v>42188</v>
      </c>
      <c r="Q49" s="28"/>
    </row>
    <row r="50" spans="1:17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28"/>
      <c r="J50" s="49">
        <f>24793.5+13037</f>
        <v>37830.5</v>
      </c>
      <c r="K50" s="144" t="s">
        <v>511</v>
      </c>
      <c r="L50" s="156">
        <v>37830.6</v>
      </c>
      <c r="M50" s="207"/>
      <c r="N50" s="113" t="s">
        <v>461</v>
      </c>
      <c r="O50" s="207">
        <v>25811</v>
      </c>
      <c r="P50" s="221">
        <v>42188</v>
      </c>
      <c r="Q50" s="28"/>
    </row>
    <row r="51" spans="1:17" ht="16.5" thickTop="1" x14ac:dyDescent="0.25">
      <c r="C51" s="58">
        <f>SUM(C5:C50)</f>
        <v>1486536.3899999994</v>
      </c>
      <c r="D51" s="58"/>
      <c r="E51" s="58">
        <f>SUM(E5:E50)</f>
        <v>1276003.5199999998</v>
      </c>
      <c r="F51" s="242">
        <f>SUM(F5:F50)</f>
        <v>182191.1</v>
      </c>
      <c r="H51" s="28"/>
      <c r="J51" s="49">
        <f>24016.5+7271</f>
        <v>31287.5</v>
      </c>
      <c r="K51" s="144" t="s">
        <v>512</v>
      </c>
      <c r="L51" s="156">
        <v>31287.58</v>
      </c>
      <c r="M51" s="334"/>
      <c r="N51" s="113" t="s">
        <v>461</v>
      </c>
      <c r="O51" s="207">
        <v>9401.5</v>
      </c>
      <c r="P51" s="221">
        <v>42188</v>
      </c>
      <c r="Q51" s="28"/>
    </row>
    <row r="52" spans="1:17" ht="15.75" x14ac:dyDescent="0.25">
      <c r="A52" s="377"/>
      <c r="B52"/>
      <c r="D52"/>
      <c r="E52" s="43"/>
      <c r="H52" s="28"/>
      <c r="J52" s="49">
        <f>16500+12212.5+15300+8466.5+2264.5</f>
        <v>54743.5</v>
      </c>
      <c r="K52" s="144" t="s">
        <v>513</v>
      </c>
      <c r="L52" s="156">
        <v>54743.6</v>
      </c>
      <c r="M52" s="321"/>
      <c r="N52" s="113" t="s">
        <v>461</v>
      </c>
      <c r="O52" s="207">
        <v>55508.5</v>
      </c>
      <c r="P52" s="221">
        <v>42189</v>
      </c>
      <c r="Q52" s="28"/>
    </row>
    <row r="53" spans="1:17" ht="15.75" x14ac:dyDescent="0.25">
      <c r="A53" s="377"/>
      <c r="B53"/>
      <c r="D53"/>
      <c r="E53" s="43"/>
      <c r="H53" s="28"/>
      <c r="J53" s="49">
        <f>11000+12961.5+30667.5+6432.5+6297.5</f>
        <v>67359</v>
      </c>
      <c r="K53" s="144" t="s">
        <v>514</v>
      </c>
      <c r="L53" s="156">
        <v>67359.12</v>
      </c>
      <c r="M53" s="207"/>
      <c r="N53" s="113" t="s">
        <v>461</v>
      </c>
      <c r="O53" s="207">
        <v>11595.5</v>
      </c>
      <c r="P53" s="221">
        <v>42189</v>
      </c>
      <c r="Q53" s="28"/>
    </row>
    <row r="54" spans="1:17" ht="15.75" x14ac:dyDescent="0.25">
      <c r="A54" s="377"/>
      <c r="B54"/>
      <c r="D54"/>
      <c r="E54" s="43"/>
      <c r="H54" s="28"/>
      <c r="J54" s="49">
        <f>12400+8800+25917+15552.5+6985.5</f>
        <v>69655</v>
      </c>
      <c r="K54" s="144" t="s">
        <v>515</v>
      </c>
      <c r="L54" s="156">
        <v>69655.06</v>
      </c>
      <c r="M54" s="207"/>
      <c r="N54" s="113" t="s">
        <v>461</v>
      </c>
      <c r="O54" s="207">
        <v>3508</v>
      </c>
      <c r="P54" s="221">
        <v>42189</v>
      </c>
      <c r="Q54" s="28"/>
    </row>
    <row r="55" spans="1:17" ht="15.75" x14ac:dyDescent="0.25">
      <c r="A55" s="377"/>
      <c r="B55"/>
      <c r="D55"/>
      <c r="E55" s="43"/>
      <c r="H55" s="28"/>
      <c r="J55" s="49">
        <f>8300+52000+8690.5+7233.5</f>
        <v>76224</v>
      </c>
      <c r="K55" s="144" t="s">
        <v>516</v>
      </c>
      <c r="L55" s="156">
        <v>76226.3</v>
      </c>
      <c r="M55" s="207"/>
      <c r="N55" s="113" t="s">
        <v>461</v>
      </c>
      <c r="O55" s="207">
        <v>6638</v>
      </c>
      <c r="P55" s="221">
        <v>42189</v>
      </c>
      <c r="Q55" s="28"/>
    </row>
    <row r="56" spans="1:17" ht="15.75" x14ac:dyDescent="0.25">
      <c r="A56" s="377"/>
      <c r="B56"/>
      <c r="D56"/>
      <c r="E56" s="43"/>
      <c r="H56" s="28"/>
      <c r="J56" s="49">
        <f>21200+10181.5</f>
        <v>31381.5</v>
      </c>
      <c r="K56" s="144" t="s">
        <v>517</v>
      </c>
      <c r="L56" s="156">
        <v>31381.200000000001</v>
      </c>
      <c r="M56" s="207"/>
      <c r="N56" s="113" t="s">
        <v>461</v>
      </c>
      <c r="O56" s="207">
        <v>24793.5</v>
      </c>
      <c r="P56" s="221">
        <v>42191</v>
      </c>
      <c r="Q56" s="252">
        <v>42190</v>
      </c>
    </row>
    <row r="57" spans="1:17" ht="15.75" x14ac:dyDescent="0.25">
      <c r="A57" s="377"/>
      <c r="B57"/>
      <c r="D57"/>
      <c r="E57" s="43"/>
      <c r="H57" s="28"/>
      <c r="J57" s="49">
        <f>16181.5+33000</f>
        <v>49181.5</v>
      </c>
      <c r="K57" s="144" t="s">
        <v>538</v>
      </c>
      <c r="L57" s="156">
        <v>49181.75</v>
      </c>
      <c r="M57" s="207" t="s">
        <v>361</v>
      </c>
      <c r="N57" s="113" t="s">
        <v>461</v>
      </c>
      <c r="O57" s="207">
        <v>9725.5</v>
      </c>
      <c r="P57" s="221">
        <v>42191</v>
      </c>
      <c r="Q57" s="252">
        <v>42190</v>
      </c>
    </row>
    <row r="58" spans="1:17" ht="15.75" x14ac:dyDescent="0.25">
      <c r="A58" s="377"/>
      <c r="B58"/>
      <c r="D58"/>
      <c r="E58" s="43"/>
      <c r="H58" s="28"/>
      <c r="J58" s="49">
        <v>0</v>
      </c>
      <c r="K58" s="144"/>
      <c r="L58" s="156"/>
      <c r="M58" s="334"/>
      <c r="N58" s="113" t="s">
        <v>461</v>
      </c>
      <c r="O58" s="207">
        <v>13037</v>
      </c>
      <c r="P58" s="221">
        <v>42191</v>
      </c>
      <c r="Q58" s="252">
        <v>42190</v>
      </c>
    </row>
    <row r="59" spans="1:17" ht="15.75" x14ac:dyDescent="0.25">
      <c r="A59" s="377"/>
      <c r="B59"/>
      <c r="D59"/>
      <c r="E59" s="43"/>
      <c r="H59" s="28"/>
      <c r="J59" s="49">
        <v>0</v>
      </c>
      <c r="K59" s="144"/>
      <c r="L59" s="156"/>
      <c r="M59" s="207"/>
      <c r="N59" s="113" t="s">
        <v>461</v>
      </c>
      <c r="O59" s="207">
        <v>16500</v>
      </c>
      <c r="P59" s="221">
        <v>42192</v>
      </c>
      <c r="Q59" s="252">
        <v>42191</v>
      </c>
    </row>
    <row r="60" spans="1:17" ht="15.75" x14ac:dyDescent="0.25">
      <c r="A60" s="377"/>
      <c r="B60"/>
      <c r="D60"/>
      <c r="E60" s="43"/>
      <c r="H60" s="28"/>
      <c r="J60" s="49">
        <f>SUM(J45:J59)</f>
        <v>653845</v>
      </c>
      <c r="K60" s="297"/>
      <c r="L60" s="230"/>
      <c r="M60" s="207"/>
      <c r="N60" s="113" t="s">
        <v>461</v>
      </c>
      <c r="O60" s="207">
        <v>12212.5</v>
      </c>
      <c r="P60" s="221">
        <v>42191</v>
      </c>
      <c r="Q60" s="252"/>
    </row>
    <row r="61" spans="1:17" ht="15.75" x14ac:dyDescent="0.25">
      <c r="A61" s="377"/>
      <c r="B61"/>
      <c r="D61"/>
      <c r="E61" s="43"/>
      <c r="H61" s="28"/>
      <c r="J61" s="49"/>
      <c r="K61" s="144"/>
      <c r="L61" s="156"/>
      <c r="M61" s="207"/>
      <c r="N61" s="113" t="s">
        <v>461</v>
      </c>
      <c r="O61" s="207">
        <v>24016.5</v>
      </c>
      <c r="P61" s="221">
        <v>42191</v>
      </c>
      <c r="Q61" s="28"/>
    </row>
    <row r="62" spans="1:17" ht="15.75" x14ac:dyDescent="0.25">
      <c r="A62" s="377"/>
      <c r="B62"/>
      <c r="D62"/>
      <c r="E62" s="43"/>
      <c r="H62" s="28"/>
      <c r="J62" s="49"/>
      <c r="K62" s="144"/>
      <c r="L62" s="156"/>
      <c r="M62" s="207"/>
      <c r="N62" s="113" t="s">
        <v>461</v>
      </c>
      <c r="O62" s="207">
        <v>7271</v>
      </c>
      <c r="P62" s="221">
        <v>42191</v>
      </c>
      <c r="Q62" s="252"/>
    </row>
    <row r="63" spans="1:17" ht="15.75" x14ac:dyDescent="0.25">
      <c r="A63" s="377"/>
      <c r="B63"/>
      <c r="D63"/>
      <c r="E63" s="43"/>
      <c r="H63" s="28"/>
      <c r="J63" s="49"/>
      <c r="K63" s="144"/>
      <c r="L63" s="156"/>
      <c r="M63" s="207"/>
      <c r="N63" s="113" t="s">
        <v>461</v>
      </c>
      <c r="O63" s="207">
        <v>15300</v>
      </c>
      <c r="P63" s="221">
        <v>42193</v>
      </c>
      <c r="Q63" s="252">
        <v>42192</v>
      </c>
    </row>
    <row r="64" spans="1:17" ht="15.75" x14ac:dyDescent="0.25">
      <c r="A64" s="377"/>
      <c r="B64"/>
      <c r="D64"/>
      <c r="E64" s="43"/>
      <c r="H64" s="28"/>
      <c r="J64" s="49"/>
      <c r="K64" s="144"/>
      <c r="L64" s="156"/>
      <c r="M64" s="260"/>
      <c r="N64" s="113" t="s">
        <v>461</v>
      </c>
      <c r="O64" s="207">
        <v>8466.5</v>
      </c>
      <c r="P64" s="221">
        <v>42192</v>
      </c>
      <c r="Q64" s="28"/>
    </row>
    <row r="65" spans="1:17" ht="15.75" x14ac:dyDescent="0.25">
      <c r="H65" s="28"/>
      <c r="J65" s="49"/>
      <c r="K65" s="144"/>
      <c r="L65" s="156"/>
      <c r="M65" s="130"/>
      <c r="N65" s="113" t="s">
        <v>461</v>
      </c>
      <c r="O65" s="207">
        <v>2264.5</v>
      </c>
      <c r="P65" s="221">
        <v>42193</v>
      </c>
      <c r="Q65" s="252"/>
    </row>
    <row r="66" spans="1:17" ht="15.75" x14ac:dyDescent="0.25">
      <c r="J66" s="49"/>
      <c r="K66" s="144"/>
      <c r="L66" s="156"/>
      <c r="M66" s="207"/>
      <c r="N66" s="113" t="s">
        <v>461</v>
      </c>
      <c r="O66" s="214">
        <v>4077</v>
      </c>
      <c r="P66" s="221">
        <v>42193</v>
      </c>
      <c r="Q66" s="28"/>
    </row>
    <row r="67" spans="1:17" ht="15.75" x14ac:dyDescent="0.25">
      <c r="J67" s="49"/>
      <c r="K67" s="144"/>
      <c r="L67" s="156"/>
      <c r="M67" s="207"/>
      <c r="N67" s="113" t="s">
        <v>461</v>
      </c>
      <c r="O67" s="207">
        <v>11000</v>
      </c>
      <c r="P67" s="221">
        <v>42194</v>
      </c>
      <c r="Q67" s="252">
        <v>42193</v>
      </c>
    </row>
    <row r="68" spans="1:17" ht="15.75" x14ac:dyDescent="0.25">
      <c r="A68" s="377"/>
      <c r="B68"/>
      <c r="C68"/>
      <c r="D68"/>
      <c r="E68"/>
      <c r="F68" s="23"/>
      <c r="J68" s="49"/>
      <c r="K68" s="264"/>
      <c r="L68" s="207"/>
      <c r="M68" s="207"/>
      <c r="N68" s="113" t="s">
        <v>461</v>
      </c>
      <c r="O68" s="207">
        <v>12961.5</v>
      </c>
      <c r="P68" s="221">
        <v>42193</v>
      </c>
      <c r="Q68" s="28"/>
    </row>
    <row r="69" spans="1:17" ht="15.75" x14ac:dyDescent="0.25">
      <c r="A69" s="377"/>
      <c r="B69"/>
      <c r="C69"/>
      <c r="D69"/>
      <c r="E69"/>
      <c r="F69" s="23"/>
      <c r="J69" s="49"/>
      <c r="K69" s="264"/>
      <c r="L69" s="130"/>
      <c r="M69" s="130"/>
      <c r="N69" s="113" t="s">
        <v>461</v>
      </c>
      <c r="O69" s="207">
        <v>30667.5</v>
      </c>
      <c r="P69" s="221">
        <v>42194</v>
      </c>
      <c r="Q69" s="28"/>
    </row>
    <row r="70" spans="1:17" ht="15.75" x14ac:dyDescent="0.25">
      <c r="J70" s="49"/>
      <c r="K70" s="193"/>
      <c r="L70" s="207"/>
      <c r="M70" s="207"/>
      <c r="N70" s="113" t="s">
        <v>461</v>
      </c>
      <c r="O70" s="207">
        <v>12400</v>
      </c>
      <c r="P70" s="221">
        <v>42195</v>
      </c>
      <c r="Q70" s="252">
        <v>42194</v>
      </c>
    </row>
    <row r="71" spans="1:17" ht="15.75" x14ac:dyDescent="0.25">
      <c r="J71" s="49"/>
      <c r="K71" s="193"/>
      <c r="L71" s="207"/>
      <c r="M71" s="207"/>
      <c r="N71" s="113" t="s">
        <v>461</v>
      </c>
      <c r="O71" s="214">
        <v>8800</v>
      </c>
      <c r="P71" s="221">
        <v>42194</v>
      </c>
      <c r="Q71" s="28"/>
    </row>
    <row r="72" spans="1:17" ht="15.75" x14ac:dyDescent="0.25">
      <c r="J72" s="49"/>
      <c r="K72" s="193"/>
      <c r="L72" s="207"/>
      <c r="M72" s="207"/>
      <c r="N72" s="113" t="s">
        <v>461</v>
      </c>
      <c r="O72" s="207">
        <v>6432.5</v>
      </c>
      <c r="P72" s="221">
        <v>42194</v>
      </c>
      <c r="Q72" s="28"/>
    </row>
    <row r="73" spans="1:17" ht="15.75" x14ac:dyDescent="0.25">
      <c r="A73"/>
      <c r="B73"/>
      <c r="C73"/>
      <c r="D73"/>
      <c r="E73"/>
      <c r="F73"/>
      <c r="G73"/>
      <c r="J73" s="49"/>
      <c r="K73" s="193"/>
      <c r="L73" s="207"/>
      <c r="M73" s="207"/>
      <c r="N73" s="113" t="s">
        <v>461</v>
      </c>
      <c r="O73" s="207">
        <v>8300</v>
      </c>
      <c r="P73" s="221">
        <v>42196</v>
      </c>
      <c r="Q73" s="252">
        <v>42195</v>
      </c>
    </row>
    <row r="74" spans="1:17" ht="15.75" x14ac:dyDescent="0.25">
      <c r="A74"/>
      <c r="B74"/>
      <c r="C74"/>
      <c r="D74"/>
      <c r="E74"/>
      <c r="F74"/>
      <c r="G74"/>
      <c r="J74" s="49"/>
      <c r="K74" s="206"/>
      <c r="L74" s="207"/>
      <c r="M74" s="207"/>
      <c r="N74" s="113" t="s">
        <v>461</v>
      </c>
      <c r="O74" s="207">
        <v>25917</v>
      </c>
      <c r="P74" s="221">
        <v>42195</v>
      </c>
      <c r="Q74" s="28"/>
    </row>
    <row r="75" spans="1:17" ht="15.75" x14ac:dyDescent="0.25">
      <c r="A75"/>
      <c r="B75"/>
      <c r="C75"/>
      <c r="D75"/>
      <c r="E75"/>
      <c r="F75"/>
      <c r="G75"/>
      <c r="J75" s="49"/>
      <c r="K75" s="206"/>
      <c r="L75" s="207"/>
      <c r="M75" s="207"/>
      <c r="N75" s="113" t="s">
        <v>461</v>
      </c>
      <c r="O75" s="207">
        <v>15552.5</v>
      </c>
      <c r="P75" s="222">
        <v>42196</v>
      </c>
      <c r="Q75" s="252">
        <v>42195</v>
      </c>
    </row>
    <row r="76" spans="1:17" ht="15.75" x14ac:dyDescent="0.25">
      <c r="A76"/>
      <c r="B76"/>
      <c r="C76"/>
      <c r="D76"/>
      <c r="E76"/>
      <c r="F76"/>
      <c r="G76"/>
      <c r="J76" s="49"/>
      <c r="K76" s="193"/>
      <c r="L76" s="207"/>
      <c r="M76" s="207"/>
      <c r="N76" s="113" t="s">
        <v>461</v>
      </c>
      <c r="O76" s="207">
        <v>6297.5</v>
      </c>
      <c r="P76" s="221">
        <v>42195</v>
      </c>
      <c r="Q76" s="28"/>
    </row>
    <row r="77" spans="1:17" ht="15.75" x14ac:dyDescent="0.25">
      <c r="A77"/>
      <c r="B77"/>
      <c r="C77"/>
      <c r="D77"/>
      <c r="E77"/>
      <c r="F77"/>
      <c r="G77"/>
      <c r="J77" s="49"/>
      <c r="K77" s="119"/>
      <c r="L77" s="121"/>
      <c r="M77" s="121"/>
      <c r="N77" s="113" t="s">
        <v>461</v>
      </c>
      <c r="O77" s="121">
        <v>6985.5</v>
      </c>
      <c r="P77" s="222">
        <v>42195</v>
      </c>
      <c r="Q77" s="28"/>
    </row>
    <row r="78" spans="1:17" ht="15.75" x14ac:dyDescent="0.25">
      <c r="A78"/>
      <c r="B78"/>
      <c r="C78"/>
      <c r="D78"/>
      <c r="E78"/>
      <c r="F78"/>
      <c r="G78"/>
      <c r="J78" s="49"/>
      <c r="K78" s="119"/>
      <c r="L78" s="121"/>
      <c r="M78" s="121"/>
      <c r="N78" s="113" t="s">
        <v>461</v>
      </c>
      <c r="O78" s="121">
        <v>21200</v>
      </c>
      <c r="P78" s="222">
        <v>42198</v>
      </c>
      <c r="Q78" s="252">
        <v>42196</v>
      </c>
    </row>
    <row r="79" spans="1:17" ht="15.75" x14ac:dyDescent="0.25">
      <c r="A79"/>
      <c r="B79"/>
      <c r="C79"/>
      <c r="D79"/>
      <c r="E79"/>
      <c r="F79"/>
      <c r="G79"/>
      <c r="J79" s="49"/>
      <c r="K79" s="119"/>
      <c r="L79" s="119"/>
      <c r="M79" s="119"/>
      <c r="N79" s="113" t="s">
        <v>461</v>
      </c>
      <c r="O79" s="121">
        <v>52000</v>
      </c>
      <c r="P79" s="222">
        <v>42196</v>
      </c>
      <c r="Q79" s="28"/>
    </row>
    <row r="80" spans="1:17" ht="15.75" x14ac:dyDescent="0.25">
      <c r="A80"/>
      <c r="B80"/>
      <c r="C80"/>
      <c r="D80"/>
      <c r="E80"/>
      <c r="F80"/>
      <c r="G80"/>
      <c r="J80" s="49"/>
      <c r="K80" s="119"/>
      <c r="L80" s="119"/>
      <c r="M80" s="119"/>
      <c r="N80" s="113" t="s">
        <v>461</v>
      </c>
      <c r="O80" s="121">
        <v>8690.5</v>
      </c>
      <c r="P80" s="222">
        <v>42196</v>
      </c>
      <c r="Q80" s="28"/>
    </row>
    <row r="81" spans="1:17" ht="15.75" x14ac:dyDescent="0.25">
      <c r="A81"/>
      <c r="B81"/>
      <c r="C81"/>
      <c r="D81"/>
      <c r="E81"/>
      <c r="F81"/>
      <c r="G81"/>
      <c r="J81" s="49"/>
      <c r="K81" s="119"/>
      <c r="L81" s="119"/>
      <c r="M81" s="119"/>
      <c r="N81" s="113" t="s">
        <v>461</v>
      </c>
      <c r="O81" s="121">
        <v>7233.5</v>
      </c>
      <c r="P81" s="222">
        <v>42196</v>
      </c>
      <c r="Q81" s="28"/>
    </row>
    <row r="82" spans="1:17" ht="15.75" x14ac:dyDescent="0.25">
      <c r="A82"/>
      <c r="B82"/>
      <c r="C82"/>
      <c r="D82"/>
      <c r="E82"/>
      <c r="F82"/>
      <c r="G82"/>
      <c r="J82" s="49"/>
      <c r="K82" s="206"/>
      <c r="L82" s="207"/>
      <c r="M82" s="207"/>
      <c r="N82" s="113" t="s">
        <v>461</v>
      </c>
      <c r="O82" s="207">
        <v>16181.5</v>
      </c>
      <c r="P82" s="221">
        <v>42198</v>
      </c>
      <c r="Q82" s="252">
        <v>42197</v>
      </c>
    </row>
    <row r="83" spans="1:17" ht="15.75" x14ac:dyDescent="0.25">
      <c r="A83"/>
      <c r="B83"/>
      <c r="C83"/>
      <c r="D83"/>
      <c r="E83"/>
      <c r="F83"/>
      <c r="G83"/>
      <c r="J83" s="49"/>
      <c r="K83" s="206"/>
      <c r="L83" s="207"/>
      <c r="M83" s="207"/>
      <c r="N83" s="113" t="s">
        <v>461</v>
      </c>
      <c r="O83" s="207">
        <v>33000</v>
      </c>
      <c r="P83" s="221">
        <v>42198</v>
      </c>
      <c r="Q83" s="252">
        <v>42197</v>
      </c>
    </row>
    <row r="84" spans="1:17" ht="15.75" x14ac:dyDescent="0.25">
      <c r="A84"/>
      <c r="B84"/>
      <c r="C84"/>
      <c r="D84"/>
      <c r="E84"/>
      <c r="F84"/>
      <c r="G84"/>
      <c r="J84" s="49"/>
      <c r="K84" s="206"/>
      <c r="L84" s="207"/>
      <c r="M84" s="207"/>
      <c r="N84" s="113" t="s">
        <v>461</v>
      </c>
      <c r="O84" s="207">
        <v>10181.5</v>
      </c>
      <c r="P84" s="221">
        <v>42198</v>
      </c>
      <c r="Q84" s="252">
        <v>42197</v>
      </c>
    </row>
    <row r="85" spans="1:17" ht="15.75" x14ac:dyDescent="0.25">
      <c r="A85"/>
      <c r="B85"/>
      <c r="C85"/>
      <c r="D85"/>
      <c r="E85"/>
      <c r="F85"/>
      <c r="G85"/>
      <c r="J85" s="49"/>
      <c r="K85" s="206"/>
      <c r="L85" s="207"/>
      <c r="M85" s="207"/>
      <c r="N85" s="113" t="s">
        <v>461</v>
      </c>
      <c r="O85" s="207">
        <v>0</v>
      </c>
      <c r="P85" s="221">
        <v>42198</v>
      </c>
      <c r="Q85" s="252">
        <v>42197</v>
      </c>
    </row>
    <row r="86" spans="1:17" ht="16.5" thickBot="1" x14ac:dyDescent="0.3">
      <c r="J86" s="49"/>
      <c r="K86" s="379"/>
      <c r="L86" s="380"/>
      <c r="M86" s="380"/>
      <c r="N86" s="235" t="s">
        <v>461</v>
      </c>
      <c r="O86" s="380">
        <v>0</v>
      </c>
      <c r="P86" s="381"/>
      <c r="Q86" s="28"/>
    </row>
    <row r="87" spans="1:17" ht="18.75" x14ac:dyDescent="0.3">
      <c r="J87" s="49"/>
      <c r="L87" s="131">
        <f>SUM(L45:L78)</f>
        <v>653845</v>
      </c>
      <c r="M87" s="131"/>
      <c r="N87" s="131"/>
      <c r="O87" s="131">
        <f>SUM(O45:O86)</f>
        <v>653845</v>
      </c>
      <c r="Q87" s="28"/>
    </row>
    <row r="90" spans="1:17" ht="15.75" x14ac:dyDescent="0.25">
      <c r="K90" s="104"/>
      <c r="L90" s="333">
        <v>42207</v>
      </c>
      <c r="M90" s="215"/>
      <c r="N90" s="134" t="s">
        <v>200</v>
      </c>
      <c r="O90" s="88"/>
    </row>
    <row r="91" spans="1:17" x14ac:dyDescent="0.25">
      <c r="K91" s="104"/>
      <c r="L91" s="103"/>
      <c r="M91" s="103"/>
      <c r="N91" s="103"/>
      <c r="O91" s="213"/>
    </row>
    <row r="92" spans="1:17" ht="15.75" x14ac:dyDescent="0.25">
      <c r="J92" s="43">
        <f>2125+24927</f>
        <v>27052</v>
      </c>
      <c r="K92" s="144" t="s">
        <v>538</v>
      </c>
      <c r="L92" s="156">
        <v>27051.97</v>
      </c>
      <c r="M92" s="348"/>
      <c r="N92" s="113" t="s">
        <v>461</v>
      </c>
      <c r="O92" s="214">
        <v>5688.5</v>
      </c>
      <c r="P92" s="221">
        <v>42198</v>
      </c>
      <c r="Q92" s="21">
        <v>42197</v>
      </c>
    </row>
    <row r="93" spans="1:17" ht="15.75" x14ac:dyDescent="0.25">
      <c r="J93" s="43">
        <f>5688.5+2351.5</f>
        <v>8040</v>
      </c>
      <c r="K93" s="144" t="s">
        <v>539</v>
      </c>
      <c r="L93" s="156">
        <v>8037</v>
      </c>
      <c r="M93" s="207"/>
      <c r="N93" s="113" t="s">
        <v>461</v>
      </c>
      <c r="O93" s="207">
        <v>2125</v>
      </c>
      <c r="P93" s="221">
        <v>42199</v>
      </c>
      <c r="Q93" s="21">
        <v>42198</v>
      </c>
    </row>
    <row r="94" spans="1:17" ht="15.75" x14ac:dyDescent="0.25">
      <c r="J94" s="43">
        <f>7491.5+5948.5</f>
        <v>13440</v>
      </c>
      <c r="K94" s="144" t="s">
        <v>540</v>
      </c>
      <c r="L94" s="156">
        <v>13439.7</v>
      </c>
      <c r="M94" s="207"/>
      <c r="N94" s="113" t="s">
        <v>461</v>
      </c>
      <c r="O94" s="207">
        <v>24927</v>
      </c>
      <c r="P94" s="221">
        <v>42198</v>
      </c>
    </row>
    <row r="95" spans="1:17" ht="15.75" x14ac:dyDescent="0.25">
      <c r="J95" s="43">
        <f>11326.5+8351+8625</f>
        <v>28302.5</v>
      </c>
      <c r="K95" s="144" t="s">
        <v>541</v>
      </c>
      <c r="L95" s="156">
        <v>28302.37</v>
      </c>
      <c r="M95" s="130"/>
      <c r="N95" s="113" t="s">
        <v>461</v>
      </c>
      <c r="O95" s="207">
        <v>7491.5</v>
      </c>
      <c r="P95" s="221">
        <v>42199</v>
      </c>
    </row>
    <row r="96" spans="1:17" ht="15.75" x14ac:dyDescent="0.25">
      <c r="J96" s="43">
        <f>16382.5+7302</f>
        <v>23684.5</v>
      </c>
      <c r="K96" s="144" t="s">
        <v>544</v>
      </c>
      <c r="L96" s="156">
        <v>23684.400000000001</v>
      </c>
      <c r="M96" s="130"/>
      <c r="N96" s="113" t="s">
        <v>461</v>
      </c>
      <c r="O96" s="214">
        <v>9000</v>
      </c>
      <c r="P96" s="221">
        <v>42199</v>
      </c>
    </row>
    <row r="97" spans="10:17" ht="15.75" x14ac:dyDescent="0.25">
      <c r="J97" s="43">
        <f>11900+16815.5+11946.5</f>
        <v>40662</v>
      </c>
      <c r="K97" s="396" t="s">
        <v>542</v>
      </c>
      <c r="L97" s="157">
        <v>46455.13</v>
      </c>
      <c r="M97" s="207"/>
      <c r="N97" s="113" t="s">
        <v>461</v>
      </c>
      <c r="O97" s="207">
        <v>18935</v>
      </c>
      <c r="P97" s="221">
        <v>42199</v>
      </c>
    </row>
    <row r="98" spans="10:17" ht="15.75" x14ac:dyDescent="0.25">
      <c r="J98" s="43">
        <f>9000+18935+6788.5+23309</f>
        <v>58032.5</v>
      </c>
      <c r="K98" s="144" t="s">
        <v>545</v>
      </c>
      <c r="L98" s="130">
        <v>58032.81</v>
      </c>
      <c r="M98" s="334"/>
      <c r="N98" s="113" t="s">
        <v>461</v>
      </c>
      <c r="O98" s="207">
        <v>2351.5</v>
      </c>
      <c r="P98" s="221">
        <v>42199</v>
      </c>
    </row>
    <row r="99" spans="10:17" ht="15.75" x14ac:dyDescent="0.25">
      <c r="J99" s="43">
        <f>12000+15243+4701.5+16380.5</f>
        <v>48325</v>
      </c>
      <c r="K99" s="144" t="s">
        <v>554</v>
      </c>
      <c r="L99" s="156">
        <v>48325.05</v>
      </c>
      <c r="M99" s="321"/>
      <c r="N99" s="113" t="s">
        <v>461</v>
      </c>
      <c r="O99" s="207">
        <v>6788.5</v>
      </c>
      <c r="P99" s="221">
        <v>42199</v>
      </c>
    </row>
    <row r="100" spans="10:17" ht="15.75" x14ac:dyDescent="0.25">
      <c r="J100" s="43">
        <f>8837+4689.5</f>
        <v>13526.5</v>
      </c>
      <c r="K100" s="144" t="s">
        <v>555</v>
      </c>
      <c r="L100" s="156">
        <v>13529.7</v>
      </c>
      <c r="M100" s="207"/>
      <c r="N100" s="113" t="s">
        <v>461</v>
      </c>
      <c r="O100" s="207">
        <v>5948.5</v>
      </c>
      <c r="P100" s="221">
        <v>42200</v>
      </c>
    </row>
    <row r="101" spans="10:17" ht="15.75" x14ac:dyDescent="0.25">
      <c r="J101" s="43">
        <f>22000+19593+1206+5110.5</f>
        <v>47909.5</v>
      </c>
      <c r="K101" s="144" t="s">
        <v>556</v>
      </c>
      <c r="L101" s="156">
        <v>47909.4</v>
      </c>
      <c r="M101" s="207"/>
      <c r="N101" s="113" t="s">
        <v>461</v>
      </c>
      <c r="O101" s="207">
        <v>11326.5</v>
      </c>
      <c r="P101" s="221">
        <v>42200</v>
      </c>
    </row>
    <row r="102" spans="10:17" ht="15.75" x14ac:dyDescent="0.25">
      <c r="J102" s="43">
        <f>15000+25483.5</f>
        <v>40483.5</v>
      </c>
      <c r="K102" s="144" t="s">
        <v>557</v>
      </c>
      <c r="L102" s="156">
        <v>34690.47</v>
      </c>
      <c r="M102" s="207" t="s">
        <v>361</v>
      </c>
      <c r="N102" s="113" t="s">
        <v>461</v>
      </c>
      <c r="O102" s="207">
        <v>8351</v>
      </c>
      <c r="P102" s="221">
        <v>42201</v>
      </c>
      <c r="Q102" s="21">
        <v>42200</v>
      </c>
    </row>
    <row r="103" spans="10:17" ht="15.75" x14ac:dyDescent="0.25">
      <c r="J103" s="43">
        <v>0</v>
      </c>
      <c r="K103" s="144"/>
      <c r="L103" s="156"/>
      <c r="M103" s="207"/>
      <c r="N103" s="113" t="s">
        <v>461</v>
      </c>
      <c r="O103" s="207">
        <v>8625</v>
      </c>
      <c r="P103" s="221">
        <v>42200</v>
      </c>
    </row>
    <row r="104" spans="10:17" ht="15.75" x14ac:dyDescent="0.25">
      <c r="J104" s="43">
        <f>SUM(J92:J103)</f>
        <v>349458</v>
      </c>
      <c r="K104" s="144"/>
      <c r="L104" s="156"/>
      <c r="M104" s="207"/>
      <c r="N104" s="113" t="s">
        <v>461</v>
      </c>
      <c r="O104" s="207">
        <v>11900</v>
      </c>
      <c r="P104" s="221">
        <v>42202</v>
      </c>
      <c r="Q104" s="21">
        <v>42201</v>
      </c>
    </row>
    <row r="105" spans="10:17" ht="15.75" x14ac:dyDescent="0.25">
      <c r="K105" s="144"/>
      <c r="L105" s="156"/>
      <c r="M105" s="334"/>
      <c r="N105" s="113" t="s">
        <v>461</v>
      </c>
      <c r="O105" s="207">
        <v>16382.5</v>
      </c>
      <c r="P105" s="221">
        <v>42201</v>
      </c>
    </row>
    <row r="106" spans="10:17" ht="15.75" x14ac:dyDescent="0.25">
      <c r="K106" s="144"/>
      <c r="L106" s="156"/>
      <c r="M106" s="207"/>
      <c r="N106" s="113" t="s">
        <v>461</v>
      </c>
      <c r="O106" s="207">
        <v>16815.5</v>
      </c>
      <c r="P106" s="221">
        <v>42201</v>
      </c>
    </row>
    <row r="107" spans="10:17" ht="15.75" x14ac:dyDescent="0.25">
      <c r="K107" s="297"/>
      <c r="L107" s="230"/>
      <c r="M107" s="207"/>
      <c r="N107" s="113" t="s">
        <v>461</v>
      </c>
      <c r="O107" s="207">
        <v>7302</v>
      </c>
      <c r="P107" s="221">
        <v>42201</v>
      </c>
    </row>
    <row r="108" spans="10:17" ht="15.75" x14ac:dyDescent="0.25">
      <c r="K108" s="144"/>
      <c r="L108" s="156"/>
      <c r="M108" s="207"/>
      <c r="N108" s="113" t="s">
        <v>461</v>
      </c>
      <c r="O108" s="207">
        <v>12000</v>
      </c>
      <c r="P108" s="221">
        <v>42203</v>
      </c>
      <c r="Q108" s="21">
        <v>42202</v>
      </c>
    </row>
    <row r="109" spans="10:17" ht="15.75" x14ac:dyDescent="0.25">
      <c r="K109" s="144"/>
      <c r="L109" s="156"/>
      <c r="M109" s="207"/>
      <c r="N109" s="113" t="s">
        <v>461</v>
      </c>
      <c r="O109" s="207">
        <v>15243</v>
      </c>
      <c r="P109" s="221">
        <v>42202</v>
      </c>
    </row>
    <row r="110" spans="10:17" ht="15.75" x14ac:dyDescent="0.25">
      <c r="K110" s="144"/>
      <c r="L110" s="156"/>
      <c r="M110" s="207"/>
      <c r="N110" s="113" t="s">
        <v>461</v>
      </c>
      <c r="O110" s="207">
        <v>23309</v>
      </c>
      <c r="P110" s="221">
        <v>42202</v>
      </c>
    </row>
    <row r="111" spans="10:17" ht="15.75" x14ac:dyDescent="0.25">
      <c r="K111" s="144"/>
      <c r="L111" s="156"/>
      <c r="M111" s="260"/>
      <c r="N111" s="113" t="s">
        <v>461</v>
      </c>
      <c r="O111" s="207">
        <v>11946.5</v>
      </c>
      <c r="P111" s="221">
        <v>42202</v>
      </c>
    </row>
    <row r="112" spans="10:17" ht="15.75" x14ac:dyDescent="0.25">
      <c r="K112" s="144"/>
      <c r="L112" s="156"/>
      <c r="M112" s="130"/>
      <c r="N112" s="113" t="s">
        <v>461</v>
      </c>
      <c r="O112" s="207">
        <v>4701.5</v>
      </c>
      <c r="P112" s="221">
        <v>42202</v>
      </c>
    </row>
    <row r="113" spans="10:17" ht="15.75" x14ac:dyDescent="0.25">
      <c r="K113" s="144"/>
      <c r="L113" s="156"/>
      <c r="M113" s="207"/>
      <c r="N113" s="113" t="s">
        <v>461</v>
      </c>
      <c r="O113" s="214">
        <v>22000</v>
      </c>
      <c r="P113" s="221">
        <v>42205</v>
      </c>
      <c r="Q113" s="21">
        <v>42203</v>
      </c>
    </row>
    <row r="114" spans="10:17" ht="15.75" x14ac:dyDescent="0.25">
      <c r="K114" s="144"/>
      <c r="L114" s="156"/>
      <c r="M114" s="207"/>
      <c r="N114" s="113" t="s">
        <v>461</v>
      </c>
      <c r="O114" s="207">
        <v>19593</v>
      </c>
      <c r="P114" s="221">
        <v>42203</v>
      </c>
    </row>
    <row r="115" spans="10:17" ht="15.75" x14ac:dyDescent="0.25">
      <c r="K115" s="264"/>
      <c r="L115" s="207"/>
      <c r="M115" s="207"/>
      <c r="N115" s="113" t="s">
        <v>461</v>
      </c>
      <c r="O115" s="207">
        <v>8837</v>
      </c>
      <c r="P115" s="221">
        <v>42203</v>
      </c>
    </row>
    <row r="116" spans="10:17" ht="15.75" x14ac:dyDescent="0.25">
      <c r="K116" s="264"/>
      <c r="L116" s="130"/>
      <c r="M116" s="130"/>
      <c r="N116" s="113" t="s">
        <v>461</v>
      </c>
      <c r="O116" s="207">
        <v>16380.5</v>
      </c>
      <c r="P116" s="221">
        <v>42203</v>
      </c>
    </row>
    <row r="117" spans="10:17" ht="15.75" x14ac:dyDescent="0.25">
      <c r="K117" s="193"/>
      <c r="L117" s="207"/>
      <c r="M117" s="207"/>
      <c r="N117" s="113" t="s">
        <v>461</v>
      </c>
      <c r="O117" s="207">
        <v>4689.5</v>
      </c>
      <c r="P117" s="221">
        <v>42203</v>
      </c>
    </row>
    <row r="118" spans="10:17" ht="15.75" x14ac:dyDescent="0.25">
      <c r="K118" s="193"/>
      <c r="L118" s="207"/>
      <c r="M118" s="207"/>
      <c r="N118" s="113" t="s">
        <v>461</v>
      </c>
      <c r="O118" s="214">
        <v>15000</v>
      </c>
      <c r="P118" s="221">
        <v>42205</v>
      </c>
      <c r="Q118" s="21">
        <v>42204</v>
      </c>
    </row>
    <row r="119" spans="10:17" ht="15.75" x14ac:dyDescent="0.25">
      <c r="K119" s="193"/>
      <c r="L119" s="207"/>
      <c r="M119" s="207"/>
      <c r="N119" s="113" t="s">
        <v>461</v>
      </c>
      <c r="O119" s="207">
        <v>25483.5</v>
      </c>
      <c r="P119" s="221">
        <v>42205</v>
      </c>
      <c r="Q119" s="21">
        <v>42204</v>
      </c>
    </row>
    <row r="120" spans="10:17" ht="15.75" x14ac:dyDescent="0.25">
      <c r="K120" s="193"/>
      <c r="L120" s="207"/>
      <c r="M120" s="207"/>
      <c r="N120" s="113" t="s">
        <v>461</v>
      </c>
      <c r="O120" s="207">
        <v>1206</v>
      </c>
      <c r="P120" s="221">
        <v>42205</v>
      </c>
      <c r="Q120" s="21">
        <v>42204</v>
      </c>
    </row>
    <row r="121" spans="10:17" ht="15.75" x14ac:dyDescent="0.25">
      <c r="K121" s="206"/>
      <c r="L121" s="207"/>
      <c r="M121" s="207"/>
      <c r="N121" s="113" t="s">
        <v>461</v>
      </c>
      <c r="O121" s="207">
        <v>5110.5</v>
      </c>
      <c r="P121" s="221">
        <v>42205</v>
      </c>
      <c r="Q121" s="21">
        <v>42204</v>
      </c>
    </row>
    <row r="122" spans="10:17" ht="16.5" thickBot="1" x14ac:dyDescent="0.3">
      <c r="K122" s="379"/>
      <c r="L122" s="380"/>
      <c r="M122" s="380"/>
      <c r="N122" s="235" t="s">
        <v>461</v>
      </c>
      <c r="O122" s="380">
        <v>0</v>
      </c>
      <c r="P122" s="381"/>
    </row>
    <row r="123" spans="10:17" ht="18.75" x14ac:dyDescent="0.3">
      <c r="L123" s="131">
        <f>SUM(L92:L121)</f>
        <v>349458</v>
      </c>
      <c r="M123" s="131"/>
      <c r="N123" s="131"/>
      <c r="O123" s="131">
        <f>SUM(O92:O122)</f>
        <v>349458</v>
      </c>
    </row>
    <row r="126" spans="10:17" ht="15.75" x14ac:dyDescent="0.25">
      <c r="K126" s="104"/>
      <c r="L126" s="288">
        <v>42216</v>
      </c>
      <c r="M126" s="215"/>
      <c r="N126" s="134" t="s">
        <v>200</v>
      </c>
      <c r="O126" s="88"/>
    </row>
    <row r="127" spans="10:17" x14ac:dyDescent="0.25">
      <c r="K127" s="104"/>
      <c r="L127" s="103"/>
      <c r="M127" s="103"/>
      <c r="N127" s="103"/>
      <c r="O127" s="213"/>
    </row>
    <row r="128" spans="10:17" ht="15.75" x14ac:dyDescent="0.25">
      <c r="J128" s="43">
        <f>6778</f>
        <v>6778</v>
      </c>
      <c r="K128" s="144" t="s">
        <v>579</v>
      </c>
      <c r="L128" s="156">
        <v>12571.23</v>
      </c>
      <c r="M128" s="348"/>
      <c r="N128" s="113" t="s">
        <v>461</v>
      </c>
      <c r="O128" s="214">
        <v>6778</v>
      </c>
      <c r="P128" s="221">
        <v>42206</v>
      </c>
    </row>
    <row r="129" spans="10:17" ht="15.75" x14ac:dyDescent="0.25">
      <c r="J129" s="43">
        <v>1269.5</v>
      </c>
      <c r="K129" s="144" t="s">
        <v>558</v>
      </c>
      <c r="L129" s="156">
        <v>1269.5999999999999</v>
      </c>
      <c r="M129" s="207"/>
      <c r="N129" s="113" t="s">
        <v>461</v>
      </c>
      <c r="O129" s="207">
        <v>1269.5</v>
      </c>
      <c r="P129" s="221">
        <v>42206</v>
      </c>
    </row>
    <row r="130" spans="10:17" ht="15.75" x14ac:dyDescent="0.25">
      <c r="J130" s="43">
        <f>21418.5+979.5+7381.5</f>
        <v>29779.5</v>
      </c>
      <c r="K130" s="144" t="s">
        <v>561</v>
      </c>
      <c r="L130" s="156">
        <v>29779.47</v>
      </c>
      <c r="M130" s="207"/>
      <c r="N130" s="113" t="s">
        <v>461</v>
      </c>
      <c r="O130" s="207">
        <v>21418.5</v>
      </c>
      <c r="P130" s="221">
        <v>42207</v>
      </c>
    </row>
    <row r="131" spans="10:17" ht="15.75" x14ac:dyDescent="0.25">
      <c r="J131" s="43">
        <f>40845+7555+20925</f>
        <v>69325</v>
      </c>
      <c r="K131" s="144" t="s">
        <v>562</v>
      </c>
      <c r="L131" s="156">
        <v>69324.88</v>
      </c>
      <c r="M131" s="130"/>
      <c r="N131" s="113" t="s">
        <v>461</v>
      </c>
      <c r="O131" s="207">
        <v>979.5</v>
      </c>
      <c r="P131" s="221">
        <v>42208</v>
      </c>
      <c r="Q131" s="21">
        <v>42207</v>
      </c>
    </row>
    <row r="132" spans="10:17" ht="15.75" x14ac:dyDescent="0.25">
      <c r="J132" s="43">
        <f>3333.5</f>
        <v>3333.5</v>
      </c>
      <c r="K132" s="144" t="s">
        <v>563</v>
      </c>
      <c r="L132" s="156">
        <v>3333.4</v>
      </c>
      <c r="M132" s="130"/>
      <c r="N132" s="113" t="s">
        <v>461</v>
      </c>
      <c r="O132" s="214">
        <v>7381.5</v>
      </c>
      <c r="P132" s="221">
        <v>42207</v>
      </c>
    </row>
    <row r="133" spans="10:17" ht="15.75" x14ac:dyDescent="0.25">
      <c r="J133" s="43">
        <f>16527.5+462+8447.5</f>
        <v>25437</v>
      </c>
      <c r="K133" s="144" t="s">
        <v>564</v>
      </c>
      <c r="L133" s="156">
        <v>25436.7</v>
      </c>
      <c r="M133" s="207"/>
      <c r="N133" s="113" t="s">
        <v>461</v>
      </c>
      <c r="O133" s="207">
        <v>40845</v>
      </c>
      <c r="P133" s="221">
        <v>42208</v>
      </c>
    </row>
    <row r="134" spans="10:17" ht="15.75" x14ac:dyDescent="0.25">
      <c r="J134" s="43">
        <f>15826+10015.5</f>
        <v>25841.5</v>
      </c>
      <c r="K134" s="144" t="s">
        <v>565</v>
      </c>
      <c r="L134" s="156">
        <v>25841.7</v>
      </c>
      <c r="M134" s="334"/>
      <c r="N134" s="113" t="s">
        <v>461</v>
      </c>
      <c r="O134" s="207">
        <v>7555</v>
      </c>
      <c r="P134" s="221">
        <v>42208</v>
      </c>
    </row>
    <row r="135" spans="10:17" ht="15.75" x14ac:dyDescent="0.25">
      <c r="J135" s="43">
        <f>8342+41521.5</f>
        <v>49863.5</v>
      </c>
      <c r="K135" s="144" t="s">
        <v>566</v>
      </c>
      <c r="L135" s="156">
        <v>49863.35</v>
      </c>
      <c r="M135" s="321"/>
      <c r="N135" s="113" t="s">
        <v>461</v>
      </c>
      <c r="O135" s="207">
        <v>20925</v>
      </c>
      <c r="P135" s="221">
        <v>42209</v>
      </c>
    </row>
    <row r="136" spans="10:17" ht="15.75" x14ac:dyDescent="0.25">
      <c r="J136" s="43">
        <f>20678.5+8369</f>
        <v>29047.5</v>
      </c>
      <c r="K136" s="144" t="s">
        <v>567</v>
      </c>
      <c r="L136" s="156">
        <v>29047.599999999999</v>
      </c>
      <c r="M136" s="207"/>
      <c r="N136" s="113" t="s">
        <v>461</v>
      </c>
      <c r="O136" s="207">
        <v>16527.5</v>
      </c>
      <c r="P136" s="221">
        <v>42209</v>
      </c>
    </row>
    <row r="137" spans="10:17" ht="15.75" x14ac:dyDescent="0.25">
      <c r="J137" s="43">
        <f>8180+6452.5+2697+8903</f>
        <v>26232.5</v>
      </c>
      <c r="K137" s="292" t="s">
        <v>568</v>
      </c>
      <c r="L137" s="157">
        <v>20439.57</v>
      </c>
      <c r="M137" s="207"/>
      <c r="N137" s="113" t="s">
        <v>461</v>
      </c>
      <c r="O137" s="207">
        <v>462</v>
      </c>
      <c r="P137" s="221">
        <v>42210</v>
      </c>
      <c r="Q137" s="21">
        <v>42209</v>
      </c>
    </row>
    <row r="138" spans="10:17" ht="15.75" x14ac:dyDescent="0.25">
      <c r="K138" s="292"/>
      <c r="L138" s="157"/>
      <c r="M138" s="207"/>
      <c r="N138" s="113" t="s">
        <v>461</v>
      </c>
      <c r="O138" s="207">
        <v>8447.5</v>
      </c>
      <c r="P138" s="221">
        <v>42209</v>
      </c>
    </row>
    <row r="139" spans="10:17" ht="15.75" x14ac:dyDescent="0.25">
      <c r="K139" s="293"/>
      <c r="L139" s="207"/>
      <c r="M139" s="207"/>
      <c r="N139" s="113" t="s">
        <v>461</v>
      </c>
      <c r="O139" s="207">
        <v>3333.5</v>
      </c>
      <c r="P139" s="221">
        <v>42210</v>
      </c>
    </row>
    <row r="140" spans="10:17" ht="15.75" x14ac:dyDescent="0.25">
      <c r="K140" s="144"/>
      <c r="L140" s="156"/>
      <c r="M140" s="207"/>
      <c r="N140" s="113" t="s">
        <v>461</v>
      </c>
      <c r="O140" s="207">
        <v>8342</v>
      </c>
      <c r="P140" s="221">
        <v>42210</v>
      </c>
    </row>
    <row r="141" spans="10:17" ht="15.75" x14ac:dyDescent="0.25">
      <c r="K141" s="144"/>
      <c r="L141" s="156"/>
      <c r="M141" s="334"/>
      <c r="N141" s="113" t="s">
        <v>461</v>
      </c>
      <c r="O141" s="207">
        <v>41521.5</v>
      </c>
      <c r="P141" s="221">
        <v>42212</v>
      </c>
      <c r="Q141" s="21">
        <v>42211</v>
      </c>
    </row>
    <row r="142" spans="10:17" ht="15.75" x14ac:dyDescent="0.25">
      <c r="K142" s="144"/>
      <c r="L142" s="156"/>
      <c r="M142" s="207"/>
      <c r="N142" s="113" t="s">
        <v>461</v>
      </c>
      <c r="O142" s="207">
        <v>15826</v>
      </c>
      <c r="P142" s="221">
        <v>42212</v>
      </c>
    </row>
    <row r="143" spans="10:17" ht="15.75" x14ac:dyDescent="0.25">
      <c r="K143" s="297"/>
      <c r="L143" s="230"/>
      <c r="M143" s="207"/>
      <c r="N143" s="113" t="s">
        <v>461</v>
      </c>
      <c r="O143" s="207">
        <v>10015.5</v>
      </c>
      <c r="P143" s="221">
        <v>42212</v>
      </c>
      <c r="Q143" s="21">
        <v>42211</v>
      </c>
    </row>
    <row r="144" spans="10:17" ht="15.75" x14ac:dyDescent="0.25">
      <c r="K144" s="144"/>
      <c r="L144" s="156"/>
      <c r="M144" s="207"/>
      <c r="N144" s="113" t="s">
        <v>461</v>
      </c>
      <c r="O144" s="207">
        <v>8180</v>
      </c>
      <c r="P144" s="221">
        <v>42213</v>
      </c>
      <c r="Q144" s="21">
        <v>42212</v>
      </c>
    </row>
    <row r="145" spans="11:16" ht="15.75" x14ac:dyDescent="0.25">
      <c r="K145" s="144"/>
      <c r="L145" s="156"/>
      <c r="M145" s="207"/>
      <c r="N145" s="113" t="s">
        <v>461</v>
      </c>
      <c r="O145" s="207">
        <v>6452.5</v>
      </c>
      <c r="P145" s="221">
        <v>42212</v>
      </c>
    </row>
    <row r="146" spans="11:16" ht="15.75" x14ac:dyDescent="0.25">
      <c r="K146" s="144"/>
      <c r="L146" s="156"/>
      <c r="M146" s="207"/>
      <c r="N146" s="113" t="s">
        <v>461</v>
      </c>
      <c r="O146" s="207">
        <v>20678.5</v>
      </c>
      <c r="P146" s="221">
        <v>42212</v>
      </c>
    </row>
    <row r="147" spans="11:16" ht="15.75" x14ac:dyDescent="0.25">
      <c r="K147" s="144"/>
      <c r="L147" s="156"/>
      <c r="M147" s="260"/>
      <c r="N147" s="113" t="s">
        <v>461</v>
      </c>
      <c r="O147" s="207">
        <v>8369</v>
      </c>
      <c r="P147" s="221">
        <v>42212</v>
      </c>
    </row>
    <row r="148" spans="11:16" ht="15.75" x14ac:dyDescent="0.25">
      <c r="K148" s="144"/>
      <c r="L148" s="156"/>
      <c r="M148" s="130"/>
      <c r="N148" s="113" t="s">
        <v>461</v>
      </c>
      <c r="O148" s="207">
        <v>2697</v>
      </c>
      <c r="P148" s="221">
        <v>42213</v>
      </c>
    </row>
    <row r="149" spans="11:16" ht="15.75" x14ac:dyDescent="0.25">
      <c r="K149" s="144"/>
      <c r="L149" s="156"/>
      <c r="M149" s="207"/>
      <c r="N149" s="113" t="s">
        <v>461</v>
      </c>
      <c r="O149" s="214">
        <v>8903</v>
      </c>
      <c r="P149" s="221">
        <v>42213</v>
      </c>
    </row>
    <row r="150" spans="11:16" ht="16.5" thickBot="1" x14ac:dyDescent="0.3">
      <c r="K150" s="379"/>
      <c r="L150" s="380"/>
      <c r="M150" s="380"/>
      <c r="N150" s="235" t="s">
        <v>461</v>
      </c>
      <c r="O150" s="380">
        <v>0</v>
      </c>
      <c r="P150" s="381"/>
    </row>
    <row r="151" spans="11:16" ht="18.75" x14ac:dyDescent="0.3">
      <c r="L151" s="131">
        <f>SUM(L128:L149)</f>
        <v>266907.5</v>
      </c>
      <c r="M151" s="131"/>
      <c r="N151" s="131"/>
      <c r="O151" s="131">
        <f>SUM(O128:O150)</f>
        <v>266907.5</v>
      </c>
    </row>
  </sheetData>
  <sortState ref="A16:F24">
    <sortCondition ref="B16:B24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408" t="s">
        <v>56</v>
      </c>
      <c r="D1" s="408"/>
      <c r="E1" s="408"/>
      <c r="F1" s="408"/>
      <c r="G1" s="408"/>
      <c r="H1" s="408"/>
      <c r="I1" s="408"/>
      <c r="J1" s="408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409" t="s">
        <v>14</v>
      </c>
      <c r="F4" s="410"/>
      <c r="I4" s="411" t="s">
        <v>4</v>
      </c>
      <c r="J4" s="412"/>
      <c r="K4" s="412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413" t="s">
        <v>7</v>
      </c>
      <c r="I40" s="414"/>
      <c r="J40" s="415">
        <f>I38+K38</f>
        <v>74761.744999999995</v>
      </c>
      <c r="K40" s="416"/>
      <c r="N40" s="43">
        <v>97788.05</v>
      </c>
    </row>
    <row r="41" spans="1:14" ht="15.75" x14ac:dyDescent="0.25">
      <c r="D41" s="407" t="s">
        <v>8</v>
      </c>
      <c r="E41" s="407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417"/>
      <c r="J43" s="417"/>
      <c r="K43" s="2"/>
      <c r="N43" s="43">
        <v>32473.27</v>
      </c>
    </row>
    <row r="44" spans="1:14" ht="16.5" thickBot="1" x14ac:dyDescent="0.3">
      <c r="D44" s="406" t="s">
        <v>9</v>
      </c>
      <c r="E44" s="406"/>
      <c r="F44" s="59">
        <v>232988.59</v>
      </c>
      <c r="I44" s="418"/>
      <c r="J44" s="418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419" t="s">
        <v>13</v>
      </c>
      <c r="J45" s="420"/>
      <c r="K45" s="423">
        <f>F45+K44</f>
        <v>20895.104999999661</v>
      </c>
      <c r="N45" s="43">
        <v>64614.3</v>
      </c>
    </row>
    <row r="46" spans="1:14" ht="15.75" thickBot="1" x14ac:dyDescent="0.3">
      <c r="D46" s="405"/>
      <c r="E46" s="405"/>
      <c r="F46" s="55"/>
      <c r="I46" s="421"/>
      <c r="J46" s="422"/>
      <c r="K46" s="424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408" t="s">
        <v>103</v>
      </c>
      <c r="D1" s="408"/>
      <c r="E1" s="408"/>
      <c r="F1" s="408"/>
      <c r="G1" s="408"/>
      <c r="H1" s="408"/>
      <c r="I1" s="408"/>
      <c r="J1" s="408"/>
      <c r="K1" s="408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425" t="s">
        <v>173</v>
      </c>
      <c r="P17" s="426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427"/>
      <c r="P18" s="428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413" t="s">
        <v>7</v>
      </c>
      <c r="I40" s="414"/>
      <c r="J40" s="86"/>
      <c r="K40" s="415">
        <f>I38+L38</f>
        <v>53434.49</v>
      </c>
      <c r="L40" s="416"/>
      <c r="O40" t="s">
        <v>169</v>
      </c>
      <c r="P40" s="43">
        <v>16673.759999999998</v>
      </c>
    </row>
    <row r="41" spans="1:16" ht="15.75" x14ac:dyDescent="0.25">
      <c r="D41" s="407" t="s">
        <v>8</v>
      </c>
      <c r="E41" s="407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417"/>
      <c r="J43" s="417"/>
      <c r="K43" s="417"/>
      <c r="L43" s="2"/>
      <c r="O43" t="s">
        <v>172</v>
      </c>
      <c r="P43" s="43">
        <v>58093</v>
      </c>
    </row>
    <row r="44" spans="1:16" ht="16.5" thickBot="1" x14ac:dyDescent="0.3">
      <c r="D44" s="406" t="s">
        <v>9</v>
      </c>
      <c r="E44" s="406"/>
      <c r="F44" s="59">
        <v>174723.71</v>
      </c>
      <c r="I44" s="418"/>
      <c r="J44" s="418"/>
      <c r="K44" s="418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419" t="s">
        <v>13</v>
      </c>
      <c r="J45" s="420"/>
      <c r="K45" s="420"/>
      <c r="L45" s="423">
        <f>F45+L44</f>
        <v>-119565.35599999988</v>
      </c>
    </row>
    <row r="46" spans="1:16" ht="15.75" thickBot="1" x14ac:dyDescent="0.3">
      <c r="D46" s="405"/>
      <c r="E46" s="405"/>
      <c r="F46" s="55"/>
      <c r="I46" s="421"/>
      <c r="J46" s="422"/>
      <c r="K46" s="422"/>
      <c r="L46" s="424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7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408" t="s">
        <v>176</v>
      </c>
      <c r="D1" s="408"/>
      <c r="E1" s="408"/>
      <c r="F1" s="408"/>
      <c r="G1" s="408"/>
      <c r="H1" s="408"/>
      <c r="I1" s="408"/>
      <c r="J1" s="408"/>
      <c r="K1" s="408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431" t="s">
        <v>240</v>
      </c>
      <c r="R3" s="432"/>
      <c r="S3" s="433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413" t="s">
        <v>7</v>
      </c>
      <c r="I40" s="414"/>
      <c r="J40" s="98"/>
      <c r="K40" s="415">
        <f>I38+L38</f>
        <v>81575.08</v>
      </c>
      <c r="L40" s="416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407" t="s">
        <v>8</v>
      </c>
      <c r="E41" s="407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434">
        <f>F46</f>
        <v>423444.86999999988</v>
      </c>
      <c r="K43" s="435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418" t="s">
        <v>257</v>
      </c>
      <c r="I44" s="418"/>
      <c r="J44" s="436">
        <v>-174723.71</v>
      </c>
      <c r="K44" s="436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437">
        <v>0</v>
      </c>
      <c r="K45" s="437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405" t="s">
        <v>250</v>
      </c>
      <c r="E46" s="405"/>
      <c r="F46" s="55">
        <f>F44+F45</f>
        <v>423444.86999999988</v>
      </c>
      <c r="I46" s="178" t="s">
        <v>13</v>
      </c>
      <c r="J46" s="438">
        <f t="shared" ref="J46" si="1">SUM(J43:K45)</f>
        <v>248721.15999999989</v>
      </c>
      <c r="K46" s="439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408" t="s">
        <v>241</v>
      </c>
      <c r="D1" s="408"/>
      <c r="E1" s="408"/>
      <c r="F1" s="408"/>
      <c r="G1" s="408"/>
      <c r="H1" s="408"/>
      <c r="I1" s="408"/>
      <c r="J1" s="408"/>
      <c r="K1" s="408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431" t="s">
        <v>240</v>
      </c>
      <c r="S3" s="432"/>
      <c r="T3" s="433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413" t="s">
        <v>7</v>
      </c>
      <c r="I40" s="414"/>
      <c r="J40" s="256"/>
      <c r="K40" s="415">
        <f>I38+L38</f>
        <v>70568.180000000008</v>
      </c>
      <c r="L40" s="416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407" t="s">
        <v>8</v>
      </c>
      <c r="E41" s="407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417"/>
      <c r="J43" s="417"/>
      <c r="K43" s="417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434">
        <f>F46</f>
        <v>284330.06000000035</v>
      </c>
      <c r="L44" s="435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443" t="s">
        <v>2</v>
      </c>
      <c r="J45" s="443"/>
      <c r="K45" s="436">
        <v>-218235.22</v>
      </c>
      <c r="L45" s="436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437">
        <v>0</v>
      </c>
      <c r="L46" s="437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442"/>
      <c r="E47" s="442"/>
      <c r="I47"/>
      <c r="J47" s="304" t="s">
        <v>13</v>
      </c>
      <c r="K47" s="440">
        <f t="shared" ref="K47" si="2">SUM(K44:L46)</f>
        <v>66094.840000000346</v>
      </c>
      <c r="L47" s="441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408" t="s">
        <v>304</v>
      </c>
      <c r="D1" s="408"/>
      <c r="E1" s="408"/>
      <c r="F1" s="408"/>
      <c r="G1" s="408"/>
      <c r="H1" s="408"/>
      <c r="I1" s="408"/>
      <c r="J1" s="408"/>
      <c r="K1" s="408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13" t="s">
        <v>7</v>
      </c>
      <c r="I40" s="414"/>
      <c r="J40" s="256"/>
      <c r="K40" s="415">
        <f>I38+L38</f>
        <v>79594.55</v>
      </c>
      <c r="L40" s="416"/>
    </row>
    <row r="41" spans="1:15" ht="15.75" customHeight="1" x14ac:dyDescent="0.25">
      <c r="D41" s="407" t="s">
        <v>8</v>
      </c>
      <c r="E41" s="407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417"/>
      <c r="J43" s="417"/>
      <c r="K43" s="417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434">
        <f>F48</f>
        <v>226327.02999999982</v>
      </c>
      <c r="L44" s="435"/>
    </row>
    <row r="45" spans="1:15" ht="15.75" customHeight="1" thickBot="1" x14ac:dyDescent="0.3">
      <c r="D45" s="301" t="s">
        <v>9</v>
      </c>
      <c r="E45" s="301"/>
      <c r="F45" s="59">
        <v>141644.97</v>
      </c>
      <c r="I45" s="443" t="s">
        <v>2</v>
      </c>
      <c r="J45" s="443"/>
      <c r="K45" s="436">
        <v>-181901.18</v>
      </c>
      <c r="L45" s="436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437">
        <v>0</v>
      </c>
      <c r="L46" s="437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440">
        <f t="shared" ref="K47" si="1">SUM(K44:L46)</f>
        <v>44425.849999999831</v>
      </c>
      <c r="L47" s="441"/>
    </row>
    <row r="48" spans="1:15" ht="15.75" thickTop="1" x14ac:dyDescent="0.25">
      <c r="D48" s="417" t="s">
        <v>251</v>
      </c>
      <c r="E48" s="417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444" t="s">
        <v>240</v>
      </c>
      <c r="D3" s="445"/>
      <c r="E3" s="446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7" workbookViewId="0">
      <selection activeCell="F47" sqref="F47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408" t="s">
        <v>348</v>
      </c>
      <c r="D1" s="408"/>
      <c r="E1" s="408"/>
      <c r="F1" s="408"/>
      <c r="G1" s="408"/>
      <c r="H1" s="408"/>
      <c r="I1" s="408"/>
      <c r="J1" s="408"/>
      <c r="K1" s="408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29" t="s">
        <v>14</v>
      </c>
      <c r="F4" s="430"/>
      <c r="I4" s="411" t="s">
        <v>4</v>
      </c>
      <c r="J4" s="412"/>
      <c r="K4" s="412"/>
      <c r="L4" s="412"/>
      <c r="M4" s="69" t="s">
        <v>18</v>
      </c>
      <c r="N4" s="347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SUM(F5:F37)</f>
        <v>1435217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13" t="s">
        <v>7</v>
      </c>
      <c r="I40" s="414"/>
      <c r="J40" s="302"/>
      <c r="K40" s="415">
        <f>I38+L38</f>
        <v>79366.69</v>
      </c>
      <c r="L40" s="416"/>
    </row>
    <row r="41" spans="1:15" ht="15.75" customHeight="1" x14ac:dyDescent="0.25">
      <c r="D41" s="407" t="s">
        <v>8</v>
      </c>
      <c r="E41" s="407"/>
      <c r="F41" s="56">
        <f>F38-K40</f>
        <v>1355850.31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417"/>
      <c r="J43" s="417"/>
      <c r="K43" s="417"/>
      <c r="L43" s="2"/>
    </row>
    <row r="44" spans="1:15" ht="16.5" thickTop="1" x14ac:dyDescent="0.25">
      <c r="E44" s="5" t="s">
        <v>10</v>
      </c>
      <c r="F44" s="58">
        <f>SUM(F41:F43)</f>
        <v>19467.030000000028</v>
      </c>
      <c r="I44"/>
      <c r="J44" s="344" t="s">
        <v>251</v>
      </c>
      <c r="K44" s="434">
        <f>F48</f>
        <v>169383.28000000003</v>
      </c>
      <c r="L44" s="435"/>
    </row>
    <row r="45" spans="1:15" ht="15.75" customHeight="1" thickBot="1" x14ac:dyDescent="0.3">
      <c r="D45" s="301" t="s">
        <v>9</v>
      </c>
      <c r="E45" s="301"/>
      <c r="F45" s="59">
        <v>149916.25</v>
      </c>
      <c r="I45" s="443" t="s">
        <v>2</v>
      </c>
      <c r="J45" s="443"/>
      <c r="K45" s="436">
        <v>-181901.18</v>
      </c>
      <c r="L45" s="436"/>
    </row>
    <row r="46" spans="1:15" ht="15.75" customHeight="1" thickBot="1" x14ac:dyDescent="0.3">
      <c r="E46" s="6" t="s">
        <v>347</v>
      </c>
      <c r="F46" s="48">
        <f>F45+F44</f>
        <v>169383.28000000003</v>
      </c>
      <c r="I46"/>
      <c r="J46" s="178"/>
      <c r="K46" s="437">
        <v>0</v>
      </c>
      <c r="L46" s="437"/>
    </row>
    <row r="47" spans="1:15" ht="19.5" thickBot="1" x14ac:dyDescent="0.3">
      <c r="E47" s="5"/>
      <c r="F47" s="125">
        <v>0</v>
      </c>
      <c r="I47" s="447" t="s">
        <v>401</v>
      </c>
      <c r="J47" s="448"/>
      <c r="K47" s="440">
        <f t="shared" ref="K47" si="1">SUM(K44:L46)</f>
        <v>-12517.899999999965</v>
      </c>
      <c r="L47" s="441"/>
    </row>
    <row r="48" spans="1:15" ht="15.75" thickTop="1" x14ac:dyDescent="0.25">
      <c r="D48" s="417" t="s">
        <v>251</v>
      </c>
      <c r="E48" s="417"/>
      <c r="F48" s="58">
        <f>F47+F46</f>
        <v>169383.28000000003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444" t="s">
        <v>240</v>
      </c>
      <c r="D3" s="445"/>
      <c r="E3" s="446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0" t="s">
        <v>297</v>
      </c>
      <c r="D4" s="340"/>
      <c r="E4" s="340" t="s">
        <v>298</v>
      </c>
      <c r="F4" s="341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3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2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2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2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2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2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2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2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2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2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2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2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2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2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2"/>
      <c r="B81"/>
      <c r="C81"/>
      <c r="D81"/>
      <c r="E81"/>
      <c r="F81"/>
      <c r="I81" s="49"/>
      <c r="J81" s="104"/>
      <c r="K81" s="333">
        <v>42126</v>
      </c>
      <c r="L81" s="215"/>
      <c r="M81" s="134" t="s">
        <v>200</v>
      </c>
      <c r="N81" s="88"/>
    </row>
    <row r="82" spans="1:16" x14ac:dyDescent="0.25">
      <c r="A82" s="342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2"/>
      <c r="B83"/>
      <c r="C83"/>
      <c r="D83"/>
      <c r="E83"/>
      <c r="F83"/>
      <c r="I83" s="49"/>
      <c r="J83" s="193">
        <v>17493</v>
      </c>
      <c r="K83" s="130">
        <v>1812.6</v>
      </c>
      <c r="L83" s="335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2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2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2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2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2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2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4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2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2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2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2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2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2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2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2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2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2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2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38" t="s">
        <v>397</v>
      </c>
      <c r="M126" s="339"/>
      <c r="N126" s="121">
        <v>1812.6</v>
      </c>
      <c r="O126" s="128" t="s">
        <v>396</v>
      </c>
    </row>
    <row r="127" spans="9:16" ht="15.75" thickBot="1" x14ac:dyDescent="0.3">
      <c r="J127" s="336"/>
      <c r="K127" s="337"/>
      <c r="L127" s="337"/>
      <c r="M127" s="337"/>
      <c r="N127" s="337"/>
      <c r="O127" s="336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J u  l i o      2015</vt:lpstr>
      <vt:lpstr>Remisiones Julio 2015</vt:lpstr>
      <vt:lpstr>Hoja1</vt:lpstr>
      <vt:lpstr>Hoja5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2015-07-31T22:02:18Z</cp:lastPrinted>
  <dcterms:created xsi:type="dcterms:W3CDTF">2009-02-04T18:28:43Z</dcterms:created>
  <dcterms:modified xsi:type="dcterms:W3CDTF">2015-08-13T17:26:11Z</dcterms:modified>
</cp:coreProperties>
</file>