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60" windowWidth="14040" windowHeight="6915" firstSheet="13" activeTab="18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MARZO 2015" sheetId="11" r:id="rId6"/>
    <sheet name="Remisiones MARZO 2015" sheetId="12" r:id="rId7"/>
    <sheet name="ABRIL   2015" sheetId="13" r:id="rId8"/>
    <sheet name="Remisiones  ABRIL  2015" sheetId="14" r:id="rId9"/>
    <sheet name="M A Y O    2015" sheetId="15" r:id="rId10"/>
    <sheet name="REMISIONES MAYO 2015" sheetId="16" r:id="rId11"/>
    <sheet name=" J U N I O    2015  " sheetId="17" r:id="rId12"/>
    <sheet name="REMISIONES  J U N IO 2015" sheetId="18" r:id="rId13"/>
    <sheet name="J u  l i o      2015" sheetId="19" r:id="rId14"/>
    <sheet name="Remisiones Julio 2015" sheetId="20" r:id="rId15"/>
    <sheet name="A G O S TO  2015" sheetId="21" r:id="rId16"/>
    <sheet name="REMISIONES Ago 2015" sheetId="22" r:id="rId17"/>
    <sheet name="SEPTIEMBRE  2 0 1  5" sheetId="23" r:id="rId18"/>
    <sheet name="REMISIONES SEPT 2015" sheetId="24" r:id="rId19"/>
    <sheet name="Hoja2" sheetId="25" r:id="rId20"/>
    <sheet name="Hoja3" sheetId="26" r:id="rId21"/>
    <sheet name="Hoja4" sheetId="27" r:id="rId22"/>
    <sheet name="Hoja6" sheetId="28" r:id="rId23"/>
    <sheet name="Hoja9" sheetId="29" r:id="rId24"/>
  </sheets>
  <externalReferences>
    <externalReference r:id="rId25"/>
  </externalReferences>
  <calcPr calcId="144525"/>
</workbook>
</file>

<file path=xl/calcChain.xml><?xml version="1.0" encoding="utf-8"?>
<calcChain xmlns="http://schemas.openxmlformats.org/spreadsheetml/2006/main">
  <c r="L13" i="21" l="1"/>
  <c r="C51" i="24" l="1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E51" i="24"/>
  <c r="F12" i="24"/>
  <c r="F11" i="24"/>
  <c r="F10" i="24"/>
  <c r="F9" i="24"/>
  <c r="F8" i="24"/>
  <c r="F7" i="24"/>
  <c r="F6" i="24"/>
  <c r="F5" i="24"/>
  <c r="I38" i="23"/>
  <c r="F38" i="23"/>
  <c r="C38" i="23"/>
  <c r="F42" i="23" s="1"/>
  <c r="N37" i="23"/>
  <c r="L38" i="23"/>
  <c r="F13" i="24" l="1"/>
  <c r="F51" i="24" s="1"/>
  <c r="K40" i="23"/>
  <c r="F41" i="23" s="1"/>
  <c r="F44" i="23" s="1"/>
  <c r="F46" i="23" s="1"/>
  <c r="K44" i="23" s="1"/>
  <c r="K47" i="23" s="1"/>
  <c r="E31" i="22"/>
  <c r="H74" i="22" l="1"/>
  <c r="H75" i="22"/>
  <c r="H78" i="22"/>
  <c r="H76" i="22"/>
  <c r="H73" i="22"/>
  <c r="M83" i="22" l="1"/>
  <c r="J83" i="22"/>
  <c r="I38" i="21" l="1"/>
  <c r="F38" i="21"/>
  <c r="C38" i="21"/>
  <c r="F42" i="21" s="1"/>
  <c r="N37" i="21"/>
  <c r="L12" i="21"/>
  <c r="L11" i="21"/>
  <c r="L38" i="21" s="1"/>
  <c r="K40" i="21" l="1"/>
  <c r="F41" i="21" s="1"/>
  <c r="F44" i="21" s="1"/>
  <c r="F46" i="21" s="1"/>
  <c r="K44" i="21" s="1"/>
  <c r="K47" i="21" s="1"/>
  <c r="AP38" i="21"/>
  <c r="AM38" i="21"/>
  <c r="AJ38" i="21"/>
  <c r="AM42" i="21" s="1"/>
  <c r="AU37" i="21"/>
  <c r="AS11" i="21"/>
  <c r="AS38" i="21" s="1"/>
  <c r="Z38" i="21"/>
  <c r="W38" i="21"/>
  <c r="T38" i="21"/>
  <c r="W42" i="21" s="1"/>
  <c r="AE37" i="21"/>
  <c r="AC12" i="21"/>
  <c r="AC11" i="21"/>
  <c r="AC38" i="21" s="1"/>
  <c r="AR40" i="21" l="1"/>
  <c r="AM41" i="21" s="1"/>
  <c r="AM44" i="21" s="1"/>
  <c r="AM46" i="21" s="1"/>
  <c r="AR44" i="21" s="1"/>
  <c r="AR47" i="21" s="1"/>
  <c r="AB40" i="21"/>
  <c r="W41" i="21" s="1"/>
  <c r="W44" i="21" s="1"/>
  <c r="W46" i="21" s="1"/>
  <c r="AB44" i="21" s="1"/>
  <c r="AB47" i="21" s="1"/>
  <c r="E24" i="22"/>
  <c r="T12" i="22"/>
  <c r="W12" i="22"/>
  <c r="E13" i="22" l="1"/>
  <c r="H61" i="22"/>
  <c r="H60" i="22"/>
  <c r="H59" i="22"/>
  <c r="H58" i="22"/>
  <c r="H56" i="22"/>
  <c r="H57" i="22"/>
  <c r="H55" i="22"/>
  <c r="H54" i="22"/>
  <c r="H53" i="22"/>
  <c r="H52" i="22"/>
  <c r="H50" i="22"/>
  <c r="M67" i="22"/>
  <c r="J67" i="22"/>
  <c r="F38" i="20" l="1"/>
  <c r="F41" i="20"/>
  <c r="F42" i="20"/>
  <c r="F43" i="20"/>
  <c r="F44" i="20"/>
  <c r="E36" i="20"/>
  <c r="H12" i="22"/>
  <c r="H15" i="22" l="1"/>
  <c r="H14" i="22"/>
  <c r="H13" i="22"/>
  <c r="H9" i="22"/>
  <c r="H7" i="22"/>
  <c r="H11" i="22"/>
  <c r="H10" i="22"/>
  <c r="H8" i="22"/>
  <c r="H5" i="22"/>
  <c r="H4" i="22"/>
  <c r="H6" i="22"/>
  <c r="H3" i="22"/>
  <c r="H17" i="22" s="1"/>
  <c r="M45" i="22"/>
  <c r="J45" i="22"/>
  <c r="C51" i="22" l="1"/>
  <c r="F39" i="22"/>
  <c r="F38" i="22"/>
  <c r="F37" i="22"/>
  <c r="F36" i="22"/>
  <c r="F35" i="22"/>
  <c r="F34" i="22"/>
  <c r="F32" i="22"/>
  <c r="F25" i="22"/>
  <c r="F33" i="22"/>
  <c r="F31" i="22"/>
  <c r="F30" i="22"/>
  <c r="F29" i="22"/>
  <c r="F28" i="22"/>
  <c r="F27" i="22"/>
  <c r="F26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E51" i="22"/>
  <c r="F5" i="22"/>
  <c r="BK38" i="21"/>
  <c r="BH38" i="21"/>
  <c r="BJ40" i="21" s="1"/>
  <c r="BE38" i="21"/>
  <c r="BE41" i="21" s="1"/>
  <c r="BB38" i="21"/>
  <c r="BE42" i="21" s="1"/>
  <c r="BM37" i="21"/>
  <c r="F6" i="22" l="1"/>
  <c r="F51" i="22" s="1"/>
  <c r="BE44" i="21"/>
  <c r="BE46" i="21" s="1"/>
  <c r="BJ44" i="21" s="1"/>
  <c r="BJ47" i="21" s="1"/>
  <c r="F39" i="20"/>
  <c r="E27" i="20" l="1"/>
  <c r="J137" i="20" l="1"/>
  <c r="J136" i="20"/>
  <c r="J134" i="20"/>
  <c r="J135" i="20"/>
  <c r="J132" i="20"/>
  <c r="J133" i="20"/>
  <c r="J131" i="20"/>
  <c r="J130" i="20"/>
  <c r="J128" i="20"/>
  <c r="O151" i="20" l="1"/>
  <c r="L151" i="20"/>
  <c r="E17" i="20" l="1"/>
  <c r="J101" i="20"/>
  <c r="J102" i="20"/>
  <c r="J100" i="20"/>
  <c r="J99" i="20"/>
  <c r="J97" i="20"/>
  <c r="J98" i="20"/>
  <c r="J96" i="20"/>
  <c r="J95" i="20"/>
  <c r="J94" i="20"/>
  <c r="J93" i="20"/>
  <c r="J92" i="20"/>
  <c r="J104" i="20" s="1"/>
  <c r="O123" i="20"/>
  <c r="L123" i="20"/>
  <c r="E6" i="20" l="1"/>
  <c r="J56" i="20"/>
  <c r="J57" i="20"/>
  <c r="J55" i="20"/>
  <c r="J54" i="20"/>
  <c r="J53" i="20" l="1"/>
  <c r="J52" i="20"/>
  <c r="J51" i="20"/>
  <c r="J50" i="20"/>
  <c r="J49" i="20"/>
  <c r="J48" i="20"/>
  <c r="J47" i="20"/>
  <c r="J46" i="20"/>
  <c r="J60" i="20" s="1"/>
  <c r="O87" i="20"/>
  <c r="L87" i="20" l="1"/>
  <c r="F17" i="20" l="1"/>
  <c r="L38" i="19" l="1"/>
  <c r="I38" i="19"/>
  <c r="K40" i="19" s="1"/>
  <c r="F38" i="19"/>
  <c r="F41" i="19" s="1"/>
  <c r="C38" i="19"/>
  <c r="F42" i="19" s="1"/>
  <c r="N37" i="19"/>
  <c r="F44" i="19" l="1"/>
  <c r="F46" i="19" s="1"/>
  <c r="K44" i="19" s="1"/>
  <c r="K47" i="19" s="1"/>
  <c r="E32" i="18"/>
  <c r="J19" i="20"/>
  <c r="J18" i="20"/>
  <c r="J15" i="20"/>
  <c r="J11" i="20"/>
  <c r="J12" i="20"/>
  <c r="J8" i="20"/>
  <c r="J9" i="20"/>
  <c r="J7" i="20"/>
  <c r="J6" i="20"/>
  <c r="J5" i="20"/>
  <c r="J4" i="20"/>
  <c r="J21" i="20" s="1"/>
  <c r="O39" i="20"/>
  <c r="C51" i="20" l="1"/>
  <c r="F40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3" i="20"/>
  <c r="F22" i="20"/>
  <c r="F21" i="20"/>
  <c r="F24" i="20"/>
  <c r="F20" i="20"/>
  <c r="F19" i="20"/>
  <c r="F18" i="20"/>
  <c r="F16" i="20"/>
  <c r="E51" i="20"/>
  <c r="F14" i="20"/>
  <c r="F13" i="20"/>
  <c r="F12" i="20"/>
  <c r="F5" i="20"/>
  <c r="F11" i="20"/>
  <c r="F10" i="20"/>
  <c r="F9" i="20"/>
  <c r="F8" i="20"/>
  <c r="F7" i="20"/>
  <c r="F6" i="20"/>
  <c r="AB38" i="19"/>
  <c r="Y38" i="19"/>
  <c r="AA40" i="19" s="1"/>
  <c r="V38" i="19"/>
  <c r="V41" i="19" s="1"/>
  <c r="S38" i="19"/>
  <c r="V42" i="19" s="1"/>
  <c r="AD37" i="19"/>
  <c r="F15" i="20" l="1"/>
  <c r="F51" i="20" s="1"/>
  <c r="V44" i="19"/>
  <c r="V46" i="19" s="1"/>
  <c r="AA44" i="19" s="1"/>
  <c r="AA47" i="19" s="1"/>
  <c r="E16" i="18"/>
  <c r="J71" i="18"/>
  <c r="J69" i="18"/>
  <c r="J68" i="18"/>
  <c r="J65" i="18"/>
  <c r="J64" i="18"/>
  <c r="J66" i="18"/>
  <c r="J63" i="18"/>
  <c r="J62" i="18"/>
  <c r="J61" i="18"/>
  <c r="J60" i="18"/>
  <c r="J58" i="18"/>
  <c r="J57" i="18"/>
  <c r="J56" i="18"/>
  <c r="J73" i="18" s="1"/>
  <c r="O96" i="18"/>
  <c r="L96" i="18"/>
  <c r="L38" i="17" l="1"/>
  <c r="I38" i="17"/>
  <c r="K40" i="17" s="1"/>
  <c r="F38" i="17"/>
  <c r="F41" i="17" s="1"/>
  <c r="C38" i="17"/>
  <c r="F42" i="17" s="1"/>
  <c r="N37" i="17"/>
  <c r="F44" i="17" l="1"/>
  <c r="F46" i="17" s="1"/>
  <c r="K44" i="17" s="1"/>
  <c r="K47" i="17" s="1"/>
  <c r="AD37" i="17"/>
  <c r="N37" i="15"/>
  <c r="F38" i="13"/>
  <c r="F38" i="15"/>
  <c r="V38" i="17"/>
  <c r="E38" i="16" l="1"/>
  <c r="J26" i="18" l="1"/>
  <c r="J24" i="18"/>
  <c r="J23" i="18"/>
  <c r="J21" i="18"/>
  <c r="J19" i="18"/>
  <c r="J18" i="18"/>
  <c r="J17" i="18"/>
  <c r="J15" i="18"/>
  <c r="J12" i="18"/>
  <c r="J10" i="18"/>
  <c r="J11" i="18"/>
  <c r="J7" i="18"/>
  <c r="J9" i="18"/>
  <c r="J5" i="18"/>
  <c r="J4" i="18"/>
  <c r="O49" i="18"/>
  <c r="L49" i="18"/>
  <c r="AB38" i="17" l="1"/>
  <c r="Y38" i="17"/>
  <c r="AA40" i="17" s="1"/>
  <c r="V41" i="17"/>
  <c r="S38" i="17"/>
  <c r="V42" i="17" s="1"/>
  <c r="L38" i="15"/>
  <c r="I38" i="15"/>
  <c r="K40" i="15" s="1"/>
  <c r="F41" i="15"/>
  <c r="C38" i="15"/>
  <c r="F42" i="15" s="1"/>
  <c r="V44" i="17" l="1"/>
  <c r="V46" i="17" s="1"/>
  <c r="AA44" i="17" s="1"/>
  <c r="AA47" i="17" s="1"/>
  <c r="F44" i="15"/>
  <c r="F46" i="15" s="1"/>
  <c r="K44" i="15" s="1"/>
  <c r="K47" i="15" s="1"/>
  <c r="C61" i="18" l="1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E61" i="18"/>
  <c r="F15" i="18"/>
  <c r="F14" i="18"/>
  <c r="F13" i="18"/>
  <c r="F12" i="18"/>
  <c r="F11" i="18"/>
  <c r="F10" i="18"/>
  <c r="F9" i="18"/>
  <c r="F8" i="18"/>
  <c r="F7" i="18"/>
  <c r="F6" i="18"/>
  <c r="F5" i="18"/>
  <c r="F16" i="18" l="1"/>
  <c r="F61" i="18" s="1"/>
  <c r="E27" i="16"/>
  <c r="I89" i="16" l="1"/>
  <c r="I87" i="16"/>
  <c r="I86" i="16"/>
  <c r="I93" i="16" s="1"/>
  <c r="N98" i="16"/>
  <c r="K98" i="16"/>
  <c r="E21" i="16" l="1"/>
  <c r="E19" i="16"/>
  <c r="N79" i="16" l="1"/>
  <c r="I63" i="16"/>
  <c r="I62" i="16"/>
  <c r="I61" i="16"/>
  <c r="I60" i="16"/>
  <c r="I58" i="16"/>
  <c r="I57" i="16"/>
  <c r="I56" i="16"/>
  <c r="I55" i="16"/>
  <c r="K79" i="16"/>
  <c r="I75" i="16"/>
  <c r="E16" i="16" l="1"/>
  <c r="E37" i="14" l="1"/>
  <c r="K49" i="16" l="1"/>
  <c r="I20" i="16"/>
  <c r="I18" i="16"/>
  <c r="I19" i="16"/>
  <c r="I15" i="16"/>
  <c r="I17" i="16"/>
  <c r="I14" i="16"/>
  <c r="I13" i="16"/>
  <c r="I12" i="16"/>
  <c r="I11" i="16" l="1"/>
  <c r="I10" i="16"/>
  <c r="I8" i="16"/>
  <c r="I7" i="16"/>
  <c r="I6" i="16"/>
  <c r="I5" i="16"/>
  <c r="I4" i="16"/>
  <c r="I24" i="16" s="1"/>
  <c r="N49" i="16"/>
  <c r="C61" i="14" l="1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E17" i="14"/>
  <c r="F17" i="14" s="1"/>
  <c r="F16" i="14"/>
  <c r="F15" i="14"/>
  <c r="F14" i="14"/>
  <c r="E13" i="14"/>
  <c r="F13" i="14" s="1"/>
  <c r="F12" i="14"/>
  <c r="F11" i="14"/>
  <c r="F10" i="14"/>
  <c r="E9" i="14"/>
  <c r="F9" i="14" s="1"/>
  <c r="F8" i="14"/>
  <c r="E7" i="14"/>
  <c r="E61" i="14" s="1"/>
  <c r="F6" i="14"/>
  <c r="F5" i="14"/>
  <c r="F7" i="14" l="1"/>
  <c r="F61" i="14" s="1"/>
  <c r="I103" i="14" l="1"/>
  <c r="I101" i="14"/>
  <c r="I85" i="14"/>
  <c r="I84" i="14"/>
  <c r="I86" i="14"/>
  <c r="I87" i="14"/>
  <c r="I91" i="14"/>
  <c r="I93" i="14"/>
  <c r="I94" i="14"/>
  <c r="I98" i="14"/>
  <c r="I96" i="14"/>
  <c r="I99" i="14"/>
  <c r="I100" i="14"/>
  <c r="N128" i="14"/>
  <c r="K128" i="14" l="1"/>
  <c r="C46" i="16" l="1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46" i="16"/>
  <c r="F6" i="16"/>
  <c r="F5" i="16"/>
  <c r="F7" i="16" l="1"/>
  <c r="F46" i="16" s="1"/>
  <c r="I60" i="14"/>
  <c r="E43" i="12"/>
  <c r="E40" i="12"/>
  <c r="I50" i="14"/>
  <c r="I52" i="14"/>
  <c r="I53" i="14"/>
  <c r="I54" i="14"/>
  <c r="I55" i="14"/>
  <c r="I57" i="14"/>
  <c r="I49" i="14"/>
  <c r="I47" i="14" l="1"/>
  <c r="N78" i="14"/>
  <c r="K78" i="14"/>
  <c r="I9" i="14" l="1"/>
  <c r="N38" i="14"/>
  <c r="I17" i="14"/>
  <c r="I13" i="14"/>
  <c r="I12" i="14"/>
  <c r="I11" i="14"/>
  <c r="I7" i="14"/>
  <c r="I5" i="14"/>
  <c r="I97" i="12"/>
  <c r="K38" i="14" l="1"/>
  <c r="I38" i="13"/>
  <c r="C38" i="13"/>
  <c r="F42" i="13" s="1"/>
  <c r="N37" i="13"/>
  <c r="L38" i="13"/>
  <c r="C38" i="11"/>
  <c r="C38" i="10"/>
  <c r="K40" i="13" l="1"/>
  <c r="F41" i="13" s="1"/>
  <c r="F44" i="13" s="1"/>
  <c r="F46" i="13" s="1"/>
  <c r="F48" i="13" s="1"/>
  <c r="K44" i="13" s="1"/>
  <c r="K47" i="13" s="1"/>
  <c r="F42" i="11" l="1"/>
  <c r="F41" i="11"/>
  <c r="F44" i="11" s="1"/>
  <c r="F46" i="11" s="1"/>
  <c r="F48" i="11" l="1"/>
  <c r="K44" i="11" s="1"/>
  <c r="K47" i="11" s="1"/>
  <c r="N37" i="11"/>
  <c r="L12" i="11"/>
  <c r="E31" i="12" l="1"/>
  <c r="I94" i="12"/>
  <c r="I96" i="12"/>
  <c r="I91" i="12"/>
  <c r="I89" i="12"/>
  <c r="I88" i="12"/>
  <c r="N109" i="12"/>
  <c r="K109" i="12"/>
  <c r="I106" i="12"/>
  <c r="F48" i="12" l="1"/>
  <c r="E16" i="12" l="1"/>
  <c r="I62" i="12"/>
  <c r="I61" i="12"/>
  <c r="I59" i="12"/>
  <c r="I60" i="12"/>
  <c r="I58" i="12"/>
  <c r="I56" i="12"/>
  <c r="I55" i="12"/>
  <c r="I52" i="12"/>
  <c r="I51" i="12"/>
  <c r="I53" i="12"/>
  <c r="I50" i="12"/>
  <c r="I47" i="12"/>
  <c r="I64" i="12" s="1"/>
  <c r="I49" i="12"/>
  <c r="I48" i="12"/>
  <c r="N83" i="12"/>
  <c r="K83" i="12"/>
  <c r="I4" i="12" l="1"/>
  <c r="I6" i="12"/>
  <c r="I7" i="12"/>
  <c r="I8" i="12"/>
  <c r="I10" i="12"/>
  <c r="I14" i="12"/>
  <c r="I16" i="12"/>
  <c r="I18" i="12"/>
  <c r="I20" i="12"/>
  <c r="I21" i="12"/>
  <c r="I23" i="12"/>
  <c r="T40" i="10" l="1"/>
  <c r="N41" i="12"/>
  <c r="L38" i="11" l="1"/>
  <c r="I38" i="11"/>
  <c r="K40" i="11" s="1"/>
  <c r="F38" i="11"/>
  <c r="L38" i="10"/>
  <c r="I38" i="10"/>
  <c r="K40" i="10" s="1"/>
  <c r="F38" i="10"/>
  <c r="F41" i="10" s="1"/>
  <c r="F42" i="10"/>
  <c r="N34" i="10"/>
  <c r="E61" i="12" l="1"/>
  <c r="C61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K41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61" i="12" s="1"/>
  <c r="U41" i="10" l="1"/>
  <c r="U42" i="10"/>
  <c r="U43" i="10"/>
  <c r="U44" i="10"/>
  <c r="U45" i="10"/>
  <c r="U46" i="10"/>
  <c r="U47" i="10"/>
  <c r="T30" i="10" l="1"/>
  <c r="AC97" i="10"/>
  <c r="Z97" i="10"/>
  <c r="R49" i="10" l="1"/>
  <c r="F43" i="10" s="1"/>
  <c r="F44" i="10" s="1"/>
  <c r="F46" i="10" s="1"/>
  <c r="T23" i="10"/>
  <c r="T15" i="10"/>
  <c r="AC69" i="10"/>
  <c r="Z69" i="10"/>
  <c r="K44" i="10" l="1"/>
  <c r="K47" i="10" s="1"/>
  <c r="AC46" i="10"/>
  <c r="T22" i="10"/>
  <c r="T18" i="10"/>
  <c r="T14" i="10"/>
  <c r="T13" i="10"/>
  <c r="Z46" i="10"/>
  <c r="AC19" i="10" l="1"/>
  <c r="Z19" i="10"/>
  <c r="T11" i="10"/>
  <c r="T10" i="10"/>
  <c r="T49" i="10" s="1"/>
  <c r="S40" i="9" l="1"/>
  <c r="F42" i="9" l="1"/>
  <c r="AA97" i="9" l="1"/>
  <c r="S38" i="9"/>
  <c r="X97" i="9"/>
  <c r="L38" i="9" l="1"/>
  <c r="C38" i="9"/>
  <c r="X80" i="9"/>
  <c r="AA80" i="9"/>
  <c r="S45" i="9"/>
  <c r="Q45" i="9"/>
  <c r="S37" i="9"/>
  <c r="U40" i="10" l="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2" i="9" s="1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5" i="9" l="1"/>
  <c r="U22" i="10"/>
  <c r="U49" i="10" s="1"/>
  <c r="AA69" i="9"/>
  <c r="AA58" i="9" l="1"/>
  <c r="AA47" i="9" l="1"/>
  <c r="AB44" i="9"/>
  <c r="AB42" i="9"/>
  <c r="AB36" i="9"/>
  <c r="AB33" i="9"/>
  <c r="AB30" i="9"/>
  <c r="AB27" i="9"/>
  <c r="C29" i="9" l="1"/>
  <c r="I38" i="9" l="1"/>
  <c r="K40" i="9" s="1"/>
  <c r="F38" i="9"/>
  <c r="F41" i="9" s="1"/>
  <c r="F44" i="9" l="1"/>
  <c r="F46" i="9" s="1"/>
  <c r="J43" i="9" s="1"/>
  <c r="J46" i="9" s="1"/>
  <c r="C37" i="8"/>
  <c r="P44" i="8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  <c r="L39" i="20"/>
</calcChain>
</file>

<file path=xl/sharedStrings.xml><?xml version="1.0" encoding="utf-8"?>
<sst xmlns="http://schemas.openxmlformats.org/spreadsheetml/2006/main" count="2240" uniqueCount="676">
  <si>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</si>
  <si>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</si>
  <si>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</si>
  <si>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</si>
  <si>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</si>
  <si>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</si>
  <si>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</si>
  <si>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</si>
  <si>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</si>
  <si>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</si>
  <si>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</si>
  <si>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</si>
  <si>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</si>
  <si>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</si>
  <si>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</si>
  <si>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</si>
  <si>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</si>
  <si>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</si>
  <si>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</si>
  <si>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</si>
  <si>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</si>
  <si>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</si>
  <si>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</si>
  <si>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</si>
  <si>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</si>
  <si>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</si>
  <si>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</si>
  <si>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</si>
  <si>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</si>
  <si>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</si>
  <si>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</si>
  <si>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</si>
  <si>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</si>
  <si>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</si>
  <si>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</si>
  <si>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</si>
  <si>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</si>
  <si>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</si>
  <si>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</si>
  <si>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</si>
  <si>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</si>
  <si>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</si>
  <si>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</si>
  <si>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</si>
  <si>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</si>
  <si>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</si>
  <si>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</si>
  <si>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</si>
  <si>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</si>
  <si>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</si>
  <si>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</si>
  <si>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</si>
  <si>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</si>
  <si>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</si>
  <si>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</si>
  <si>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</si>
  <si>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</si>
  <si>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</si>
  <si>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</si>
  <si>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</si>
  <si>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</si>
  <si>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</si>
  <si>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</si>
  <si>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</si>
  <si>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</si>
  <si>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</si>
  <si>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</si>
  <si>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</si>
  <si>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</si>
  <si>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</si>
  <si>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</si>
  <si>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</si>
  <si>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</si>
  <si>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</si>
  <si>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</si>
  <si>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</si>
  <si>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</si>
  <si>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</si>
  <si>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</si>
  <si>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</si>
  <si>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</si>
  <si>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</si>
  <si>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</si>
  <si>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</si>
  <si>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</si>
  <si>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</si>
  <si>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</si>
  <si>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</si>
  <si>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</si>
  <si>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</si>
  <si>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</si>
  <si>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</si>
  <si>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</si>
  <si>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</si>
  <si>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</si>
  <si>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</si>
  <si>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</si>
  <si>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</si>
  <si>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</si>
  <si>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</si>
  <si>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</si>
  <si>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</si>
  <si>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</si>
  <si>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</si>
  <si>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</si>
  <si>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</si>
  <si>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</si>
  <si>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</si>
  <si>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</si>
  <si>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</si>
  <si>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</si>
  <si>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</si>
  <si>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</si>
  <si>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</si>
  <si>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</si>
  <si>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</si>
  <si>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</si>
  <si>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</si>
  <si>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</si>
  <si>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</si>
  <si>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</si>
  <si>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</si>
  <si>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</si>
  <si>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</si>
  <si>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</si>
  <si>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</si>
  <si>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</si>
  <si>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</si>
  <si>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</si>
  <si>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</si>
  <si>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</si>
  <si>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</si>
  <si>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</si>
  <si>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</si>
  <si>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</si>
  <si>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</si>
  <si>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</si>
  <si>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</si>
  <si>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</si>
  <si>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</si>
  <si>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</si>
  <si>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</si>
  <si>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</si>
  <si>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</si>
  <si>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</si>
  <si>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</si>
  <si>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</si>
  <si>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</si>
  <si>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</si>
  <si>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</si>
  <si>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</si>
  <si>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</si>
  <si>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</si>
  <si>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</si>
  <si>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</si>
  <si>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</si>
  <si>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</si>
  <si>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</si>
  <si>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</si>
  <si>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</si>
  <si>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</si>
  <si>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</si>
  <si>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</si>
  <si>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</si>
  <si>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</si>
  <si>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</si>
  <si>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</si>
  <si>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</si>
  <si>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</si>
  <si>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</si>
  <si>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</si>
  <si>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</si>
  <si>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</si>
  <si>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</si>
  <si>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</si>
  <si>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</si>
  <si>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</si>
  <si>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</si>
  <si>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</si>
  <si>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</si>
  <si>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</si>
  <si>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</si>
  <si>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</si>
  <si>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</si>
  <si>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</si>
  <si>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</si>
  <si>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</si>
  <si>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</si>
  <si>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</si>
  <si>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</si>
  <si>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</si>
  <si>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</si>
  <si>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</si>
  <si>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</si>
  <si>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</si>
  <si>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</si>
  <si>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</si>
  <si>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</si>
  <si>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</si>
  <si>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</si>
  <si>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</si>
  <si>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</si>
  <si>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</si>
  <si>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</si>
  <si>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</si>
  <si>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</si>
  <si>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</si>
  <si>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</si>
  <si>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</si>
  <si>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</si>
  <si>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</si>
  <si>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</si>
  <si>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</si>
  <si>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</si>
  <si>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</si>
  <si>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</si>
  <si>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</si>
  <si>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</si>
  <si>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</si>
  <si>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</si>
  <si>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</si>
  <si>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</si>
  <si>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</si>
  <si>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</si>
  <si>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</si>
  <si>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</si>
  <si>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</si>
  <si>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</si>
  <si>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</si>
  <si>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</si>
  <si>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</si>
  <si>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</si>
  <si>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</si>
  <si>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</si>
  <si>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</si>
  <si>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</si>
  <si>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</si>
  <si>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</si>
  <si>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</si>
  <si>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</si>
  <si>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</si>
  <si>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</si>
  <si>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</si>
  <si>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</si>
  <si>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</si>
  <si>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</si>
  <si>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</si>
  <si>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03-Febrero .,2015</t>
  </si>
  <si>
    <t>R-10577</t>
  </si>
  <si>
    <t>NOTAS OBRADOR</t>
  </si>
  <si>
    <t xml:space="preserve">SUB TOTAL </t>
  </si>
  <si>
    <t>SUB TOTAL 2</t>
  </si>
  <si>
    <t># 58608---# 58682</t>
  </si>
  <si>
    <t>04-Febrero .,2015</t>
  </si>
  <si>
    <t>03-Feb--04-Feb</t>
  </si>
  <si>
    <t>NOMINA 05</t>
  </si>
  <si>
    <t>vac- Marisol</t>
  </si>
  <si>
    <t>menos inventario inicial</t>
  </si>
  <si>
    <t>NOMINA 06</t>
  </si>
  <si>
    <t>NOMINA 07</t>
  </si>
  <si>
    <t>NOMINA 08</t>
  </si>
  <si>
    <t>NOMINA 09</t>
  </si>
  <si>
    <t># 58683---# 58741</t>
  </si>
  <si>
    <t># 58742---# 58789</t>
  </si>
  <si>
    <t>BANCO</t>
  </si>
  <si>
    <t># 58790---# 58838</t>
  </si>
  <si>
    <t>Cerrajero-policia</t>
  </si>
  <si>
    <t># 58839---# 58873</t>
  </si>
  <si>
    <t>#58874---# 58917</t>
  </si>
  <si>
    <t>#58918---# 58980</t>
  </si>
  <si>
    <t># 58981---# 59058</t>
  </si>
  <si>
    <t>04-Feb ---12-Feb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</si>
  <si>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</si>
  <si>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</si>
  <si>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</si>
  <si>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</si>
  <si>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</si>
  <si>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</si>
  <si>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</si>
  <si>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12-Feb--16-Feb</t>
  </si>
  <si>
    <t>jamon--tocino</t>
  </si>
  <si>
    <t>#59451---# 59509</t>
  </si>
  <si>
    <t># 59510---# 59561</t>
  </si>
  <si>
    <t># 59562---# 59614</t>
  </si>
  <si>
    <t># 59615---59648</t>
  </si>
  <si>
    <t>16-Feb 500.00--21-Feb 4,662.90</t>
  </si>
  <si>
    <t>16-Feb 12,450.00--21-Feb 65,966.35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</si>
  <si>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</si>
  <si>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</si>
  <si>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</si>
  <si>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</si>
  <si>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</si>
  <si>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</si>
  <si>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</si>
  <si>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21-Feb--28-Feb</t>
  </si>
  <si>
    <t>FECHA</t>
  </si>
  <si>
    <t>#</t>
  </si>
  <si>
    <t>IMPORTE</t>
  </si>
  <si>
    <t>PAGO</t>
  </si>
  <si>
    <t>SALDO</t>
  </si>
  <si>
    <t># 60025---# 60083</t>
  </si>
  <si>
    <t># 60084---# 60130</t>
  </si>
  <si>
    <t># 60131---# 60212</t>
  </si>
  <si>
    <t>REMISION OBRADOR</t>
  </si>
  <si>
    <t xml:space="preserve">BALANCE       DE   MARZO      2015     HERRADURA 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</si>
  <si>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</si>
  <si>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</si>
  <si>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</si>
  <si>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</si>
  <si>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</si>
  <si>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</si>
  <si>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</si>
  <si>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# 60584--# 60654</t>
  </si>
  <si>
    <t>tocino-jamon</t>
  </si>
  <si>
    <t># 60655---# 60711</t>
  </si>
  <si>
    <t xml:space="preserve">28-Feb ---12-Mar </t>
  </si>
  <si>
    <t>NOMINA 10</t>
  </si>
  <si>
    <t>NOMINA 11</t>
  </si>
  <si>
    <t>NOMINA 12</t>
  </si>
  <si>
    <t>NOMINA 13</t>
  </si>
  <si>
    <t># 60914---# 60985</t>
  </si>
  <si>
    <t># 60986---# 61053</t>
  </si>
  <si>
    <t># 60712---# 60761</t>
  </si>
  <si>
    <t># 60762---# 60810</t>
  </si>
  <si>
    <t># 60811---# 60870</t>
  </si>
  <si>
    <t># 60871---# 60913</t>
  </si>
  <si>
    <t># 61054---# 61115</t>
  </si>
  <si>
    <t># 61116---# 61175</t>
  </si>
  <si>
    <t># 61176---# 61230</t>
  </si>
  <si>
    <t># 61231---# 61282</t>
  </si>
  <si>
    <t># 61283---# 61324</t>
  </si>
  <si>
    <t>12-Mar 33,161.71--24-Mar 7,655.09</t>
  </si>
  <si>
    <t>fumigacion</t>
  </si>
  <si>
    <t># 61325---# 61406</t>
  </si>
  <si>
    <t># 61407---# 61484</t>
  </si>
  <si>
    <t># 61485---# 61530</t>
  </si>
  <si>
    <t># 61531---# 51567</t>
  </si>
  <si>
    <t># 61568---# 61612</t>
  </si>
  <si>
    <t># 61613---# 61662</t>
  </si>
  <si>
    <t xml:space="preserve">24-Mar --30-Mar </t>
  </si>
  <si>
    <t># 61663---# 61709</t>
  </si>
  <si>
    <t># 61710---61784</t>
  </si>
  <si>
    <t># 61785---# 61846</t>
  </si>
  <si>
    <t># 61847---# 61894</t>
  </si>
  <si>
    <t>NOMINA  14</t>
  </si>
  <si>
    <t>a</t>
  </si>
  <si>
    <t>CREDITOS</t>
  </si>
  <si>
    <t xml:space="preserve">Sub Total </t>
  </si>
  <si>
    <t xml:space="preserve">BALANCE       DE   ABRIL       2015     HERRADURA </t>
  </si>
  <si>
    <t>NOMINA 14</t>
  </si>
  <si>
    <t>NOMINA 15</t>
  </si>
  <si>
    <t>NOMINA 16</t>
  </si>
  <si>
    <t>NOMINA 17</t>
  </si>
  <si>
    <t>NOMINA  18</t>
  </si>
  <si>
    <t># 61943---# 61972</t>
  </si>
  <si>
    <t># 61973---# 62024</t>
  </si>
  <si>
    <t># 62025---# 62092</t>
  </si>
  <si>
    <t>SOAPAP 5-Abril</t>
  </si>
  <si>
    <t># 62093---# 62162</t>
  </si>
  <si>
    <t># 62163---# 62218</t>
  </si>
  <si>
    <t># 62219---# 62266</t>
  </si>
  <si>
    <t>ABONO</t>
  </si>
  <si>
    <t># 62267---# 62306</t>
  </si>
  <si>
    <t># 62307---# 62362</t>
  </si>
  <si>
    <t># 62363---# 62426</t>
  </si>
  <si>
    <t># 62427---# 62487</t>
  </si>
  <si>
    <t># 62488 ---# 62555</t>
  </si>
  <si>
    <t># 62556---# 62607</t>
  </si>
  <si>
    <t># 62608---# 62650</t>
  </si>
  <si>
    <t># 62651---# 62692</t>
  </si>
  <si>
    <t>Folio 1305</t>
  </si>
  <si>
    <t>S/Rem 17425</t>
  </si>
  <si>
    <t>Folio 1298</t>
  </si>
  <si>
    <t>S/Rem 16197</t>
  </si>
  <si>
    <t>dif precio vaciada</t>
  </si>
  <si>
    <t>sin Remision</t>
  </si>
  <si>
    <t>Abono</t>
  </si>
  <si>
    <t xml:space="preserve">30-Mar--09-Abril --20-Abril </t>
  </si>
  <si>
    <t>09-Abril---20-Abril</t>
  </si>
  <si>
    <t xml:space="preserve">09-Abril ---20-Abril </t>
  </si>
  <si>
    <t># 62693---# 62750</t>
  </si>
  <si>
    <t># 62751---# 62817</t>
  </si>
  <si>
    <t># 62818---# 62880</t>
  </si>
  <si>
    <t># 62881---# 62950</t>
  </si>
  <si>
    <t># 62951---# 63000</t>
  </si>
  <si>
    <t># 63001---# 63048</t>
  </si>
  <si>
    <t># 63049---# 63093</t>
  </si>
  <si>
    <t># 63094---# 63148</t>
  </si>
  <si>
    <t># 63149---# 63214</t>
  </si>
  <si>
    <t>delantero</t>
  </si>
  <si>
    <t># 63215---# 63290</t>
  </si>
  <si>
    <t># 63291---# 63368</t>
  </si>
  <si>
    <t># 63369---# 63413</t>
  </si>
  <si>
    <t># 63414---# 63467</t>
  </si>
  <si>
    <t># 63468---# 63509</t>
  </si>
  <si>
    <t>Recepcion producto ????</t>
  </si>
  <si>
    <t>??????</t>
  </si>
  <si>
    <t>Recepcion de producto ???</t>
  </si>
  <si>
    <t># 63510---# 63576</t>
  </si>
  <si>
    <t xml:space="preserve">20-Abril -+-02-Mayo </t>
  </si>
  <si>
    <t>FOLIO???</t>
  </si>
  <si>
    <t>PERDIDA</t>
  </si>
  <si>
    <t xml:space="preserve">BALANCE       DE   M A Y O        2015     HERRADURA </t>
  </si>
  <si>
    <t>NOMINA 19</t>
  </si>
  <si>
    <t>NOMINA 20</t>
  </si>
  <si>
    <t>NOMINA 21</t>
  </si>
  <si>
    <t>NOMINA 22</t>
  </si>
  <si>
    <t>NOMINA  23</t>
  </si>
  <si>
    <t xml:space="preserve">SOAPAP </t>
  </si>
  <si>
    <t>#63577---# 63664</t>
  </si>
  <si>
    <t># 63665---# 63734</t>
  </si>
  <si>
    <t># 63735---# 63792</t>
  </si>
  <si>
    <t># 63793---# 63836</t>
  </si>
  <si>
    <t># 63837---# 63880</t>
  </si>
  <si>
    <t># 63881---# 63937</t>
  </si>
  <si>
    <t># 63938---# 63989</t>
  </si>
  <si>
    <t># 63990---# 64050</t>
  </si>
  <si>
    <t># 64051---# 64126</t>
  </si>
  <si>
    <t># 64127---# 64200</t>
  </si>
  <si>
    <t># 64201---# 64244</t>
  </si>
  <si>
    <t># 64245---# 64302</t>
  </si>
  <si>
    <t>Tripas-tocino</t>
  </si>
  <si>
    <t># 64303---# 64352</t>
  </si>
  <si>
    <t>SANTANDER</t>
  </si>
  <si>
    <t>02-May-16-May</t>
  </si>
  <si>
    <t>16-MaY--18-May</t>
  </si>
  <si>
    <t># 64353---# 64410</t>
  </si>
  <si>
    <t># 64411---# 64464</t>
  </si>
  <si>
    <t># 64465---# 64529</t>
  </si>
  <si>
    <t># 64530---# 64588</t>
  </si>
  <si>
    <t># 64589---# 64638</t>
  </si>
  <si>
    <t># 64639---# 64675</t>
  </si>
  <si>
    <t>16-May ---23-May</t>
  </si>
  <si>
    <t xml:space="preserve">23-May --29-May </t>
  </si>
  <si>
    <t># 64761---# 64822</t>
  </si>
  <si>
    <t># 64823---# 64875</t>
  </si>
  <si>
    <t># 64876---# 64928</t>
  </si>
  <si>
    <t># 64929---# 64977</t>
  </si>
  <si>
    <t># 64978---# 65016</t>
  </si>
  <si>
    <t># 65017---# 65058</t>
  </si>
  <si>
    <t xml:space="preserve">tripas  </t>
  </si>
  <si>
    <t># 65059---# 65103</t>
  </si>
  <si>
    <t># 65104---# 65158</t>
  </si>
  <si>
    <t># 65159---# 65223</t>
  </si>
  <si>
    <t># 64676---# 64715</t>
  </si>
  <si>
    <t># 64716---# 64760</t>
  </si>
  <si>
    <t># 65224---# 65296</t>
  </si>
  <si>
    <t>NOMINA 23</t>
  </si>
  <si>
    <t>NOMINA 24</t>
  </si>
  <si>
    <t>NOMINA 25</t>
  </si>
  <si>
    <t>NOMINA  26</t>
  </si>
  <si>
    <t xml:space="preserve">BALANCE       DE   JUNIO        2015     HERRADURA </t>
  </si>
  <si>
    <t># 65297---# 65332</t>
  </si>
  <si>
    <t># 65333---# 65375</t>
  </si>
  <si>
    <t># 65376---# 65415</t>
  </si>
  <si>
    <t># 65416---# 65461</t>
  </si>
  <si>
    <t># 65462---# 65520</t>
  </si>
  <si>
    <t>Tocino</t>
  </si>
  <si>
    <t># 65521---# 65585</t>
  </si>
  <si>
    <t># 65586---# 65650</t>
  </si>
  <si>
    <t># 65651---# 65711</t>
  </si>
  <si>
    <t>Santander</t>
  </si>
  <si>
    <t># 65712---65751</t>
  </si>
  <si>
    <t># 65752---# 65792</t>
  </si>
  <si>
    <t># 65793---# 65838</t>
  </si>
  <si>
    <t># 65839---# 65892</t>
  </si>
  <si>
    <t>Tripas --condimentos</t>
  </si>
  <si>
    <t># 65893---# 65969</t>
  </si>
  <si>
    <t xml:space="preserve">GANANCIA </t>
  </si>
  <si>
    <t>#65970---# 66028</t>
  </si>
  <si>
    <t>TRIPAS</t>
  </si>
  <si>
    <t># 66029---# 66087</t>
  </si>
  <si>
    <t># 66088---# 66121</t>
  </si>
  <si>
    <t># 66122---# 66162</t>
  </si>
  <si>
    <t>10-Jun FOLIO 1501</t>
  </si>
  <si>
    <t># 66163---# 66218</t>
  </si>
  <si>
    <t># 66219---# 66276</t>
  </si>
  <si>
    <t># 66277---# 66347</t>
  </si>
  <si>
    <t>santander</t>
  </si>
  <si>
    <t xml:space="preserve">10-jun --22-Jun </t>
  </si>
  <si>
    <t># 66348---# 66431</t>
  </si>
  <si>
    <t># 66432---# 66487</t>
  </si>
  <si>
    <t>0034 A</t>
  </si>
  <si>
    <t>0107 A</t>
  </si>
  <si>
    <t>0215 A</t>
  </si>
  <si>
    <t>0243 A</t>
  </si>
  <si>
    <t>0283 A</t>
  </si>
  <si>
    <t>0465 A</t>
  </si>
  <si>
    <t>0478 A</t>
  </si>
  <si>
    <t>0480 A</t>
  </si>
  <si>
    <t>0444 A</t>
  </si>
  <si>
    <t>0554 A</t>
  </si>
  <si>
    <t>0577 A</t>
  </si>
  <si>
    <t>0615 A</t>
  </si>
  <si>
    <t>0685 A</t>
  </si>
  <si>
    <t>0786 A</t>
  </si>
  <si>
    <t xml:space="preserve">BALANCE       DE   JUlIO        2015     HERRADURA </t>
  </si>
  <si>
    <t># 66488---# 66532</t>
  </si>
  <si>
    <t># 66533---# 66574</t>
  </si>
  <si>
    <t># 66575---# 66617</t>
  </si>
  <si>
    <t># 66618---# 66681</t>
  </si>
  <si>
    <t># 66682---# 66753</t>
  </si>
  <si>
    <t># 66754---# 66825</t>
  </si>
  <si>
    <t>#  66827---# 66879</t>
  </si>
  <si>
    <t># 66880---# 66927</t>
  </si>
  <si>
    <t>Deposito</t>
  </si>
  <si>
    <t>0950 A</t>
  </si>
  <si>
    <t xml:space="preserve">22-Jun --04-Jul </t>
  </si>
  <si>
    <t>1135 A</t>
  </si>
  <si>
    <t>1142 A</t>
  </si>
  <si>
    <t>1261 A</t>
  </si>
  <si>
    <t>1266 A</t>
  </si>
  <si>
    <t>1365 A</t>
  </si>
  <si>
    <t>1563 A</t>
  </si>
  <si>
    <t>1678 A</t>
  </si>
  <si>
    <t>1826 A</t>
  </si>
  <si>
    <t>1989 A</t>
  </si>
  <si>
    <t>2016 A</t>
  </si>
  <si>
    <t>Tripas</t>
  </si>
  <si>
    <t># 66928---# 66968</t>
  </si>
  <si>
    <t># 66969---# 66716</t>
  </si>
  <si>
    <t># 67017---# 67077</t>
  </si>
  <si>
    <t>#  67078---# 67150</t>
  </si>
  <si>
    <t>NOMINA 27</t>
  </si>
  <si>
    <t>NOMINA 28</t>
  </si>
  <si>
    <t>NOMINA 29</t>
  </si>
  <si>
    <t>NOMINA 30</t>
  </si>
  <si>
    <t>NOMINA  31</t>
  </si>
  <si>
    <t># 67151---# 67212</t>
  </si>
  <si>
    <t># 67213---# 67261</t>
  </si>
  <si>
    <t>0922 A</t>
  </si>
  <si>
    <t># 67262---# 67304</t>
  </si>
  <si>
    <t># 67305---# 67355</t>
  </si>
  <si>
    <t># 67356---# 67427</t>
  </si>
  <si>
    <t># 67428---# 67488</t>
  </si>
  <si>
    <t># 67489---# 67565</t>
  </si>
  <si>
    <t>May-Jun 12-jul</t>
  </si>
  <si>
    <t># 67566---# 67646</t>
  </si>
  <si>
    <t>2107 A</t>
  </si>
  <si>
    <t>2207 A</t>
  </si>
  <si>
    <t>2284 A</t>
  </si>
  <si>
    <t>2365 A</t>
  </si>
  <si>
    <t>2491 A</t>
  </si>
  <si>
    <t>04-Jul--16-Jul</t>
  </si>
  <si>
    <t>2419 A</t>
  </si>
  <si>
    <t>2507 A</t>
  </si>
  <si>
    <t># 67647---# 67700</t>
  </si>
  <si>
    <t># 67701---# 67744</t>
  </si>
  <si>
    <t># 67745---# 67800</t>
  </si>
  <si>
    <t># 67801---# 67858</t>
  </si>
  <si>
    <t># 67859---# 67922</t>
  </si>
  <si>
    <t># 67923---# 67999</t>
  </si>
  <si>
    <t># 68000---# 68056</t>
  </si>
  <si>
    <t># 68057---# 68100</t>
  </si>
  <si>
    <t>2668 A</t>
  </si>
  <si>
    <t>2732 A</t>
  </si>
  <si>
    <t>2760 A</t>
  </si>
  <si>
    <t>2863 A</t>
  </si>
  <si>
    <t>2973 A</t>
  </si>
  <si>
    <t>16-Jul--22-Jul</t>
  </si>
  <si>
    <t># 66969---# 67016</t>
  </si>
  <si>
    <t>3211 A</t>
  </si>
  <si>
    <t>3323 A</t>
  </si>
  <si>
    <t>3469 A</t>
  </si>
  <si>
    <t>3489 A</t>
  </si>
  <si>
    <t>3499 A</t>
  </si>
  <si>
    <t>3580 A</t>
  </si>
  <si>
    <t>3648 A</t>
  </si>
  <si>
    <t>3662 A</t>
  </si>
  <si>
    <t>3858 A</t>
  </si>
  <si>
    <t>4021 A</t>
  </si>
  <si>
    <t># 68101---# 68138</t>
  </si>
  <si>
    <t># 68139---# 68185</t>
  </si>
  <si>
    <t># 68186---# 68238</t>
  </si>
  <si>
    <t># 68239---# 68300</t>
  </si>
  <si>
    <t># 68301---# 68365</t>
  </si>
  <si>
    <t># 68366---# 38425</t>
  </si>
  <si>
    <t># 68426---# 68479</t>
  </si>
  <si>
    <t># 68480---# 68522</t>
  </si>
  <si>
    <t>2863 a</t>
  </si>
  <si>
    <t xml:space="preserve">22-Jul --31-Jul </t>
  </si>
  <si>
    <t>3960 A</t>
  </si>
  <si>
    <t>3957 A</t>
  </si>
  <si>
    <t xml:space="preserve">BALANCE       DE  AGOSTO        2015     HERRADURA </t>
  </si>
  <si>
    <t>4226 A</t>
  </si>
  <si>
    <t>4247 A</t>
  </si>
  <si>
    <t>4323 A</t>
  </si>
  <si>
    <t>4396 A</t>
  </si>
  <si>
    <t>4581 A</t>
  </si>
  <si>
    <t>4678 A</t>
  </si>
  <si>
    <t>4758 A</t>
  </si>
  <si>
    <t>4900 A</t>
  </si>
  <si>
    <t>5053 A</t>
  </si>
  <si>
    <t>5135 A</t>
  </si>
  <si>
    <t>5201 A</t>
  </si>
  <si>
    <t># 68523---# 68566</t>
  </si>
  <si>
    <t># 38567---# 68616</t>
  </si>
  <si>
    <t># 68617---# 68686</t>
  </si>
  <si>
    <t>5330 A</t>
  </si>
  <si>
    <t># 68687---# 68753</t>
  </si>
  <si>
    <t># 68754---# 68821</t>
  </si>
  <si>
    <t># 68822---# 68870</t>
  </si>
  <si>
    <t># 68871---# 68909</t>
  </si>
  <si>
    <t># 68910---# 68943</t>
  </si>
  <si>
    <t># 68944---# 68985</t>
  </si>
  <si>
    <t>TOCINO--TRIPAS</t>
  </si>
  <si>
    <t># 68986---# 69049</t>
  </si>
  <si>
    <t># 69050---# 69104</t>
  </si>
  <si>
    <t># 69105---# 69155</t>
  </si>
  <si>
    <t># 69156--# 69215</t>
  </si>
  <si>
    <t>31-Jul --12-Ago</t>
  </si>
  <si>
    <t>5396 A</t>
  </si>
  <si>
    <t>GANACIA</t>
  </si>
  <si>
    <t>NOMINA 31</t>
  </si>
  <si>
    <t>NOMINA 32</t>
  </si>
  <si>
    <t>NOMINA 33</t>
  </si>
  <si>
    <t>NOMINA 34</t>
  </si>
  <si>
    <t>NOMINA  35</t>
  </si>
  <si>
    <t>5469 A</t>
  </si>
  <si>
    <t>5712 A</t>
  </si>
  <si>
    <t>5818 A</t>
  </si>
  <si>
    <t>5926 A</t>
  </si>
  <si>
    <t>6060 A</t>
  </si>
  <si>
    <t>6220 A</t>
  </si>
  <si>
    <t>6343 A</t>
  </si>
  <si>
    <t>#69216---# 69256</t>
  </si>
  <si>
    <t># 69256---# 69302</t>
  </si>
  <si>
    <t># 69303---# 69344</t>
  </si>
  <si>
    <t># 69345---# 69410</t>
  </si>
  <si>
    <t># 69411---# 69465</t>
  </si>
  <si>
    <t># 69466---# 69527</t>
  </si>
  <si>
    <t># 69528---# 69570</t>
  </si>
  <si>
    <t># 69571---# 69615</t>
  </si>
  <si>
    <t># 69616---# 69659</t>
  </si>
  <si>
    <t># 69660---# 69700</t>
  </si>
  <si>
    <t xml:space="preserve">12-Ago --21-Ago </t>
  </si>
  <si>
    <t>6517 A</t>
  </si>
  <si>
    <t>6601 A</t>
  </si>
  <si>
    <t>6602 A</t>
  </si>
  <si>
    <t>6677 A</t>
  </si>
  <si>
    <t>6723 A</t>
  </si>
  <si>
    <t># 69701---# 69764</t>
  </si>
  <si>
    <t># 69765---# 69841</t>
  </si>
  <si>
    <t># 69842---# 69903</t>
  </si>
  <si>
    <t># 69904---# 69940</t>
  </si>
  <si>
    <t>6862 A</t>
  </si>
  <si>
    <t>21-Ago --27-Ago</t>
  </si>
  <si>
    <t>7099 A</t>
  </si>
  <si>
    <t>6358 A</t>
  </si>
  <si>
    <t>7005 A</t>
  </si>
  <si>
    <t>7220 A</t>
  </si>
  <si>
    <t>7331 A</t>
  </si>
  <si>
    <t>7392 A</t>
  </si>
  <si>
    <t>7403 A</t>
  </si>
  <si>
    <t># 69941---# 69980</t>
  </si>
  <si>
    <t># 69981---# 70019</t>
  </si>
  <si>
    <t># 70020---# 70058</t>
  </si>
  <si>
    <t># 70059---# 70113</t>
  </si>
  <si>
    <t># 70114---# 70190</t>
  </si>
  <si>
    <t>7475 A</t>
  </si>
  <si>
    <t xml:space="preserve">27-Ago --01-Sep </t>
  </si>
  <si>
    <t xml:space="preserve">BALANCE       DE  SEPTIEMBRE         2015     HERRADURA </t>
  </si>
  <si>
    <t>7647 A</t>
  </si>
  <si>
    <t># 70191--# 70244</t>
  </si>
  <si>
    <t>morralla</t>
  </si>
  <si>
    <t># 70245---# 70290</t>
  </si>
  <si>
    <t>FONDO DE CAJA  $  1,000.00</t>
  </si>
  <si>
    <t>7827 A</t>
  </si>
  <si>
    <t>7908 A</t>
  </si>
  <si>
    <t>error nota MARISOL</t>
  </si>
  <si>
    <t>8210-A</t>
  </si>
  <si>
    <t>8211 A</t>
  </si>
  <si>
    <t>8212 A</t>
  </si>
  <si>
    <t>8277 A</t>
  </si>
  <si>
    <t>7999 A</t>
  </si>
  <si>
    <t>8096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</si>
</sst>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00FF"/>
      <name val="Calibri"/>
      <family val="2"/>
    </font>
    <font>
      <b/>
      <u val="singleAccounting"/>
      <sz val="9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49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6" fontId="17" fillId="0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4" fontId="0" fillId="0" borderId="52" xfId="0" applyNumberFormat="1" applyBorder="1"/>
    <xf numFmtId="0" fontId="10" fillId="0" borderId="51" xfId="0" applyFont="1" applyBorder="1"/>
    <xf numFmtId="0" fontId="9" fillId="0" borderId="51" xfId="0" applyFont="1" applyFill="1" applyBorder="1"/>
    <xf numFmtId="44" fontId="0" fillId="0" borderId="52" xfId="1" applyFont="1" applyBorder="1" applyAlignment="1">
      <alignment horizontal="center"/>
    </xf>
    <xf numFmtId="0" fontId="0" fillId="0" borderId="51" xfId="0" applyFill="1" applyBorder="1"/>
    <xf numFmtId="44" fontId="0" fillId="0" borderId="52" xfId="1" applyFont="1" applyFill="1" applyBorder="1" applyAlignment="1">
      <alignment horizontal="center"/>
    </xf>
    <xf numFmtId="16" fontId="0" fillId="0" borderId="51" xfId="0" applyNumberFormat="1" applyBorder="1"/>
    <xf numFmtId="44" fontId="0" fillId="0" borderId="52" xfId="1" applyFont="1" applyBorder="1"/>
    <xf numFmtId="0" fontId="9" fillId="0" borderId="51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/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166" fontId="25" fillId="0" borderId="0" xfId="0" applyNumberFormat="1" applyFont="1" applyFill="1" applyBorder="1"/>
    <xf numFmtId="44" fontId="26" fillId="0" borderId="0" xfId="1" applyFont="1" applyFill="1" applyBorder="1"/>
    <xf numFmtId="166" fontId="27" fillId="0" borderId="0" xfId="0" applyNumberFormat="1" applyFont="1" applyFill="1" applyBorder="1"/>
    <xf numFmtId="166" fontId="3" fillId="0" borderId="0" xfId="0" applyNumberFormat="1" applyFont="1" applyFill="1" applyBorder="1"/>
    <xf numFmtId="165" fontId="1" fillId="0" borderId="43" xfId="0" applyNumberFormat="1" applyFont="1" applyBorder="1"/>
    <xf numFmtId="165" fontId="19" fillId="0" borderId="54" xfId="0" applyNumberFormat="1" applyFont="1" applyFill="1" applyBorder="1" applyAlignment="1">
      <alignment horizontal="right"/>
    </xf>
    <xf numFmtId="44" fontId="19" fillId="0" borderId="55" xfId="1" applyFont="1" applyBorder="1"/>
    <xf numFmtId="0" fontId="1" fillId="0" borderId="56" xfId="0" applyFont="1" applyBorder="1"/>
    <xf numFmtId="1" fontId="19" fillId="0" borderId="42" xfId="0" applyNumberFormat="1" applyFont="1" applyFill="1" applyBorder="1"/>
    <xf numFmtId="1" fontId="0" fillId="0" borderId="42" xfId="0" applyNumberFormat="1" applyBorder="1"/>
    <xf numFmtId="1" fontId="24" fillId="0" borderId="42" xfId="0" applyNumberFormat="1" applyFont="1" applyFill="1" applyBorder="1" applyAlignment="1">
      <alignment horizontal="center"/>
    </xf>
    <xf numFmtId="1" fontId="19" fillId="0" borderId="42" xfId="0" applyNumberFormat="1" applyFont="1" applyFill="1" applyBorder="1" applyAlignment="1">
      <alignment horizontal="center"/>
    </xf>
    <xf numFmtId="1" fontId="24" fillId="0" borderId="43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24" fillId="0" borderId="5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0" borderId="42" xfId="0" applyNumberFormat="1" applyFont="1" applyBorder="1"/>
    <xf numFmtId="0" fontId="5" fillId="0" borderId="51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0" fillId="0" borderId="42" xfId="0" applyFill="1" applyBorder="1"/>
    <xf numFmtId="44" fontId="1" fillId="0" borderId="42" xfId="1" applyFont="1" applyFill="1" applyBorder="1"/>
    <xf numFmtId="44" fontId="19" fillId="0" borderId="0" xfId="1" applyFont="1" applyFill="1" applyBorder="1"/>
    <xf numFmtId="0" fontId="1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 applyBorder="1"/>
    <xf numFmtId="16" fontId="0" fillId="0" borderId="42" xfId="0" applyNumberFormat="1" applyFill="1" applyBorder="1"/>
    <xf numFmtId="44" fontId="23" fillId="0" borderId="0" xfId="1" applyFont="1" applyFill="1" applyBorder="1"/>
    <xf numFmtId="44" fontId="23" fillId="0" borderId="42" xfId="1" applyFont="1" applyFill="1" applyBorder="1"/>
    <xf numFmtId="165" fontId="21" fillId="0" borderId="0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1" fillId="0" borderId="43" xfId="1" applyFont="1" applyFill="1" applyBorder="1"/>
    <xf numFmtId="44" fontId="13" fillId="0" borderId="1" xfId="1" applyFont="1" applyBorder="1"/>
    <xf numFmtId="44" fontId="13" fillId="0" borderId="18" xfId="1" applyFont="1" applyBorder="1"/>
    <xf numFmtId="44" fontId="13" fillId="0" borderId="37" xfId="1" applyFont="1" applyBorder="1"/>
    <xf numFmtId="165" fontId="0" fillId="0" borderId="42" xfId="0" applyNumberFormat="1" applyFill="1" applyBorder="1"/>
    <xf numFmtId="165" fontId="0" fillId="0" borderId="42" xfId="0" applyNumberFormat="1" applyBorder="1"/>
    <xf numFmtId="165" fontId="21" fillId="6" borderId="0" xfId="1" applyNumberFormat="1" applyFont="1" applyFill="1" applyBorder="1" applyAlignment="1">
      <alignment horizontal="center"/>
    </xf>
    <xf numFmtId="165" fontId="21" fillId="7" borderId="0" xfId="1" applyNumberFormat="1" applyFont="1" applyFill="1" applyBorder="1" applyAlignment="1">
      <alignment horizontal="center"/>
    </xf>
    <xf numFmtId="165" fontId="19" fillId="0" borderId="42" xfId="0" applyNumberFormat="1" applyFont="1" applyFill="1" applyBorder="1" applyAlignment="1">
      <alignment horizontal="center"/>
    </xf>
    <xf numFmtId="165" fontId="1" fillId="0" borderId="42" xfId="0" applyNumberFormat="1" applyFont="1" applyFill="1" applyBorder="1"/>
    <xf numFmtId="16" fontId="0" fillId="0" borderId="42" xfId="0" applyNumberFormat="1" applyBorder="1"/>
    <xf numFmtId="165" fontId="28" fillId="0" borderId="25" xfId="1" applyNumberFormat="1" applyFont="1" applyFill="1" applyBorder="1"/>
    <xf numFmtId="165" fontId="1" fillId="0" borderId="43" xfId="0" applyNumberFormat="1" applyFont="1" applyFill="1" applyBorder="1"/>
    <xf numFmtId="44" fontId="21" fillId="0" borderId="43" xfId="1" applyFont="1" applyFill="1" applyBorder="1"/>
    <xf numFmtId="165" fontId="19" fillId="0" borderId="43" xfId="0" applyNumberFormat="1" applyFont="1" applyFill="1" applyBorder="1" applyAlignment="1">
      <alignment horizontal="center"/>
    </xf>
    <xf numFmtId="16" fontId="0" fillId="0" borderId="43" xfId="0" applyNumberFormat="1" applyBorder="1"/>
    <xf numFmtId="1" fontId="0" fillId="0" borderId="57" xfId="0" applyNumberFormat="1" applyBorder="1" applyAlignment="1">
      <alignment horizontal="center"/>
    </xf>
    <xf numFmtId="44" fontId="1" fillId="0" borderId="57" xfId="1" applyFont="1" applyBorder="1"/>
    <xf numFmtId="165" fontId="19" fillId="0" borderId="57" xfId="0" applyNumberFormat="1" applyFont="1" applyFill="1" applyBorder="1"/>
    <xf numFmtId="0" fontId="0" fillId="0" borderId="57" xfId="0" applyBorder="1"/>
    <xf numFmtId="0" fontId="0" fillId="0" borderId="43" xfId="0" applyBorder="1"/>
    <xf numFmtId="44" fontId="1" fillId="0" borderId="43" xfId="1" applyFont="1" applyBorder="1"/>
    <xf numFmtId="1" fontId="29" fillId="0" borderId="0" xfId="0" applyNumberFormat="1" applyFont="1" applyAlignment="1">
      <alignment horizontal="center"/>
    </xf>
    <xf numFmtId="1" fontId="29" fillId="0" borderId="42" xfId="0" applyNumberFormat="1" applyFont="1" applyBorder="1" applyAlignment="1">
      <alignment horizontal="center"/>
    </xf>
    <xf numFmtId="44" fontId="23" fillId="0" borderId="45" xfId="1" applyFont="1" applyFill="1" applyBorder="1"/>
    <xf numFmtId="44" fontId="0" fillId="0" borderId="0" xfId="1" applyFont="1" applyFill="1"/>
    <xf numFmtId="165" fontId="1" fillId="0" borderId="57" xfId="0" applyNumberFormat="1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44" fontId="21" fillId="0" borderId="59" xfId="1" applyFont="1" applyFill="1" applyBorder="1"/>
    <xf numFmtId="44" fontId="1" fillId="0" borderId="60" xfId="1" applyFont="1" applyFill="1" applyBorder="1"/>
    <xf numFmtId="165" fontId="19" fillId="0" borderId="1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9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44" fontId="1" fillId="0" borderId="36" xfId="1" applyFont="1" applyBorder="1" applyAlignment="1">
      <alignment horizontal="center"/>
    </xf>
    <xf numFmtId="165" fontId="21" fillId="0" borderId="42" xfId="1" applyNumberFormat="1" applyFont="1" applyFill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165" fontId="30" fillId="0" borderId="42" xfId="0" applyNumberFormat="1" applyFont="1" applyFill="1" applyBorder="1" applyAlignment="1">
      <alignment horizontal="center"/>
    </xf>
    <xf numFmtId="1" fontId="31" fillId="0" borderId="42" xfId="0" applyNumberFormat="1" applyFont="1" applyFill="1" applyBorder="1" applyAlignment="1">
      <alignment horizontal="center"/>
    </xf>
    <xf numFmtId="1" fontId="24" fillId="2" borderId="42" xfId="0" applyNumberFormat="1" applyFont="1" applyFill="1" applyBorder="1" applyAlignment="1">
      <alignment horizontal="center"/>
    </xf>
    <xf numFmtId="1" fontId="19" fillId="2" borderId="42" xfId="0" applyNumberFormat="1" applyFont="1" applyFill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1" fontId="30" fillId="2" borderId="42" xfId="0" applyNumberFormat="1" applyFont="1" applyFill="1" applyBorder="1" applyAlignment="1">
      <alignment horizontal="center"/>
    </xf>
    <xf numFmtId="44" fontId="1" fillId="2" borderId="42" xfId="1" applyFont="1" applyFill="1" applyBorder="1"/>
    <xf numFmtId="44" fontId="23" fillId="2" borderId="42" xfId="1" applyFont="1" applyFill="1" applyBorder="1"/>
    <xf numFmtId="44" fontId="1" fillId="2" borderId="43" xfId="1" applyFont="1" applyFill="1" applyBorder="1"/>
    <xf numFmtId="44" fontId="1" fillId="8" borderId="42" xfId="1" applyFont="1" applyFill="1" applyBorder="1"/>
    <xf numFmtId="16" fontId="0" fillId="8" borderId="42" xfId="0" applyNumberFormat="1" applyFill="1" applyBorder="1"/>
    <xf numFmtId="44" fontId="23" fillId="2" borderId="43" xfId="1" applyFont="1" applyFill="1" applyBorder="1"/>
    <xf numFmtId="44" fontId="0" fillId="0" borderId="61" xfId="1" applyFont="1" applyBorder="1"/>
    <xf numFmtId="165" fontId="25" fillId="0" borderId="0" xfId="0" applyNumberFormat="1" applyFont="1" applyFill="1" applyBorder="1"/>
    <xf numFmtId="44" fontId="3" fillId="0" borderId="0" xfId="1" applyFont="1" applyBorder="1"/>
    <xf numFmtId="16" fontId="3" fillId="0" borderId="0" xfId="1" applyNumberFormat="1" applyFont="1"/>
    <xf numFmtId="16" fontId="3" fillId="0" borderId="0" xfId="1" applyNumberFormat="1" applyFont="1" applyBorder="1"/>
    <xf numFmtId="165" fontId="21" fillId="9" borderId="0" xfId="1" applyNumberFormat="1" applyFont="1" applyFill="1" applyBorder="1" applyAlignment="1">
      <alignment horizontal="center"/>
    </xf>
    <xf numFmtId="16" fontId="0" fillId="0" borderId="0" xfId="0" applyNumberFormat="1" applyFill="1"/>
    <xf numFmtId="1" fontId="30" fillId="0" borderId="42" xfId="0" applyNumberFormat="1" applyFont="1" applyFill="1" applyBorder="1" applyAlignment="1">
      <alignment horizontal="center"/>
    </xf>
    <xf numFmtId="165" fontId="21" fillId="0" borderId="25" xfId="1" applyNumberFormat="1" applyFont="1" applyFill="1" applyBorder="1"/>
    <xf numFmtId="165" fontId="1" fillId="0" borderId="0" xfId="0" applyNumberFormat="1" applyFont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21" fillId="2" borderId="0" xfId="1" applyNumberFormat="1" applyFont="1" applyFill="1" applyBorder="1" applyAlignment="1">
      <alignment horizontal="center"/>
    </xf>
    <xf numFmtId="0" fontId="0" fillId="0" borderId="42" xfId="0" applyFont="1" applyBorder="1"/>
    <xf numFmtId="1" fontId="30" fillId="0" borderId="42" xfId="0" applyNumberFormat="1" applyFont="1" applyBorder="1" applyAlignment="1">
      <alignment horizontal="center"/>
    </xf>
    <xf numFmtId="0" fontId="32" fillId="0" borderId="42" xfId="0" applyFont="1" applyBorder="1"/>
    <xf numFmtId="1" fontId="29" fillId="0" borderId="25" xfId="0" applyNumberFormat="1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165" fontId="1" fillId="0" borderId="0" xfId="1" applyNumberFormat="1" applyFont="1" applyFill="1"/>
    <xf numFmtId="165" fontId="1" fillId="0" borderId="0" xfId="1" applyNumberFormat="1" applyFont="1" applyFill="1" applyBorder="1"/>
    <xf numFmtId="165" fontId="1" fillId="0" borderId="42" xfId="1" applyNumberFormat="1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2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9" fillId="0" borderId="42" xfId="0" applyNumberFormat="1" applyFont="1" applyFill="1" applyBorder="1" applyAlignment="1">
      <alignment horizontal="center"/>
    </xf>
    <xf numFmtId="44" fontId="0" fillId="0" borderId="61" xfId="1" applyFont="1" applyFill="1" applyBorder="1"/>
    <xf numFmtId="164" fontId="5" fillId="4" borderId="0" xfId="0" applyNumberFormat="1" applyFont="1" applyFill="1"/>
    <xf numFmtId="15" fontId="0" fillId="4" borderId="10" xfId="0" applyNumberFormat="1" applyFill="1" applyBorder="1"/>
    <xf numFmtId="0" fontId="0" fillId="4" borderId="0" xfId="0" applyFill="1"/>
    <xf numFmtId="15" fontId="0" fillId="4" borderId="15" xfId="0" applyNumberFormat="1" applyFill="1" applyBorder="1"/>
    <xf numFmtId="44" fontId="1" fillId="4" borderId="33" xfId="1" applyFont="1" applyFill="1" applyBorder="1"/>
    <xf numFmtId="16" fontId="17" fillId="0" borderId="0" xfId="0" applyNumberFormat="1" applyFont="1" applyBorder="1"/>
    <xf numFmtId="44" fontId="0" fillId="2" borderId="0" xfId="1" applyFont="1" applyFill="1"/>
    <xf numFmtId="165" fontId="27" fillId="0" borderId="0" xfId="1" applyNumberFormat="1" applyFont="1" applyFill="1"/>
    <xf numFmtId="165" fontId="3" fillId="0" borderId="0" xfId="1" applyNumberFormat="1" applyFont="1" applyFill="1" applyBorder="1"/>
    <xf numFmtId="44" fontId="3" fillId="0" borderId="0" xfId="1" applyFont="1" applyFill="1" applyBorder="1"/>
    <xf numFmtId="165" fontId="3" fillId="0" borderId="0" xfId="1" applyNumberFormat="1" applyFont="1" applyBorder="1"/>
    <xf numFmtId="165" fontId="3" fillId="0" borderId="0" xfId="0" applyNumberFormat="1" applyFont="1" applyFill="1" applyBorder="1"/>
    <xf numFmtId="44" fontId="17" fillId="0" borderId="42" xfId="1" applyFont="1" applyFill="1" applyBorder="1"/>
    <xf numFmtId="44" fontId="1" fillId="5" borderId="42" xfId="1" applyFont="1" applyFill="1" applyBorder="1"/>
    <xf numFmtId="44" fontId="1" fillId="10" borderId="42" xfId="1" applyFont="1" applyFill="1" applyBorder="1"/>
    <xf numFmtId="44" fontId="20" fillId="10" borderId="42" xfId="1" applyFont="1" applyFill="1" applyBorder="1"/>
    <xf numFmtId="0" fontId="22" fillId="8" borderId="25" xfId="0" applyFont="1" applyFill="1" applyBorder="1" applyAlignment="1">
      <alignment horizontal="center"/>
    </xf>
    <xf numFmtId="44" fontId="21" fillId="8" borderId="25" xfId="1" applyFont="1" applyFill="1" applyBorder="1"/>
    <xf numFmtId="165" fontId="27" fillId="0" borderId="0" xfId="1" applyNumberFormat="1" applyFont="1" applyBorder="1"/>
    <xf numFmtId="165" fontId="20" fillId="0" borderId="0" xfId="0" applyNumberFormat="1" applyFont="1" applyFill="1" applyBorder="1"/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19" fillId="0" borderId="37" xfId="1" applyFont="1" applyFill="1" applyBorder="1" applyAlignment="1">
      <alignment horizontal="center"/>
    </xf>
    <xf numFmtId="44" fontId="0" fillId="0" borderId="42" xfId="1" applyFont="1" applyFill="1" applyBorder="1"/>
    <xf numFmtId="165" fontId="21" fillId="11" borderId="0" xfId="1" applyNumberFormat="1" applyFont="1" applyFill="1" applyBorder="1" applyAlignment="1">
      <alignment horizontal="center"/>
    </xf>
    <xf numFmtId="44" fontId="20" fillId="0" borderId="42" xfId="1" applyFont="1" applyFill="1" applyBorder="1"/>
    <xf numFmtId="44" fontId="33" fillId="2" borderId="42" xfId="1" applyFont="1" applyFill="1" applyBorder="1" applyAlignment="1">
      <alignment horizontal="center" wrapText="1"/>
    </xf>
    <xf numFmtId="0" fontId="0" fillId="0" borderId="62" xfId="0" applyBorder="1"/>
    <xf numFmtId="44" fontId="1" fillId="0" borderId="62" xfId="1" applyFont="1" applyBorder="1"/>
    <xf numFmtId="44" fontId="34" fillId="0" borderId="42" xfId="1" applyFont="1" applyBorder="1"/>
    <xf numFmtId="44" fontId="35" fillId="0" borderId="42" xfId="1" applyFont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12" borderId="0" xfId="0" applyFont="1" applyFill="1"/>
    <xf numFmtId="44" fontId="1" fillId="0" borderId="0" xfId="0" applyNumberFormat="1" applyFont="1" applyAlignment="1">
      <alignment horizontal="right"/>
    </xf>
    <xf numFmtId="44" fontId="1" fillId="0" borderId="63" xfId="1" applyFont="1" applyBorder="1" applyAlignment="1">
      <alignment horizontal="center"/>
    </xf>
    <xf numFmtId="44" fontId="0" fillId="0" borderId="24" xfId="1" applyFont="1" applyBorder="1" applyAlignment="1">
      <alignment horizontal="center"/>
    </xf>
    <xf numFmtId="44" fontId="7" fillId="0" borderId="64" xfId="1" applyFont="1" applyBorder="1" applyAlignment="1">
      <alignment horizontal="center"/>
    </xf>
    <xf numFmtId="44" fontId="33" fillId="0" borderId="42" xfId="1" applyFont="1" applyFill="1" applyBorder="1" applyAlignment="1">
      <alignment horizontal="center" wrapText="1"/>
    </xf>
    <xf numFmtId="165" fontId="11" fillId="0" borderId="42" xfId="0" applyNumberFormat="1" applyFont="1" applyFill="1" applyBorder="1"/>
    <xf numFmtId="165" fontId="20" fillId="0" borderId="42" xfId="0" applyNumberFormat="1" applyFont="1" applyFill="1" applyBorder="1"/>
    <xf numFmtId="165" fontId="21" fillId="10" borderId="0" xfId="1" applyNumberFormat="1" applyFont="1" applyFill="1" applyBorder="1" applyAlignment="1">
      <alignment horizontal="center"/>
    </xf>
    <xf numFmtId="165" fontId="21" fillId="8" borderId="0" xfId="1" applyNumberFormat="1" applyFont="1" applyFill="1" applyBorder="1" applyAlignment="1">
      <alignment horizontal="center"/>
    </xf>
    <xf numFmtId="165" fontId="21" fillId="13" borderId="0" xfId="1" applyNumberFormat="1" applyFont="1" applyFill="1" applyBorder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Font="1" applyBorder="1"/>
    <xf numFmtId="1" fontId="30" fillId="0" borderId="0" xfId="0" applyNumberFormat="1" applyFont="1" applyBorder="1" applyAlignment="1">
      <alignment horizontal="center"/>
    </xf>
    <xf numFmtId="0" fontId="32" fillId="0" borderId="0" xfId="0" applyFont="1" applyBorder="1"/>
    <xf numFmtId="165" fontId="1" fillId="0" borderId="0" xfId="0" applyNumberFormat="1" applyFont="1" applyBorder="1"/>
    <xf numFmtId="44" fontId="1" fillId="0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5" xfId="0" applyNumberFormat="1" applyBorder="1" applyAlignment="1">
      <alignment horizontal="left"/>
    </xf>
    <xf numFmtId="44" fontId="36" fillId="0" borderId="28" xfId="1" applyFont="1" applyBorder="1"/>
    <xf numFmtId="0" fontId="1" fillId="0" borderId="0" xfId="0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43" xfId="0" applyNumberFormat="1" applyBorder="1"/>
    <xf numFmtId="0" fontId="0" fillId="0" borderId="65" xfId="0" applyBorder="1"/>
    <xf numFmtId="44" fontId="1" fillId="0" borderId="65" xfId="1" applyFont="1" applyBorder="1"/>
    <xf numFmtId="165" fontId="0" fillId="0" borderId="57" xfId="0" applyNumberFormat="1" applyBorder="1"/>
    <xf numFmtId="44" fontId="26" fillId="0" borderId="25" xfId="1" applyFont="1" applyFill="1" applyBorder="1"/>
    <xf numFmtId="44" fontId="3" fillId="0" borderId="25" xfId="1" applyFont="1" applyFill="1" applyBorder="1"/>
    <xf numFmtId="44" fontId="3" fillId="0" borderId="42" xfId="1" applyFont="1" applyFill="1" applyBorder="1"/>
    <xf numFmtId="44" fontId="26" fillId="0" borderId="42" xfId="1" applyFont="1" applyFill="1" applyBorder="1"/>
    <xf numFmtId="44" fontId="26" fillId="0" borderId="43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3" fillId="0" borderId="60" xfId="1" applyFont="1" applyFill="1" applyBorder="1"/>
    <xf numFmtId="0" fontId="25" fillId="0" borderId="15" xfId="0" applyFont="1" applyBorder="1"/>
    <xf numFmtId="0" fontId="37" fillId="0" borderId="25" xfId="0" applyFont="1" applyFill="1" applyBorder="1" applyAlignment="1">
      <alignment horizontal="center"/>
    </xf>
    <xf numFmtId="0" fontId="21" fillId="0" borderId="42" xfId="0" applyFont="1" applyFill="1" applyBorder="1"/>
    <xf numFmtId="14" fontId="1" fillId="0" borderId="42" xfId="0" applyNumberFormat="1" applyFont="1" applyFill="1" applyBorder="1"/>
    <xf numFmtId="0" fontId="21" fillId="0" borderId="42" xfId="0" applyFont="1" applyFill="1" applyBorder="1" applyAlignment="1">
      <alignment horizontal="left"/>
    </xf>
    <xf numFmtId="18" fontId="29" fillId="0" borderId="25" xfId="0" applyNumberFormat="1" applyFont="1" applyFill="1" applyBorder="1" applyAlignment="1">
      <alignment horizontal="center"/>
    </xf>
    <xf numFmtId="164" fontId="21" fillId="0" borderId="42" xfId="0" applyNumberFormat="1" applyFont="1" applyFill="1" applyBorder="1"/>
    <xf numFmtId="165" fontId="21" fillId="14" borderId="0" xfId="1" applyNumberFormat="1" applyFont="1" applyFill="1" applyBorder="1" applyAlignment="1">
      <alignment horizontal="center"/>
    </xf>
    <xf numFmtId="0" fontId="22" fillId="11" borderId="2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42" xfId="0" applyNumberFormat="1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165" fontId="1" fillId="0" borderId="42" xfId="1" applyNumberFormat="1" applyFont="1" applyFill="1" applyBorder="1"/>
    <xf numFmtId="0" fontId="29" fillId="0" borderId="42" xfId="0" applyFont="1" applyFill="1" applyBorder="1" applyAlignment="1">
      <alignment horizontal="center"/>
    </xf>
    <xf numFmtId="44" fontId="33" fillId="0" borderId="57" xfId="1" applyFont="1" applyFill="1" applyBorder="1" applyAlignment="1">
      <alignment horizontal="center" wrapText="1"/>
    </xf>
    <xf numFmtId="44" fontId="23" fillId="0" borderId="57" xfId="1" applyFont="1" applyFill="1" applyBorder="1"/>
    <xf numFmtId="165" fontId="0" fillId="0" borderId="57" xfId="0" applyNumberFormat="1" applyFill="1" applyBorder="1"/>
    <xf numFmtId="165" fontId="1" fillId="0" borderId="24" xfId="0" applyNumberFormat="1" applyFont="1" applyFill="1" applyBorder="1"/>
    <xf numFmtId="44" fontId="21" fillId="0" borderId="24" xfId="1" applyFont="1" applyFill="1" applyBorder="1"/>
    <xf numFmtId="44" fontId="23" fillId="0" borderId="24" xfId="1" applyFont="1" applyFill="1" applyBorder="1"/>
    <xf numFmtId="165" fontId="3" fillId="0" borderId="0" xfId="1" applyNumberFormat="1" applyFont="1" applyFill="1"/>
    <xf numFmtId="165" fontId="3" fillId="0" borderId="42" xfId="1" applyNumberFormat="1" applyFont="1" applyBorder="1"/>
    <xf numFmtId="44" fontId="3" fillId="0" borderId="42" xfId="1" applyFont="1" applyBorder="1"/>
    <xf numFmtId="165" fontId="3" fillId="0" borderId="42" xfId="0" applyNumberFormat="1" applyFont="1" applyBorder="1"/>
    <xf numFmtId="16" fontId="25" fillId="0" borderId="15" xfId="0" applyNumberFormat="1" applyFont="1" applyBorder="1"/>
    <xf numFmtId="165" fontId="21" fillId="15" borderId="0" xfId="1" applyNumberFormat="1" applyFont="1" applyFill="1" applyBorder="1" applyAlignment="1">
      <alignment horizontal="center"/>
    </xf>
    <xf numFmtId="0" fontId="22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44" fontId="17" fillId="0" borderId="43" xfId="1" applyFont="1" applyFill="1" applyBorder="1"/>
    <xf numFmtId="165" fontId="19" fillId="0" borderId="66" xfId="0" applyNumberFormat="1" applyFont="1" applyFill="1" applyBorder="1"/>
    <xf numFmtId="165" fontId="0" fillId="0" borderId="43" xfId="0" applyNumberFormat="1" applyFill="1" applyBorder="1"/>
    <xf numFmtId="44" fontId="20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27" fillId="0" borderId="0" xfId="0" applyNumberFormat="1" applyFont="1" applyFill="1" applyBorder="1"/>
    <xf numFmtId="44" fontId="23" fillId="4" borderId="27" xfId="1" applyFont="1" applyFill="1" applyBorder="1"/>
    <xf numFmtId="44" fontId="26" fillId="4" borderId="0" xfId="1" applyFont="1" applyFill="1" applyBorder="1"/>
    <xf numFmtId="165" fontId="3" fillId="0" borderId="42" xfId="1" applyNumberFormat="1" applyFont="1" applyFill="1" applyBorder="1"/>
    <xf numFmtId="44" fontId="1" fillId="15" borderId="0" xfId="1" applyFont="1" applyFill="1"/>
    <xf numFmtId="0" fontId="1" fillId="15" borderId="0" xfId="0" applyFont="1" applyFill="1"/>
    <xf numFmtId="44" fontId="13" fillId="15" borderId="0" xfId="1" applyFont="1" applyFill="1"/>
    <xf numFmtId="44" fontId="1" fillId="12" borderId="0" xfId="1" applyFont="1" applyFill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4" fontId="19" fillId="0" borderId="24" xfId="1" applyFont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44" fontId="19" fillId="0" borderId="3" xfId="1" applyFont="1" applyBorder="1" applyAlignment="1">
      <alignment horizontal="center"/>
    </xf>
    <xf numFmtId="44" fontId="19" fillId="0" borderId="58" xfId="1" applyFont="1" applyBorder="1" applyAlignment="1">
      <alignment horizontal="center"/>
    </xf>
    <xf numFmtId="44" fontId="19" fillId="0" borderId="4" xfId="1" applyFont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438650" y="8496300"/>
          <a:ext cx="149542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586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43</xdr:row>
      <xdr:rowOff>47625</xdr:rowOff>
    </xdr:from>
    <xdr:to>
      <xdr:col>41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308705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104775</xdr:rowOff>
    </xdr:from>
    <xdr:to>
      <xdr:col>8</xdr:col>
      <xdr:colOff>85725</xdr:colOff>
      <xdr:row>45</xdr:row>
      <xdr:rowOff>76201</xdr:rowOff>
    </xdr:to>
    <xdr:cxnSp macro="">
      <xdr:nvCxnSpPr>
        <xdr:cNvPr id="7" name="6 Conector recto de flecha"/>
        <xdr:cNvCxnSpPr/>
      </xdr:nvCxnSpPr>
      <xdr:spPr>
        <a:xfrm flipV="1">
          <a:off x="4895850" y="8943975"/>
          <a:ext cx="1066800" cy="400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200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4" name="13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0" name="1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1" name="2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2" name="2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3" name="2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4" name="23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7" name="26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8" name="27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9" name="28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0" name="2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1" name="3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2" name="3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5" name="3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6" name="35 Conector recto de flecha"/>
        <xdr:cNvCxnSpPr/>
      </xdr:nvCxnSpPr>
      <xdr:spPr>
        <a:xfrm flipV="1">
          <a:off x="15516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I30" t="str">
            <v># 55020---# 55058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448" t="s">
        <v>17</v>
      </c>
      <c r="D1" s="448"/>
      <c r="E1" s="448"/>
      <c r="F1" s="448"/>
      <c r="G1" s="448"/>
      <c r="H1" s="448"/>
      <c r="I1" s="448"/>
      <c r="J1" s="448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449" t="s">
        <v>14</v>
      </c>
      <c r="F4" s="450"/>
      <c r="I4" s="451" t="s">
        <v>4</v>
      </c>
      <c r="J4" s="452"/>
      <c r="K4" s="452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453" t="s">
        <v>7</v>
      </c>
      <c r="I40" s="454"/>
      <c r="J40" s="455">
        <f>I38+K38</f>
        <v>110987.84</v>
      </c>
      <c r="K40" s="456"/>
    </row>
    <row r="41" spans="1:12" ht="15.75" x14ac:dyDescent="0.25">
      <c r="D41" s="447" t="s">
        <v>8</v>
      </c>
      <c r="E41" s="447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457"/>
      <c r="J43" s="457"/>
      <c r="K43" s="2"/>
    </row>
    <row r="44" spans="1:12" ht="16.5" thickBot="1" x14ac:dyDescent="0.3">
      <c r="D44" s="446" t="s">
        <v>9</v>
      </c>
      <c r="E44" s="446"/>
      <c r="F44" s="59">
        <v>199262.3</v>
      </c>
      <c r="I44" s="458"/>
      <c r="J44" s="458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459" t="s">
        <v>13</v>
      </c>
      <c r="J45" s="460"/>
      <c r="K45" s="463">
        <f>F45+K44</f>
        <v>-229991.74999999983</v>
      </c>
    </row>
    <row r="46" spans="1:12" ht="15.75" thickBot="1" x14ac:dyDescent="0.3">
      <c r="D46" s="445"/>
      <c r="E46" s="445"/>
      <c r="F46" s="55"/>
      <c r="I46" s="461"/>
      <c r="J46" s="462"/>
      <c r="K46" s="464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97"/>
  <sheetViews>
    <sheetView topLeftCell="A2" workbookViewId="0">
      <selection activeCell="N41" sqref="N4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7.7109375" style="43" customWidth="1"/>
    <col min="12" max="12" width="17.85546875" bestFit="1" customWidth="1"/>
    <col min="13" max="13" width="22.5703125" style="364" customWidth="1"/>
    <col min="14" max="14" width="15.85546875" style="202" customWidth="1"/>
  </cols>
  <sheetData>
    <row r="1" spans="1:15" ht="23.25" x14ac:dyDescent="0.35">
      <c r="C1" s="448" t="s">
        <v>402</v>
      </c>
      <c r="D1" s="448"/>
      <c r="E1" s="448"/>
      <c r="F1" s="448"/>
      <c r="G1" s="448"/>
      <c r="H1" s="448"/>
      <c r="I1" s="448"/>
      <c r="J1" s="448"/>
      <c r="K1" s="448"/>
    </row>
    <row r="2" spans="1:15" ht="15.75" thickBot="1" x14ac:dyDescent="0.3">
      <c r="E2" s="36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149916.25</v>
      </c>
      <c r="D4" s="2"/>
      <c r="E4" s="469" t="s">
        <v>14</v>
      </c>
      <c r="F4" s="470"/>
      <c r="I4" s="451" t="s">
        <v>4</v>
      </c>
      <c r="J4" s="452"/>
      <c r="K4" s="452"/>
      <c r="L4" s="452"/>
      <c r="M4" s="69" t="s">
        <v>18</v>
      </c>
      <c r="N4" s="203" t="s">
        <v>264</v>
      </c>
    </row>
    <row r="5" spans="1:15" ht="15.75" thickTop="1" x14ac:dyDescent="0.25">
      <c r="A5" s="21"/>
      <c r="B5" s="39">
        <v>42125</v>
      </c>
      <c r="C5" s="45">
        <v>0</v>
      </c>
      <c r="D5" s="22"/>
      <c r="E5" s="26">
        <v>42125</v>
      </c>
      <c r="F5" s="51">
        <v>74600</v>
      </c>
      <c r="G5" s="23"/>
      <c r="H5" s="24">
        <v>42125</v>
      </c>
      <c r="I5" s="60">
        <v>200</v>
      </c>
      <c r="J5" s="87"/>
      <c r="K5" s="34"/>
      <c r="L5" s="34"/>
      <c r="M5" s="67" t="s">
        <v>409</v>
      </c>
      <c r="N5" s="75">
        <v>74665</v>
      </c>
      <c r="O5" s="80"/>
    </row>
    <row r="6" spans="1:15" x14ac:dyDescent="0.25">
      <c r="A6" s="21"/>
      <c r="B6" s="39">
        <v>42126</v>
      </c>
      <c r="C6" s="45">
        <v>0</v>
      </c>
      <c r="D6" s="29"/>
      <c r="E6" s="26">
        <v>42126</v>
      </c>
      <c r="F6" s="51">
        <v>70197</v>
      </c>
      <c r="G6" s="19"/>
      <c r="H6" s="27">
        <v>42126</v>
      </c>
      <c r="I6" s="61">
        <v>200</v>
      </c>
      <c r="J6" s="88"/>
      <c r="K6" s="13" t="s">
        <v>5</v>
      </c>
      <c r="L6" s="20">
        <v>733</v>
      </c>
      <c r="M6" s="67" t="s">
        <v>410</v>
      </c>
      <c r="N6" s="75">
        <v>72400</v>
      </c>
      <c r="O6" s="80"/>
    </row>
    <row r="7" spans="1:15" x14ac:dyDescent="0.25">
      <c r="A7" s="21"/>
      <c r="B7" s="39">
        <v>42127</v>
      </c>
      <c r="C7" s="45">
        <v>0</v>
      </c>
      <c r="D7" s="32"/>
      <c r="E7" s="26">
        <v>42127</v>
      </c>
      <c r="F7" s="51">
        <v>74013.5</v>
      </c>
      <c r="G7" s="23"/>
      <c r="H7" s="27">
        <v>42127</v>
      </c>
      <c r="I7" s="61">
        <v>200</v>
      </c>
      <c r="J7" s="88"/>
      <c r="K7" s="13" t="s">
        <v>3</v>
      </c>
      <c r="L7" s="20">
        <v>13416</v>
      </c>
      <c r="M7" s="67" t="s">
        <v>411</v>
      </c>
      <c r="N7" s="75">
        <v>74350</v>
      </c>
      <c r="O7" s="80"/>
    </row>
    <row r="8" spans="1:15" x14ac:dyDescent="0.25">
      <c r="A8" s="21"/>
      <c r="B8" s="39">
        <v>42128</v>
      </c>
      <c r="C8" s="45">
        <v>0</v>
      </c>
      <c r="D8" s="22"/>
      <c r="E8" s="26">
        <v>42128</v>
      </c>
      <c r="F8" s="51">
        <v>32809.5</v>
      </c>
      <c r="G8" s="23"/>
      <c r="H8" s="27">
        <v>42128</v>
      </c>
      <c r="I8" s="61">
        <v>220</v>
      </c>
      <c r="J8" s="88"/>
      <c r="K8" s="13" t="s">
        <v>6</v>
      </c>
      <c r="L8" s="20">
        <v>28750</v>
      </c>
      <c r="M8" s="201" t="s">
        <v>412</v>
      </c>
      <c r="N8" s="204">
        <v>30000</v>
      </c>
      <c r="O8" s="80"/>
    </row>
    <row r="9" spans="1:15" x14ac:dyDescent="0.25">
      <c r="A9" s="21"/>
      <c r="B9" s="39">
        <v>42129</v>
      </c>
      <c r="C9" s="45">
        <v>0</v>
      </c>
      <c r="D9" s="22"/>
      <c r="E9" s="26">
        <v>42129</v>
      </c>
      <c r="F9" s="51">
        <v>40720</v>
      </c>
      <c r="G9" s="23"/>
      <c r="H9" s="27">
        <v>42129</v>
      </c>
      <c r="I9" s="61">
        <v>200</v>
      </c>
      <c r="J9" s="88"/>
      <c r="K9" s="13" t="s">
        <v>403</v>
      </c>
      <c r="L9" s="20">
        <v>7662.72</v>
      </c>
      <c r="M9" s="67" t="s">
        <v>413</v>
      </c>
      <c r="N9" s="75">
        <v>41510</v>
      </c>
      <c r="O9" s="80"/>
    </row>
    <row r="10" spans="1:15" x14ac:dyDescent="0.25">
      <c r="A10" s="21"/>
      <c r="B10" s="39">
        <v>42130</v>
      </c>
      <c r="C10" s="45">
        <v>0</v>
      </c>
      <c r="D10" s="32"/>
      <c r="E10" s="26">
        <v>42130</v>
      </c>
      <c r="F10" s="51">
        <v>36153.5</v>
      </c>
      <c r="G10" s="23"/>
      <c r="H10" s="27">
        <v>42130</v>
      </c>
      <c r="I10" s="61">
        <v>232</v>
      </c>
      <c r="J10" s="88"/>
      <c r="K10" s="13" t="s">
        <v>404</v>
      </c>
      <c r="L10" s="20">
        <v>7896.05</v>
      </c>
      <c r="M10" s="67" t="s">
        <v>414</v>
      </c>
      <c r="N10" s="75">
        <v>37750</v>
      </c>
      <c r="O10" s="80"/>
    </row>
    <row r="11" spans="1:15" x14ac:dyDescent="0.25">
      <c r="A11" s="21"/>
      <c r="B11" s="39">
        <v>42131</v>
      </c>
      <c r="C11" s="45">
        <v>0</v>
      </c>
      <c r="D11" s="32"/>
      <c r="E11" s="26">
        <v>42131</v>
      </c>
      <c r="F11" s="51">
        <v>56568</v>
      </c>
      <c r="G11" s="23"/>
      <c r="H11" s="27">
        <v>42131</v>
      </c>
      <c r="I11" s="62">
        <v>200</v>
      </c>
      <c r="J11" s="88"/>
      <c r="K11" s="13" t="s">
        <v>405</v>
      </c>
      <c r="L11" s="20">
        <v>7462.72</v>
      </c>
      <c r="M11" s="67" t="s">
        <v>415</v>
      </c>
      <c r="N11" s="75">
        <v>56360</v>
      </c>
      <c r="O11" s="80"/>
    </row>
    <row r="12" spans="1:15" x14ac:dyDescent="0.25">
      <c r="A12" s="21"/>
      <c r="B12" s="39">
        <v>42132</v>
      </c>
      <c r="C12" s="45">
        <v>0</v>
      </c>
      <c r="D12" s="32"/>
      <c r="E12" s="26">
        <v>42132</v>
      </c>
      <c r="F12" s="51">
        <v>59868.5</v>
      </c>
      <c r="G12" s="23"/>
      <c r="H12" s="27">
        <v>42132</v>
      </c>
      <c r="I12" s="62">
        <v>250</v>
      </c>
      <c r="J12" s="88"/>
      <c r="K12" s="13" t="s">
        <v>406</v>
      </c>
      <c r="L12" s="20">
        <v>0</v>
      </c>
      <c r="M12" s="67" t="s">
        <v>416</v>
      </c>
      <c r="N12" s="75">
        <v>59050</v>
      </c>
      <c r="O12" s="80"/>
    </row>
    <row r="13" spans="1:15" x14ac:dyDescent="0.25">
      <c r="A13" s="21"/>
      <c r="B13" s="39">
        <v>42133</v>
      </c>
      <c r="C13" s="45">
        <v>0</v>
      </c>
      <c r="D13" s="32"/>
      <c r="E13" s="26">
        <v>42133</v>
      </c>
      <c r="F13" s="51">
        <v>95114</v>
      </c>
      <c r="G13" s="23"/>
      <c r="H13" s="27">
        <v>42133</v>
      </c>
      <c r="I13" s="62">
        <v>200</v>
      </c>
      <c r="J13" s="88"/>
      <c r="K13" s="13" t="s">
        <v>407</v>
      </c>
      <c r="L13" s="20">
        <v>0</v>
      </c>
      <c r="M13" s="67" t="s">
        <v>417</v>
      </c>
      <c r="N13" s="75">
        <v>91470</v>
      </c>
      <c r="O13" s="80"/>
    </row>
    <row r="14" spans="1:15" x14ac:dyDescent="0.25">
      <c r="A14" s="21"/>
      <c r="B14" s="39">
        <v>42134</v>
      </c>
      <c r="C14" s="45">
        <v>0</v>
      </c>
      <c r="D14" s="29"/>
      <c r="E14" s="26">
        <v>42134</v>
      </c>
      <c r="F14" s="51">
        <v>80074</v>
      </c>
      <c r="G14" s="23"/>
      <c r="H14" s="27">
        <v>42134</v>
      </c>
      <c r="I14" s="62">
        <v>200</v>
      </c>
      <c r="J14" s="88"/>
      <c r="K14" s="35" t="s">
        <v>16</v>
      </c>
      <c r="L14" s="20">
        <v>0</v>
      </c>
      <c r="M14" s="67" t="s">
        <v>418</v>
      </c>
      <c r="N14" s="75">
        <v>83700</v>
      </c>
      <c r="O14" s="80"/>
    </row>
    <row r="15" spans="1:15" x14ac:dyDescent="0.25">
      <c r="A15" s="21"/>
      <c r="B15" s="39">
        <v>42135</v>
      </c>
      <c r="C15" s="45">
        <v>0</v>
      </c>
      <c r="D15" s="29"/>
      <c r="E15" s="26">
        <v>42135</v>
      </c>
      <c r="F15" s="51">
        <v>37825.5</v>
      </c>
      <c r="G15" s="23"/>
      <c r="H15" s="27">
        <v>42135</v>
      </c>
      <c r="I15" s="62">
        <v>200</v>
      </c>
      <c r="J15" s="88"/>
      <c r="K15" s="28" t="s">
        <v>15</v>
      </c>
      <c r="L15" s="20">
        <v>0</v>
      </c>
      <c r="M15" s="67" t="s">
        <v>419</v>
      </c>
      <c r="N15" s="75">
        <v>37290</v>
      </c>
      <c r="O15" s="80"/>
    </row>
    <row r="16" spans="1:15" x14ac:dyDescent="0.25">
      <c r="A16" s="21"/>
      <c r="B16" s="39">
        <v>42136</v>
      </c>
      <c r="C16" s="45">
        <v>1105.2</v>
      </c>
      <c r="D16" s="32" t="s">
        <v>421</v>
      </c>
      <c r="E16" s="26">
        <v>42136</v>
      </c>
      <c r="F16" s="51">
        <v>33668</v>
      </c>
      <c r="G16" s="23"/>
      <c r="H16" s="27">
        <v>42136</v>
      </c>
      <c r="I16" s="62">
        <v>200</v>
      </c>
      <c r="J16" s="88"/>
      <c r="K16" s="73" t="s">
        <v>52</v>
      </c>
      <c r="L16" s="74">
        <v>0</v>
      </c>
      <c r="M16" s="67" t="s">
        <v>420</v>
      </c>
      <c r="N16" s="75">
        <v>32100</v>
      </c>
      <c r="O16" s="80"/>
    </row>
    <row r="17" spans="1:15" x14ac:dyDescent="0.25">
      <c r="A17" s="21"/>
      <c r="B17" s="39">
        <v>42137</v>
      </c>
      <c r="C17" s="45">
        <v>0</v>
      </c>
      <c r="D17" s="29"/>
      <c r="E17" s="26">
        <v>42137</v>
      </c>
      <c r="F17" s="51">
        <v>41786</v>
      </c>
      <c r="G17" s="23"/>
      <c r="H17" s="27">
        <v>42137</v>
      </c>
      <c r="I17" s="62">
        <v>200</v>
      </c>
      <c r="J17" s="88"/>
      <c r="K17" s="28" t="s">
        <v>53</v>
      </c>
      <c r="L17" s="74">
        <v>0</v>
      </c>
      <c r="M17" s="67" t="s">
        <v>422</v>
      </c>
      <c r="N17" s="75">
        <v>42300</v>
      </c>
      <c r="O17" s="80"/>
    </row>
    <row r="18" spans="1:15" x14ac:dyDescent="0.25">
      <c r="A18" s="21"/>
      <c r="B18" s="39">
        <v>42138</v>
      </c>
      <c r="C18" s="45">
        <v>0</v>
      </c>
      <c r="D18" s="22"/>
      <c r="E18" s="26">
        <v>42138</v>
      </c>
      <c r="F18" s="51">
        <v>46683.5</v>
      </c>
      <c r="G18" s="23"/>
      <c r="H18" s="27">
        <v>42138</v>
      </c>
      <c r="I18" s="62">
        <v>290</v>
      </c>
      <c r="J18" s="89"/>
      <c r="K18" s="28" t="s">
        <v>54</v>
      </c>
      <c r="L18" s="75">
        <v>0</v>
      </c>
      <c r="M18" s="67" t="s">
        <v>426</v>
      </c>
      <c r="N18" s="75">
        <v>46290</v>
      </c>
      <c r="O18" s="80"/>
    </row>
    <row r="19" spans="1:15" x14ac:dyDescent="0.25">
      <c r="A19" s="21"/>
      <c r="B19" s="39">
        <v>42139</v>
      </c>
      <c r="C19" s="45">
        <v>0</v>
      </c>
      <c r="D19" s="29"/>
      <c r="E19" s="26">
        <v>42139</v>
      </c>
      <c r="F19" s="51">
        <v>64667.5</v>
      </c>
      <c r="G19" s="23"/>
      <c r="H19" s="27">
        <v>42139</v>
      </c>
      <c r="I19" s="62">
        <v>200</v>
      </c>
      <c r="J19" s="88"/>
      <c r="K19" s="28" t="s">
        <v>55</v>
      </c>
      <c r="L19" s="75">
        <v>0</v>
      </c>
      <c r="M19" s="67" t="s">
        <v>427</v>
      </c>
      <c r="N19" s="75">
        <v>64940</v>
      </c>
      <c r="O19" s="80"/>
    </row>
    <row r="20" spans="1:15" x14ac:dyDescent="0.25">
      <c r="A20" s="21"/>
      <c r="B20" s="39">
        <v>42140</v>
      </c>
      <c r="C20" s="45">
        <v>0</v>
      </c>
      <c r="D20" s="22"/>
      <c r="E20" s="26">
        <v>42140</v>
      </c>
      <c r="F20" s="51">
        <v>74710.5</v>
      </c>
      <c r="G20" s="23"/>
      <c r="H20" s="27">
        <v>42140</v>
      </c>
      <c r="I20" s="62">
        <v>200</v>
      </c>
      <c r="J20" s="90"/>
      <c r="K20" s="314" t="s">
        <v>408</v>
      </c>
      <c r="L20" s="55">
        <v>0</v>
      </c>
      <c r="M20" s="67" t="s">
        <v>428</v>
      </c>
      <c r="N20" s="75">
        <v>72100</v>
      </c>
      <c r="O20" s="80"/>
    </row>
    <row r="21" spans="1:15" x14ac:dyDescent="0.25">
      <c r="A21" s="21"/>
      <c r="B21" s="39">
        <v>42141</v>
      </c>
      <c r="C21" s="45">
        <v>0</v>
      </c>
      <c r="D21" s="22"/>
      <c r="E21" s="26">
        <v>42141</v>
      </c>
      <c r="F21" s="51">
        <v>60652.5</v>
      </c>
      <c r="G21" s="23"/>
      <c r="H21" s="27">
        <v>42141</v>
      </c>
      <c r="I21" s="62">
        <v>200</v>
      </c>
      <c r="J21" s="88"/>
      <c r="K21" s="25" t="s">
        <v>99</v>
      </c>
      <c r="L21" s="55">
        <v>0</v>
      </c>
      <c r="M21" s="67" t="s">
        <v>429</v>
      </c>
      <c r="N21" s="75">
        <v>61700</v>
      </c>
      <c r="O21" s="80"/>
    </row>
    <row r="22" spans="1:15" x14ac:dyDescent="0.25">
      <c r="A22" s="21"/>
      <c r="B22" s="39">
        <v>42142</v>
      </c>
      <c r="C22" s="45">
        <v>0</v>
      </c>
      <c r="D22" s="22"/>
      <c r="E22" s="26">
        <v>42142</v>
      </c>
      <c r="F22" s="51">
        <v>44322</v>
      </c>
      <c r="G22" s="23"/>
      <c r="H22" s="27">
        <v>42142</v>
      </c>
      <c r="I22" s="62">
        <v>232</v>
      </c>
      <c r="J22" s="90"/>
      <c r="K22" s="122" t="s">
        <v>213</v>
      </c>
      <c r="L22" s="55">
        <v>0</v>
      </c>
      <c r="M22" s="67" t="s">
        <v>430</v>
      </c>
      <c r="N22" s="75">
        <v>44400</v>
      </c>
      <c r="O22" s="80"/>
    </row>
    <row r="23" spans="1:15" x14ac:dyDescent="0.25">
      <c r="A23" s="21"/>
      <c r="B23" s="39">
        <v>42143</v>
      </c>
      <c r="C23" s="45">
        <v>0</v>
      </c>
      <c r="D23" s="22"/>
      <c r="E23" s="26">
        <v>42143</v>
      </c>
      <c r="F23" s="51">
        <v>27964</v>
      </c>
      <c r="G23" s="23"/>
      <c r="H23" s="27">
        <v>42143</v>
      </c>
      <c r="I23" s="62">
        <v>200</v>
      </c>
      <c r="J23" s="88"/>
      <c r="K23" s="11" t="s">
        <v>332</v>
      </c>
      <c r="L23" s="55">
        <v>800</v>
      </c>
      <c r="M23" s="67" t="s">
        <v>431</v>
      </c>
      <c r="N23" s="75">
        <v>28200</v>
      </c>
      <c r="O23" s="80"/>
    </row>
    <row r="24" spans="1:15" x14ac:dyDescent="0.25">
      <c r="A24" s="21"/>
      <c r="B24" s="39">
        <v>42144</v>
      </c>
      <c r="C24" s="45">
        <v>0</v>
      </c>
      <c r="D24" s="29"/>
      <c r="E24" s="26">
        <v>42144</v>
      </c>
      <c r="F24" s="51">
        <v>29395.5</v>
      </c>
      <c r="G24" s="23"/>
      <c r="H24" s="27">
        <v>42144</v>
      </c>
      <c r="I24" s="62">
        <v>200</v>
      </c>
      <c r="J24" s="88"/>
      <c r="K24" s="365">
        <v>42140</v>
      </c>
      <c r="L24" s="55"/>
      <c r="M24" s="67" t="s">
        <v>444</v>
      </c>
      <c r="N24" s="75">
        <v>27350</v>
      </c>
      <c r="O24" s="80"/>
    </row>
    <row r="25" spans="1:15" x14ac:dyDescent="0.25">
      <c r="A25" s="21"/>
      <c r="B25" s="39">
        <v>42145</v>
      </c>
      <c r="C25" s="45">
        <v>0</v>
      </c>
      <c r="D25" s="22"/>
      <c r="E25" s="26">
        <v>42145</v>
      </c>
      <c r="F25" s="51">
        <v>40366</v>
      </c>
      <c r="G25" s="23"/>
      <c r="H25" s="27">
        <v>42145</v>
      </c>
      <c r="I25" s="62">
        <v>200</v>
      </c>
      <c r="J25" s="88"/>
      <c r="K25" s="11"/>
      <c r="L25" s="55"/>
      <c r="M25" s="67" t="s">
        <v>445</v>
      </c>
      <c r="N25" s="75">
        <v>41699.5</v>
      </c>
      <c r="O25" s="80"/>
    </row>
    <row r="26" spans="1:15" x14ac:dyDescent="0.25">
      <c r="A26" s="21"/>
      <c r="B26" s="39">
        <v>42146</v>
      </c>
      <c r="C26" s="45">
        <v>0</v>
      </c>
      <c r="D26" s="29"/>
      <c r="E26" s="26">
        <v>42146</v>
      </c>
      <c r="F26" s="51">
        <v>65774</v>
      </c>
      <c r="G26" s="23"/>
      <c r="H26" s="27">
        <v>42146</v>
      </c>
      <c r="I26" s="62">
        <v>200</v>
      </c>
      <c r="J26" s="88"/>
      <c r="K26" s="11"/>
      <c r="L26" s="55"/>
      <c r="M26" s="67" t="s">
        <v>434</v>
      </c>
      <c r="N26" s="75">
        <v>61050</v>
      </c>
      <c r="O26" s="80"/>
    </row>
    <row r="27" spans="1:15" x14ac:dyDescent="0.25">
      <c r="A27" s="21"/>
      <c r="B27" s="39">
        <v>42147</v>
      </c>
      <c r="C27" s="45">
        <v>0</v>
      </c>
      <c r="D27" s="29"/>
      <c r="E27" s="26">
        <v>42147</v>
      </c>
      <c r="F27" s="51">
        <v>57819</v>
      </c>
      <c r="G27" s="23"/>
      <c r="H27" s="27">
        <v>42147</v>
      </c>
      <c r="I27" s="62">
        <v>200</v>
      </c>
      <c r="J27" s="88"/>
      <c r="K27" s="11"/>
      <c r="L27" s="55"/>
      <c r="M27" s="201" t="s">
        <v>435</v>
      </c>
      <c r="N27" s="204">
        <v>61740</v>
      </c>
      <c r="O27" s="80"/>
    </row>
    <row r="28" spans="1:15" x14ac:dyDescent="0.25">
      <c r="A28" s="21"/>
      <c r="B28" s="39">
        <v>42148</v>
      </c>
      <c r="C28" s="45">
        <v>0</v>
      </c>
      <c r="D28" s="29"/>
      <c r="E28" s="26">
        <v>42148</v>
      </c>
      <c r="F28" s="51">
        <v>59816</v>
      </c>
      <c r="G28" s="23"/>
      <c r="H28" s="27">
        <v>42148</v>
      </c>
      <c r="I28" s="62">
        <v>200</v>
      </c>
      <c r="J28" s="88"/>
      <c r="K28" s="11"/>
      <c r="L28" s="55"/>
      <c r="M28" s="201" t="s">
        <v>436</v>
      </c>
      <c r="N28" s="204">
        <v>58480</v>
      </c>
      <c r="O28" s="80"/>
    </row>
    <row r="29" spans="1:15" x14ac:dyDescent="0.25">
      <c r="A29" s="21"/>
      <c r="B29" s="39">
        <v>42149</v>
      </c>
      <c r="C29" s="45">
        <v>0</v>
      </c>
      <c r="D29" s="29"/>
      <c r="E29" s="26">
        <v>42149</v>
      </c>
      <c r="F29" s="51">
        <v>39016</v>
      </c>
      <c r="G29" s="23"/>
      <c r="H29" s="27">
        <v>42149</v>
      </c>
      <c r="I29" s="62">
        <v>432</v>
      </c>
      <c r="J29" s="88"/>
      <c r="K29" s="11"/>
      <c r="L29" s="20"/>
      <c r="M29" s="67" t="s">
        <v>437</v>
      </c>
      <c r="N29" s="75">
        <v>38960</v>
      </c>
      <c r="O29" s="80"/>
    </row>
    <row r="30" spans="1:15" x14ac:dyDescent="0.25">
      <c r="A30" s="21"/>
      <c r="B30" s="39">
        <v>42150</v>
      </c>
      <c r="C30" s="45">
        <v>0</v>
      </c>
      <c r="D30" s="22"/>
      <c r="E30" s="26">
        <v>42150</v>
      </c>
      <c r="F30" s="51">
        <v>33184.5</v>
      </c>
      <c r="G30" s="23"/>
      <c r="H30" s="27">
        <v>42150</v>
      </c>
      <c r="I30" s="62">
        <v>230</v>
      </c>
      <c r="J30" s="88"/>
      <c r="K30" s="11"/>
      <c r="L30" s="20"/>
      <c r="M30" s="201" t="s">
        <v>438</v>
      </c>
      <c r="N30" s="204">
        <v>33000</v>
      </c>
      <c r="O30" s="80"/>
    </row>
    <row r="31" spans="1:15" x14ac:dyDescent="0.25">
      <c r="A31" s="21"/>
      <c r="B31" s="39">
        <v>42151</v>
      </c>
      <c r="C31" s="45">
        <v>405</v>
      </c>
      <c r="D31" s="22" t="s">
        <v>440</v>
      </c>
      <c r="E31" s="26">
        <v>42151</v>
      </c>
      <c r="F31" s="51">
        <v>29767</v>
      </c>
      <c r="G31" s="23"/>
      <c r="H31" s="27">
        <v>42151</v>
      </c>
      <c r="I31" s="62">
        <v>200</v>
      </c>
      <c r="J31" s="88"/>
      <c r="K31" s="11"/>
      <c r="L31" s="20"/>
      <c r="M31" s="201" t="s">
        <v>439</v>
      </c>
      <c r="N31" s="204">
        <v>28840</v>
      </c>
      <c r="O31" s="80"/>
    </row>
    <row r="32" spans="1:15" x14ac:dyDescent="0.25">
      <c r="A32" s="21"/>
      <c r="B32" s="39">
        <v>42152</v>
      </c>
      <c r="C32" s="45">
        <v>0</v>
      </c>
      <c r="D32" s="22"/>
      <c r="E32" s="26">
        <v>42152</v>
      </c>
      <c r="F32" s="51">
        <v>52517.5</v>
      </c>
      <c r="G32" s="23"/>
      <c r="H32" s="27">
        <v>42152</v>
      </c>
      <c r="I32" s="62">
        <v>200</v>
      </c>
      <c r="J32" s="88"/>
      <c r="K32" s="11"/>
      <c r="L32" s="20"/>
      <c r="M32" s="67" t="s">
        <v>441</v>
      </c>
      <c r="N32" s="75">
        <v>52540</v>
      </c>
      <c r="O32" s="80"/>
    </row>
    <row r="33" spans="1:15" x14ac:dyDescent="0.25">
      <c r="A33" s="21"/>
      <c r="B33" s="39">
        <v>42153</v>
      </c>
      <c r="C33" s="45">
        <v>0</v>
      </c>
      <c r="D33" s="32"/>
      <c r="E33" s="26">
        <v>42153</v>
      </c>
      <c r="F33" s="51">
        <v>65995.5</v>
      </c>
      <c r="G33" s="23"/>
      <c r="H33" s="27">
        <v>42153</v>
      </c>
      <c r="I33" s="62">
        <v>200</v>
      </c>
      <c r="J33" s="88"/>
      <c r="K33" s="11"/>
      <c r="L33" s="20"/>
      <c r="M33" s="67" t="s">
        <v>442</v>
      </c>
      <c r="N33" s="75">
        <v>62200</v>
      </c>
      <c r="O33" s="80"/>
    </row>
    <row r="34" spans="1:15" x14ac:dyDescent="0.25">
      <c r="A34" s="21"/>
      <c r="B34" s="39">
        <v>42154</v>
      </c>
      <c r="C34" s="45">
        <v>0</v>
      </c>
      <c r="D34" s="72"/>
      <c r="E34" s="26">
        <v>42154</v>
      </c>
      <c r="F34" s="51">
        <v>77422</v>
      </c>
      <c r="G34" s="23"/>
      <c r="H34" s="27">
        <v>42154</v>
      </c>
      <c r="I34" s="62">
        <v>200</v>
      </c>
      <c r="J34" s="88"/>
      <c r="K34" s="11"/>
      <c r="L34" s="20"/>
      <c r="M34" s="258" t="s">
        <v>443</v>
      </c>
      <c r="N34" s="202">
        <v>76450</v>
      </c>
      <c r="O34" s="80"/>
    </row>
    <row r="35" spans="1:15" ht="15.75" thickBot="1" x14ac:dyDescent="0.3">
      <c r="A35" s="21"/>
      <c r="B35" s="39">
        <v>42155</v>
      </c>
      <c r="C35" s="45">
        <v>0</v>
      </c>
      <c r="D35" s="22"/>
      <c r="E35" s="26">
        <v>42155</v>
      </c>
      <c r="F35" s="51">
        <v>109028</v>
      </c>
      <c r="G35" s="23"/>
      <c r="H35" s="27">
        <v>42155</v>
      </c>
      <c r="I35" s="62">
        <v>200</v>
      </c>
      <c r="J35" s="88"/>
      <c r="K35" s="11" t="s">
        <v>345</v>
      </c>
      <c r="L35" s="20"/>
      <c r="M35" s="71" t="s">
        <v>446</v>
      </c>
      <c r="N35" s="74">
        <v>112090</v>
      </c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SUM(N5:N35)</f>
        <v>1704974.5</v>
      </c>
    </row>
    <row r="38" spans="1:15" x14ac:dyDescent="0.25">
      <c r="B38" s="42" t="s">
        <v>1</v>
      </c>
      <c r="C38" s="48">
        <f>SUM(C5:C37)</f>
        <v>1510.2</v>
      </c>
      <c r="E38" s="361" t="s">
        <v>1</v>
      </c>
      <c r="F38" s="54">
        <f>SUM(F5:F37)</f>
        <v>1712498.5</v>
      </c>
      <c r="H38" s="363" t="s">
        <v>1</v>
      </c>
      <c r="I38" s="58">
        <f>SUM(I5:I37)</f>
        <v>6686</v>
      </c>
      <c r="J38" s="58"/>
      <c r="K38" s="17" t="s">
        <v>1</v>
      </c>
      <c r="L38" s="4">
        <f t="shared" ref="L38" si="0">SUM(L5:L37)</f>
        <v>66720.490000000005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53" t="s">
        <v>7</v>
      </c>
      <c r="I40" s="454"/>
      <c r="J40" s="362"/>
      <c r="K40" s="455">
        <f>I38+L38</f>
        <v>73406.490000000005</v>
      </c>
      <c r="L40" s="456"/>
    </row>
    <row r="41" spans="1:15" ht="15.75" customHeight="1" x14ac:dyDescent="0.25">
      <c r="D41" s="447" t="s">
        <v>8</v>
      </c>
      <c r="E41" s="447"/>
      <c r="F41" s="56">
        <f>F38-K40</f>
        <v>1639092.01</v>
      </c>
      <c r="I41" s="65"/>
      <c r="J41" s="65"/>
    </row>
    <row r="42" spans="1:15" x14ac:dyDescent="0.25">
      <c r="D42" s="13"/>
      <c r="E42" s="13" t="s">
        <v>0</v>
      </c>
      <c r="F42" s="56">
        <f>-C38</f>
        <v>-1510.2</v>
      </c>
    </row>
    <row r="43" spans="1:15" ht="15.75" thickBot="1" x14ac:dyDescent="0.3">
      <c r="C43" s="43" t="s">
        <v>12</v>
      </c>
      <c r="D43" t="s">
        <v>303</v>
      </c>
      <c r="F43" s="125">
        <v>-1569528.87</v>
      </c>
      <c r="I43" s="457"/>
      <c r="J43" s="457"/>
      <c r="K43" s="457"/>
      <c r="L43" s="2"/>
    </row>
    <row r="44" spans="1:15" ht="16.5" thickTop="1" x14ac:dyDescent="0.25">
      <c r="E44" s="5" t="s">
        <v>10</v>
      </c>
      <c r="F44" s="58">
        <f>SUM(F41:F43)</f>
        <v>68052.939999999944</v>
      </c>
      <c r="I44"/>
      <c r="J44" s="182" t="s">
        <v>251</v>
      </c>
      <c r="K44" s="474">
        <f>F46</f>
        <v>193184.67999999993</v>
      </c>
      <c r="L44" s="475"/>
    </row>
    <row r="45" spans="1:15" ht="15.75" customHeight="1" thickBot="1" x14ac:dyDescent="0.3">
      <c r="D45" s="361" t="s">
        <v>9</v>
      </c>
      <c r="E45" s="361"/>
      <c r="F45" s="366">
        <v>125131.74</v>
      </c>
      <c r="I45" s="483" t="s">
        <v>2</v>
      </c>
      <c r="J45" s="483"/>
      <c r="K45" s="476">
        <v>-149916.25</v>
      </c>
      <c r="L45" s="476"/>
    </row>
    <row r="46" spans="1:15" ht="15.75" customHeight="1" thickBot="1" x14ac:dyDescent="0.3">
      <c r="E46" s="6" t="s">
        <v>347</v>
      </c>
      <c r="F46" s="48">
        <f>F45+F44</f>
        <v>193184.67999999993</v>
      </c>
      <c r="I46"/>
      <c r="J46" s="178"/>
      <c r="K46" s="477">
        <v>0</v>
      </c>
      <c r="L46" s="477"/>
    </row>
    <row r="47" spans="1:15" ht="19.5" thickBot="1" x14ac:dyDescent="0.3">
      <c r="E47" s="5"/>
      <c r="F47" s="56"/>
      <c r="I47" s="487" t="s">
        <v>13</v>
      </c>
      <c r="J47" s="488"/>
      <c r="K47" s="480">
        <f>SUM(K44:L46)</f>
        <v>43268.429999999935</v>
      </c>
      <c r="L47" s="481"/>
    </row>
    <row r="48" spans="1:15" x14ac:dyDescent="0.25">
      <c r="D48" s="457"/>
      <c r="E48" s="457"/>
      <c r="F48" s="58"/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8:E48"/>
    <mergeCell ref="I43:K43"/>
    <mergeCell ref="K44:L44"/>
    <mergeCell ref="I45:J45"/>
    <mergeCell ref="K45:L45"/>
    <mergeCell ref="K46:L46"/>
    <mergeCell ref="K47:L47"/>
    <mergeCell ref="I47:J47"/>
    <mergeCell ref="D41:E41"/>
    <mergeCell ref="C1:K1"/>
    <mergeCell ref="E4:F4"/>
    <mergeCell ref="I4:L4"/>
    <mergeCell ref="H40:I40"/>
    <mergeCell ref="K40:L4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P99"/>
  <sheetViews>
    <sheetView topLeftCell="A28" workbookViewId="0">
      <selection activeCell="D38" sqref="D38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bestFit="1" customWidth="1"/>
    <col min="11" max="11" width="17.42578125" bestFit="1" customWidth="1"/>
    <col min="14" max="14" width="17.42578125" bestFit="1" customWidth="1"/>
  </cols>
  <sheetData>
    <row r="2" spans="1:16" ht="16.5" thickBot="1" x14ac:dyDescent="0.3">
      <c r="I2" s="49"/>
      <c r="J2" s="104"/>
      <c r="K2" s="351">
        <v>42140</v>
      </c>
      <c r="L2" s="215"/>
      <c r="M2" s="134" t="s">
        <v>200</v>
      </c>
      <c r="N2" s="88"/>
    </row>
    <row r="3" spans="1:16" ht="16.5" thickBot="1" x14ac:dyDescent="0.3">
      <c r="C3" s="484" t="s">
        <v>240</v>
      </c>
      <c r="D3" s="485"/>
      <c r="E3" s="486"/>
      <c r="I3" s="49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29" t="s">
        <v>297</v>
      </c>
      <c r="D4" s="329"/>
      <c r="E4" s="329" t="s">
        <v>298</v>
      </c>
      <c r="F4" s="331" t="s">
        <v>299</v>
      </c>
      <c r="I4" s="49">
        <f>19926+6288.5</f>
        <v>26214.5</v>
      </c>
      <c r="J4" s="193">
        <v>19455</v>
      </c>
      <c r="K4" s="130">
        <v>24600.61</v>
      </c>
      <c r="L4" s="348"/>
      <c r="M4" s="113" t="s">
        <v>202</v>
      </c>
      <c r="N4" s="214">
        <v>17420</v>
      </c>
      <c r="O4" s="221">
        <v>42126</v>
      </c>
      <c r="P4" s="281">
        <v>42124</v>
      </c>
    </row>
    <row r="5" spans="1:16" ht="15.75" x14ac:dyDescent="0.25">
      <c r="A5" s="243">
        <v>42125</v>
      </c>
      <c r="B5" s="244">
        <v>19629</v>
      </c>
      <c r="C5" s="245">
        <v>80018.06</v>
      </c>
      <c r="D5" s="104">
        <v>42140</v>
      </c>
      <c r="E5" s="245">
        <v>80018.06</v>
      </c>
      <c r="F5" s="246">
        <f t="shared" ref="F5:F43" si="0">C5-E5</f>
        <v>0</v>
      </c>
      <c r="G5" s="105"/>
      <c r="H5" s="106"/>
      <c r="I5" s="103">
        <f>67635.5+17115</f>
        <v>84750.5</v>
      </c>
      <c r="J5" s="194">
        <v>19536</v>
      </c>
      <c r="K5" s="207">
        <v>84750.48</v>
      </c>
      <c r="L5" s="207"/>
      <c r="M5" s="350" t="s">
        <v>423</v>
      </c>
      <c r="N5" s="207">
        <v>20000</v>
      </c>
      <c r="O5" s="221">
        <v>42124</v>
      </c>
      <c r="P5" s="281"/>
    </row>
    <row r="6" spans="1:16" x14ac:dyDescent="0.25">
      <c r="A6" s="143">
        <v>42126</v>
      </c>
      <c r="B6" s="144">
        <v>19805</v>
      </c>
      <c r="C6" s="156">
        <v>87032.7</v>
      </c>
      <c r="D6" s="104">
        <v>42140</v>
      </c>
      <c r="E6" s="156">
        <v>87032.7</v>
      </c>
      <c r="F6" s="154">
        <f t="shared" si="0"/>
        <v>0</v>
      </c>
      <c r="G6" s="105"/>
      <c r="H6" s="108"/>
      <c r="I6" s="49">
        <f>52148.5+5401.5+17331.5+5136.5</f>
        <v>80018</v>
      </c>
      <c r="J6" s="244">
        <v>19629</v>
      </c>
      <c r="K6" s="245">
        <v>80018.06</v>
      </c>
      <c r="L6" s="207"/>
      <c r="M6" s="350" t="s">
        <v>423</v>
      </c>
      <c r="N6" s="207">
        <v>12930</v>
      </c>
      <c r="O6" s="221">
        <v>42124</v>
      </c>
      <c r="P6" s="281"/>
    </row>
    <row r="7" spans="1:16" x14ac:dyDescent="0.25">
      <c r="A7" s="143">
        <v>42128</v>
      </c>
      <c r="B7" s="144">
        <v>19973</v>
      </c>
      <c r="C7" s="156">
        <v>43274.22</v>
      </c>
      <c r="D7" s="104">
        <v>42140</v>
      </c>
      <c r="E7" s="156">
        <v>43274.22</v>
      </c>
      <c r="F7" s="155">
        <f t="shared" si="0"/>
        <v>0</v>
      </c>
      <c r="G7" s="105"/>
      <c r="H7" s="108"/>
      <c r="I7" s="49">
        <f>19400+30532+31466+5635</f>
        <v>87033</v>
      </c>
      <c r="J7" s="144">
        <v>19805</v>
      </c>
      <c r="K7" s="156">
        <v>87032.7</v>
      </c>
      <c r="L7" s="130"/>
      <c r="M7" s="350" t="s">
        <v>423</v>
      </c>
      <c r="N7" s="207">
        <v>43500</v>
      </c>
      <c r="O7" s="221">
        <v>42124</v>
      </c>
      <c r="P7" s="281"/>
    </row>
    <row r="8" spans="1:16" x14ac:dyDescent="0.25">
      <c r="A8" s="143">
        <v>42129</v>
      </c>
      <c r="B8" s="144">
        <v>20072</v>
      </c>
      <c r="C8" s="156">
        <v>10504.8</v>
      </c>
      <c r="D8" s="104">
        <v>42140</v>
      </c>
      <c r="E8" s="156">
        <v>10504.8</v>
      </c>
      <c r="F8" s="155">
        <f t="shared" si="0"/>
        <v>0</v>
      </c>
      <c r="G8" s="105"/>
      <c r="H8" s="106"/>
      <c r="I8" s="49">
        <f>17901.5+5098.5+7000+7688+5586</f>
        <v>43274</v>
      </c>
      <c r="J8" s="144">
        <v>19973</v>
      </c>
      <c r="K8" s="156">
        <v>43274.22</v>
      </c>
      <c r="L8" s="130"/>
      <c r="M8" s="349" t="s">
        <v>423</v>
      </c>
      <c r="N8" s="214">
        <v>52148.5</v>
      </c>
      <c r="O8" s="221">
        <v>42126</v>
      </c>
      <c r="P8" s="281">
        <v>42125</v>
      </c>
    </row>
    <row r="9" spans="1:16" x14ac:dyDescent="0.25">
      <c r="A9" s="143">
        <v>42130</v>
      </c>
      <c r="B9" s="144">
        <v>20175</v>
      </c>
      <c r="C9" s="156">
        <v>54070.51</v>
      </c>
      <c r="D9" s="104">
        <v>42140</v>
      </c>
      <c r="E9" s="156">
        <v>54070.51</v>
      </c>
      <c r="F9" s="155">
        <f t="shared" si="0"/>
        <v>0</v>
      </c>
      <c r="I9" s="49">
        <v>10505</v>
      </c>
      <c r="J9" s="144">
        <v>20072</v>
      </c>
      <c r="K9" s="156">
        <v>10504.8</v>
      </c>
      <c r="L9" s="207"/>
      <c r="M9" s="226" t="s">
        <v>202</v>
      </c>
      <c r="N9" s="207">
        <v>5401.5</v>
      </c>
      <c r="O9" s="221">
        <v>42126</v>
      </c>
      <c r="P9" s="281">
        <v>42125</v>
      </c>
    </row>
    <row r="10" spans="1:16" x14ac:dyDescent="0.25">
      <c r="A10" s="143">
        <v>42131</v>
      </c>
      <c r="B10" s="144">
        <v>20293</v>
      </c>
      <c r="C10" s="156">
        <v>38110.6</v>
      </c>
      <c r="D10" s="104">
        <v>42140</v>
      </c>
      <c r="E10" s="156">
        <v>38110.6</v>
      </c>
      <c r="F10" s="155">
        <f t="shared" si="0"/>
        <v>0</v>
      </c>
      <c r="I10" s="49">
        <f>28236+6698+19136.5</f>
        <v>54070.5</v>
      </c>
      <c r="J10" s="144">
        <v>20175</v>
      </c>
      <c r="K10" s="156">
        <v>54070.51</v>
      </c>
      <c r="L10" s="334"/>
      <c r="M10" s="226" t="s">
        <v>202</v>
      </c>
      <c r="N10" s="207">
        <v>17115</v>
      </c>
      <c r="O10" s="221">
        <v>42126</v>
      </c>
      <c r="P10" s="281">
        <v>42125</v>
      </c>
    </row>
    <row r="11" spans="1:16" x14ac:dyDescent="0.25">
      <c r="A11" s="143">
        <v>42132</v>
      </c>
      <c r="B11" s="144">
        <v>20383</v>
      </c>
      <c r="C11" s="156">
        <v>34201.199999999997</v>
      </c>
      <c r="D11" s="104">
        <v>42140</v>
      </c>
      <c r="E11" s="156">
        <v>34201.199999999997</v>
      </c>
      <c r="F11" s="155">
        <f t="shared" si="0"/>
        <v>0</v>
      </c>
      <c r="I11" s="49">
        <f>4869.5+33241</f>
        <v>38110.5</v>
      </c>
      <c r="J11" s="144">
        <v>20293</v>
      </c>
      <c r="K11" s="156">
        <v>38110.6</v>
      </c>
      <c r="L11" s="321"/>
      <c r="M11" s="226" t="s">
        <v>423</v>
      </c>
      <c r="N11" s="207">
        <v>19400</v>
      </c>
      <c r="O11" s="221">
        <v>42126</v>
      </c>
      <c r="P11" s="281"/>
    </row>
    <row r="12" spans="1:16" x14ac:dyDescent="0.25">
      <c r="A12" s="143">
        <v>42132</v>
      </c>
      <c r="B12" s="144">
        <v>20456</v>
      </c>
      <c r="C12" s="156">
        <v>74169</v>
      </c>
      <c r="D12" s="104">
        <v>42140</v>
      </c>
      <c r="E12" s="156">
        <v>74169</v>
      </c>
      <c r="F12" s="155">
        <f t="shared" si="0"/>
        <v>0</v>
      </c>
      <c r="I12" s="49">
        <f>4877.5+29323.5</f>
        <v>34201</v>
      </c>
      <c r="J12" s="144">
        <v>20383</v>
      </c>
      <c r="K12" s="156">
        <v>34201.199999999997</v>
      </c>
      <c r="L12" s="207"/>
      <c r="M12" s="226" t="s">
        <v>202</v>
      </c>
      <c r="N12" s="207">
        <v>30532</v>
      </c>
      <c r="O12" s="221">
        <v>42126</v>
      </c>
      <c r="P12" s="281"/>
    </row>
    <row r="13" spans="1:16" ht="15.75" x14ac:dyDescent="0.25">
      <c r="A13" s="143">
        <v>42133</v>
      </c>
      <c r="B13" s="144">
        <v>20585</v>
      </c>
      <c r="C13" s="156">
        <v>118641.73</v>
      </c>
      <c r="D13" s="104">
        <v>42140</v>
      </c>
      <c r="E13" s="156">
        <v>118641.73</v>
      </c>
      <c r="F13" s="155">
        <f t="shared" si="0"/>
        <v>0</v>
      </c>
      <c r="I13" s="49">
        <f>24849+43733+5587</f>
        <v>74169</v>
      </c>
      <c r="J13" s="144">
        <v>20456</v>
      </c>
      <c r="K13" s="156">
        <v>74169</v>
      </c>
      <c r="L13" s="207"/>
      <c r="M13" s="113" t="s">
        <v>202</v>
      </c>
      <c r="N13" s="207">
        <v>17331.5</v>
      </c>
      <c r="O13" s="221">
        <v>42126</v>
      </c>
      <c r="P13" s="281"/>
    </row>
    <row r="14" spans="1:16" ht="15.75" x14ac:dyDescent="0.25">
      <c r="A14" s="143">
        <v>42135</v>
      </c>
      <c r="B14" s="144">
        <v>20723</v>
      </c>
      <c r="C14" s="156">
        <v>43037.05</v>
      </c>
      <c r="D14" s="104">
        <v>42140</v>
      </c>
      <c r="E14" s="156">
        <v>43037.05</v>
      </c>
      <c r="F14" s="155">
        <f t="shared" si="0"/>
        <v>0</v>
      </c>
      <c r="I14" s="49">
        <f>42150+9390+67102</f>
        <v>118642</v>
      </c>
      <c r="J14" s="144">
        <v>20585</v>
      </c>
      <c r="K14" s="156">
        <v>118641.73</v>
      </c>
      <c r="L14" s="207"/>
      <c r="M14" s="113" t="s">
        <v>202</v>
      </c>
      <c r="N14" s="207">
        <v>5136.5</v>
      </c>
      <c r="O14" s="221">
        <v>42126</v>
      </c>
      <c r="P14" s="281"/>
    </row>
    <row r="15" spans="1:16" ht="15.75" x14ac:dyDescent="0.25">
      <c r="A15" s="143">
        <v>42135</v>
      </c>
      <c r="B15" s="144">
        <v>20751</v>
      </c>
      <c r="C15" s="156">
        <v>4081</v>
      </c>
      <c r="D15" s="104">
        <v>42140</v>
      </c>
      <c r="E15" s="156">
        <v>4081</v>
      </c>
      <c r="F15" s="155">
        <f t="shared" si="0"/>
        <v>0</v>
      </c>
      <c r="I15" s="49">
        <f>27645+5564+9828</f>
        <v>43037</v>
      </c>
      <c r="J15" s="144">
        <v>20723</v>
      </c>
      <c r="K15" s="156">
        <v>43037.05</v>
      </c>
      <c r="L15" s="207"/>
      <c r="M15" s="113" t="s">
        <v>202</v>
      </c>
      <c r="N15" s="207">
        <v>31466</v>
      </c>
      <c r="O15" s="221">
        <v>42128</v>
      </c>
      <c r="P15" s="281">
        <v>42127</v>
      </c>
    </row>
    <row r="16" spans="1:16" ht="15.75" x14ac:dyDescent="0.25">
      <c r="A16" s="143">
        <v>42136</v>
      </c>
      <c r="B16" s="144">
        <v>20857</v>
      </c>
      <c r="C16" s="156">
        <v>13150.24</v>
      </c>
      <c r="D16" s="104" t="s">
        <v>425</v>
      </c>
      <c r="E16" s="156">
        <f>11231.84+1918.4</f>
        <v>13150.24</v>
      </c>
      <c r="F16" s="155">
        <f t="shared" si="0"/>
        <v>0</v>
      </c>
      <c r="I16" s="49">
        <v>4081</v>
      </c>
      <c r="J16" s="144">
        <v>20751</v>
      </c>
      <c r="K16" s="156">
        <v>4081</v>
      </c>
      <c r="L16" s="207"/>
      <c r="M16" s="113" t="s">
        <v>202</v>
      </c>
      <c r="N16" s="207">
        <v>5635</v>
      </c>
      <c r="O16" s="221">
        <v>42128</v>
      </c>
      <c r="P16" s="281">
        <v>42127</v>
      </c>
    </row>
    <row r="17" spans="1:16" ht="15.75" x14ac:dyDescent="0.25">
      <c r="A17" s="143">
        <v>42137</v>
      </c>
      <c r="B17" s="144">
        <v>20954</v>
      </c>
      <c r="C17" s="156">
        <v>22984.080000000002</v>
      </c>
      <c r="D17" s="104">
        <v>42140</v>
      </c>
      <c r="E17" s="156">
        <v>22984.080000000002</v>
      </c>
      <c r="F17" s="155">
        <f t="shared" si="0"/>
        <v>0</v>
      </c>
      <c r="I17" s="49">
        <f>5332.5+5899.5</f>
        <v>11232</v>
      </c>
      <c r="J17" s="144">
        <v>20857</v>
      </c>
      <c r="K17" s="156">
        <v>11231.84</v>
      </c>
      <c r="L17" s="334"/>
      <c r="M17" s="113" t="s">
        <v>202</v>
      </c>
      <c r="N17" s="207">
        <v>17901.5</v>
      </c>
      <c r="O17" s="221">
        <v>42128</v>
      </c>
      <c r="P17" s="281"/>
    </row>
    <row r="18" spans="1:16" ht="15.75" x14ac:dyDescent="0.25">
      <c r="A18" s="143">
        <v>42138</v>
      </c>
      <c r="B18" s="144">
        <v>20982</v>
      </c>
      <c r="C18" s="156">
        <v>38860.550000000003</v>
      </c>
      <c r="D18" s="104">
        <v>42140</v>
      </c>
      <c r="E18" s="156">
        <v>38860.550000000003</v>
      </c>
      <c r="F18" s="155">
        <f t="shared" si="0"/>
        <v>0</v>
      </c>
      <c r="I18" s="49">
        <f>6162.5+5448.5+11373</f>
        <v>22984</v>
      </c>
      <c r="J18" s="144">
        <v>20954</v>
      </c>
      <c r="K18" s="156">
        <v>22984.080000000002</v>
      </c>
      <c r="L18" s="207"/>
      <c r="M18" s="113" t="s">
        <v>202</v>
      </c>
      <c r="N18" s="207">
        <v>5098.5</v>
      </c>
      <c r="O18" s="221">
        <v>42128</v>
      </c>
      <c r="P18" s="281"/>
    </row>
    <row r="19" spans="1:16" ht="15.75" x14ac:dyDescent="0.25">
      <c r="A19" s="143">
        <v>42138</v>
      </c>
      <c r="B19" s="144">
        <v>21049</v>
      </c>
      <c r="C19" s="156">
        <v>82501.600000000006</v>
      </c>
      <c r="D19" s="328" t="s">
        <v>432</v>
      </c>
      <c r="E19" s="156">
        <f>26745.5+55756.1</f>
        <v>82501.600000000006</v>
      </c>
      <c r="F19" s="155">
        <f t="shared" si="0"/>
        <v>0</v>
      </c>
      <c r="I19" s="49">
        <f>36137.5+2723</f>
        <v>38860.5</v>
      </c>
      <c r="J19" s="144">
        <v>20982</v>
      </c>
      <c r="K19" s="156">
        <v>38860.550000000003</v>
      </c>
      <c r="L19" s="207"/>
      <c r="M19" s="113" t="s">
        <v>202</v>
      </c>
      <c r="N19" s="207">
        <v>7000</v>
      </c>
      <c r="O19" s="221">
        <v>42131</v>
      </c>
      <c r="P19" s="281">
        <v>42128</v>
      </c>
    </row>
    <row r="20" spans="1:16" ht="15.75" x14ac:dyDescent="0.25">
      <c r="A20" s="143">
        <v>42139</v>
      </c>
      <c r="B20" s="144">
        <v>21196</v>
      </c>
      <c r="C20" s="156">
        <v>59002.8</v>
      </c>
      <c r="D20" s="104">
        <v>42147</v>
      </c>
      <c r="E20" s="103">
        <v>59002.8</v>
      </c>
      <c r="F20" s="155">
        <f t="shared" si="0"/>
        <v>0</v>
      </c>
      <c r="I20" s="88">
        <f>26745.5</f>
        <v>26745.5</v>
      </c>
      <c r="J20" s="144">
        <v>21049</v>
      </c>
      <c r="K20" s="156">
        <v>26745.5</v>
      </c>
      <c r="L20" s="207" t="s">
        <v>361</v>
      </c>
      <c r="M20" s="113" t="s">
        <v>202</v>
      </c>
      <c r="N20" s="207">
        <v>7688</v>
      </c>
      <c r="O20" s="221">
        <v>42129</v>
      </c>
      <c r="P20" s="281"/>
    </row>
    <row r="21" spans="1:16" ht="15.75" x14ac:dyDescent="0.25">
      <c r="A21" s="143">
        <v>42139</v>
      </c>
      <c r="B21" s="144">
        <v>21242</v>
      </c>
      <c r="C21" s="156">
        <v>24602.959999999999</v>
      </c>
      <c r="D21" s="328" t="s">
        <v>432</v>
      </c>
      <c r="E21" s="103">
        <f>1614.5+22988.46</f>
        <v>24602.959999999999</v>
      </c>
      <c r="F21" s="155">
        <f t="shared" si="0"/>
        <v>0</v>
      </c>
      <c r="I21" s="49"/>
      <c r="J21" s="144">
        <v>21242</v>
      </c>
      <c r="K21" s="156">
        <v>1614.5</v>
      </c>
      <c r="L21" s="207" t="s">
        <v>361</v>
      </c>
      <c r="M21" s="113" t="s">
        <v>202</v>
      </c>
      <c r="N21" s="207">
        <v>5586</v>
      </c>
      <c r="O21" s="221">
        <v>42129</v>
      </c>
      <c r="P21" s="281"/>
    </row>
    <row r="22" spans="1:16" ht="15.75" x14ac:dyDescent="0.25">
      <c r="A22" s="143">
        <v>42140</v>
      </c>
      <c r="B22" s="144">
        <v>21307</v>
      </c>
      <c r="C22" s="156">
        <v>26448</v>
      </c>
      <c r="D22" s="104">
        <v>42147</v>
      </c>
      <c r="E22" s="103">
        <v>26448</v>
      </c>
      <c r="F22" s="155">
        <f t="shared" si="0"/>
        <v>0</v>
      </c>
      <c r="I22" s="49"/>
      <c r="J22" s="292"/>
      <c r="K22" s="157"/>
      <c r="L22" s="207"/>
      <c r="M22" s="113" t="s">
        <v>202</v>
      </c>
      <c r="N22" s="207">
        <v>28236</v>
      </c>
      <c r="O22" s="221">
        <v>42129</v>
      </c>
      <c r="P22" s="252"/>
    </row>
    <row r="23" spans="1:16" ht="15.75" x14ac:dyDescent="0.25">
      <c r="A23" s="143">
        <v>42140</v>
      </c>
      <c r="B23" s="144">
        <v>21311</v>
      </c>
      <c r="C23" s="207">
        <v>25584.45</v>
      </c>
      <c r="D23" s="283">
        <v>42147</v>
      </c>
      <c r="E23" s="103">
        <v>25584.45</v>
      </c>
      <c r="F23" s="155">
        <f t="shared" si="0"/>
        <v>0</v>
      </c>
      <c r="I23" s="49">
        <v>0</v>
      </c>
      <c r="J23" s="292"/>
      <c r="K23" s="157"/>
      <c r="L23" s="260"/>
      <c r="M23" s="113" t="s">
        <v>202</v>
      </c>
      <c r="N23" s="207">
        <v>6698</v>
      </c>
      <c r="O23" s="221">
        <v>42130</v>
      </c>
      <c r="P23" s="252"/>
    </row>
    <row r="24" spans="1:16" ht="15.75" x14ac:dyDescent="0.25">
      <c r="A24" s="143">
        <v>42141</v>
      </c>
      <c r="B24" s="144">
        <v>21381</v>
      </c>
      <c r="C24" s="156">
        <v>26114.55</v>
      </c>
      <c r="D24" s="104">
        <v>42147</v>
      </c>
      <c r="E24" s="103">
        <v>26114.55</v>
      </c>
      <c r="F24" s="155">
        <f t="shared" si="0"/>
        <v>0</v>
      </c>
      <c r="I24" s="88">
        <f>SUM(I4:I23)</f>
        <v>797928</v>
      </c>
      <c r="J24" s="263"/>
      <c r="K24" s="130"/>
      <c r="L24" s="130"/>
      <c r="M24" s="113" t="s">
        <v>202</v>
      </c>
      <c r="N24" s="207">
        <v>10505</v>
      </c>
      <c r="O24" s="221">
        <v>42130</v>
      </c>
      <c r="P24" s="252"/>
    </row>
    <row r="25" spans="1:16" ht="15.75" x14ac:dyDescent="0.25">
      <c r="A25" s="143">
        <v>42142</v>
      </c>
      <c r="B25" s="144">
        <v>21426</v>
      </c>
      <c r="C25" s="156">
        <v>31767.93</v>
      </c>
      <c r="D25" s="104">
        <v>42147</v>
      </c>
      <c r="E25" s="103">
        <v>31767.93</v>
      </c>
      <c r="F25" s="155">
        <f t="shared" si="0"/>
        <v>0</v>
      </c>
      <c r="I25" s="49"/>
      <c r="J25" s="262"/>
      <c r="K25" s="207"/>
      <c r="L25" s="207"/>
      <c r="M25" s="113" t="s">
        <v>202</v>
      </c>
      <c r="N25" s="214">
        <v>19136.5</v>
      </c>
      <c r="O25" s="221">
        <v>42130</v>
      </c>
      <c r="P25" s="252"/>
    </row>
    <row r="26" spans="1:16" ht="15.75" x14ac:dyDescent="0.25">
      <c r="A26" s="143">
        <v>42144</v>
      </c>
      <c r="B26" s="144">
        <v>21696</v>
      </c>
      <c r="C26" s="156">
        <v>56804.17</v>
      </c>
      <c r="D26" s="104">
        <v>42147</v>
      </c>
      <c r="E26" s="103">
        <v>56804.17</v>
      </c>
      <c r="F26" s="155">
        <f t="shared" si="0"/>
        <v>0</v>
      </c>
      <c r="I26" s="49"/>
      <c r="J26" s="262"/>
      <c r="K26" s="207"/>
      <c r="L26" s="207"/>
      <c r="M26" s="113" t="s">
        <v>202</v>
      </c>
      <c r="N26" s="207">
        <v>4869.5</v>
      </c>
      <c r="O26" s="221">
        <v>42131</v>
      </c>
      <c r="P26" s="252"/>
    </row>
    <row r="27" spans="1:16" ht="15.75" x14ac:dyDescent="0.25">
      <c r="A27" s="143">
        <v>42145</v>
      </c>
      <c r="B27" s="144">
        <v>21786</v>
      </c>
      <c r="C27" s="156">
        <v>37543.64</v>
      </c>
      <c r="D27" s="145" t="s">
        <v>433</v>
      </c>
      <c r="E27" s="103">
        <f>35923.64+1620</f>
        <v>37543.64</v>
      </c>
      <c r="F27" s="155">
        <f t="shared" si="0"/>
        <v>0</v>
      </c>
      <c r="I27" s="49"/>
      <c r="J27" s="264"/>
      <c r="K27" s="207"/>
      <c r="L27" s="207"/>
      <c r="M27" s="113" t="s">
        <v>202</v>
      </c>
      <c r="N27" s="207">
        <v>33241</v>
      </c>
      <c r="O27" s="221">
        <v>42131</v>
      </c>
      <c r="P27" s="252"/>
    </row>
    <row r="28" spans="1:16" ht="15.75" x14ac:dyDescent="0.25">
      <c r="A28" s="143">
        <v>42146</v>
      </c>
      <c r="B28" s="144">
        <v>21850</v>
      </c>
      <c r="C28" s="156">
        <v>95594.240000000005</v>
      </c>
      <c r="D28" s="104">
        <v>42153</v>
      </c>
      <c r="E28" s="103">
        <v>95594.240000000005</v>
      </c>
      <c r="F28" s="155">
        <f t="shared" si="0"/>
        <v>0</v>
      </c>
      <c r="I28" s="49"/>
      <c r="J28" s="264"/>
      <c r="K28" s="130"/>
      <c r="L28" s="130"/>
      <c r="M28" s="113" t="s">
        <v>202</v>
      </c>
      <c r="N28" s="207">
        <v>4877.5</v>
      </c>
      <c r="O28" s="221">
        <v>42132</v>
      </c>
      <c r="P28" s="252"/>
    </row>
    <row r="29" spans="1:16" ht="15.75" x14ac:dyDescent="0.25">
      <c r="A29" s="143">
        <v>42147</v>
      </c>
      <c r="B29" s="144">
        <v>22037</v>
      </c>
      <c r="C29" s="156">
        <v>83094.64</v>
      </c>
      <c r="D29" s="104">
        <v>42153</v>
      </c>
      <c r="E29" s="103">
        <v>83094.64</v>
      </c>
      <c r="F29" s="155">
        <f t="shared" si="0"/>
        <v>0</v>
      </c>
      <c r="I29" s="49"/>
      <c r="J29" s="193"/>
      <c r="K29" s="207"/>
      <c r="L29" s="207"/>
      <c r="M29" s="113" t="s">
        <v>202</v>
      </c>
      <c r="N29" s="207">
        <v>24849</v>
      </c>
      <c r="O29" s="221">
        <v>42132</v>
      </c>
      <c r="P29" s="252"/>
    </row>
    <row r="30" spans="1:16" ht="15.75" x14ac:dyDescent="0.25">
      <c r="A30" s="143">
        <v>42149</v>
      </c>
      <c r="B30" s="144">
        <v>22192</v>
      </c>
      <c r="C30" s="156">
        <v>9067</v>
      </c>
      <c r="D30" s="104">
        <v>42153</v>
      </c>
      <c r="E30" s="88">
        <v>9067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29323.5</v>
      </c>
      <c r="O30" s="221">
        <v>42132</v>
      </c>
      <c r="P30" s="252"/>
    </row>
    <row r="31" spans="1:16" ht="15.75" x14ac:dyDescent="0.25">
      <c r="A31" s="143">
        <v>42150</v>
      </c>
      <c r="B31" s="144">
        <v>22314</v>
      </c>
      <c r="C31" s="156">
        <v>28982</v>
      </c>
      <c r="D31" s="104">
        <v>42153</v>
      </c>
      <c r="E31" s="103">
        <v>28982</v>
      </c>
      <c r="F31" s="155">
        <f t="shared" si="0"/>
        <v>0</v>
      </c>
      <c r="I31" s="208"/>
      <c r="J31" s="193"/>
      <c r="K31" s="207"/>
      <c r="L31" s="207"/>
      <c r="M31" s="113" t="s">
        <v>202</v>
      </c>
      <c r="N31" s="207">
        <v>43733</v>
      </c>
      <c r="O31" s="221">
        <v>42133</v>
      </c>
      <c r="P31" s="252"/>
    </row>
    <row r="32" spans="1:16" ht="15.75" x14ac:dyDescent="0.25">
      <c r="A32" s="143">
        <v>42151</v>
      </c>
      <c r="B32" s="144">
        <v>22408</v>
      </c>
      <c r="C32" s="156">
        <v>26360.1</v>
      </c>
      <c r="D32" s="320">
        <v>42165</v>
      </c>
      <c r="E32" s="184">
        <v>26360.1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42150</v>
      </c>
      <c r="O32" s="221">
        <v>42133</v>
      </c>
      <c r="P32" s="252"/>
    </row>
    <row r="33" spans="1:16" ht="15.75" x14ac:dyDescent="0.25">
      <c r="A33" s="143">
        <v>42152</v>
      </c>
      <c r="B33" s="144">
        <v>22443</v>
      </c>
      <c r="C33" s="156">
        <v>30947.119999999999</v>
      </c>
      <c r="D33" s="320">
        <v>42165</v>
      </c>
      <c r="E33" s="318">
        <v>30947.119999999999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5587</v>
      </c>
      <c r="O33" s="221">
        <v>42133</v>
      </c>
      <c r="P33" s="252"/>
    </row>
    <row r="34" spans="1:16" ht="15.75" x14ac:dyDescent="0.25">
      <c r="A34" s="143">
        <v>42152</v>
      </c>
      <c r="B34" s="144">
        <v>22444</v>
      </c>
      <c r="C34" s="156">
        <v>3714.8</v>
      </c>
      <c r="D34" s="320">
        <v>42165</v>
      </c>
      <c r="E34" s="318">
        <v>3714.8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9390</v>
      </c>
      <c r="O34" s="221">
        <v>42135</v>
      </c>
      <c r="P34" s="252">
        <v>42134</v>
      </c>
    </row>
    <row r="35" spans="1:16" ht="15.75" x14ac:dyDescent="0.25">
      <c r="A35" s="143">
        <v>42152</v>
      </c>
      <c r="B35" s="144">
        <v>22539</v>
      </c>
      <c r="C35" s="156">
        <v>26917.93</v>
      </c>
      <c r="D35" s="320">
        <v>42165</v>
      </c>
      <c r="E35" s="184">
        <v>26917.93</v>
      </c>
      <c r="F35" s="155">
        <f t="shared" si="0"/>
        <v>0</v>
      </c>
      <c r="I35" s="153"/>
      <c r="J35" s="206"/>
      <c r="K35" s="207"/>
      <c r="L35" s="207"/>
      <c r="M35" s="113" t="s">
        <v>202</v>
      </c>
      <c r="N35" s="207">
        <v>67102</v>
      </c>
      <c r="O35" s="222">
        <v>42135</v>
      </c>
      <c r="P35" s="252">
        <v>42134</v>
      </c>
    </row>
    <row r="36" spans="1:16" ht="15.75" x14ac:dyDescent="0.25">
      <c r="A36" s="143">
        <v>42153</v>
      </c>
      <c r="B36" s="144">
        <v>22588</v>
      </c>
      <c r="C36" s="156">
        <v>22200.37</v>
      </c>
      <c r="D36" s="320">
        <v>42165</v>
      </c>
      <c r="E36" s="184">
        <v>22200.37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27645</v>
      </c>
      <c r="O36" s="221">
        <v>42135</v>
      </c>
      <c r="P36" s="252"/>
    </row>
    <row r="37" spans="1:16" ht="15.75" x14ac:dyDescent="0.25">
      <c r="A37" s="143">
        <v>42153</v>
      </c>
      <c r="B37" s="292">
        <v>22603</v>
      </c>
      <c r="C37" s="157">
        <v>30328.78</v>
      </c>
      <c r="D37" s="320">
        <v>42165</v>
      </c>
      <c r="E37" s="184">
        <v>30328.78</v>
      </c>
      <c r="F37" s="155">
        <f t="shared" si="0"/>
        <v>0</v>
      </c>
      <c r="I37" s="153"/>
      <c r="J37" s="119"/>
      <c r="K37" s="121"/>
      <c r="L37" s="121"/>
      <c r="M37" s="113" t="s">
        <v>202</v>
      </c>
      <c r="N37" s="121">
        <v>4081</v>
      </c>
      <c r="O37" s="222">
        <v>42135</v>
      </c>
      <c r="P37" s="252"/>
    </row>
    <row r="38" spans="1:16" ht="15.75" x14ac:dyDescent="0.25">
      <c r="A38" s="143">
        <v>42153</v>
      </c>
      <c r="B38" s="292">
        <v>22654</v>
      </c>
      <c r="C38" s="157">
        <v>29858</v>
      </c>
      <c r="D38" s="276" t="s">
        <v>474</v>
      </c>
      <c r="E38" s="318">
        <f>29349.6+508.4</f>
        <v>29858</v>
      </c>
      <c r="F38" s="155">
        <f t="shared" si="0"/>
        <v>0</v>
      </c>
      <c r="G38" s="367" t="s">
        <v>12</v>
      </c>
      <c r="I38" s="153"/>
      <c r="J38" s="119"/>
      <c r="K38" s="121"/>
      <c r="L38" s="121"/>
      <c r="M38" s="113" t="s">
        <v>202</v>
      </c>
      <c r="N38" s="121">
        <v>5564</v>
      </c>
      <c r="O38" s="222">
        <v>42135</v>
      </c>
      <c r="P38" s="252"/>
    </row>
    <row r="39" spans="1:16" ht="15.75" x14ac:dyDescent="0.25">
      <c r="A39" s="143">
        <v>42153</v>
      </c>
      <c r="B39" s="292">
        <v>22661</v>
      </c>
      <c r="C39" s="157">
        <v>53986.400000000001</v>
      </c>
      <c r="D39" s="320">
        <v>42165</v>
      </c>
      <c r="E39" s="318">
        <v>53986.400000000001</v>
      </c>
      <c r="F39" s="155">
        <f t="shared" si="0"/>
        <v>0</v>
      </c>
      <c r="I39" s="43"/>
      <c r="J39" s="119"/>
      <c r="K39" s="121"/>
      <c r="L39" s="121"/>
      <c r="M39" s="113" t="s">
        <v>202</v>
      </c>
      <c r="N39" s="121">
        <v>5332.5</v>
      </c>
      <c r="O39" s="222">
        <v>42136</v>
      </c>
    </row>
    <row r="40" spans="1:16" ht="15.75" customHeight="1" x14ac:dyDescent="0.25">
      <c r="A40" s="143">
        <v>42154</v>
      </c>
      <c r="B40" s="292">
        <v>22772</v>
      </c>
      <c r="C40" s="157">
        <v>66211.100000000006</v>
      </c>
      <c r="D40" s="320">
        <v>42165</v>
      </c>
      <c r="E40" s="318">
        <v>66211.100000000006</v>
      </c>
      <c r="F40" s="241">
        <f t="shared" si="0"/>
        <v>0</v>
      </c>
      <c r="I40" s="43"/>
      <c r="J40" s="119"/>
      <c r="K40" s="121"/>
      <c r="L40" s="121"/>
      <c r="M40" s="113" t="s">
        <v>202</v>
      </c>
      <c r="N40" s="121">
        <v>5899.5</v>
      </c>
      <c r="O40" s="222">
        <v>42136</v>
      </c>
    </row>
    <row r="41" spans="1:16" ht="15.75" customHeight="1" x14ac:dyDescent="0.25">
      <c r="A41" s="305">
        <v>42155</v>
      </c>
      <c r="B41" s="306">
        <v>22846</v>
      </c>
      <c r="C41" s="88">
        <v>27190.15</v>
      </c>
      <c r="D41" s="320">
        <v>42165</v>
      </c>
      <c r="E41" s="318">
        <v>27190.15</v>
      </c>
      <c r="F41" s="241">
        <f t="shared" si="0"/>
        <v>0</v>
      </c>
      <c r="I41" s="43"/>
      <c r="J41" s="119"/>
      <c r="K41" s="121"/>
      <c r="L41" s="121"/>
      <c r="M41" s="113" t="s">
        <v>202</v>
      </c>
      <c r="N41" s="121">
        <v>9828</v>
      </c>
      <c r="O41" s="222">
        <v>42136</v>
      </c>
    </row>
    <row r="42" spans="1:16" ht="15.75" x14ac:dyDescent="0.25">
      <c r="A42" s="143">
        <v>42155</v>
      </c>
      <c r="B42" s="307">
        <v>22847</v>
      </c>
      <c r="C42" s="207">
        <v>3078.8</v>
      </c>
      <c r="D42" s="320">
        <v>42165</v>
      </c>
      <c r="E42" s="318">
        <v>3078.8</v>
      </c>
      <c r="F42" s="241">
        <f t="shared" si="0"/>
        <v>0</v>
      </c>
      <c r="I42" s="43"/>
      <c r="J42" s="119"/>
      <c r="K42" s="121"/>
      <c r="L42" s="121"/>
      <c r="M42" s="113" t="s">
        <v>202</v>
      </c>
      <c r="N42" s="121">
        <v>6162.5</v>
      </c>
      <c r="O42" s="222">
        <v>42137</v>
      </c>
    </row>
    <row r="43" spans="1:16" ht="15.75" x14ac:dyDescent="0.25">
      <c r="A43" s="143"/>
      <c r="B43" s="307"/>
      <c r="C43" s="207"/>
      <c r="D43" s="299"/>
      <c r="E43" s="88"/>
      <c r="F43" s="241">
        <f t="shared" si="0"/>
        <v>0</v>
      </c>
      <c r="I43" s="43"/>
      <c r="J43" s="119"/>
      <c r="K43" s="121"/>
      <c r="L43" s="121"/>
      <c r="M43" s="113" t="s">
        <v>202</v>
      </c>
      <c r="N43" s="121">
        <v>36137.5</v>
      </c>
      <c r="O43" s="222">
        <v>42137</v>
      </c>
    </row>
    <row r="44" spans="1:16" ht="15.75" x14ac:dyDescent="0.25">
      <c r="A44" s="286"/>
      <c r="B44" s="289"/>
      <c r="C44" s="150"/>
      <c r="D44" s="119"/>
      <c r="E44" s="150"/>
      <c r="F44" s="332"/>
      <c r="I44" s="43"/>
      <c r="J44" s="119"/>
      <c r="K44" s="121"/>
      <c r="L44" s="121"/>
      <c r="M44" s="113" t="s">
        <v>202</v>
      </c>
      <c r="N44" s="121">
        <v>2723</v>
      </c>
      <c r="O44" s="222">
        <v>42138</v>
      </c>
    </row>
    <row r="45" spans="1:16" ht="16.5" customHeight="1" thickBot="1" x14ac:dyDescent="0.3">
      <c r="A45" s="287"/>
      <c r="B45" s="124"/>
      <c r="C45" s="57">
        <v>0</v>
      </c>
      <c r="D45" s="57"/>
      <c r="E45" s="125">
        <v>0</v>
      </c>
      <c r="F45" s="242">
        <v>0</v>
      </c>
      <c r="I45" s="43"/>
      <c r="J45" s="119"/>
      <c r="K45" s="121"/>
      <c r="L45" s="121"/>
      <c r="M45" s="113" t="s">
        <v>202</v>
      </c>
      <c r="N45" s="121">
        <v>5448.5</v>
      </c>
      <c r="O45" s="222">
        <v>42138</v>
      </c>
    </row>
    <row r="46" spans="1:16" ht="16.5" thickTop="1" x14ac:dyDescent="0.25">
      <c r="C46" s="58">
        <f>SUM(C5:C45)</f>
        <v>1570037.2700000003</v>
      </c>
      <c r="D46" s="58"/>
      <c r="E46" s="58">
        <f>SUM(E5:E45)</f>
        <v>1570037.2700000003</v>
      </c>
      <c r="F46" s="360">
        <f>SUM(F5:F45)</f>
        <v>0</v>
      </c>
      <c r="I46" s="43"/>
      <c r="J46" s="196"/>
      <c r="K46" s="121">
        <v>0</v>
      </c>
      <c r="L46" s="121"/>
      <c r="M46" s="113" t="s">
        <v>202</v>
      </c>
      <c r="N46" s="121">
        <v>11373</v>
      </c>
      <c r="O46" s="222">
        <v>42138</v>
      </c>
    </row>
    <row r="47" spans="1:16" ht="17.25" x14ac:dyDescent="0.4">
      <c r="A47" s="305"/>
      <c r="B47" s="105"/>
      <c r="C47" s="103"/>
      <c r="D47" s="104"/>
      <c r="E47" s="103"/>
      <c r="F47" s="213"/>
      <c r="I47" s="43"/>
      <c r="J47" s="119"/>
      <c r="K47" s="121"/>
      <c r="L47" s="338"/>
      <c r="M47" s="339" t="s">
        <v>202</v>
      </c>
      <c r="N47" s="121">
        <v>26745.5</v>
      </c>
      <c r="O47" s="199">
        <v>42138</v>
      </c>
    </row>
    <row r="48" spans="1:16" ht="15.75" thickBot="1" x14ac:dyDescent="0.3">
      <c r="A48" s="305"/>
      <c r="B48" s="105"/>
      <c r="C48" s="88"/>
      <c r="D48" s="356"/>
      <c r="E48" s="56"/>
      <c r="F48" s="49"/>
      <c r="I48" s="43"/>
      <c r="J48" s="336"/>
      <c r="K48" s="337"/>
      <c r="L48" s="337"/>
      <c r="M48" s="337"/>
      <c r="N48" s="337"/>
      <c r="O48" s="336"/>
    </row>
    <row r="49" spans="1:16" ht="18.75" x14ac:dyDescent="0.3">
      <c r="A49" s="294"/>
      <c r="B49" s="357"/>
      <c r="C49" s="55"/>
      <c r="D49" s="356"/>
      <c r="E49" s="56"/>
      <c r="F49" s="49"/>
      <c r="I49" s="43"/>
      <c r="K49" s="131">
        <f>SUM(K4:K47)</f>
        <v>797928.42999999993</v>
      </c>
      <c r="L49" s="131"/>
      <c r="M49" s="131"/>
      <c r="N49" s="131">
        <f>SUM(N4:N47)</f>
        <v>797928</v>
      </c>
    </row>
    <row r="50" spans="1:16" x14ac:dyDescent="0.25">
      <c r="A50" s="84"/>
      <c r="B50" s="358"/>
      <c r="C50" s="55"/>
      <c r="D50" s="359"/>
      <c r="E50" s="55"/>
      <c r="F50" s="49"/>
      <c r="I50" s="43"/>
      <c r="K50" s="58"/>
      <c r="L50" s="58"/>
      <c r="M50" s="58"/>
      <c r="N50" s="58"/>
    </row>
    <row r="51" spans="1:16" x14ac:dyDescent="0.25">
      <c r="A51" s="84"/>
      <c r="B51" s="358"/>
      <c r="C51" s="55"/>
      <c r="D51" s="359"/>
      <c r="E51" s="55"/>
      <c r="F51" s="49"/>
      <c r="I51" s="43"/>
      <c r="K51" s="58"/>
      <c r="L51" s="58"/>
      <c r="M51" s="58"/>
      <c r="N51" s="58"/>
    </row>
    <row r="52" spans="1:16" x14ac:dyDescent="0.25">
      <c r="A52" s="294"/>
      <c r="B52" s="357"/>
      <c r="C52" s="55"/>
      <c r="D52" s="356"/>
      <c r="E52" s="56"/>
      <c r="F52" s="49"/>
      <c r="I52" s="43"/>
      <c r="K52" s="58"/>
      <c r="L52" s="58"/>
      <c r="M52" s="58"/>
      <c r="N52" s="58"/>
    </row>
    <row r="53" spans="1:16" ht="15.75" x14ac:dyDescent="0.25">
      <c r="A53" s="294"/>
      <c r="B53" s="357"/>
      <c r="C53" s="55"/>
      <c r="D53" s="55"/>
      <c r="E53" s="56"/>
      <c r="F53" s="49"/>
      <c r="H53" s="28"/>
      <c r="I53" s="49"/>
      <c r="J53" s="104"/>
      <c r="K53" s="352">
        <v>42147</v>
      </c>
      <c r="L53" s="215"/>
      <c r="M53" s="134" t="s">
        <v>200</v>
      </c>
      <c r="N53" s="88"/>
    </row>
    <row r="54" spans="1:16" x14ac:dyDescent="0.25">
      <c r="A54" s="294"/>
      <c r="B54" s="357"/>
      <c r="C54" s="55"/>
      <c r="D54" s="55"/>
      <c r="E54" s="56"/>
      <c r="F54" s="49"/>
      <c r="H54" s="28"/>
      <c r="I54" s="49"/>
      <c r="J54" s="104"/>
      <c r="K54" s="103"/>
      <c r="L54" s="103"/>
      <c r="M54" s="103"/>
      <c r="N54" s="213"/>
    </row>
    <row r="55" spans="1:16" ht="15.75" x14ac:dyDescent="0.25">
      <c r="A55" s="84"/>
      <c r="B55" s="358"/>
      <c r="C55" s="55"/>
      <c r="D55" s="13"/>
      <c r="E55" s="55"/>
      <c r="F55" s="49"/>
      <c r="H55" s="28"/>
      <c r="I55" s="49">
        <f>5552+50204</f>
        <v>55756</v>
      </c>
      <c r="J55" s="193">
        <v>21049</v>
      </c>
      <c r="K55" s="130">
        <v>55756</v>
      </c>
      <c r="L55" s="348"/>
      <c r="M55" s="113" t="s">
        <v>202</v>
      </c>
      <c r="N55" s="214">
        <v>5552</v>
      </c>
      <c r="O55" s="221">
        <v>42139</v>
      </c>
    </row>
    <row r="56" spans="1:16" ht="15.75" x14ac:dyDescent="0.25">
      <c r="A56" s="84"/>
      <c r="B56" s="358"/>
      <c r="C56" s="55"/>
      <c r="D56" s="13"/>
      <c r="E56" s="55"/>
      <c r="F56" s="49"/>
      <c r="H56" s="28"/>
      <c r="I56" s="103">
        <f>9184+9319+35420.5+5079.5</f>
        <v>59003</v>
      </c>
      <c r="J56" s="194">
        <v>21196</v>
      </c>
      <c r="K56" s="207">
        <v>59002.8</v>
      </c>
      <c r="L56" s="207"/>
      <c r="M56" s="226" t="s">
        <v>202</v>
      </c>
      <c r="N56" s="207">
        <v>50204</v>
      </c>
      <c r="O56" s="221">
        <v>42139</v>
      </c>
    </row>
    <row r="57" spans="1:16" x14ac:dyDescent="0.25">
      <c r="A57" s="84"/>
      <c r="B57" s="358"/>
      <c r="C57" s="55"/>
      <c r="D57" s="13"/>
      <c r="E57" s="55"/>
      <c r="F57" s="49"/>
      <c r="H57" s="28"/>
      <c r="I57" s="49">
        <f>22281+707.5</f>
        <v>22988.5</v>
      </c>
      <c r="J57" s="244">
        <v>21242</v>
      </c>
      <c r="K57" s="245">
        <v>22988.46</v>
      </c>
      <c r="L57" s="207"/>
      <c r="M57" s="226" t="s">
        <v>202</v>
      </c>
      <c r="N57" s="207">
        <v>9184</v>
      </c>
      <c r="O57" s="221">
        <v>42139</v>
      </c>
    </row>
    <row r="58" spans="1:16" x14ac:dyDescent="0.25">
      <c r="A58" s="84"/>
      <c r="B58" s="358"/>
      <c r="C58" s="55"/>
      <c r="D58" s="13"/>
      <c r="E58" s="55"/>
      <c r="F58" s="49"/>
      <c r="H58" s="28"/>
      <c r="I58" s="49">
        <f>19758+6690</f>
        <v>26448</v>
      </c>
      <c r="J58" s="144">
        <v>21307</v>
      </c>
      <c r="K58" s="156">
        <v>26448</v>
      </c>
      <c r="L58" s="130"/>
      <c r="M58" s="226" t="s">
        <v>202</v>
      </c>
      <c r="N58" s="207">
        <v>22281</v>
      </c>
      <c r="O58" s="221">
        <v>42140</v>
      </c>
    </row>
    <row r="59" spans="1:16" x14ac:dyDescent="0.25">
      <c r="H59" s="28"/>
      <c r="I59" s="49">
        <v>25584.5</v>
      </c>
      <c r="J59" s="144">
        <v>21311</v>
      </c>
      <c r="K59" s="207">
        <v>25584.45</v>
      </c>
      <c r="L59" s="130"/>
      <c r="M59" s="226" t="s">
        <v>202</v>
      </c>
      <c r="N59" s="214">
        <v>9319</v>
      </c>
      <c r="O59" s="221">
        <v>42140</v>
      </c>
    </row>
    <row r="60" spans="1:16" x14ac:dyDescent="0.25">
      <c r="H60" s="28"/>
      <c r="I60" s="49">
        <f>8960+11712+5442.5</f>
        <v>26114.5</v>
      </c>
      <c r="J60" s="144">
        <v>21381</v>
      </c>
      <c r="K60" s="156">
        <v>26114.55</v>
      </c>
      <c r="L60" s="207"/>
      <c r="M60" s="226" t="s">
        <v>202</v>
      </c>
      <c r="N60" s="207">
        <v>35420.5</v>
      </c>
      <c r="O60" s="221">
        <v>42140</v>
      </c>
    </row>
    <row r="61" spans="1:16" x14ac:dyDescent="0.25">
      <c r="H61" s="28"/>
      <c r="I61" s="49">
        <f>27245.5+4522.5</f>
        <v>31768</v>
      </c>
      <c r="J61" s="144">
        <v>21426</v>
      </c>
      <c r="K61" s="156">
        <v>31767.93</v>
      </c>
      <c r="L61" s="334"/>
      <c r="M61" s="226" t="s">
        <v>202</v>
      </c>
      <c r="N61" s="207">
        <v>5079.5</v>
      </c>
      <c r="O61" s="221">
        <v>42140</v>
      </c>
    </row>
    <row r="62" spans="1:16" x14ac:dyDescent="0.25">
      <c r="A62" s="330"/>
      <c r="B62"/>
      <c r="D62"/>
      <c r="E62" s="43"/>
      <c r="H62" s="28"/>
      <c r="I62" s="49">
        <f>5132.5+18545+22653.5+4696.5+5776.5</f>
        <v>56804</v>
      </c>
      <c r="J62" s="144">
        <v>21696</v>
      </c>
      <c r="K62" s="156">
        <v>56804.17</v>
      </c>
      <c r="L62" s="321"/>
      <c r="M62" s="226" t="s">
        <v>202</v>
      </c>
      <c r="N62" s="207">
        <v>25584.5</v>
      </c>
      <c r="O62" s="221">
        <v>42142</v>
      </c>
      <c r="P62" s="21">
        <v>42141</v>
      </c>
    </row>
    <row r="63" spans="1:16" x14ac:dyDescent="0.25">
      <c r="A63" s="330"/>
      <c r="B63"/>
      <c r="D63"/>
      <c r="E63" s="43"/>
      <c r="H63" s="28"/>
      <c r="I63" s="49">
        <f>29381.5+6542</f>
        <v>35923.5</v>
      </c>
      <c r="J63" s="144">
        <v>21786</v>
      </c>
      <c r="K63" s="156">
        <v>35923.64</v>
      </c>
      <c r="L63" s="207" t="s">
        <v>361</v>
      </c>
      <c r="M63" s="226" t="s">
        <v>202</v>
      </c>
      <c r="N63" s="207">
        <v>19758</v>
      </c>
      <c r="O63" s="221">
        <v>42142</v>
      </c>
      <c r="P63" s="21">
        <v>42141</v>
      </c>
    </row>
    <row r="64" spans="1:16" ht="15.75" x14ac:dyDescent="0.25">
      <c r="A64" s="330"/>
      <c r="B64"/>
      <c r="D64"/>
      <c r="E64" s="43"/>
      <c r="H64" s="28"/>
      <c r="I64" s="49"/>
      <c r="J64" s="144"/>
      <c r="K64" s="156"/>
      <c r="L64" s="207"/>
      <c r="M64" s="113" t="s">
        <v>202</v>
      </c>
      <c r="N64" s="207">
        <v>8960</v>
      </c>
      <c r="O64" s="221">
        <v>42142</v>
      </c>
      <c r="P64" s="21">
        <v>42141</v>
      </c>
    </row>
    <row r="65" spans="1:16" ht="15.75" x14ac:dyDescent="0.25">
      <c r="A65" s="330"/>
      <c r="B65"/>
      <c r="D65"/>
      <c r="E65" s="43"/>
      <c r="H65" s="28"/>
      <c r="I65" s="49"/>
      <c r="J65" s="144"/>
      <c r="K65" s="156"/>
      <c r="L65" s="207"/>
      <c r="M65" s="113" t="s">
        <v>202</v>
      </c>
      <c r="N65" s="207">
        <v>707.5</v>
      </c>
      <c r="O65" s="221">
        <v>42142</v>
      </c>
      <c r="P65" s="21">
        <v>42141</v>
      </c>
    </row>
    <row r="66" spans="1:16" ht="15.75" x14ac:dyDescent="0.25">
      <c r="A66" s="330"/>
      <c r="B66"/>
      <c r="D66"/>
      <c r="E66" s="43"/>
      <c r="H66" s="28"/>
      <c r="I66" s="49"/>
      <c r="J66" s="144"/>
      <c r="K66" s="156"/>
      <c r="L66" s="207"/>
      <c r="M66" s="113" t="s">
        <v>202</v>
      </c>
      <c r="N66" s="207">
        <v>6690</v>
      </c>
      <c r="O66" s="221">
        <v>42142</v>
      </c>
      <c r="P66" s="21">
        <v>42141</v>
      </c>
    </row>
    <row r="67" spans="1:16" ht="15.75" x14ac:dyDescent="0.25">
      <c r="A67" s="330"/>
      <c r="B67"/>
      <c r="D67"/>
      <c r="E67" s="43"/>
      <c r="H67" s="28"/>
      <c r="I67" s="49"/>
      <c r="J67" s="144"/>
      <c r="K67" s="156"/>
      <c r="L67" s="207"/>
      <c r="M67" s="113" t="s">
        <v>202</v>
      </c>
      <c r="N67" s="207">
        <v>27245.5</v>
      </c>
      <c r="O67" s="221">
        <v>42142</v>
      </c>
    </row>
    <row r="68" spans="1:16" ht="15.75" x14ac:dyDescent="0.25">
      <c r="A68" s="330"/>
      <c r="B68"/>
      <c r="D68"/>
      <c r="E68" s="43"/>
      <c r="H68" s="28"/>
      <c r="I68" s="49"/>
      <c r="J68" s="144"/>
      <c r="K68" s="156"/>
      <c r="L68" s="334"/>
      <c r="M68" s="113" t="s">
        <v>202</v>
      </c>
      <c r="N68" s="207">
        <v>11712</v>
      </c>
      <c r="O68" s="221">
        <v>42142</v>
      </c>
    </row>
    <row r="69" spans="1:16" ht="15.75" x14ac:dyDescent="0.25">
      <c r="A69" s="330"/>
      <c r="B69"/>
      <c r="D69"/>
      <c r="E69" s="43"/>
      <c r="H69" s="28"/>
      <c r="I69" s="49"/>
      <c r="J69" s="144"/>
      <c r="K69" s="156"/>
      <c r="L69" s="207"/>
      <c r="M69" s="113" t="s">
        <v>202</v>
      </c>
      <c r="N69" s="207">
        <v>5442.5</v>
      </c>
      <c r="O69" s="221">
        <v>42142</v>
      </c>
    </row>
    <row r="70" spans="1:16" x14ac:dyDescent="0.25">
      <c r="A70" s="330"/>
      <c r="B70"/>
      <c r="D70"/>
      <c r="E70" s="43"/>
      <c r="H70" s="28"/>
      <c r="I70" s="49"/>
      <c r="J70" s="144"/>
      <c r="K70" s="156"/>
      <c r="L70" s="207"/>
      <c r="M70" s="349" t="s">
        <v>423</v>
      </c>
      <c r="N70" s="207">
        <v>5132.5</v>
      </c>
      <c r="O70" s="221">
        <v>42143</v>
      </c>
    </row>
    <row r="71" spans="1:16" x14ac:dyDescent="0.25">
      <c r="A71" s="330"/>
      <c r="B71"/>
      <c r="D71"/>
      <c r="E71" s="43"/>
      <c r="H71" s="28"/>
      <c r="I71" s="88"/>
      <c r="J71" s="144"/>
      <c r="K71" s="156"/>
      <c r="L71" s="207"/>
      <c r="M71" s="349" t="s">
        <v>423</v>
      </c>
      <c r="N71" s="207">
        <v>4522.5</v>
      </c>
      <c r="O71" s="221">
        <v>42143</v>
      </c>
    </row>
    <row r="72" spans="1:16" x14ac:dyDescent="0.25">
      <c r="A72" s="330"/>
      <c r="B72"/>
      <c r="D72"/>
      <c r="E72" s="43"/>
      <c r="H72" s="28"/>
      <c r="I72" s="49"/>
      <c r="J72" s="144"/>
      <c r="K72" s="156"/>
      <c r="L72" s="207"/>
      <c r="M72" s="349" t="s">
        <v>423</v>
      </c>
      <c r="N72" s="207">
        <v>18545</v>
      </c>
      <c r="O72" s="221">
        <v>42143</v>
      </c>
    </row>
    <row r="73" spans="1:16" ht="15.75" x14ac:dyDescent="0.25">
      <c r="A73" s="330"/>
      <c r="B73"/>
      <c r="D73"/>
      <c r="E73" s="43"/>
      <c r="H73" s="28"/>
      <c r="I73" s="49"/>
      <c r="J73" s="292"/>
      <c r="K73" s="157"/>
      <c r="L73" s="207"/>
      <c r="M73" s="113" t="s">
        <v>202</v>
      </c>
      <c r="N73" s="207">
        <v>22653.5</v>
      </c>
      <c r="O73" s="221">
        <v>42144</v>
      </c>
    </row>
    <row r="74" spans="1:16" ht="15.75" x14ac:dyDescent="0.25">
      <c r="A74" s="330"/>
      <c r="B74"/>
      <c r="D74"/>
      <c r="E74" s="43"/>
      <c r="H74" s="28"/>
      <c r="I74" s="49">
        <v>0</v>
      </c>
      <c r="J74" s="292"/>
      <c r="K74" s="157"/>
      <c r="L74" s="260"/>
      <c r="M74" s="113" t="s">
        <v>202</v>
      </c>
      <c r="N74" s="207">
        <v>4696.5</v>
      </c>
      <c r="O74" s="221">
        <v>42144</v>
      </c>
    </row>
    <row r="75" spans="1:16" ht="15.75" x14ac:dyDescent="0.25">
      <c r="H75" s="28"/>
      <c r="I75" s="88">
        <f>SUM(I55:I74)</f>
        <v>340390</v>
      </c>
      <c r="J75" s="263"/>
      <c r="K75" s="130"/>
      <c r="L75" s="130"/>
      <c r="M75" s="113" t="s">
        <v>202</v>
      </c>
      <c r="N75" s="207">
        <v>29381.5</v>
      </c>
      <c r="O75" s="221">
        <v>42145</v>
      </c>
    </row>
    <row r="76" spans="1:16" ht="15.75" x14ac:dyDescent="0.25">
      <c r="I76" s="49"/>
      <c r="J76" s="262"/>
      <c r="K76" s="207"/>
      <c r="L76" s="207"/>
      <c r="M76" s="113" t="s">
        <v>202</v>
      </c>
      <c r="N76" s="214">
        <v>5776.5</v>
      </c>
      <c r="O76" s="221">
        <v>42145</v>
      </c>
    </row>
    <row r="77" spans="1:16" ht="15.75" x14ac:dyDescent="0.25">
      <c r="I77" s="49"/>
      <c r="J77" s="262"/>
      <c r="K77" s="207"/>
      <c r="L77" s="207"/>
      <c r="M77" s="113" t="s">
        <v>202</v>
      </c>
      <c r="N77" s="207">
        <v>6542</v>
      </c>
      <c r="O77" s="221">
        <v>42145</v>
      </c>
    </row>
    <row r="78" spans="1:16" ht="15.75" thickBot="1" x14ac:dyDescent="0.3">
      <c r="A78" s="330"/>
      <c r="B78"/>
      <c r="C78"/>
      <c r="D78"/>
      <c r="E78"/>
      <c r="F78" s="23"/>
      <c r="I78" s="43"/>
      <c r="J78" s="336"/>
      <c r="K78" s="337"/>
      <c r="L78" s="337"/>
      <c r="M78" s="337"/>
      <c r="N78" s="337">
        <v>0</v>
      </c>
      <c r="O78" s="336"/>
    </row>
    <row r="79" spans="1:16" ht="18.75" x14ac:dyDescent="0.3">
      <c r="A79" s="330"/>
      <c r="B79"/>
      <c r="C79"/>
      <c r="D79"/>
      <c r="E79"/>
      <c r="F79" s="23"/>
      <c r="I79" s="43"/>
      <c r="K79" s="131">
        <f>SUM(K55:K77)</f>
        <v>340390</v>
      </c>
      <c r="L79" s="131"/>
      <c r="M79" s="131"/>
      <c r="N79" s="131">
        <f>SUM(N55:N78)</f>
        <v>340390</v>
      </c>
    </row>
    <row r="80" spans="1:16" x14ac:dyDescent="0.25">
      <c r="I80" s="43"/>
      <c r="K80" s="58"/>
      <c r="L80" s="58"/>
      <c r="M80" s="58"/>
      <c r="N80" s="58"/>
    </row>
    <row r="83" spans="9:16" customFormat="1" ht="15.75" x14ac:dyDescent="0.25">
      <c r="J83" s="104"/>
      <c r="K83" s="353">
        <v>42153</v>
      </c>
      <c r="L83" s="215"/>
      <c r="M83" s="134" t="s">
        <v>200</v>
      </c>
      <c r="N83" s="88"/>
    </row>
    <row r="84" spans="9:16" customFormat="1" x14ac:dyDescent="0.25">
      <c r="J84" s="104"/>
      <c r="K84" s="103"/>
      <c r="L84" s="103"/>
      <c r="M84" s="103"/>
      <c r="N84" s="213"/>
    </row>
    <row r="85" spans="9:16" customFormat="1" ht="15.75" x14ac:dyDescent="0.25">
      <c r="I85" s="43">
        <v>1620</v>
      </c>
      <c r="J85" s="193">
        <v>21786</v>
      </c>
      <c r="K85" s="130">
        <v>1620</v>
      </c>
      <c r="L85" s="348"/>
      <c r="M85" s="113" t="s">
        <v>202</v>
      </c>
      <c r="N85" s="214">
        <v>5008</v>
      </c>
      <c r="O85" s="221">
        <v>42146</v>
      </c>
    </row>
    <row r="86" spans="9:16" customFormat="1" x14ac:dyDescent="0.25">
      <c r="I86" s="43">
        <f>5008+54422+26632+9532</f>
        <v>95594</v>
      </c>
      <c r="J86" s="144">
        <v>21850</v>
      </c>
      <c r="K86" s="156">
        <v>95594.240000000005</v>
      </c>
      <c r="L86" s="207"/>
      <c r="M86" s="226" t="s">
        <v>202</v>
      </c>
      <c r="N86" s="207">
        <v>1620</v>
      </c>
      <c r="O86" s="221">
        <v>42146</v>
      </c>
    </row>
    <row r="87" spans="9:16" customFormat="1" x14ac:dyDescent="0.25">
      <c r="I87" s="43">
        <f>25576+52107.5+5411</f>
        <v>83094.5</v>
      </c>
      <c r="J87" s="144">
        <v>22037</v>
      </c>
      <c r="K87" s="156">
        <v>83094.64</v>
      </c>
      <c r="L87" s="207"/>
      <c r="M87" s="226" t="s">
        <v>202</v>
      </c>
      <c r="N87" s="207">
        <v>54422</v>
      </c>
      <c r="O87" s="221">
        <v>42146</v>
      </c>
    </row>
    <row r="88" spans="9:16" customFormat="1" x14ac:dyDescent="0.25">
      <c r="I88" s="43">
        <v>9067</v>
      </c>
      <c r="J88" s="144">
        <v>22192</v>
      </c>
      <c r="K88" s="156">
        <v>9067</v>
      </c>
      <c r="L88" s="130"/>
      <c r="M88" s="226" t="s">
        <v>202</v>
      </c>
      <c r="N88" s="207">
        <v>25576</v>
      </c>
      <c r="O88" s="221">
        <v>42147</v>
      </c>
    </row>
    <row r="89" spans="9:16" customFormat="1" x14ac:dyDescent="0.25">
      <c r="I89" s="43">
        <f>22811+6171</f>
        <v>28982</v>
      </c>
      <c r="J89" s="144">
        <v>22314</v>
      </c>
      <c r="K89" s="156">
        <v>28982</v>
      </c>
      <c r="L89" s="130"/>
      <c r="M89" s="226" t="s">
        <v>202</v>
      </c>
      <c r="N89" s="214">
        <v>26632</v>
      </c>
      <c r="O89" s="221">
        <v>42147</v>
      </c>
    </row>
    <row r="90" spans="9:16" customFormat="1" x14ac:dyDescent="0.25">
      <c r="I90" s="43">
        <v>0</v>
      </c>
      <c r="J90" s="144"/>
      <c r="K90" s="156">
        <v>0</v>
      </c>
      <c r="L90" s="207"/>
      <c r="M90" s="226" t="s">
        <v>202</v>
      </c>
      <c r="N90" s="207">
        <v>9532</v>
      </c>
      <c r="O90" s="221">
        <v>42147</v>
      </c>
    </row>
    <row r="91" spans="9:16" customFormat="1" x14ac:dyDescent="0.25">
      <c r="I91" s="43">
        <v>0</v>
      </c>
      <c r="J91" s="144"/>
      <c r="K91" s="156">
        <v>0</v>
      </c>
      <c r="L91" s="334"/>
      <c r="M91" s="226" t="s">
        <v>202</v>
      </c>
      <c r="N91" s="207">
        <v>52107.5</v>
      </c>
      <c r="O91" s="221">
        <v>42149</v>
      </c>
      <c r="P91" s="21">
        <v>42148</v>
      </c>
    </row>
    <row r="92" spans="9:16" customFormat="1" x14ac:dyDescent="0.25">
      <c r="I92" s="43">
        <v>0</v>
      </c>
      <c r="J92" s="144"/>
      <c r="K92" s="156"/>
      <c r="L92" s="321"/>
      <c r="M92" s="226" t="s">
        <v>202</v>
      </c>
      <c r="N92" s="207">
        <v>5411</v>
      </c>
      <c r="O92" s="221">
        <v>42149</v>
      </c>
      <c r="P92" s="21">
        <v>42148</v>
      </c>
    </row>
    <row r="93" spans="9:16" customFormat="1" x14ac:dyDescent="0.25">
      <c r="I93" s="58">
        <f>SUM(I85:I92)</f>
        <v>218357.5</v>
      </c>
      <c r="J93" s="144"/>
      <c r="K93" s="156"/>
      <c r="L93" s="207"/>
      <c r="M93" s="226" t="s">
        <v>202</v>
      </c>
      <c r="N93" s="207">
        <v>9067</v>
      </c>
      <c r="O93" s="221">
        <v>42149</v>
      </c>
    </row>
    <row r="94" spans="9:16" customFormat="1" ht="15.75" x14ac:dyDescent="0.25">
      <c r="I94" s="43"/>
      <c r="J94" s="144"/>
      <c r="K94" s="156"/>
      <c r="L94" s="207"/>
      <c r="M94" s="113" t="s">
        <v>202</v>
      </c>
      <c r="N94" s="207">
        <v>22811</v>
      </c>
      <c r="O94" s="221">
        <v>42150</v>
      </c>
    </row>
    <row r="95" spans="9:16" customFormat="1" ht="15.75" x14ac:dyDescent="0.25">
      <c r="I95" s="43"/>
      <c r="J95" s="144"/>
      <c r="K95" s="156"/>
      <c r="L95" s="207"/>
      <c r="M95" s="113" t="s">
        <v>202</v>
      </c>
      <c r="N95" s="207">
        <v>6171</v>
      </c>
      <c r="O95" s="221">
        <v>42150</v>
      </c>
    </row>
    <row r="96" spans="9:16" customFormat="1" ht="15.75" x14ac:dyDescent="0.25">
      <c r="J96" s="262"/>
      <c r="K96" s="207"/>
      <c r="L96" s="207"/>
      <c r="M96" s="113"/>
      <c r="N96" s="207"/>
      <c r="O96" s="221"/>
    </row>
    <row r="97" spans="10:15" customFormat="1" ht="15.75" thickBot="1" x14ac:dyDescent="0.3">
      <c r="J97" s="336"/>
      <c r="K97" s="337"/>
      <c r="L97" s="337"/>
      <c r="M97" s="337"/>
      <c r="N97" s="337">
        <v>0</v>
      </c>
      <c r="O97" s="336"/>
    </row>
    <row r="98" spans="10:15" customFormat="1" ht="18.75" x14ac:dyDescent="0.3">
      <c r="K98" s="131">
        <f>SUM(K85:K96)</f>
        <v>218357.88</v>
      </c>
      <c r="L98" s="131"/>
      <c r="M98" s="131"/>
      <c r="N98" s="131">
        <f>SUM(N85:N97)</f>
        <v>218357.5</v>
      </c>
    </row>
    <row r="99" spans="10:15" customFormat="1" x14ac:dyDescent="0.25">
      <c r="K99" s="58"/>
      <c r="L99" s="58"/>
      <c r="M99" s="58"/>
      <c r="N99" s="58"/>
    </row>
  </sheetData>
  <sortState ref="J16:K20">
    <sortCondition ref="J16:J20"/>
  </sortState>
  <mergeCells count="1">
    <mergeCell ref="C3:E3"/>
  </mergeCells>
  <pageMargins left="0.70866141732283472" right="0.70866141732283472" top="0.55118110236220474" bottom="0.15748031496062992" header="0.31496062992125984" footer="0.31496062992125984"/>
  <pageSetup scale="9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97"/>
  <sheetViews>
    <sheetView topLeftCell="B6" workbookViewId="0">
      <selection activeCell="F36" sqref="F36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6" width="12.5703125" customWidth="1"/>
    <col min="17" max="17" width="4.7109375" customWidth="1"/>
    <col min="18" max="18" width="12.42578125" style="37" customWidth="1"/>
    <col min="19" max="19" width="16.42578125" style="43" customWidth="1"/>
    <col min="20" max="20" width="9" customWidth="1"/>
    <col min="22" max="22" width="17.85546875" style="43" customWidth="1"/>
    <col min="23" max="23" width="4.85546875" customWidth="1"/>
    <col min="25" max="25" width="13.7109375" style="43" customWidth="1"/>
    <col min="26" max="26" width="6.85546875" style="43" customWidth="1"/>
    <col min="28" max="28" width="14.5703125" customWidth="1"/>
    <col min="29" max="29" width="22.5703125" style="364" customWidth="1"/>
    <col min="30" max="30" width="15.85546875" style="202" customWidth="1"/>
  </cols>
  <sheetData>
    <row r="1" spans="1:31" ht="23.25" x14ac:dyDescent="0.35">
      <c r="B1" s="37"/>
      <c r="C1" s="448" t="s">
        <v>451</v>
      </c>
      <c r="D1" s="448"/>
      <c r="E1" s="448"/>
      <c r="F1" s="448"/>
      <c r="G1" s="448"/>
      <c r="H1" s="448"/>
      <c r="I1" s="448"/>
      <c r="J1" s="448"/>
      <c r="K1" s="448"/>
      <c r="M1" s="371"/>
      <c r="N1" s="202"/>
      <c r="O1" s="202"/>
      <c r="P1" s="202"/>
      <c r="S1" s="448" t="s">
        <v>451</v>
      </c>
      <c r="T1" s="448"/>
      <c r="U1" s="448"/>
      <c r="V1" s="448"/>
      <c r="W1" s="448"/>
      <c r="X1" s="448"/>
      <c r="Y1" s="448"/>
      <c r="Z1" s="448"/>
      <c r="AA1" s="448"/>
    </row>
    <row r="2" spans="1:31" ht="15.75" thickBot="1" x14ac:dyDescent="0.3">
      <c r="B2" s="37"/>
      <c r="C2" s="43"/>
      <c r="E2" s="370"/>
      <c r="F2" s="50"/>
      <c r="I2" s="43"/>
      <c r="J2" s="43"/>
      <c r="M2" s="371"/>
      <c r="N2" s="202"/>
      <c r="O2" s="202"/>
      <c r="P2" s="202"/>
      <c r="U2" s="363"/>
      <c r="V2" s="50"/>
    </row>
    <row r="3" spans="1:31" ht="15.75" thickBot="1" x14ac:dyDescent="0.3">
      <c r="B3" s="37"/>
      <c r="C3" s="44" t="s">
        <v>0</v>
      </c>
      <c r="D3" s="3"/>
      <c r="F3" s="43"/>
      <c r="I3" s="43"/>
      <c r="J3" s="43"/>
      <c r="M3" s="371"/>
      <c r="N3" s="202"/>
      <c r="O3" s="202"/>
      <c r="P3" s="202"/>
      <c r="S3" s="44" t="s">
        <v>0</v>
      </c>
      <c r="T3" s="3"/>
    </row>
    <row r="4" spans="1:31" ht="20.25" thickTop="1" thickBot="1" x14ac:dyDescent="0.35">
      <c r="A4" s="96" t="s">
        <v>2</v>
      </c>
      <c r="B4" s="38"/>
      <c r="C4" s="94">
        <v>125131.74</v>
      </c>
      <c r="D4" s="2"/>
      <c r="E4" s="469" t="s">
        <v>14</v>
      </c>
      <c r="F4" s="470"/>
      <c r="I4" s="451" t="s">
        <v>4</v>
      </c>
      <c r="J4" s="452"/>
      <c r="K4" s="452"/>
      <c r="L4" s="452"/>
      <c r="M4" s="69" t="s">
        <v>18</v>
      </c>
      <c r="N4" s="203" t="s">
        <v>264</v>
      </c>
      <c r="O4" s="203"/>
      <c r="P4" s="203"/>
      <c r="Q4" s="96" t="s">
        <v>2</v>
      </c>
      <c r="R4" s="38"/>
      <c r="S4" s="94">
        <v>125131.74</v>
      </c>
      <c r="T4" s="2"/>
      <c r="U4" s="469" t="s">
        <v>14</v>
      </c>
      <c r="V4" s="470"/>
      <c r="Y4" s="451" t="s">
        <v>4</v>
      </c>
      <c r="Z4" s="452"/>
      <c r="AA4" s="452"/>
      <c r="AB4" s="452"/>
      <c r="AC4" s="69" t="s">
        <v>18</v>
      </c>
      <c r="AD4" s="203" t="s">
        <v>264</v>
      </c>
    </row>
    <row r="5" spans="1:31" ht="15.75" thickTop="1" x14ac:dyDescent="0.25">
      <c r="A5" s="21"/>
      <c r="B5" s="39">
        <v>42156</v>
      </c>
      <c r="C5" s="45">
        <v>0</v>
      </c>
      <c r="D5" s="22"/>
      <c r="E5" s="26">
        <v>42156</v>
      </c>
      <c r="F5" s="51">
        <v>48039.5</v>
      </c>
      <c r="G5" s="23"/>
      <c r="H5" s="24">
        <v>42156</v>
      </c>
      <c r="I5" s="60">
        <v>200</v>
      </c>
      <c r="J5" s="87"/>
      <c r="K5" s="34"/>
      <c r="L5" s="34"/>
      <c r="M5" s="67" t="s">
        <v>452</v>
      </c>
      <c r="N5" s="75">
        <v>48650</v>
      </c>
      <c r="O5" s="75"/>
      <c r="P5" s="75"/>
      <c r="Q5" s="21"/>
      <c r="R5" s="39">
        <v>42156</v>
      </c>
      <c r="S5" s="45">
        <v>0</v>
      </c>
      <c r="T5" s="22"/>
      <c r="U5" s="26">
        <v>42156</v>
      </c>
      <c r="V5" s="51">
        <v>48039.5</v>
      </c>
      <c r="W5" s="23"/>
      <c r="X5" s="24">
        <v>42156</v>
      </c>
      <c r="Y5" s="60">
        <v>200</v>
      </c>
      <c r="Z5" s="87"/>
      <c r="AA5" s="34"/>
      <c r="AB5" s="34"/>
      <c r="AC5" s="67" t="s">
        <v>452</v>
      </c>
      <c r="AD5" s="75">
        <v>48650</v>
      </c>
      <c r="AE5" s="80"/>
    </row>
    <row r="6" spans="1:31" x14ac:dyDescent="0.25">
      <c r="A6" s="21"/>
      <c r="B6" s="39">
        <v>42157</v>
      </c>
      <c r="C6" s="45">
        <v>0</v>
      </c>
      <c r="D6" s="29"/>
      <c r="E6" s="26">
        <v>42157</v>
      </c>
      <c r="F6" s="51">
        <v>38655.5</v>
      </c>
      <c r="G6" s="19"/>
      <c r="H6" s="27">
        <v>42157</v>
      </c>
      <c r="I6" s="61">
        <v>200</v>
      </c>
      <c r="J6" s="88"/>
      <c r="K6" s="13" t="s">
        <v>5</v>
      </c>
      <c r="L6" s="20">
        <v>0</v>
      </c>
      <c r="M6" s="67" t="s">
        <v>453</v>
      </c>
      <c r="N6" s="75">
        <v>38570.5</v>
      </c>
      <c r="O6" s="75"/>
      <c r="P6" s="75"/>
      <c r="Q6" s="21"/>
      <c r="R6" s="39">
        <v>42157</v>
      </c>
      <c r="S6" s="45">
        <v>0</v>
      </c>
      <c r="T6" s="29"/>
      <c r="U6" s="26">
        <v>42157</v>
      </c>
      <c r="V6" s="51">
        <v>38655.5</v>
      </c>
      <c r="W6" s="19"/>
      <c r="X6" s="27">
        <v>42157</v>
      </c>
      <c r="Y6" s="61">
        <v>200</v>
      </c>
      <c r="Z6" s="88"/>
      <c r="AA6" s="13" t="s">
        <v>5</v>
      </c>
      <c r="AB6" s="20">
        <v>0</v>
      </c>
      <c r="AC6" s="67" t="s">
        <v>453</v>
      </c>
      <c r="AD6" s="75">
        <v>38570.5</v>
      </c>
      <c r="AE6" s="80"/>
    </row>
    <row r="7" spans="1:31" x14ac:dyDescent="0.25">
      <c r="A7" s="21"/>
      <c r="B7" s="39">
        <v>42158</v>
      </c>
      <c r="C7" s="45">
        <v>0</v>
      </c>
      <c r="D7" s="32"/>
      <c r="E7" s="26">
        <v>42158</v>
      </c>
      <c r="F7" s="51">
        <v>37835.5</v>
      </c>
      <c r="G7" s="23"/>
      <c r="H7" s="27">
        <v>42158</v>
      </c>
      <c r="I7" s="61">
        <v>200</v>
      </c>
      <c r="J7" s="88"/>
      <c r="K7" s="13" t="s">
        <v>3</v>
      </c>
      <c r="L7" s="20">
        <v>0</v>
      </c>
      <c r="M7" s="67" t="s">
        <v>454</v>
      </c>
      <c r="N7" s="75">
        <v>37700</v>
      </c>
      <c r="O7" s="75"/>
      <c r="P7" s="75"/>
      <c r="Q7" s="21"/>
      <c r="R7" s="39">
        <v>42158</v>
      </c>
      <c r="S7" s="45">
        <v>0</v>
      </c>
      <c r="T7" s="32"/>
      <c r="U7" s="26">
        <v>42158</v>
      </c>
      <c r="V7" s="51">
        <v>37835.5</v>
      </c>
      <c r="W7" s="23"/>
      <c r="X7" s="27">
        <v>42158</v>
      </c>
      <c r="Y7" s="61">
        <v>200</v>
      </c>
      <c r="Z7" s="88"/>
      <c r="AA7" s="13" t="s">
        <v>3</v>
      </c>
      <c r="AB7" s="20">
        <v>0</v>
      </c>
      <c r="AC7" s="67" t="s">
        <v>454</v>
      </c>
      <c r="AD7" s="75">
        <v>37700</v>
      </c>
      <c r="AE7" s="80"/>
    </row>
    <row r="8" spans="1:31" x14ac:dyDescent="0.25">
      <c r="A8" s="21"/>
      <c r="B8" s="39">
        <v>42159</v>
      </c>
      <c r="C8" s="45">
        <v>540</v>
      </c>
      <c r="D8" s="22" t="s">
        <v>50</v>
      </c>
      <c r="E8" s="26">
        <v>42159</v>
      </c>
      <c r="F8" s="51">
        <v>45256</v>
      </c>
      <c r="G8" s="23"/>
      <c r="H8" s="27">
        <v>42159</v>
      </c>
      <c r="I8" s="61">
        <v>200</v>
      </c>
      <c r="J8" s="88"/>
      <c r="K8" s="13" t="s">
        <v>6</v>
      </c>
      <c r="L8" s="20">
        <v>28750</v>
      </c>
      <c r="M8" s="201" t="s">
        <v>455</v>
      </c>
      <c r="N8" s="204">
        <v>44849.5</v>
      </c>
      <c r="O8" s="204"/>
      <c r="P8" s="204"/>
      <c r="Q8" s="21"/>
      <c r="R8" s="39">
        <v>42159</v>
      </c>
      <c r="S8" s="45">
        <v>540</v>
      </c>
      <c r="T8" s="22" t="s">
        <v>50</v>
      </c>
      <c r="U8" s="26">
        <v>42159</v>
      </c>
      <c r="V8" s="51">
        <v>45256</v>
      </c>
      <c r="W8" s="23"/>
      <c r="X8" s="27">
        <v>42159</v>
      </c>
      <c r="Y8" s="61">
        <v>200</v>
      </c>
      <c r="Z8" s="88"/>
      <c r="AA8" s="13" t="s">
        <v>6</v>
      </c>
      <c r="AB8" s="20">
        <v>28750</v>
      </c>
      <c r="AC8" s="201" t="s">
        <v>455</v>
      </c>
      <c r="AD8" s="204">
        <v>44849.5</v>
      </c>
      <c r="AE8" s="80"/>
    </row>
    <row r="9" spans="1:31" x14ac:dyDescent="0.25">
      <c r="A9" s="21"/>
      <c r="B9" s="39">
        <v>42160</v>
      </c>
      <c r="C9" s="45">
        <v>0</v>
      </c>
      <c r="D9" s="22"/>
      <c r="E9" s="26">
        <v>42160</v>
      </c>
      <c r="F9" s="51">
        <v>51278.5</v>
      </c>
      <c r="G9" s="23"/>
      <c r="H9" s="27">
        <v>42160</v>
      </c>
      <c r="I9" s="61">
        <v>232</v>
      </c>
      <c r="J9" s="88"/>
      <c r="K9" s="13" t="s">
        <v>406</v>
      </c>
      <c r="L9" s="20">
        <v>7662.72</v>
      </c>
      <c r="M9" s="67" t="s">
        <v>456</v>
      </c>
      <c r="N9" s="75">
        <v>48150</v>
      </c>
      <c r="O9" s="75"/>
      <c r="P9" s="75"/>
      <c r="Q9" s="21"/>
      <c r="R9" s="39">
        <v>42160</v>
      </c>
      <c r="S9" s="45">
        <v>0</v>
      </c>
      <c r="T9" s="22"/>
      <c r="U9" s="26">
        <v>42160</v>
      </c>
      <c r="V9" s="51">
        <v>51278.5</v>
      </c>
      <c r="W9" s="23"/>
      <c r="X9" s="27">
        <v>42160</v>
      </c>
      <c r="Y9" s="61">
        <v>232</v>
      </c>
      <c r="Z9" s="88"/>
      <c r="AA9" s="13" t="s">
        <v>406</v>
      </c>
      <c r="AB9" s="20">
        <v>7662.72</v>
      </c>
      <c r="AC9" s="67" t="s">
        <v>456</v>
      </c>
      <c r="AD9" s="75">
        <v>48150</v>
      </c>
      <c r="AE9" s="80"/>
    </row>
    <row r="10" spans="1:31" x14ac:dyDescent="0.25">
      <c r="A10" s="21"/>
      <c r="B10" s="39">
        <v>42161</v>
      </c>
      <c r="C10" s="45">
        <v>294.5</v>
      </c>
      <c r="D10" s="32" t="s">
        <v>457</v>
      </c>
      <c r="E10" s="26">
        <v>42161</v>
      </c>
      <c r="F10" s="51">
        <v>78335.5</v>
      </c>
      <c r="G10" s="23"/>
      <c r="H10" s="27">
        <v>42161</v>
      </c>
      <c r="I10" s="61">
        <v>200</v>
      </c>
      <c r="J10" s="88"/>
      <c r="K10" s="13" t="s">
        <v>447</v>
      </c>
      <c r="L10" s="20">
        <v>8038.91</v>
      </c>
      <c r="M10" s="67" t="s">
        <v>458</v>
      </c>
      <c r="N10" s="75">
        <v>74850</v>
      </c>
      <c r="O10" s="75"/>
      <c r="P10" s="75"/>
      <c r="Q10" s="21"/>
      <c r="R10" s="39">
        <v>42161</v>
      </c>
      <c r="S10" s="45">
        <v>294.5</v>
      </c>
      <c r="T10" s="32" t="s">
        <v>457</v>
      </c>
      <c r="U10" s="26">
        <v>42161</v>
      </c>
      <c r="V10" s="51">
        <v>78335.5</v>
      </c>
      <c r="W10" s="23"/>
      <c r="X10" s="27">
        <v>42161</v>
      </c>
      <c r="Y10" s="61">
        <v>200</v>
      </c>
      <c r="Z10" s="88"/>
      <c r="AA10" s="13" t="s">
        <v>447</v>
      </c>
      <c r="AB10" s="20">
        <v>8038.91</v>
      </c>
      <c r="AC10" s="67" t="s">
        <v>458</v>
      </c>
      <c r="AD10" s="75">
        <v>74850</v>
      </c>
      <c r="AE10" s="80"/>
    </row>
    <row r="11" spans="1:31" x14ac:dyDescent="0.25">
      <c r="A11" s="21"/>
      <c r="B11" s="39">
        <v>42162</v>
      </c>
      <c r="C11" s="45">
        <v>0</v>
      </c>
      <c r="D11" s="32"/>
      <c r="E11" s="26">
        <v>42162</v>
      </c>
      <c r="F11" s="51">
        <v>70168</v>
      </c>
      <c r="G11" s="23"/>
      <c r="H11" s="27">
        <v>42162</v>
      </c>
      <c r="I11" s="62">
        <v>0</v>
      </c>
      <c r="J11" s="88"/>
      <c r="K11" s="13" t="s">
        <v>448</v>
      </c>
      <c r="L11" s="20">
        <v>7777.05</v>
      </c>
      <c r="M11" s="67" t="s">
        <v>459</v>
      </c>
      <c r="N11" s="75">
        <v>76000</v>
      </c>
      <c r="O11" s="75"/>
      <c r="P11" s="75"/>
      <c r="Q11" s="21"/>
      <c r="R11" s="39">
        <v>42162</v>
      </c>
      <c r="S11" s="45">
        <v>0</v>
      </c>
      <c r="T11" s="32"/>
      <c r="U11" s="26">
        <v>42162</v>
      </c>
      <c r="V11" s="51">
        <v>70168</v>
      </c>
      <c r="W11" s="23"/>
      <c r="X11" s="27">
        <v>42162</v>
      </c>
      <c r="Y11" s="62">
        <v>0</v>
      </c>
      <c r="Z11" s="88"/>
      <c r="AA11" s="13" t="s">
        <v>448</v>
      </c>
      <c r="AB11" s="20">
        <v>7777.05</v>
      </c>
      <c r="AC11" s="67" t="s">
        <v>459</v>
      </c>
      <c r="AD11" s="75">
        <v>76000</v>
      </c>
      <c r="AE11" s="80"/>
    </row>
    <row r="12" spans="1:31" x14ac:dyDescent="0.25">
      <c r="A12" s="21"/>
      <c r="B12" s="39">
        <v>42163</v>
      </c>
      <c r="C12" s="45">
        <v>0</v>
      </c>
      <c r="D12" s="32"/>
      <c r="E12" s="26">
        <v>42163</v>
      </c>
      <c r="F12" s="51">
        <v>52426.5</v>
      </c>
      <c r="G12" s="23"/>
      <c r="H12" s="27">
        <v>42163</v>
      </c>
      <c r="I12" s="62">
        <v>0</v>
      </c>
      <c r="J12" s="88"/>
      <c r="K12" s="13" t="s">
        <v>449</v>
      </c>
      <c r="L12" s="20">
        <v>7508.06</v>
      </c>
      <c r="M12" s="67" t="s">
        <v>460</v>
      </c>
      <c r="N12" s="75">
        <v>41924.5</v>
      </c>
      <c r="O12" s="75"/>
      <c r="P12" s="75"/>
      <c r="Q12" s="21"/>
      <c r="R12" s="39">
        <v>42163</v>
      </c>
      <c r="S12" s="45">
        <v>0</v>
      </c>
      <c r="T12" s="32"/>
      <c r="U12" s="26">
        <v>42163</v>
      </c>
      <c r="V12" s="51">
        <v>52426.5</v>
      </c>
      <c r="W12" s="23"/>
      <c r="X12" s="27">
        <v>42163</v>
      </c>
      <c r="Y12" s="62">
        <v>0</v>
      </c>
      <c r="Z12" s="88"/>
      <c r="AA12" s="13" t="s">
        <v>449</v>
      </c>
      <c r="AB12" s="20">
        <v>0</v>
      </c>
      <c r="AC12" s="67" t="s">
        <v>460</v>
      </c>
      <c r="AD12" s="75">
        <v>41924.5</v>
      </c>
      <c r="AE12" s="80"/>
    </row>
    <row r="13" spans="1:31" x14ac:dyDescent="0.25">
      <c r="A13" s="21"/>
      <c r="B13" s="39">
        <v>42164</v>
      </c>
      <c r="C13" s="45">
        <v>0</v>
      </c>
      <c r="D13" s="32"/>
      <c r="E13" s="26">
        <v>42164</v>
      </c>
      <c r="F13" s="51">
        <v>27036</v>
      </c>
      <c r="G13" s="23"/>
      <c r="H13" s="27">
        <v>42164</v>
      </c>
      <c r="I13" s="62">
        <v>600</v>
      </c>
      <c r="J13" s="88"/>
      <c r="K13" s="13" t="s">
        <v>450</v>
      </c>
      <c r="L13" s="20">
        <v>7777.05</v>
      </c>
      <c r="M13" s="67" t="s">
        <v>462</v>
      </c>
      <c r="N13" s="75">
        <v>30070</v>
      </c>
      <c r="O13" s="75"/>
      <c r="P13" s="75"/>
      <c r="Q13" s="21"/>
      <c r="R13" s="39">
        <v>42164</v>
      </c>
      <c r="S13" s="45">
        <v>0</v>
      </c>
      <c r="T13" s="32"/>
      <c r="U13" s="26">
        <v>42164</v>
      </c>
      <c r="V13" s="51">
        <v>27036</v>
      </c>
      <c r="W13" s="23"/>
      <c r="X13" s="27">
        <v>42164</v>
      </c>
      <c r="Y13" s="62">
        <v>600</v>
      </c>
      <c r="Z13" s="88"/>
      <c r="AA13" s="13" t="s">
        <v>450</v>
      </c>
      <c r="AB13" s="20">
        <v>0</v>
      </c>
      <c r="AC13" s="67" t="s">
        <v>462</v>
      </c>
      <c r="AD13" s="75">
        <v>30070</v>
      </c>
      <c r="AE13" s="80"/>
    </row>
    <row r="14" spans="1:31" x14ac:dyDescent="0.25">
      <c r="A14" s="21"/>
      <c r="B14" s="39">
        <v>42165</v>
      </c>
      <c r="C14" s="45">
        <v>0</v>
      </c>
      <c r="D14" s="29"/>
      <c r="E14" s="26">
        <v>42165</v>
      </c>
      <c r="F14" s="51">
        <v>44965</v>
      </c>
      <c r="G14" s="23"/>
      <c r="H14" s="27">
        <v>42165</v>
      </c>
      <c r="I14" s="62">
        <v>200</v>
      </c>
      <c r="J14" s="88"/>
      <c r="K14" s="35" t="s">
        <v>16</v>
      </c>
      <c r="L14" s="20">
        <v>0</v>
      </c>
      <c r="M14" s="67" t="s">
        <v>463</v>
      </c>
      <c r="N14" s="75">
        <v>48110</v>
      </c>
      <c r="O14" s="75"/>
      <c r="P14" s="75"/>
      <c r="Q14" s="21"/>
      <c r="R14" s="39">
        <v>42165</v>
      </c>
      <c r="S14" s="45">
        <v>0</v>
      </c>
      <c r="T14" s="29"/>
      <c r="U14" s="26">
        <v>42165</v>
      </c>
      <c r="V14" s="51">
        <v>44965</v>
      </c>
      <c r="W14" s="23"/>
      <c r="X14" s="27">
        <v>42165</v>
      </c>
      <c r="Y14" s="62">
        <v>200</v>
      </c>
      <c r="Z14" s="88"/>
      <c r="AA14" s="35" t="s">
        <v>16</v>
      </c>
      <c r="AB14" s="20">
        <v>0</v>
      </c>
      <c r="AC14" s="67" t="s">
        <v>463</v>
      </c>
      <c r="AD14" s="75">
        <v>48110</v>
      </c>
      <c r="AE14" s="80"/>
    </row>
    <row r="15" spans="1:31" x14ac:dyDescent="0.25">
      <c r="A15" s="21"/>
      <c r="B15" s="39">
        <v>42166</v>
      </c>
      <c r="C15" s="45">
        <v>0</v>
      </c>
      <c r="D15" s="29"/>
      <c r="E15" s="26">
        <v>42166</v>
      </c>
      <c r="F15" s="51">
        <v>47817.5</v>
      </c>
      <c r="G15" s="23"/>
      <c r="H15" s="27">
        <v>42166</v>
      </c>
      <c r="I15" s="62">
        <v>200</v>
      </c>
      <c r="J15" s="88"/>
      <c r="K15" s="28" t="s">
        <v>15</v>
      </c>
      <c r="L15" s="20">
        <v>0</v>
      </c>
      <c r="M15" s="67" t="s">
        <v>464</v>
      </c>
      <c r="N15" s="75">
        <v>49100</v>
      </c>
      <c r="O15" s="75"/>
      <c r="P15" s="75"/>
      <c r="Q15" s="21"/>
      <c r="R15" s="39">
        <v>42166</v>
      </c>
      <c r="S15" s="45">
        <v>0</v>
      </c>
      <c r="T15" s="29"/>
      <c r="U15" s="26">
        <v>42166</v>
      </c>
      <c r="V15" s="51">
        <v>47817.5</v>
      </c>
      <c r="W15" s="23"/>
      <c r="X15" s="27">
        <v>42166</v>
      </c>
      <c r="Y15" s="62">
        <v>200</v>
      </c>
      <c r="Z15" s="88"/>
      <c r="AA15" s="28" t="s">
        <v>15</v>
      </c>
      <c r="AB15" s="20">
        <v>0</v>
      </c>
      <c r="AC15" s="67" t="s">
        <v>464</v>
      </c>
      <c r="AD15" s="75">
        <v>49100</v>
      </c>
      <c r="AE15" s="80"/>
    </row>
    <row r="16" spans="1:31" x14ac:dyDescent="0.25">
      <c r="A16" s="21"/>
      <c r="B16" s="39">
        <v>42167</v>
      </c>
      <c r="C16" s="45">
        <v>708</v>
      </c>
      <c r="D16" s="29" t="s">
        <v>466</v>
      </c>
      <c r="E16" s="26">
        <v>42167</v>
      </c>
      <c r="F16" s="51">
        <v>55532</v>
      </c>
      <c r="G16" s="23"/>
      <c r="H16" s="27">
        <v>42167</v>
      </c>
      <c r="I16" s="62">
        <v>200</v>
      </c>
      <c r="J16" s="88"/>
      <c r="K16" s="73" t="s">
        <v>52</v>
      </c>
      <c r="L16" s="74">
        <v>0</v>
      </c>
      <c r="M16" s="67" t="s">
        <v>465</v>
      </c>
      <c r="N16" s="75">
        <v>56150</v>
      </c>
      <c r="O16" s="75"/>
      <c r="P16" s="75"/>
      <c r="Q16" s="21"/>
      <c r="R16" s="39">
        <v>42167</v>
      </c>
      <c r="S16" s="45">
        <v>708</v>
      </c>
      <c r="T16" s="29" t="s">
        <v>466</v>
      </c>
      <c r="U16" s="26">
        <v>42167</v>
      </c>
      <c r="V16" s="51">
        <v>55532</v>
      </c>
      <c r="W16" s="23"/>
      <c r="X16" s="27">
        <v>42167</v>
      </c>
      <c r="Y16" s="62">
        <v>200</v>
      </c>
      <c r="Z16" s="88"/>
      <c r="AA16" s="73" t="s">
        <v>52</v>
      </c>
      <c r="AB16" s="74">
        <v>0</v>
      </c>
      <c r="AC16" s="67" t="s">
        <v>465</v>
      </c>
      <c r="AD16" s="75">
        <v>56150</v>
      </c>
      <c r="AE16" s="80"/>
    </row>
    <row r="17" spans="1:31" x14ac:dyDescent="0.25">
      <c r="A17" s="21"/>
      <c r="B17" s="39">
        <v>42168</v>
      </c>
      <c r="C17" s="45">
        <v>0</v>
      </c>
      <c r="D17" s="29"/>
      <c r="E17" s="26">
        <v>42168</v>
      </c>
      <c r="F17" s="51">
        <v>104726</v>
      </c>
      <c r="G17" s="23"/>
      <c r="H17" s="27">
        <v>42168</v>
      </c>
      <c r="I17" s="62">
        <v>245</v>
      </c>
      <c r="J17" s="88"/>
      <c r="K17" s="28" t="s">
        <v>53</v>
      </c>
      <c r="L17" s="74">
        <v>0</v>
      </c>
      <c r="M17" s="67" t="s">
        <v>467</v>
      </c>
      <c r="N17" s="75">
        <v>103849.5</v>
      </c>
      <c r="O17" s="75"/>
      <c r="P17" s="75"/>
      <c r="Q17" s="21"/>
      <c r="R17" s="39">
        <v>42168</v>
      </c>
      <c r="S17" s="45">
        <v>0</v>
      </c>
      <c r="T17" s="29"/>
      <c r="U17" s="26">
        <v>42168</v>
      </c>
      <c r="V17" s="51">
        <v>104726</v>
      </c>
      <c r="W17" s="23"/>
      <c r="X17" s="27">
        <v>42168</v>
      </c>
      <c r="Y17" s="62">
        <v>245</v>
      </c>
      <c r="Z17" s="88"/>
      <c r="AA17" s="28" t="s">
        <v>53</v>
      </c>
      <c r="AB17" s="74">
        <v>0</v>
      </c>
      <c r="AC17" s="67" t="s">
        <v>467</v>
      </c>
      <c r="AD17" s="75">
        <v>103849.5</v>
      </c>
      <c r="AE17" s="80"/>
    </row>
    <row r="18" spans="1:31" x14ac:dyDescent="0.25">
      <c r="A18" s="21"/>
      <c r="B18" s="39">
        <v>42169</v>
      </c>
      <c r="C18" s="45">
        <v>0</v>
      </c>
      <c r="D18" s="22"/>
      <c r="E18" s="26">
        <v>42169</v>
      </c>
      <c r="F18" s="51">
        <v>64761</v>
      </c>
      <c r="G18" s="23"/>
      <c r="H18" s="27">
        <v>42169</v>
      </c>
      <c r="I18" s="62">
        <v>200</v>
      </c>
      <c r="J18" s="89"/>
      <c r="K18" s="28" t="s">
        <v>54</v>
      </c>
      <c r="L18" s="75">
        <v>0</v>
      </c>
      <c r="M18" s="67" t="s">
        <v>469</v>
      </c>
      <c r="N18" s="75">
        <v>62900</v>
      </c>
      <c r="O18" s="75"/>
      <c r="P18" s="75"/>
      <c r="Q18" s="21"/>
      <c r="R18" s="39">
        <v>42169</v>
      </c>
      <c r="S18" s="45">
        <v>0</v>
      </c>
      <c r="T18" s="22"/>
      <c r="U18" s="26">
        <v>42169</v>
      </c>
      <c r="V18" s="51"/>
      <c r="W18" s="23"/>
      <c r="X18" s="27">
        <v>42169</v>
      </c>
      <c r="Y18" s="62"/>
      <c r="Z18" s="89"/>
      <c r="AA18" s="28" t="s">
        <v>54</v>
      </c>
      <c r="AB18" s="75">
        <v>0</v>
      </c>
      <c r="AC18" s="67"/>
      <c r="AD18" s="75">
        <v>0</v>
      </c>
      <c r="AE18" s="80"/>
    </row>
    <row r="19" spans="1:31" x14ac:dyDescent="0.25">
      <c r="A19" s="21"/>
      <c r="B19" s="39">
        <v>42170</v>
      </c>
      <c r="C19" s="45">
        <v>540</v>
      </c>
      <c r="D19" s="29" t="s">
        <v>470</v>
      </c>
      <c r="E19" s="26">
        <v>42170</v>
      </c>
      <c r="F19" s="51">
        <v>57643</v>
      </c>
      <c r="G19" s="23"/>
      <c r="H19" s="27">
        <v>42170</v>
      </c>
      <c r="I19" s="62">
        <v>200</v>
      </c>
      <c r="J19" s="88"/>
      <c r="K19" s="28" t="s">
        <v>55</v>
      </c>
      <c r="L19" s="75">
        <v>0</v>
      </c>
      <c r="M19" s="67" t="s">
        <v>471</v>
      </c>
      <c r="N19" s="75">
        <v>58800</v>
      </c>
      <c r="O19" s="75"/>
      <c r="P19" s="75"/>
      <c r="Q19" s="21"/>
      <c r="R19" s="39">
        <v>42170</v>
      </c>
      <c r="S19" s="45">
        <v>0</v>
      </c>
      <c r="T19" s="29"/>
      <c r="U19" s="26">
        <v>42170</v>
      </c>
      <c r="V19" s="51"/>
      <c r="W19" s="23"/>
      <c r="X19" s="27">
        <v>42170</v>
      </c>
      <c r="Y19" s="62"/>
      <c r="Z19" s="88"/>
      <c r="AA19" s="28" t="s">
        <v>55</v>
      </c>
      <c r="AB19" s="75">
        <v>0</v>
      </c>
      <c r="AC19" s="67"/>
      <c r="AD19" s="75">
        <v>0</v>
      </c>
      <c r="AE19" s="80"/>
    </row>
    <row r="20" spans="1:31" x14ac:dyDescent="0.25">
      <c r="A20" s="21"/>
      <c r="B20" s="39">
        <v>42171</v>
      </c>
      <c r="C20" s="45">
        <v>0</v>
      </c>
      <c r="D20" s="22"/>
      <c r="E20" s="26">
        <v>42171</v>
      </c>
      <c r="F20" s="51">
        <v>36791</v>
      </c>
      <c r="G20" s="23"/>
      <c r="H20" s="27">
        <v>42171</v>
      </c>
      <c r="I20" s="62">
        <v>200</v>
      </c>
      <c r="J20" s="90"/>
      <c r="K20" s="314" t="s">
        <v>408</v>
      </c>
      <c r="L20" s="55">
        <v>0</v>
      </c>
      <c r="M20" s="67" t="s">
        <v>472</v>
      </c>
      <c r="N20" s="75">
        <v>35660</v>
      </c>
      <c r="O20" s="75"/>
      <c r="P20" s="75"/>
      <c r="Q20" s="21"/>
      <c r="R20" s="39">
        <v>42171</v>
      </c>
      <c r="S20" s="45">
        <v>0</v>
      </c>
      <c r="T20" s="22"/>
      <c r="U20" s="26">
        <v>42171</v>
      </c>
      <c r="V20" s="51"/>
      <c r="W20" s="23"/>
      <c r="X20" s="27">
        <v>42171</v>
      </c>
      <c r="Y20" s="62"/>
      <c r="Z20" s="90"/>
      <c r="AA20" s="314" t="s">
        <v>408</v>
      </c>
      <c r="AB20" s="55">
        <v>0</v>
      </c>
      <c r="AC20" s="67"/>
      <c r="AD20" s="75">
        <v>0</v>
      </c>
      <c r="AE20" s="80"/>
    </row>
    <row r="21" spans="1:31" x14ac:dyDescent="0.25">
      <c r="A21" s="21"/>
      <c r="B21" s="39">
        <v>42172</v>
      </c>
      <c r="C21" s="45">
        <v>0</v>
      </c>
      <c r="D21" s="22"/>
      <c r="E21" s="26">
        <v>42172</v>
      </c>
      <c r="F21" s="51">
        <v>44588</v>
      </c>
      <c r="G21" s="23"/>
      <c r="H21" s="27">
        <v>42172</v>
      </c>
      <c r="I21" s="62">
        <v>200</v>
      </c>
      <c r="J21" s="88"/>
      <c r="K21" s="25" t="s">
        <v>99</v>
      </c>
      <c r="L21" s="55">
        <v>0</v>
      </c>
      <c r="M21" s="67" t="s">
        <v>473</v>
      </c>
      <c r="N21" s="75">
        <v>44300</v>
      </c>
      <c r="O21" s="75"/>
      <c r="P21" s="75"/>
      <c r="Q21" s="21"/>
      <c r="R21" s="39">
        <v>42172</v>
      </c>
      <c r="S21" s="45">
        <v>0</v>
      </c>
      <c r="T21" s="22"/>
      <c r="U21" s="26">
        <v>42172</v>
      </c>
      <c r="V21" s="51"/>
      <c r="W21" s="23"/>
      <c r="X21" s="27">
        <v>42172</v>
      </c>
      <c r="Y21" s="62"/>
      <c r="Z21" s="88"/>
      <c r="AA21" s="25" t="s">
        <v>99</v>
      </c>
      <c r="AB21" s="55">
        <v>0</v>
      </c>
      <c r="AC21" s="67"/>
      <c r="AD21" s="75">
        <v>0</v>
      </c>
      <c r="AE21" s="80"/>
    </row>
    <row r="22" spans="1:31" x14ac:dyDescent="0.25">
      <c r="A22" s="21"/>
      <c r="B22" s="39">
        <v>42173</v>
      </c>
      <c r="C22" s="45">
        <v>0</v>
      </c>
      <c r="D22" s="22"/>
      <c r="E22" s="26">
        <v>42173</v>
      </c>
      <c r="F22" s="51">
        <v>56129</v>
      </c>
      <c r="G22" s="23"/>
      <c r="H22" s="27">
        <v>42173</v>
      </c>
      <c r="I22" s="62">
        <v>200</v>
      </c>
      <c r="J22" s="90"/>
      <c r="K22" s="122" t="s">
        <v>213</v>
      </c>
      <c r="L22" s="55">
        <v>0</v>
      </c>
      <c r="M22" s="67" t="s">
        <v>475</v>
      </c>
      <c r="N22" s="75">
        <v>57830</v>
      </c>
      <c r="O22" s="75"/>
      <c r="P22" s="75"/>
      <c r="Q22" s="21"/>
      <c r="R22" s="39">
        <v>42173</v>
      </c>
      <c r="S22" s="45">
        <v>0</v>
      </c>
      <c r="T22" s="22"/>
      <c r="U22" s="26">
        <v>42173</v>
      </c>
      <c r="V22" s="51"/>
      <c r="W22" s="23"/>
      <c r="X22" s="27">
        <v>42173</v>
      </c>
      <c r="Y22" s="62"/>
      <c r="Z22" s="90"/>
      <c r="AA22" s="122" t="s">
        <v>213</v>
      </c>
      <c r="AB22" s="55">
        <v>0</v>
      </c>
      <c r="AC22" s="67"/>
      <c r="AD22" s="75">
        <v>0</v>
      </c>
      <c r="AE22" s="80"/>
    </row>
    <row r="23" spans="1:31" x14ac:dyDescent="0.25">
      <c r="A23" s="21"/>
      <c r="B23" s="39">
        <v>42174</v>
      </c>
      <c r="C23" s="45">
        <v>0</v>
      </c>
      <c r="D23" s="22"/>
      <c r="E23" s="26">
        <v>42174</v>
      </c>
      <c r="F23" s="51">
        <v>60736.5</v>
      </c>
      <c r="G23" s="23"/>
      <c r="H23" s="27">
        <v>42174</v>
      </c>
      <c r="I23" s="62">
        <v>200</v>
      </c>
      <c r="J23" s="88"/>
      <c r="K23" s="11" t="s">
        <v>332</v>
      </c>
      <c r="L23" s="55">
        <v>800</v>
      </c>
      <c r="M23" s="67" t="s">
        <v>476</v>
      </c>
      <c r="N23" s="75">
        <v>60200</v>
      </c>
      <c r="O23" s="75"/>
      <c r="P23" s="75"/>
      <c r="Q23" s="21"/>
      <c r="R23" s="39">
        <v>42174</v>
      </c>
      <c r="S23" s="45">
        <v>0</v>
      </c>
      <c r="T23" s="22"/>
      <c r="U23" s="26">
        <v>42174</v>
      </c>
      <c r="V23" s="51"/>
      <c r="W23" s="23"/>
      <c r="X23" s="27">
        <v>42174</v>
      </c>
      <c r="Y23" s="62"/>
      <c r="Z23" s="88"/>
      <c r="AA23" s="11" t="s">
        <v>332</v>
      </c>
      <c r="AB23" s="55">
        <v>800</v>
      </c>
      <c r="AC23" s="67"/>
      <c r="AD23" s="75">
        <v>0</v>
      </c>
      <c r="AE23" s="80"/>
    </row>
    <row r="24" spans="1:31" x14ac:dyDescent="0.25">
      <c r="A24" s="21"/>
      <c r="B24" s="39">
        <v>42175</v>
      </c>
      <c r="C24" s="45">
        <v>0</v>
      </c>
      <c r="D24" s="29"/>
      <c r="E24" s="26">
        <v>42175</v>
      </c>
      <c r="F24" s="51">
        <v>72354.5</v>
      </c>
      <c r="G24" s="23"/>
      <c r="H24" s="27">
        <v>42175</v>
      </c>
      <c r="I24" s="62">
        <v>200</v>
      </c>
      <c r="J24" s="88"/>
      <c r="K24" s="365">
        <v>42165</v>
      </c>
      <c r="L24" s="55"/>
      <c r="M24" s="67" t="s">
        <v>477</v>
      </c>
      <c r="N24" s="75">
        <v>70400</v>
      </c>
      <c r="O24" s="75"/>
      <c r="P24" s="75"/>
      <c r="Q24" s="21"/>
      <c r="R24" s="39">
        <v>42175</v>
      </c>
      <c r="S24" s="45">
        <v>0</v>
      </c>
      <c r="T24" s="29"/>
      <c r="U24" s="26">
        <v>42175</v>
      </c>
      <c r="V24" s="51"/>
      <c r="W24" s="23"/>
      <c r="X24" s="27">
        <v>42175</v>
      </c>
      <c r="Y24" s="62"/>
      <c r="Z24" s="88"/>
      <c r="AA24" s="365">
        <v>42165</v>
      </c>
      <c r="AB24" s="55"/>
      <c r="AC24" s="67"/>
      <c r="AD24" s="75">
        <v>0</v>
      </c>
      <c r="AE24" s="80"/>
    </row>
    <row r="25" spans="1:31" x14ac:dyDescent="0.25">
      <c r="A25" s="21"/>
      <c r="B25" s="39">
        <v>42176</v>
      </c>
      <c r="C25" s="45">
        <v>0</v>
      </c>
      <c r="D25" s="22"/>
      <c r="E25" s="26">
        <v>42176</v>
      </c>
      <c r="F25" s="51">
        <v>78864.5</v>
      </c>
      <c r="G25" s="23"/>
      <c r="H25" s="27">
        <v>42176</v>
      </c>
      <c r="I25" s="62">
        <v>200</v>
      </c>
      <c r="J25" s="88"/>
      <c r="K25" s="11"/>
      <c r="L25" s="55"/>
      <c r="M25" s="67" t="s">
        <v>480</v>
      </c>
      <c r="N25" s="75">
        <v>78100</v>
      </c>
      <c r="O25" s="75"/>
      <c r="P25" s="75"/>
      <c r="Q25" s="21"/>
      <c r="R25" s="39">
        <v>42176</v>
      </c>
      <c r="S25" s="45">
        <v>0</v>
      </c>
      <c r="T25" s="22"/>
      <c r="U25" s="26">
        <v>42176</v>
      </c>
      <c r="V25" s="51"/>
      <c r="W25" s="23"/>
      <c r="X25" s="27">
        <v>42176</v>
      </c>
      <c r="Y25" s="62"/>
      <c r="Z25" s="88"/>
      <c r="AA25" s="11"/>
      <c r="AB25" s="55"/>
      <c r="AC25" s="67"/>
      <c r="AD25" s="75">
        <v>0</v>
      </c>
      <c r="AE25" s="80"/>
    </row>
    <row r="26" spans="1:31" x14ac:dyDescent="0.25">
      <c r="A26" s="21"/>
      <c r="B26" s="39">
        <v>42177</v>
      </c>
      <c r="C26" s="45">
        <v>0</v>
      </c>
      <c r="D26" s="29"/>
      <c r="E26" s="26">
        <v>42177</v>
      </c>
      <c r="F26" s="51">
        <v>53017</v>
      </c>
      <c r="G26" s="23"/>
      <c r="H26" s="27">
        <v>42177</v>
      </c>
      <c r="I26" s="62">
        <v>200</v>
      </c>
      <c r="J26" s="88"/>
      <c r="K26" s="11"/>
      <c r="L26" s="55"/>
      <c r="M26" s="67" t="s">
        <v>481</v>
      </c>
      <c r="N26" s="75">
        <v>52500</v>
      </c>
      <c r="O26" s="75"/>
      <c r="P26" s="75"/>
      <c r="Q26" s="21"/>
      <c r="R26" s="39">
        <v>42177</v>
      </c>
      <c r="S26" s="45">
        <v>0</v>
      </c>
      <c r="T26" s="29"/>
      <c r="U26" s="26">
        <v>42177</v>
      </c>
      <c r="V26" s="51"/>
      <c r="W26" s="23"/>
      <c r="X26" s="27">
        <v>42177</v>
      </c>
      <c r="Y26" s="62"/>
      <c r="Z26" s="88"/>
      <c r="AA26" s="11"/>
      <c r="AB26" s="55"/>
      <c r="AC26" s="67"/>
      <c r="AD26" s="75">
        <v>0</v>
      </c>
      <c r="AE26" s="80"/>
    </row>
    <row r="27" spans="1:31" x14ac:dyDescent="0.25">
      <c r="A27" s="21"/>
      <c r="B27" s="39">
        <v>42178</v>
      </c>
      <c r="C27" s="45">
        <v>0</v>
      </c>
      <c r="D27" s="29"/>
      <c r="E27" s="26">
        <v>42178</v>
      </c>
      <c r="F27" s="51">
        <v>42632</v>
      </c>
      <c r="G27" s="23"/>
      <c r="H27" s="27">
        <v>42178</v>
      </c>
      <c r="I27" s="62">
        <v>200</v>
      </c>
      <c r="J27" s="88"/>
      <c r="K27" s="11"/>
      <c r="L27" s="55"/>
      <c r="M27" s="201" t="s">
        <v>497</v>
      </c>
      <c r="N27" s="204">
        <v>42650</v>
      </c>
      <c r="O27" s="204"/>
      <c r="P27" s="204"/>
      <c r="Q27" s="21"/>
      <c r="R27" s="39">
        <v>42178</v>
      </c>
      <c r="S27" s="45">
        <v>0</v>
      </c>
      <c r="T27" s="29"/>
      <c r="U27" s="26">
        <v>42178</v>
      </c>
      <c r="V27" s="51"/>
      <c r="W27" s="23"/>
      <c r="X27" s="27">
        <v>42178</v>
      </c>
      <c r="Y27" s="62"/>
      <c r="Z27" s="88"/>
      <c r="AA27" s="11"/>
      <c r="AB27" s="55"/>
      <c r="AC27" s="201"/>
      <c r="AD27" s="204">
        <v>0</v>
      </c>
      <c r="AE27" s="80"/>
    </row>
    <row r="28" spans="1:31" x14ac:dyDescent="0.25">
      <c r="A28" s="21"/>
      <c r="B28" s="39">
        <v>42179</v>
      </c>
      <c r="C28" s="45">
        <v>0</v>
      </c>
      <c r="D28" s="29"/>
      <c r="E28" s="26">
        <v>42179</v>
      </c>
      <c r="F28" s="51">
        <v>42115</v>
      </c>
      <c r="G28" s="23"/>
      <c r="H28" s="27">
        <v>42179</v>
      </c>
      <c r="I28" s="62">
        <v>200</v>
      </c>
      <c r="J28" s="88"/>
      <c r="K28" s="11"/>
      <c r="L28" s="55"/>
      <c r="M28" s="201" t="s">
        <v>498</v>
      </c>
      <c r="N28" s="204">
        <v>43660</v>
      </c>
      <c r="O28" s="204"/>
      <c r="P28" s="204"/>
      <c r="Q28" s="21"/>
      <c r="R28" s="39">
        <v>42179</v>
      </c>
      <c r="S28" s="45">
        <v>0</v>
      </c>
      <c r="T28" s="29"/>
      <c r="U28" s="26">
        <v>42179</v>
      </c>
      <c r="V28" s="51"/>
      <c r="W28" s="23"/>
      <c r="X28" s="27">
        <v>42179</v>
      </c>
      <c r="Y28" s="62"/>
      <c r="Z28" s="88"/>
      <c r="AA28" s="11"/>
      <c r="AB28" s="55"/>
      <c r="AC28" s="201"/>
      <c r="AD28" s="204">
        <v>0</v>
      </c>
      <c r="AE28" s="80"/>
    </row>
    <row r="29" spans="1:31" x14ac:dyDescent="0.25">
      <c r="A29" s="21"/>
      <c r="B29" s="39">
        <v>42180</v>
      </c>
      <c r="C29" s="45">
        <v>0</v>
      </c>
      <c r="D29" s="29"/>
      <c r="E29" s="26">
        <v>42180</v>
      </c>
      <c r="F29" s="51">
        <v>59020</v>
      </c>
      <c r="G29" s="23"/>
      <c r="H29" s="27">
        <v>42180</v>
      </c>
      <c r="I29" s="62">
        <v>200</v>
      </c>
      <c r="J29" s="88"/>
      <c r="K29" s="11"/>
      <c r="L29" s="20"/>
      <c r="M29" s="67" t="s">
        <v>499</v>
      </c>
      <c r="N29" s="75">
        <v>59200</v>
      </c>
      <c r="O29" s="75"/>
      <c r="P29" s="75"/>
      <c r="Q29" s="21"/>
      <c r="R29" s="39">
        <v>42180</v>
      </c>
      <c r="S29" s="45">
        <v>0</v>
      </c>
      <c r="T29" s="29"/>
      <c r="U29" s="26">
        <v>42180</v>
      </c>
      <c r="V29" s="51"/>
      <c r="W29" s="23"/>
      <c r="X29" s="27">
        <v>42180</v>
      </c>
      <c r="Y29" s="62"/>
      <c r="Z29" s="88"/>
      <c r="AA29" s="11"/>
      <c r="AB29" s="20"/>
      <c r="AC29" s="67"/>
      <c r="AD29" s="75">
        <v>0</v>
      </c>
      <c r="AE29" s="80"/>
    </row>
    <row r="30" spans="1:31" x14ac:dyDescent="0.25">
      <c r="A30" s="21"/>
      <c r="B30" s="39">
        <v>42181</v>
      </c>
      <c r="C30" s="45">
        <v>0</v>
      </c>
      <c r="D30" s="22"/>
      <c r="E30" s="26">
        <v>42181</v>
      </c>
      <c r="F30" s="51">
        <v>69872</v>
      </c>
      <c r="G30" s="23"/>
      <c r="H30" s="27">
        <v>42181</v>
      </c>
      <c r="I30" s="62">
        <v>200</v>
      </c>
      <c r="J30" s="88"/>
      <c r="K30" s="11"/>
      <c r="L30" s="20"/>
      <c r="M30" s="201" t="s">
        <v>500</v>
      </c>
      <c r="N30" s="204">
        <v>67800</v>
      </c>
      <c r="O30" s="204"/>
      <c r="P30" s="204"/>
      <c r="Q30" s="21"/>
      <c r="R30" s="39">
        <v>42181</v>
      </c>
      <c r="S30" s="45">
        <v>0</v>
      </c>
      <c r="T30" s="22"/>
      <c r="U30" s="26">
        <v>42181</v>
      </c>
      <c r="V30" s="51"/>
      <c r="W30" s="23"/>
      <c r="X30" s="27">
        <v>42181</v>
      </c>
      <c r="Y30" s="62"/>
      <c r="Z30" s="88"/>
      <c r="AA30" s="11"/>
      <c r="AB30" s="20"/>
      <c r="AC30" s="201"/>
      <c r="AD30" s="204">
        <v>0</v>
      </c>
      <c r="AE30" s="80"/>
    </row>
    <row r="31" spans="1:31" x14ac:dyDescent="0.25">
      <c r="A31" s="21"/>
      <c r="B31" s="39">
        <v>42182</v>
      </c>
      <c r="C31" s="45">
        <v>307</v>
      </c>
      <c r="D31" s="22" t="s">
        <v>457</v>
      </c>
      <c r="E31" s="26">
        <v>42182</v>
      </c>
      <c r="F31" s="51">
        <v>92994.5</v>
      </c>
      <c r="G31" s="23"/>
      <c r="H31" s="27">
        <v>42182</v>
      </c>
      <c r="I31" s="62">
        <v>200</v>
      </c>
      <c r="J31" s="88"/>
      <c r="K31" s="11"/>
      <c r="L31" s="20"/>
      <c r="M31" s="201" t="s">
        <v>501</v>
      </c>
      <c r="N31" s="204">
        <v>91100</v>
      </c>
      <c r="O31" s="204"/>
      <c r="P31" s="204"/>
      <c r="Q31" s="21"/>
      <c r="R31" s="39">
        <v>42182</v>
      </c>
      <c r="S31" s="45">
        <v>0</v>
      </c>
      <c r="T31" s="22"/>
      <c r="U31" s="26">
        <v>42182</v>
      </c>
      <c r="V31" s="51"/>
      <c r="W31" s="23"/>
      <c r="X31" s="27">
        <v>42182</v>
      </c>
      <c r="Y31" s="62"/>
      <c r="Z31" s="88"/>
      <c r="AA31" s="11"/>
      <c r="AB31" s="20"/>
      <c r="AC31" s="201"/>
      <c r="AD31" s="204">
        <v>0</v>
      </c>
      <c r="AE31" s="80"/>
    </row>
    <row r="32" spans="1:31" x14ac:dyDescent="0.25">
      <c r="A32" s="21"/>
      <c r="B32" s="39">
        <v>42183</v>
      </c>
      <c r="C32" s="45">
        <v>0</v>
      </c>
      <c r="D32" s="22"/>
      <c r="E32" s="26">
        <v>42183</v>
      </c>
      <c r="F32" s="51">
        <v>85990</v>
      </c>
      <c r="G32" s="23"/>
      <c r="H32" s="27">
        <v>42183</v>
      </c>
      <c r="I32" s="62">
        <v>200</v>
      </c>
      <c r="J32" s="88"/>
      <c r="K32" s="11"/>
      <c r="L32" s="20"/>
      <c r="M32" s="67" t="s">
        <v>502</v>
      </c>
      <c r="N32" s="75">
        <v>81580</v>
      </c>
      <c r="O32" s="75"/>
      <c r="P32" s="75"/>
      <c r="Q32" s="21"/>
      <c r="R32" s="39">
        <v>42183</v>
      </c>
      <c r="S32" s="45">
        <v>0</v>
      </c>
      <c r="T32" s="22"/>
      <c r="U32" s="26">
        <v>42183</v>
      </c>
      <c r="V32" s="51"/>
      <c r="W32" s="23"/>
      <c r="X32" s="27">
        <v>42183</v>
      </c>
      <c r="Y32" s="62"/>
      <c r="Z32" s="88"/>
      <c r="AA32" s="11"/>
      <c r="AB32" s="20"/>
      <c r="AC32" s="67"/>
      <c r="AD32" s="75">
        <v>0</v>
      </c>
      <c r="AE32" s="80"/>
    </row>
    <row r="33" spans="1:31" x14ac:dyDescent="0.25">
      <c r="A33" s="21"/>
      <c r="B33" s="39">
        <v>42184</v>
      </c>
      <c r="C33" s="45">
        <v>0</v>
      </c>
      <c r="D33" s="32"/>
      <c r="E33" s="26">
        <v>42184</v>
      </c>
      <c r="F33" s="51">
        <v>49043</v>
      </c>
      <c r="G33" s="23"/>
      <c r="H33" s="27">
        <v>42184</v>
      </c>
      <c r="I33" s="62">
        <v>232</v>
      </c>
      <c r="J33" s="88"/>
      <c r="K33" s="11"/>
      <c r="L33" s="20"/>
      <c r="M33" s="67" t="s">
        <v>503</v>
      </c>
      <c r="N33" s="75">
        <v>54200</v>
      </c>
      <c r="O33" s="75"/>
      <c r="P33" s="75"/>
      <c r="Q33" s="21"/>
      <c r="R33" s="39">
        <v>42184</v>
      </c>
      <c r="S33" s="45">
        <v>0</v>
      </c>
      <c r="T33" s="32"/>
      <c r="U33" s="26">
        <v>42184</v>
      </c>
      <c r="V33" s="51"/>
      <c r="W33" s="23"/>
      <c r="X33" s="27">
        <v>42184</v>
      </c>
      <c r="Y33" s="62"/>
      <c r="Z33" s="88"/>
      <c r="AA33" s="11"/>
      <c r="AB33" s="20"/>
      <c r="AC33" s="67"/>
      <c r="AD33" s="75">
        <v>0</v>
      </c>
      <c r="AE33" s="80"/>
    </row>
    <row r="34" spans="1:31" x14ac:dyDescent="0.25">
      <c r="A34" s="21"/>
      <c r="B34" s="39">
        <v>42185</v>
      </c>
      <c r="C34" s="45">
        <v>0</v>
      </c>
      <c r="D34" s="72"/>
      <c r="E34" s="26">
        <v>42185</v>
      </c>
      <c r="F34" s="51">
        <v>61147.5</v>
      </c>
      <c r="G34" s="23"/>
      <c r="H34" s="27">
        <v>42185</v>
      </c>
      <c r="I34" s="62">
        <v>200</v>
      </c>
      <c r="J34" s="88"/>
      <c r="K34" s="11"/>
      <c r="L34" s="20"/>
      <c r="M34" s="258" t="s">
        <v>504</v>
      </c>
      <c r="N34" s="202">
        <v>57520</v>
      </c>
      <c r="O34" s="202"/>
      <c r="P34" s="202"/>
      <c r="Q34" s="21"/>
      <c r="R34" s="39">
        <v>42185</v>
      </c>
      <c r="S34" s="45">
        <v>0</v>
      </c>
      <c r="T34" s="72"/>
      <c r="U34" s="26">
        <v>42185</v>
      </c>
      <c r="V34" s="51"/>
      <c r="W34" s="23"/>
      <c r="X34" s="27">
        <v>42185</v>
      </c>
      <c r="Y34" s="62"/>
      <c r="Z34" s="88"/>
      <c r="AA34" s="11"/>
      <c r="AB34" s="20"/>
      <c r="AC34" s="258"/>
      <c r="AD34" s="202">
        <v>0</v>
      </c>
      <c r="AE34" s="80"/>
    </row>
    <row r="35" spans="1:31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 t="s">
        <v>345</v>
      </c>
      <c r="L35" s="20"/>
      <c r="M35" s="71"/>
      <c r="N35" s="74">
        <v>0</v>
      </c>
      <c r="O35" s="74"/>
      <c r="P35" s="74"/>
      <c r="Q35" s="21"/>
      <c r="R35" s="39"/>
      <c r="S35" s="45"/>
      <c r="T35" s="22"/>
      <c r="U35" s="26"/>
      <c r="V35" s="51"/>
      <c r="W35" s="23"/>
      <c r="X35" s="27"/>
      <c r="Y35" s="62"/>
      <c r="Z35" s="88"/>
      <c r="AA35" s="11" t="s">
        <v>345</v>
      </c>
      <c r="AB35" s="20"/>
      <c r="AC35" s="71"/>
      <c r="AD35" s="74">
        <v>0</v>
      </c>
    </row>
    <row r="36" spans="1:31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71"/>
      <c r="N36" s="346">
        <v>0</v>
      </c>
      <c r="O36" s="74"/>
      <c r="P36" s="74"/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D36" s="346">
        <v>0</v>
      </c>
    </row>
    <row r="37" spans="1:31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71"/>
      <c r="N37" s="345">
        <f>SUM(N5:N36)</f>
        <v>1716374</v>
      </c>
      <c r="O37" s="372"/>
      <c r="P37" s="372"/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D37" s="345">
        <f>SUM(AD5:AD36)</f>
        <v>697974</v>
      </c>
    </row>
    <row r="38" spans="1:31" x14ac:dyDescent="0.25">
      <c r="B38" s="42" t="s">
        <v>1</v>
      </c>
      <c r="C38" s="48">
        <f>SUM(C5:C37)</f>
        <v>2389.5</v>
      </c>
      <c r="E38" s="368" t="s">
        <v>1</v>
      </c>
      <c r="F38" s="54">
        <f>SUM(F5:F37)</f>
        <v>1729770</v>
      </c>
      <c r="H38" s="370" t="s">
        <v>1</v>
      </c>
      <c r="I38" s="58">
        <f>SUM(I5:I37)</f>
        <v>6109</v>
      </c>
      <c r="J38" s="58"/>
      <c r="K38" s="17" t="s">
        <v>1</v>
      </c>
      <c r="L38" s="4">
        <f t="shared" ref="L38" si="0">SUM(L5:L37)</f>
        <v>68313.790000000008</v>
      </c>
      <c r="M38" s="371"/>
      <c r="N38" s="202"/>
      <c r="O38" s="202"/>
      <c r="P38" s="202"/>
      <c r="R38" s="42" t="s">
        <v>1</v>
      </c>
      <c r="S38" s="48">
        <f>SUM(S5:S37)</f>
        <v>1542.5</v>
      </c>
      <c r="U38" s="361" t="s">
        <v>1</v>
      </c>
      <c r="V38" s="54">
        <f>SUM(V5:V37)</f>
        <v>702071.5</v>
      </c>
      <c r="X38" s="363" t="s">
        <v>1</v>
      </c>
      <c r="Y38" s="58">
        <f>SUM(Y5:Y37)</f>
        <v>2677</v>
      </c>
      <c r="Z38" s="58"/>
      <c r="AA38" s="17" t="s">
        <v>1</v>
      </c>
      <c r="AB38" s="4">
        <f t="shared" ref="AB38" si="1">SUM(AB5:AB37)</f>
        <v>53028.680000000008</v>
      </c>
    </row>
    <row r="39" spans="1:31" x14ac:dyDescent="0.25">
      <c r="B39" s="37"/>
      <c r="C39" s="43"/>
      <c r="F39" s="43"/>
      <c r="I39" s="43"/>
      <c r="J39" s="43"/>
      <c r="M39" s="371"/>
      <c r="N39" s="202"/>
      <c r="O39" s="202"/>
      <c r="P39" s="202"/>
    </row>
    <row r="40" spans="1:31" ht="15.75" customHeight="1" x14ac:dyDescent="0.25">
      <c r="A40" s="5"/>
      <c r="B40" s="37"/>
      <c r="C40" s="49">
        <v>0</v>
      </c>
      <c r="D40" s="13"/>
      <c r="E40" s="13"/>
      <c r="F40" s="55"/>
      <c r="H40" s="453" t="s">
        <v>7</v>
      </c>
      <c r="I40" s="454"/>
      <c r="J40" s="369"/>
      <c r="K40" s="455">
        <f>I38+L38</f>
        <v>74422.790000000008</v>
      </c>
      <c r="L40" s="456"/>
      <c r="M40" s="371"/>
      <c r="N40" s="202"/>
      <c r="O40" s="202"/>
      <c r="P40" s="202"/>
      <c r="Q40" s="5"/>
      <c r="S40" s="49">
        <v>0</v>
      </c>
      <c r="T40" s="13"/>
      <c r="U40" s="13"/>
      <c r="V40" s="55"/>
      <c r="X40" s="453" t="s">
        <v>7</v>
      </c>
      <c r="Y40" s="454"/>
      <c r="Z40" s="362"/>
      <c r="AA40" s="455">
        <f>Y38+AB38</f>
        <v>55705.680000000008</v>
      </c>
      <c r="AB40" s="456"/>
    </row>
    <row r="41" spans="1:31" ht="15.75" customHeight="1" x14ac:dyDescent="0.25">
      <c r="B41" s="37"/>
      <c r="C41" s="43"/>
      <c r="D41" s="447" t="s">
        <v>8</v>
      </c>
      <c r="E41" s="447"/>
      <c r="F41" s="56">
        <f>F38-K40</f>
        <v>1655347.21</v>
      </c>
      <c r="I41" s="65"/>
      <c r="J41" s="65"/>
      <c r="M41" s="371"/>
      <c r="N41" s="202"/>
      <c r="O41" s="202"/>
      <c r="P41" s="202"/>
      <c r="T41" s="447" t="s">
        <v>8</v>
      </c>
      <c r="U41" s="447"/>
      <c r="V41" s="56">
        <f>V38-AA40</f>
        <v>646365.81999999995</v>
      </c>
      <c r="Y41" s="65"/>
      <c r="Z41" s="65"/>
    </row>
    <row r="42" spans="1:31" x14ac:dyDescent="0.25">
      <c r="B42" s="37"/>
      <c r="C42" s="43"/>
      <c r="D42" s="13"/>
      <c r="E42" s="13" t="s">
        <v>0</v>
      </c>
      <c r="F42" s="56">
        <f>-C38</f>
        <v>-2389.5</v>
      </c>
      <c r="I42" s="43"/>
      <c r="J42" s="43"/>
      <c r="M42" s="371"/>
      <c r="N42" s="202"/>
      <c r="O42" s="202"/>
      <c r="P42" s="202"/>
      <c r="T42" s="13"/>
      <c r="U42" s="13" t="s">
        <v>0</v>
      </c>
      <c r="V42" s="56">
        <f>-S38</f>
        <v>-1542.5</v>
      </c>
    </row>
    <row r="43" spans="1:31" ht="15.75" thickBot="1" x14ac:dyDescent="0.3">
      <c r="B43" s="37"/>
      <c r="C43" s="43" t="s">
        <v>12</v>
      </c>
      <c r="D43" t="s">
        <v>303</v>
      </c>
      <c r="F43" s="125">
        <v>-1581936.53</v>
      </c>
      <c r="I43" s="457"/>
      <c r="J43" s="457"/>
      <c r="K43" s="457"/>
      <c r="L43" s="2"/>
      <c r="M43" s="371"/>
      <c r="N43" s="202"/>
      <c r="O43" s="202"/>
      <c r="P43" s="202"/>
      <c r="S43" s="43" t="s">
        <v>12</v>
      </c>
      <c r="T43" t="s">
        <v>303</v>
      </c>
      <c r="V43" s="125">
        <v>-683123.4</v>
      </c>
      <c r="Y43" s="457"/>
      <c r="Z43" s="457"/>
      <c r="AA43" s="457"/>
      <c r="AB43" s="2"/>
    </row>
    <row r="44" spans="1:31" ht="16.5" thickTop="1" x14ac:dyDescent="0.25">
      <c r="B44" s="37"/>
      <c r="C44" s="43"/>
      <c r="E44" s="5" t="s">
        <v>10</v>
      </c>
      <c r="F44" s="58">
        <f>SUM(F41:F43)</f>
        <v>71021.179999999935</v>
      </c>
      <c r="I44" s="489" t="s">
        <v>251</v>
      </c>
      <c r="J44" s="489"/>
      <c r="K44" s="474">
        <f>F46</f>
        <v>183039.44999999995</v>
      </c>
      <c r="L44" s="475"/>
      <c r="M44" s="371"/>
      <c r="N44" s="202"/>
      <c r="O44" s="202"/>
      <c r="P44" s="202"/>
      <c r="U44" s="5" t="s">
        <v>10</v>
      </c>
      <c r="V44" s="58">
        <f>SUM(V41:V43)</f>
        <v>-38300.080000000075</v>
      </c>
      <c r="Y44" s="489" t="s">
        <v>251</v>
      </c>
      <c r="Z44" s="489"/>
      <c r="AA44" s="474">
        <f>V46</f>
        <v>150420.62999999992</v>
      </c>
      <c r="AB44" s="475"/>
    </row>
    <row r="45" spans="1:31" ht="15.75" customHeight="1" thickBot="1" x14ac:dyDescent="0.3">
      <c r="B45" s="37"/>
      <c r="C45" s="43"/>
      <c r="D45" s="368" t="s">
        <v>9</v>
      </c>
      <c r="E45" s="368"/>
      <c r="F45" s="366">
        <v>112018.27</v>
      </c>
      <c r="I45" s="483" t="s">
        <v>2</v>
      </c>
      <c r="J45" s="483"/>
      <c r="K45" s="476">
        <v>-125131.74</v>
      </c>
      <c r="L45" s="476"/>
      <c r="M45" s="371"/>
      <c r="N45" s="202"/>
      <c r="O45" s="202"/>
      <c r="P45" s="202"/>
      <c r="T45" s="361" t="s">
        <v>9</v>
      </c>
      <c r="U45" s="361"/>
      <c r="V45" s="366">
        <v>188720.71</v>
      </c>
      <c r="Y45" s="483" t="s">
        <v>2</v>
      </c>
      <c r="Z45" s="483"/>
      <c r="AA45" s="476">
        <v>-125131.74</v>
      </c>
      <c r="AB45" s="476"/>
    </row>
    <row r="46" spans="1:31" ht="15.75" customHeight="1" thickBot="1" x14ac:dyDescent="0.3">
      <c r="B46" s="37"/>
      <c r="C46" s="43"/>
      <c r="E46" s="6" t="s">
        <v>347</v>
      </c>
      <c r="F46" s="48">
        <f>F45+F44</f>
        <v>183039.44999999995</v>
      </c>
      <c r="J46" s="178"/>
      <c r="K46" s="477">
        <v>0</v>
      </c>
      <c r="L46" s="477"/>
      <c r="M46" s="371"/>
      <c r="N46" s="202"/>
      <c r="O46" s="202"/>
      <c r="P46" s="202"/>
      <c r="U46" s="6" t="s">
        <v>347</v>
      </c>
      <c r="V46" s="48">
        <f>V45+V44</f>
        <v>150420.62999999992</v>
      </c>
      <c r="Y46"/>
      <c r="Z46" s="178"/>
      <c r="AA46" s="477">
        <v>0</v>
      </c>
      <c r="AB46" s="477"/>
    </row>
    <row r="47" spans="1:31" ht="19.5" thickBot="1" x14ac:dyDescent="0.3">
      <c r="B47" s="37"/>
      <c r="C47" s="43"/>
      <c r="E47" s="5"/>
      <c r="F47" s="56"/>
      <c r="I47" s="487" t="s">
        <v>468</v>
      </c>
      <c r="J47" s="488"/>
      <c r="K47" s="480">
        <f>SUM(K44:L46)</f>
        <v>57907.709999999948</v>
      </c>
      <c r="L47" s="481"/>
      <c r="M47" s="371"/>
      <c r="N47" s="202"/>
      <c r="O47" s="202"/>
      <c r="P47" s="202"/>
      <c r="U47" s="5"/>
      <c r="V47" s="56"/>
      <c r="Y47" s="487" t="s">
        <v>468</v>
      </c>
      <c r="Z47" s="488"/>
      <c r="AA47" s="480">
        <f>SUM(AA44:AB46)</f>
        <v>25288.889999999912</v>
      </c>
      <c r="AB47" s="481"/>
    </row>
    <row r="48" spans="1:31" x14ac:dyDescent="0.25">
      <c r="B48" s="37"/>
      <c r="C48" s="43"/>
      <c r="D48" s="457"/>
      <c r="E48" s="457"/>
      <c r="F48" s="58"/>
      <c r="I48" s="43"/>
      <c r="J48" s="43"/>
      <c r="M48" s="371"/>
      <c r="N48" s="202"/>
      <c r="O48" s="202"/>
      <c r="P48" s="202"/>
      <c r="T48" s="457"/>
      <c r="U48" s="457"/>
      <c r="V48" s="58"/>
    </row>
    <row r="49" spans="18:30" x14ac:dyDescent="0.25">
      <c r="R49"/>
      <c r="S49"/>
      <c r="V49"/>
      <c r="Y49"/>
      <c r="Z49"/>
      <c r="AC49"/>
      <c r="AD49" s="43"/>
    </row>
    <row r="50" spans="18:30" x14ac:dyDescent="0.25">
      <c r="R50"/>
      <c r="S50"/>
      <c r="V50"/>
      <c r="Y50"/>
      <c r="Z50"/>
      <c r="AC50"/>
      <c r="AD50" s="43"/>
    </row>
    <row r="51" spans="18:30" x14ac:dyDescent="0.25">
      <c r="R51"/>
      <c r="S51"/>
      <c r="V51"/>
      <c r="Y51"/>
      <c r="Z51"/>
      <c r="AC51"/>
      <c r="AD51" s="43"/>
    </row>
    <row r="52" spans="18:30" x14ac:dyDescent="0.25">
      <c r="R52"/>
      <c r="S52"/>
      <c r="V52"/>
      <c r="Y52"/>
      <c r="Z52"/>
      <c r="AC52"/>
    </row>
    <row r="53" spans="18:30" x14ac:dyDescent="0.25">
      <c r="R53"/>
      <c r="S53"/>
      <c r="V53"/>
      <c r="Y53"/>
      <c r="Z53"/>
      <c r="AC53"/>
    </row>
    <row r="54" spans="18:30" x14ac:dyDescent="0.25">
      <c r="R54"/>
      <c r="S54"/>
      <c r="V54"/>
      <c r="Y54"/>
      <c r="Z54"/>
      <c r="AC54"/>
    </row>
    <row r="55" spans="18:30" x14ac:dyDescent="0.25">
      <c r="R55"/>
      <c r="S55"/>
      <c r="V55"/>
      <c r="Y55"/>
      <c r="Z55"/>
      <c r="AC55"/>
      <c r="AD55" s="43"/>
    </row>
    <row r="56" spans="18:30" x14ac:dyDescent="0.25">
      <c r="R56"/>
      <c r="S56"/>
      <c r="V56"/>
      <c r="Y56"/>
      <c r="Z56"/>
      <c r="AC56"/>
      <c r="AD56" s="43"/>
    </row>
    <row r="57" spans="18:30" x14ac:dyDescent="0.25">
      <c r="R57"/>
      <c r="S57"/>
      <c r="V57"/>
      <c r="Y57"/>
      <c r="Z57"/>
      <c r="AC57"/>
      <c r="AD57" s="43"/>
    </row>
    <row r="58" spans="18:30" x14ac:dyDescent="0.25">
      <c r="R58"/>
      <c r="S58"/>
      <c r="V58"/>
      <c r="Y58"/>
      <c r="Z58"/>
      <c r="AC58"/>
      <c r="AD58" s="43"/>
    </row>
    <row r="59" spans="18:30" x14ac:dyDescent="0.25">
      <c r="R59"/>
      <c r="S59"/>
      <c r="V59"/>
      <c r="Y59"/>
      <c r="Z59"/>
      <c r="AC59"/>
      <c r="AD59" s="43"/>
    </row>
    <row r="60" spans="18:30" x14ac:dyDescent="0.25">
      <c r="R60"/>
      <c r="S60"/>
      <c r="V60"/>
      <c r="Y60"/>
      <c r="Z60"/>
      <c r="AC60"/>
      <c r="AD60" s="43"/>
    </row>
    <row r="61" spans="18:30" x14ac:dyDescent="0.25">
      <c r="R61"/>
      <c r="S61"/>
      <c r="V61"/>
      <c r="Y61"/>
      <c r="Z61"/>
      <c r="AC61"/>
      <c r="AD61" s="43"/>
    </row>
    <row r="62" spans="18:30" x14ac:dyDescent="0.25">
      <c r="R62"/>
      <c r="S62"/>
      <c r="V62"/>
      <c r="Y62"/>
      <c r="Z62"/>
      <c r="AC62"/>
      <c r="AD62" s="43"/>
    </row>
    <row r="63" spans="18:30" x14ac:dyDescent="0.25">
      <c r="R63"/>
      <c r="S63"/>
      <c r="V63"/>
      <c r="Y63"/>
      <c r="Z63"/>
      <c r="AC63"/>
      <c r="AD63" s="43"/>
    </row>
    <row r="64" spans="18:30" x14ac:dyDescent="0.25">
      <c r="R64"/>
      <c r="S64"/>
      <c r="V64"/>
      <c r="Y64"/>
      <c r="Z64"/>
      <c r="AC64"/>
      <c r="AD64" s="43"/>
    </row>
    <row r="65" spans="18:30" x14ac:dyDescent="0.25">
      <c r="R65"/>
      <c r="S65"/>
      <c r="V65"/>
      <c r="Y65"/>
      <c r="Z65"/>
      <c r="AC65"/>
      <c r="AD65" s="43"/>
    </row>
    <row r="66" spans="18:30" x14ac:dyDescent="0.25">
      <c r="R66"/>
      <c r="S66"/>
      <c r="V66"/>
      <c r="Y66"/>
      <c r="Z66"/>
      <c r="AC66"/>
      <c r="AD66" s="43"/>
    </row>
    <row r="67" spans="18:30" x14ac:dyDescent="0.25">
      <c r="R67"/>
      <c r="S67"/>
      <c r="V67"/>
      <c r="Y67"/>
      <c r="Z67"/>
      <c r="AC67"/>
      <c r="AD67" s="43"/>
    </row>
    <row r="68" spans="18:30" x14ac:dyDescent="0.25">
      <c r="R68"/>
      <c r="S68"/>
      <c r="V68"/>
      <c r="Y68"/>
      <c r="Z68"/>
      <c r="AC68"/>
      <c r="AD68" s="43"/>
    </row>
    <row r="69" spans="18:30" x14ac:dyDescent="0.25">
      <c r="R69"/>
      <c r="S69"/>
      <c r="V69"/>
      <c r="Y69"/>
      <c r="Z69"/>
      <c r="AC69"/>
      <c r="AD69" s="43"/>
    </row>
    <row r="70" spans="18:30" x14ac:dyDescent="0.25">
      <c r="R70"/>
      <c r="S70"/>
      <c r="V70"/>
      <c r="Y70"/>
      <c r="Z70"/>
      <c r="AC70"/>
      <c r="AD70" s="43"/>
    </row>
    <row r="71" spans="18:30" x14ac:dyDescent="0.25">
      <c r="R71"/>
      <c r="S71"/>
      <c r="V71"/>
      <c r="Y71"/>
      <c r="Z71"/>
      <c r="AC71"/>
      <c r="AD71" s="43"/>
    </row>
    <row r="72" spans="18:30" x14ac:dyDescent="0.25">
      <c r="R72"/>
      <c r="S72"/>
      <c r="V72"/>
      <c r="Y72"/>
      <c r="Z72"/>
      <c r="AC72"/>
      <c r="AD72" s="43"/>
    </row>
    <row r="73" spans="18:30" x14ac:dyDescent="0.25">
      <c r="R73"/>
      <c r="S73"/>
      <c r="V73"/>
      <c r="Y73"/>
      <c r="Z73"/>
      <c r="AC73"/>
      <c r="AD73" s="43"/>
    </row>
    <row r="74" spans="18:30" x14ac:dyDescent="0.25">
      <c r="R74"/>
      <c r="S74"/>
      <c r="V74"/>
      <c r="Y74"/>
      <c r="Z74"/>
      <c r="AC74"/>
      <c r="AD74" s="43"/>
    </row>
    <row r="75" spans="18:30" x14ac:dyDescent="0.25">
      <c r="R75"/>
      <c r="S75"/>
      <c r="V75"/>
      <c r="Y75"/>
      <c r="Z75"/>
      <c r="AC75"/>
    </row>
    <row r="76" spans="18:30" x14ac:dyDescent="0.25">
      <c r="R76"/>
      <c r="S76"/>
      <c r="V76"/>
      <c r="Y76"/>
      <c r="Z76"/>
      <c r="AC76"/>
    </row>
    <row r="77" spans="18:30" x14ac:dyDescent="0.25">
      <c r="R77"/>
      <c r="S77"/>
      <c r="V77"/>
      <c r="Y77"/>
      <c r="Z77"/>
      <c r="AC77"/>
    </row>
    <row r="78" spans="18:30" x14ac:dyDescent="0.25">
      <c r="R78"/>
      <c r="S78"/>
      <c r="V78"/>
      <c r="Y78"/>
      <c r="Z78"/>
      <c r="AC78"/>
    </row>
    <row r="79" spans="18:30" x14ac:dyDescent="0.25">
      <c r="R79"/>
      <c r="S79"/>
      <c r="V79"/>
      <c r="Y79"/>
      <c r="Z79"/>
      <c r="AC79"/>
    </row>
    <row r="80" spans="18:30" x14ac:dyDescent="0.25">
      <c r="R80"/>
      <c r="S80"/>
      <c r="V80"/>
      <c r="Y80"/>
      <c r="Z80"/>
      <c r="AC80"/>
    </row>
    <row r="81" spans="18:30" x14ac:dyDescent="0.25">
      <c r="R81"/>
      <c r="S81"/>
      <c r="V81"/>
      <c r="Y81"/>
      <c r="Z81"/>
      <c r="AC81"/>
      <c r="AD81"/>
    </row>
    <row r="82" spans="18:30" x14ac:dyDescent="0.25">
      <c r="R82"/>
      <c r="S82"/>
      <c r="V82"/>
      <c r="Y82"/>
      <c r="Z82"/>
      <c r="AC82"/>
      <c r="AD82"/>
    </row>
    <row r="83" spans="18:30" x14ac:dyDescent="0.25">
      <c r="R83"/>
      <c r="S83"/>
      <c r="V83"/>
      <c r="Y83"/>
      <c r="Z83"/>
      <c r="AC83"/>
      <c r="AD83"/>
    </row>
    <row r="84" spans="18:30" x14ac:dyDescent="0.25">
      <c r="R84"/>
      <c r="S84"/>
      <c r="V84"/>
      <c r="Y84"/>
      <c r="Z84"/>
      <c r="AC84"/>
      <c r="AD84"/>
    </row>
    <row r="85" spans="18:30" x14ac:dyDescent="0.25">
      <c r="R85"/>
      <c r="S85"/>
      <c r="V85"/>
      <c r="Y85"/>
      <c r="Z85"/>
      <c r="AC85"/>
      <c r="AD85"/>
    </row>
    <row r="86" spans="18:30" x14ac:dyDescent="0.25">
      <c r="R86"/>
      <c r="S86"/>
      <c r="V86"/>
      <c r="Y86"/>
      <c r="Z86"/>
      <c r="AC86"/>
      <c r="AD86"/>
    </row>
    <row r="87" spans="18:30" x14ac:dyDescent="0.25">
      <c r="R87"/>
      <c r="S87"/>
      <c r="V87"/>
      <c r="Y87"/>
      <c r="Z87"/>
      <c r="AC87"/>
      <c r="AD87"/>
    </row>
    <row r="88" spans="18:30" x14ac:dyDescent="0.25">
      <c r="R88"/>
      <c r="S88"/>
      <c r="V88"/>
      <c r="Y88"/>
      <c r="Z88"/>
      <c r="AC88"/>
      <c r="AD88"/>
    </row>
    <row r="89" spans="18:30" x14ac:dyDescent="0.25">
      <c r="R89"/>
      <c r="S89"/>
      <c r="V89"/>
      <c r="Y89"/>
      <c r="Z89"/>
      <c r="AC89"/>
      <c r="AD89"/>
    </row>
    <row r="90" spans="18:30" x14ac:dyDescent="0.25">
      <c r="R90"/>
      <c r="S90"/>
      <c r="V90"/>
      <c r="Y90"/>
      <c r="Z90"/>
      <c r="AC90"/>
      <c r="AD90"/>
    </row>
    <row r="91" spans="18:30" x14ac:dyDescent="0.25">
      <c r="R91"/>
      <c r="S91"/>
      <c r="V91"/>
      <c r="Y91"/>
      <c r="Z91"/>
      <c r="AC91"/>
      <c r="AD91"/>
    </row>
    <row r="92" spans="18:30" x14ac:dyDescent="0.25">
      <c r="R92"/>
      <c r="S92"/>
      <c r="V92"/>
      <c r="Y92"/>
      <c r="Z92"/>
      <c r="AC92"/>
      <c r="AD92"/>
    </row>
    <row r="93" spans="18:30" x14ac:dyDescent="0.25">
      <c r="R93"/>
      <c r="S93"/>
      <c r="V93"/>
      <c r="Y93"/>
      <c r="Z93"/>
      <c r="AC93"/>
      <c r="AD93"/>
    </row>
    <row r="94" spans="18:30" x14ac:dyDescent="0.25">
      <c r="R94"/>
      <c r="S94"/>
      <c r="V94"/>
      <c r="Y94"/>
      <c r="Z94"/>
      <c r="AC94"/>
      <c r="AD94"/>
    </row>
    <row r="95" spans="18:30" x14ac:dyDescent="0.25">
      <c r="R95"/>
      <c r="S95"/>
      <c r="V95"/>
      <c r="Y95"/>
      <c r="Z95"/>
      <c r="AC95"/>
      <c r="AD95"/>
    </row>
    <row r="96" spans="18:30" x14ac:dyDescent="0.25">
      <c r="R96"/>
      <c r="S96"/>
      <c r="V96"/>
      <c r="Y96"/>
      <c r="Z96"/>
      <c r="AC96"/>
      <c r="AD96"/>
    </row>
    <row r="97" spans="18:30" x14ac:dyDescent="0.25">
      <c r="R97"/>
      <c r="S97"/>
      <c r="V97"/>
      <c r="Y97"/>
      <c r="Z97"/>
      <c r="AC97"/>
      <c r="AD97"/>
    </row>
  </sheetData>
  <mergeCells count="3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S1:AA1"/>
    <mergeCell ref="U4:V4"/>
    <mergeCell ref="Y4:AB4"/>
    <mergeCell ref="X40:Y40"/>
    <mergeCell ref="AA40:AB40"/>
    <mergeCell ref="AA46:AB46"/>
    <mergeCell ref="Y47:Z47"/>
    <mergeCell ref="AA47:AB47"/>
    <mergeCell ref="T48:U48"/>
    <mergeCell ref="T41:U41"/>
    <mergeCell ref="Y43:AA43"/>
    <mergeCell ref="AA44:AB44"/>
    <mergeCell ref="Y45:Z45"/>
    <mergeCell ref="AA45:AB45"/>
    <mergeCell ref="Y44:Z44"/>
  </mergeCells>
  <pageMargins left="0.31496062992125984" right="0.11811023622047245" top="0.15748031496062992" bottom="0.35433070866141736" header="0.31496062992125984" footer="0.31496062992125984"/>
  <pageSetup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Q106"/>
  <sheetViews>
    <sheetView topLeftCell="A49" workbookViewId="0">
      <selection activeCell="F74" sqref="F7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7.42578125" bestFit="1" customWidth="1"/>
  </cols>
  <sheetData>
    <row r="2" spans="1:17" ht="16.5" thickBot="1" x14ac:dyDescent="0.3">
      <c r="K2" s="104"/>
      <c r="L2" s="351">
        <v>42165</v>
      </c>
      <c r="M2" s="215"/>
      <c r="N2" s="134" t="s">
        <v>200</v>
      </c>
      <c r="O2" s="88"/>
    </row>
    <row r="3" spans="1:17" ht="16.5" thickBot="1" x14ac:dyDescent="0.3">
      <c r="C3" s="484" t="s">
        <v>240</v>
      </c>
      <c r="D3" s="485"/>
      <c r="E3" s="486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54" t="s">
        <v>297</v>
      </c>
      <c r="D4" s="354"/>
      <c r="E4" s="354" t="s">
        <v>298</v>
      </c>
      <c r="F4" s="331" t="s">
        <v>299</v>
      </c>
      <c r="J4" s="43">
        <f>20234.5+6125.5</f>
        <v>26360</v>
      </c>
      <c r="K4" s="144">
        <v>22408</v>
      </c>
      <c r="L4" s="156">
        <v>26360.1</v>
      </c>
      <c r="M4" s="348"/>
      <c r="N4" s="113" t="s">
        <v>202</v>
      </c>
      <c r="O4" s="214">
        <v>20234.5</v>
      </c>
      <c r="P4" s="221">
        <v>42151</v>
      </c>
    </row>
    <row r="5" spans="1:17" ht="15.75" x14ac:dyDescent="0.25">
      <c r="A5" s="243">
        <v>42156</v>
      </c>
      <c r="B5" s="244">
        <v>22878</v>
      </c>
      <c r="C5" s="245">
        <v>34832.379999999997</v>
      </c>
      <c r="D5" s="104">
        <v>42165</v>
      </c>
      <c r="E5" s="245">
        <v>34832.379999999997</v>
      </c>
      <c r="F5" s="246">
        <f t="shared" ref="F5:F48" si="0">C5-E5</f>
        <v>0</v>
      </c>
      <c r="G5" s="105"/>
      <c r="H5" s="106"/>
      <c r="J5" s="43">
        <f>24499.5+6447.5</f>
        <v>30947</v>
      </c>
      <c r="K5" s="144">
        <v>22443</v>
      </c>
      <c r="L5" s="156">
        <v>30947.119999999999</v>
      </c>
      <c r="M5" s="207"/>
      <c r="N5" s="113" t="s">
        <v>202</v>
      </c>
      <c r="O5" s="207">
        <v>6125.5</v>
      </c>
      <c r="P5" s="221">
        <v>42151</v>
      </c>
    </row>
    <row r="6" spans="1:17" ht="15.75" x14ac:dyDescent="0.25">
      <c r="A6" s="143">
        <v>42157</v>
      </c>
      <c r="B6" s="144">
        <v>22987</v>
      </c>
      <c r="C6" s="156">
        <v>3996</v>
      </c>
      <c r="D6" s="104">
        <v>42165</v>
      </c>
      <c r="E6" s="156">
        <v>3996</v>
      </c>
      <c r="F6" s="154">
        <f t="shared" si="0"/>
        <v>0</v>
      </c>
      <c r="G6" s="105"/>
      <c r="H6" s="108"/>
      <c r="J6" s="43">
        <v>3715</v>
      </c>
      <c r="K6" s="144">
        <v>22444</v>
      </c>
      <c r="L6" s="156">
        <v>3714.8</v>
      </c>
      <c r="M6" s="207"/>
      <c r="N6" s="113" t="s">
        <v>202</v>
      </c>
      <c r="O6" s="207">
        <v>17878</v>
      </c>
      <c r="P6" s="221">
        <v>42152</v>
      </c>
    </row>
    <row r="7" spans="1:17" ht="15.75" x14ac:dyDescent="0.25">
      <c r="A7" s="143">
        <v>42157</v>
      </c>
      <c r="B7" s="144">
        <v>23028</v>
      </c>
      <c r="C7" s="156">
        <v>29685.65</v>
      </c>
      <c r="D7" s="104">
        <v>42165</v>
      </c>
      <c r="E7" s="156">
        <v>29685.65</v>
      </c>
      <c r="F7" s="155">
        <f t="shared" si="0"/>
        <v>0</v>
      </c>
      <c r="G7" s="105"/>
      <c r="H7" s="108"/>
      <c r="J7" s="43">
        <f>17878+2815+6225</f>
        <v>26918</v>
      </c>
      <c r="K7" s="144">
        <v>22539</v>
      </c>
      <c r="L7" s="156">
        <v>26917.93</v>
      </c>
      <c r="M7" s="130"/>
      <c r="N7" s="113" t="s">
        <v>202</v>
      </c>
      <c r="O7" s="207">
        <v>3715</v>
      </c>
      <c r="P7" s="221">
        <v>42152</v>
      </c>
    </row>
    <row r="8" spans="1:17" ht="15.75" x14ac:dyDescent="0.25">
      <c r="A8" s="143">
        <v>42158</v>
      </c>
      <c r="B8" s="144">
        <v>23129</v>
      </c>
      <c r="C8" s="156">
        <v>29697.32</v>
      </c>
      <c r="D8" s="104">
        <v>42165</v>
      </c>
      <c r="E8" s="156">
        <v>29697.32</v>
      </c>
      <c r="F8" s="155">
        <f t="shared" si="0"/>
        <v>0</v>
      </c>
      <c r="G8" s="105"/>
      <c r="H8" s="106"/>
      <c r="J8" s="43">
        <v>22200</v>
      </c>
      <c r="K8" s="144">
        <v>22588</v>
      </c>
      <c r="L8" s="156">
        <v>22200.37</v>
      </c>
      <c r="M8" s="130"/>
      <c r="N8" s="113" t="s">
        <v>202</v>
      </c>
      <c r="O8" s="214">
        <v>24499.5</v>
      </c>
      <c r="P8" s="221">
        <v>42152</v>
      </c>
    </row>
    <row r="9" spans="1:17" ht="15.75" x14ac:dyDescent="0.25">
      <c r="A9" s="243">
        <v>42158</v>
      </c>
      <c r="B9" s="244">
        <v>23142</v>
      </c>
      <c r="C9" s="245">
        <v>24630.14</v>
      </c>
      <c r="D9" s="104">
        <v>42165</v>
      </c>
      <c r="E9" s="245">
        <v>24630.14</v>
      </c>
      <c r="F9" s="155">
        <f t="shared" si="0"/>
        <v>0</v>
      </c>
      <c r="J9" s="43">
        <f>30000+329</f>
        <v>30329</v>
      </c>
      <c r="K9" s="292">
        <v>22603</v>
      </c>
      <c r="L9" s="157">
        <v>30328.78</v>
      </c>
      <c r="M9" s="207"/>
      <c r="N9" s="113" t="s">
        <v>202</v>
      </c>
      <c r="O9" s="207">
        <v>6447.5</v>
      </c>
      <c r="P9" s="221">
        <v>42152</v>
      </c>
    </row>
    <row r="10" spans="1:17" ht="15.75" x14ac:dyDescent="0.25">
      <c r="A10" s="143">
        <v>42158</v>
      </c>
      <c r="B10" s="144">
        <v>23143</v>
      </c>
      <c r="C10" s="156">
        <v>2864</v>
      </c>
      <c r="D10" s="104">
        <v>42165</v>
      </c>
      <c r="E10" s="156">
        <v>2864</v>
      </c>
      <c r="F10" s="155">
        <f t="shared" si="0"/>
        <v>0</v>
      </c>
      <c r="J10" s="43">
        <f>22464+6885.5</f>
        <v>29349.5</v>
      </c>
      <c r="K10" s="292">
        <v>22654</v>
      </c>
      <c r="L10" s="157">
        <v>29349.599999999999</v>
      </c>
      <c r="M10" s="334"/>
      <c r="N10" s="113" t="s">
        <v>202</v>
      </c>
      <c r="O10" s="207">
        <v>30000</v>
      </c>
      <c r="P10" s="221">
        <v>42153</v>
      </c>
    </row>
    <row r="11" spans="1:17" ht="15.75" x14ac:dyDescent="0.25">
      <c r="A11" s="143">
        <v>42159</v>
      </c>
      <c r="B11" s="144">
        <v>23196</v>
      </c>
      <c r="C11" s="156">
        <v>34811.4</v>
      </c>
      <c r="D11" s="104">
        <v>42165</v>
      </c>
      <c r="E11" s="156">
        <v>34811.4</v>
      </c>
      <c r="F11" s="155">
        <f t="shared" si="0"/>
        <v>0</v>
      </c>
      <c r="J11" s="43">
        <f>47071.5+6914.5</f>
        <v>53986</v>
      </c>
      <c r="K11" s="292">
        <v>22661</v>
      </c>
      <c r="L11" s="157">
        <v>53986.400000000001</v>
      </c>
      <c r="M11" s="321"/>
      <c r="N11" s="113" t="s">
        <v>461</v>
      </c>
      <c r="O11" s="207">
        <v>22200</v>
      </c>
      <c r="P11" s="221">
        <v>42154</v>
      </c>
      <c r="Q11" s="21">
        <v>42153</v>
      </c>
    </row>
    <row r="12" spans="1:17" ht="15.75" x14ac:dyDescent="0.25">
      <c r="A12" s="143">
        <v>42159</v>
      </c>
      <c r="B12" s="144">
        <v>23242</v>
      </c>
      <c r="C12" s="156">
        <v>27584.83</v>
      </c>
      <c r="D12" s="104">
        <v>42165</v>
      </c>
      <c r="E12" s="156">
        <v>27584.83</v>
      </c>
      <c r="F12" s="155">
        <f t="shared" si="0"/>
        <v>0</v>
      </c>
      <c r="J12" s="43">
        <f>55618.5+10592.5</f>
        <v>66211</v>
      </c>
      <c r="K12" s="292">
        <v>22772</v>
      </c>
      <c r="L12" s="157">
        <v>66211.100000000006</v>
      </c>
      <c r="M12" s="207"/>
      <c r="N12" s="113" t="s">
        <v>461</v>
      </c>
      <c r="O12" s="207">
        <v>2815</v>
      </c>
      <c r="P12" s="221">
        <v>42154</v>
      </c>
      <c r="Q12" s="21">
        <v>42153</v>
      </c>
    </row>
    <row r="13" spans="1:17" ht="15.75" x14ac:dyDescent="0.25">
      <c r="A13" s="143">
        <v>42160</v>
      </c>
      <c r="B13" s="144">
        <v>23341</v>
      </c>
      <c r="C13" s="156">
        <v>75748.92</v>
      </c>
      <c r="D13" s="104">
        <v>42165</v>
      </c>
      <c r="E13" s="156">
        <v>75748.92</v>
      </c>
      <c r="F13" s="155">
        <f t="shared" si="0"/>
        <v>0</v>
      </c>
      <c r="J13" s="43">
        <v>27190</v>
      </c>
      <c r="K13" s="306">
        <v>22846</v>
      </c>
      <c r="L13" s="88">
        <v>27190.15</v>
      </c>
      <c r="M13" s="207"/>
      <c r="N13" s="113" t="s">
        <v>461</v>
      </c>
      <c r="O13" s="207">
        <v>329</v>
      </c>
      <c r="P13" s="221">
        <v>42154</v>
      </c>
      <c r="Q13" s="21">
        <v>42153</v>
      </c>
    </row>
    <row r="14" spans="1:17" ht="15.75" x14ac:dyDescent="0.25">
      <c r="A14" s="143">
        <v>42161</v>
      </c>
      <c r="B14" s="144">
        <v>23431</v>
      </c>
      <c r="C14" s="156">
        <v>85960.94</v>
      </c>
      <c r="D14" s="104">
        <v>42165</v>
      </c>
      <c r="E14" s="156">
        <v>85960.94</v>
      </c>
      <c r="F14" s="155">
        <f t="shared" si="0"/>
        <v>0</v>
      </c>
      <c r="J14" s="43">
        <v>3079</v>
      </c>
      <c r="K14" s="307">
        <v>22847</v>
      </c>
      <c r="L14" s="207">
        <v>3078.8</v>
      </c>
      <c r="M14" s="207"/>
      <c r="N14" s="113" t="s">
        <v>461</v>
      </c>
      <c r="O14" s="207">
        <v>6225</v>
      </c>
      <c r="P14" s="221">
        <v>42154</v>
      </c>
      <c r="Q14" s="21">
        <v>42153</v>
      </c>
    </row>
    <row r="15" spans="1:17" ht="15.75" x14ac:dyDescent="0.25">
      <c r="A15" s="143">
        <v>42163</v>
      </c>
      <c r="B15" s="144">
        <v>23516</v>
      </c>
      <c r="C15" s="156">
        <v>5768.4</v>
      </c>
      <c r="D15" s="104">
        <v>42165</v>
      </c>
      <c r="E15" s="156">
        <v>5768.4</v>
      </c>
      <c r="F15" s="155">
        <f t="shared" si="0"/>
        <v>0</v>
      </c>
      <c r="J15" s="43">
        <f>19369.5+8132.5+7330.5</f>
        <v>34832.5</v>
      </c>
      <c r="K15" s="244">
        <v>22878</v>
      </c>
      <c r="L15" s="245">
        <v>34832.379999999997</v>
      </c>
      <c r="M15" s="207"/>
      <c r="N15" s="113" t="s">
        <v>461</v>
      </c>
      <c r="O15" s="207">
        <v>47071.5</v>
      </c>
      <c r="P15" s="221">
        <v>42154</v>
      </c>
    </row>
    <row r="16" spans="1:17" ht="15.75" x14ac:dyDescent="0.25">
      <c r="A16" s="143">
        <v>42163</v>
      </c>
      <c r="B16" s="144">
        <v>23599</v>
      </c>
      <c r="C16" s="156">
        <v>36408.5</v>
      </c>
      <c r="D16" s="328" t="s">
        <v>479</v>
      </c>
      <c r="E16" s="156">
        <f>19483.37+16925.13</f>
        <v>36408.5</v>
      </c>
      <c r="F16" s="155">
        <f t="shared" si="0"/>
        <v>0</v>
      </c>
      <c r="J16" s="43">
        <v>3996</v>
      </c>
      <c r="K16" s="144">
        <v>22987</v>
      </c>
      <c r="L16" s="156">
        <v>3996</v>
      </c>
      <c r="M16" s="207"/>
      <c r="N16" s="113" t="s">
        <v>461</v>
      </c>
      <c r="O16" s="207">
        <v>22464</v>
      </c>
      <c r="P16" s="221">
        <v>42154</v>
      </c>
    </row>
    <row r="17" spans="1:17" ht="15.75" x14ac:dyDescent="0.25">
      <c r="A17" s="143">
        <v>42164</v>
      </c>
      <c r="B17" s="144">
        <v>23703</v>
      </c>
      <c r="C17" s="156">
        <v>53043.14</v>
      </c>
      <c r="D17" s="104">
        <v>42177</v>
      </c>
      <c r="E17" s="156">
        <v>53043.14</v>
      </c>
      <c r="F17" s="155">
        <f t="shared" si="0"/>
        <v>0</v>
      </c>
      <c r="J17" s="43">
        <f>23165.5+6520</f>
        <v>29685.5</v>
      </c>
      <c r="K17" s="144">
        <v>23028</v>
      </c>
      <c r="L17" s="156">
        <v>29685.65</v>
      </c>
      <c r="M17" s="334"/>
      <c r="N17" s="113" t="s">
        <v>461</v>
      </c>
      <c r="O17" s="207">
        <v>6914.5</v>
      </c>
      <c r="P17" s="221">
        <v>42154</v>
      </c>
    </row>
    <row r="18" spans="1:17" ht="15.75" x14ac:dyDescent="0.25">
      <c r="A18" s="143">
        <v>42165</v>
      </c>
      <c r="B18" s="144">
        <v>23792</v>
      </c>
      <c r="C18" s="156">
        <v>34394.86</v>
      </c>
      <c r="D18" s="104">
        <v>42177</v>
      </c>
      <c r="E18" s="156">
        <v>34394.86</v>
      </c>
      <c r="F18" s="155">
        <f t="shared" si="0"/>
        <v>0</v>
      </c>
      <c r="J18" s="43">
        <f>23292+6405.5</f>
        <v>29697.5</v>
      </c>
      <c r="K18" s="144">
        <v>23129</v>
      </c>
      <c r="L18" s="156">
        <v>29697.32</v>
      </c>
      <c r="M18" s="207"/>
      <c r="N18" s="113" t="s">
        <v>202</v>
      </c>
      <c r="O18" s="207">
        <v>27190</v>
      </c>
      <c r="P18" s="221">
        <v>42156</v>
      </c>
      <c r="Q18" s="21">
        <v>42155</v>
      </c>
    </row>
    <row r="19" spans="1:17" ht="15.75" x14ac:dyDescent="0.25">
      <c r="A19" s="143">
        <v>42166</v>
      </c>
      <c r="B19" s="144">
        <v>23861</v>
      </c>
      <c r="C19" s="156">
        <v>70083.48</v>
      </c>
      <c r="D19" s="104">
        <v>42177</v>
      </c>
      <c r="E19" s="156">
        <v>70083.48</v>
      </c>
      <c r="F19" s="155">
        <f t="shared" si="0"/>
        <v>0</v>
      </c>
      <c r="J19" s="43">
        <f>8002.5+10286.5+6341</f>
        <v>24630</v>
      </c>
      <c r="K19" s="244">
        <v>23142</v>
      </c>
      <c r="L19" s="245">
        <v>24630.14</v>
      </c>
      <c r="M19" s="207"/>
      <c r="N19" s="113" t="s">
        <v>202</v>
      </c>
      <c r="O19" s="207">
        <v>6885.5</v>
      </c>
      <c r="P19" s="221">
        <v>42156</v>
      </c>
      <c r="Q19" s="21">
        <v>42155</v>
      </c>
    </row>
    <row r="20" spans="1:17" ht="15.75" x14ac:dyDescent="0.25">
      <c r="A20" s="143">
        <v>42167</v>
      </c>
      <c r="B20" s="144">
        <v>24023</v>
      </c>
      <c r="C20" s="156">
        <v>6708.74</v>
      </c>
      <c r="D20" s="104">
        <v>42177</v>
      </c>
      <c r="E20" s="156">
        <v>6708.74</v>
      </c>
      <c r="F20" s="155">
        <f t="shared" si="0"/>
        <v>0</v>
      </c>
      <c r="J20" s="43">
        <v>2864</v>
      </c>
      <c r="K20" s="144">
        <v>23143</v>
      </c>
      <c r="L20" s="156">
        <v>2864</v>
      </c>
      <c r="M20" s="207"/>
      <c r="N20" s="113" t="s">
        <v>202</v>
      </c>
      <c r="O20" s="207">
        <v>3079</v>
      </c>
      <c r="P20" s="221">
        <v>42156</v>
      </c>
      <c r="Q20" s="21">
        <v>42155</v>
      </c>
    </row>
    <row r="21" spans="1:17" ht="15.75" x14ac:dyDescent="0.25">
      <c r="A21" s="143">
        <v>42168</v>
      </c>
      <c r="B21" s="144">
        <v>24039</v>
      </c>
      <c r="C21" s="156">
        <v>50274</v>
      </c>
      <c r="D21" s="104">
        <v>42177</v>
      </c>
      <c r="E21" s="156">
        <v>50274</v>
      </c>
      <c r="F21" s="155">
        <f t="shared" si="0"/>
        <v>0</v>
      </c>
      <c r="J21" s="43">
        <f>25358.5+3445.5+6007.5</f>
        <v>34811.5</v>
      </c>
      <c r="K21" s="144">
        <v>23196</v>
      </c>
      <c r="L21" s="156">
        <v>34811.4</v>
      </c>
      <c r="M21" s="207"/>
      <c r="N21" s="113" t="s">
        <v>202</v>
      </c>
      <c r="O21" s="207">
        <v>55618.5</v>
      </c>
      <c r="P21" s="221">
        <v>42156</v>
      </c>
      <c r="Q21" s="21">
        <v>42155</v>
      </c>
    </row>
    <row r="22" spans="1:17" ht="15.75" x14ac:dyDescent="0.25">
      <c r="A22" s="143">
        <v>42168</v>
      </c>
      <c r="B22" s="144">
        <v>24122</v>
      </c>
      <c r="C22" s="156">
        <v>76630.7</v>
      </c>
      <c r="D22" s="104">
        <v>42177</v>
      </c>
      <c r="E22" s="156">
        <v>76630.7</v>
      </c>
      <c r="F22" s="155">
        <f t="shared" si="0"/>
        <v>0</v>
      </c>
      <c r="J22" s="43">
        <v>27585</v>
      </c>
      <c r="K22" s="144">
        <v>23242</v>
      </c>
      <c r="L22" s="156">
        <v>27584.83</v>
      </c>
      <c r="M22" s="207"/>
      <c r="N22" s="113" t="s">
        <v>202</v>
      </c>
      <c r="O22" s="207">
        <v>10592.5</v>
      </c>
      <c r="P22" s="221">
        <v>42156</v>
      </c>
      <c r="Q22" s="21">
        <v>42155</v>
      </c>
    </row>
    <row r="23" spans="1:17" ht="15.75" x14ac:dyDescent="0.25">
      <c r="A23" s="143">
        <v>42170</v>
      </c>
      <c r="B23" s="144">
        <v>24221</v>
      </c>
      <c r="C23" s="207">
        <v>60227.15</v>
      </c>
      <c r="D23" s="104">
        <v>42177</v>
      </c>
      <c r="E23" s="207">
        <v>60227.15</v>
      </c>
      <c r="F23" s="155">
        <f t="shared" si="0"/>
        <v>0</v>
      </c>
      <c r="J23" s="43">
        <f>11112+55733+8904</f>
        <v>75749</v>
      </c>
      <c r="K23" s="144">
        <v>23341</v>
      </c>
      <c r="L23" s="156">
        <v>75748.92</v>
      </c>
      <c r="M23" s="260"/>
      <c r="N23" s="113" t="s">
        <v>202</v>
      </c>
      <c r="O23" s="207">
        <v>19369.5</v>
      </c>
      <c r="P23" s="221">
        <v>42156</v>
      </c>
    </row>
    <row r="24" spans="1:17" ht="15.75" x14ac:dyDescent="0.25">
      <c r="A24" s="143">
        <v>42171</v>
      </c>
      <c r="B24" s="144">
        <v>24382</v>
      </c>
      <c r="C24" s="156">
        <v>47344.42</v>
      </c>
      <c r="D24" s="104">
        <v>42177</v>
      </c>
      <c r="E24" s="156">
        <v>47344.42</v>
      </c>
      <c r="F24" s="155">
        <f t="shared" si="0"/>
        <v>0</v>
      </c>
      <c r="J24" s="43">
        <f>10213+68864+6884</f>
        <v>85961</v>
      </c>
      <c r="K24" s="144">
        <v>23431</v>
      </c>
      <c r="L24" s="156">
        <v>85960.94</v>
      </c>
      <c r="M24" s="130"/>
      <c r="N24" s="113" t="s">
        <v>202</v>
      </c>
      <c r="O24" s="207">
        <v>8132.5</v>
      </c>
      <c r="P24" s="221">
        <v>42156</v>
      </c>
    </row>
    <row r="25" spans="1:17" ht="15.75" x14ac:dyDescent="0.25">
      <c r="A25" s="143">
        <v>42172</v>
      </c>
      <c r="B25" s="144">
        <v>24493</v>
      </c>
      <c r="C25" s="156">
        <v>36401.300000000003</v>
      </c>
      <c r="D25" s="104">
        <v>42177</v>
      </c>
      <c r="E25" s="156">
        <v>36401.300000000003</v>
      </c>
      <c r="F25" s="155">
        <f t="shared" si="0"/>
        <v>0</v>
      </c>
      <c r="J25" s="43">
        <v>5768.5</v>
      </c>
      <c r="K25" s="144">
        <v>23516</v>
      </c>
      <c r="L25" s="156">
        <v>5768.4</v>
      </c>
      <c r="M25" s="207"/>
      <c r="N25" s="113" t="s">
        <v>202</v>
      </c>
      <c r="O25" s="214">
        <v>7330.5</v>
      </c>
      <c r="P25" s="221">
        <v>42156</v>
      </c>
    </row>
    <row r="26" spans="1:17" ht="15.75" x14ac:dyDescent="0.25">
      <c r="A26" s="143">
        <v>42173</v>
      </c>
      <c r="B26" s="144">
        <v>24575</v>
      </c>
      <c r="C26" s="156">
        <v>29397.919999999998</v>
      </c>
      <c r="D26" s="104">
        <v>42177</v>
      </c>
      <c r="E26" s="156">
        <v>29397.919999999998</v>
      </c>
      <c r="F26" s="155">
        <f t="shared" si="0"/>
        <v>0</v>
      </c>
      <c r="J26" s="43">
        <f>7136+11043.5+1304</f>
        <v>19483.5</v>
      </c>
      <c r="K26" s="144">
        <v>23599</v>
      </c>
      <c r="L26" s="156">
        <v>19483.37</v>
      </c>
      <c r="M26" s="207" t="s">
        <v>361</v>
      </c>
      <c r="N26" s="113" t="s">
        <v>202</v>
      </c>
      <c r="O26" s="207">
        <v>23165.5</v>
      </c>
      <c r="P26" s="221">
        <v>42157</v>
      </c>
    </row>
    <row r="27" spans="1:17" ht="15.75" x14ac:dyDescent="0.25">
      <c r="A27" s="143">
        <v>42173</v>
      </c>
      <c r="B27" s="144">
        <v>24577</v>
      </c>
      <c r="C27" s="156">
        <v>24382.05</v>
      </c>
      <c r="D27" s="104">
        <v>42177</v>
      </c>
      <c r="E27" s="156">
        <v>24382.05</v>
      </c>
      <c r="F27" s="155">
        <f t="shared" si="0"/>
        <v>0</v>
      </c>
      <c r="K27" s="264"/>
      <c r="L27" s="207"/>
      <c r="M27" s="207"/>
      <c r="N27" s="113" t="s">
        <v>202</v>
      </c>
      <c r="O27" s="207">
        <v>3996</v>
      </c>
      <c r="P27" s="221">
        <v>42157</v>
      </c>
    </row>
    <row r="28" spans="1:17" ht="15.75" x14ac:dyDescent="0.25">
      <c r="A28" s="143">
        <v>42174</v>
      </c>
      <c r="B28" s="144">
        <v>24706</v>
      </c>
      <c r="C28" s="156">
        <v>30668.9</v>
      </c>
      <c r="D28" s="104">
        <v>42177</v>
      </c>
      <c r="E28" s="156">
        <v>30668.9</v>
      </c>
      <c r="F28" s="155">
        <f t="shared" si="0"/>
        <v>0</v>
      </c>
      <c r="K28" s="264"/>
      <c r="L28" s="130"/>
      <c r="M28" s="130"/>
      <c r="N28" s="113" t="s">
        <v>202</v>
      </c>
      <c r="O28" s="207">
        <v>6520</v>
      </c>
      <c r="P28" s="221">
        <v>42157</v>
      </c>
    </row>
    <row r="29" spans="1:17" ht="15.75" x14ac:dyDescent="0.25">
      <c r="A29" s="143">
        <v>42174</v>
      </c>
      <c r="B29" s="144">
        <v>24710</v>
      </c>
      <c r="C29" s="156">
        <v>23925</v>
      </c>
      <c r="D29" s="104">
        <v>42177</v>
      </c>
      <c r="E29" s="156">
        <v>23925</v>
      </c>
      <c r="F29" s="155">
        <f t="shared" si="0"/>
        <v>0</v>
      </c>
      <c r="K29" s="193"/>
      <c r="L29" s="207"/>
      <c r="M29" s="207"/>
      <c r="N29" s="113" t="s">
        <v>202</v>
      </c>
      <c r="O29" s="207">
        <v>23292</v>
      </c>
      <c r="P29" s="221">
        <v>42158</v>
      </c>
    </row>
    <row r="30" spans="1:17" ht="15.75" x14ac:dyDescent="0.25">
      <c r="A30" s="143">
        <v>42175</v>
      </c>
      <c r="B30" s="144">
        <v>24807</v>
      </c>
      <c r="C30" s="156">
        <v>34084</v>
      </c>
      <c r="D30" s="104">
        <v>42177</v>
      </c>
      <c r="E30" s="156">
        <v>34084</v>
      </c>
      <c r="F30" s="155">
        <f t="shared" si="0"/>
        <v>0</v>
      </c>
      <c r="K30" s="193"/>
      <c r="L30" s="207"/>
      <c r="M30" s="207"/>
      <c r="N30" s="113" t="s">
        <v>202</v>
      </c>
      <c r="O30" s="214">
        <v>8002.5</v>
      </c>
      <c r="P30" s="221">
        <v>42158</v>
      </c>
    </row>
    <row r="31" spans="1:17" ht="15.75" x14ac:dyDescent="0.25">
      <c r="A31" s="143">
        <v>42175</v>
      </c>
      <c r="B31" s="144">
        <v>24816</v>
      </c>
      <c r="C31" s="156">
        <v>29511.4</v>
      </c>
      <c r="D31" s="104">
        <v>42177</v>
      </c>
      <c r="E31" s="156">
        <v>29511.4</v>
      </c>
      <c r="F31" s="155">
        <f t="shared" si="0"/>
        <v>0</v>
      </c>
      <c r="K31" s="193"/>
      <c r="L31" s="207"/>
      <c r="M31" s="207"/>
      <c r="N31" s="113" t="s">
        <v>202</v>
      </c>
      <c r="O31" s="207">
        <v>6405.5</v>
      </c>
      <c r="P31" s="221">
        <v>42158</v>
      </c>
    </row>
    <row r="32" spans="1:17" ht="15.75" x14ac:dyDescent="0.25">
      <c r="A32" s="143">
        <v>42175</v>
      </c>
      <c r="B32" s="144">
        <v>24821</v>
      </c>
      <c r="C32" s="156">
        <v>24161.5</v>
      </c>
      <c r="D32" s="320" t="s">
        <v>507</v>
      </c>
      <c r="E32" s="184">
        <f>11248.31+12913.19</f>
        <v>24161.5</v>
      </c>
      <c r="F32" s="155">
        <f t="shared" si="0"/>
        <v>0</v>
      </c>
      <c r="K32" s="193"/>
      <c r="L32" s="207"/>
      <c r="M32" s="207"/>
      <c r="N32" s="113" t="s">
        <v>202</v>
      </c>
      <c r="O32" s="207">
        <v>10286.5</v>
      </c>
      <c r="P32" s="221">
        <v>42159</v>
      </c>
    </row>
    <row r="33" spans="1:17" ht="15.75" x14ac:dyDescent="0.25">
      <c r="A33" s="143">
        <v>42176</v>
      </c>
      <c r="B33" s="144">
        <v>24883</v>
      </c>
      <c r="C33" s="156">
        <v>53722.95</v>
      </c>
      <c r="D33" s="320">
        <v>42189</v>
      </c>
      <c r="E33" s="382">
        <v>53722.95</v>
      </c>
      <c r="F33" s="155">
        <f t="shared" si="0"/>
        <v>0</v>
      </c>
      <c r="K33" s="193"/>
      <c r="L33" s="207"/>
      <c r="M33" s="207"/>
      <c r="N33" s="113" t="s">
        <v>202</v>
      </c>
      <c r="O33" s="207">
        <v>25358.5</v>
      </c>
      <c r="P33" s="221">
        <v>42159</v>
      </c>
    </row>
    <row r="34" spans="1:17" ht="15.75" x14ac:dyDescent="0.25">
      <c r="A34" s="143">
        <v>42177</v>
      </c>
      <c r="B34" s="144" t="s">
        <v>482</v>
      </c>
      <c r="C34" s="156">
        <v>33848.199999999997</v>
      </c>
      <c r="D34" s="320">
        <v>42189</v>
      </c>
      <c r="E34" s="382">
        <v>33848.199999999997</v>
      </c>
      <c r="F34" s="155">
        <f t="shared" si="0"/>
        <v>0</v>
      </c>
      <c r="K34" s="206"/>
      <c r="L34" s="207"/>
      <c r="M34" s="207"/>
      <c r="N34" s="113" t="s">
        <v>202</v>
      </c>
      <c r="O34" s="207">
        <v>2864</v>
      </c>
      <c r="P34" s="221">
        <v>42159</v>
      </c>
    </row>
    <row r="35" spans="1:17" ht="15.75" x14ac:dyDescent="0.25">
      <c r="A35" s="143">
        <v>42178</v>
      </c>
      <c r="B35" s="144" t="s">
        <v>483</v>
      </c>
      <c r="C35" s="156">
        <v>35304.050000000003</v>
      </c>
      <c r="D35" s="320">
        <v>42189</v>
      </c>
      <c r="E35" s="382">
        <v>35304.050000000003</v>
      </c>
      <c r="F35" s="155">
        <f t="shared" si="0"/>
        <v>0</v>
      </c>
      <c r="K35" s="206"/>
      <c r="L35" s="207"/>
      <c r="M35" s="207"/>
      <c r="N35" s="113" t="s">
        <v>202</v>
      </c>
      <c r="O35" s="207">
        <v>6341</v>
      </c>
      <c r="P35" s="222">
        <v>42159</v>
      </c>
    </row>
    <row r="36" spans="1:17" ht="15.75" x14ac:dyDescent="0.25">
      <c r="A36" s="143">
        <v>42179</v>
      </c>
      <c r="B36" s="144" t="s">
        <v>484</v>
      </c>
      <c r="C36" s="156">
        <v>34365.360000000001</v>
      </c>
      <c r="D36" s="320">
        <v>42189</v>
      </c>
      <c r="E36" s="382">
        <v>34365.360000000001</v>
      </c>
      <c r="F36" s="155">
        <f t="shared" si="0"/>
        <v>0</v>
      </c>
      <c r="K36" s="193"/>
      <c r="L36" s="207"/>
      <c r="M36" s="207"/>
      <c r="N36" s="113" t="s">
        <v>202</v>
      </c>
      <c r="O36" s="207">
        <v>27585</v>
      </c>
      <c r="P36" s="221">
        <v>42160</v>
      </c>
    </row>
    <row r="37" spans="1:17" ht="15.75" x14ac:dyDescent="0.25">
      <c r="A37" s="143">
        <v>42180</v>
      </c>
      <c r="B37" s="292" t="s">
        <v>485</v>
      </c>
      <c r="C37" s="157">
        <v>106449.26</v>
      </c>
      <c r="D37" s="320">
        <v>42189</v>
      </c>
      <c r="E37" s="383">
        <v>106449.26</v>
      </c>
      <c r="F37" s="155">
        <f t="shared" si="0"/>
        <v>0</v>
      </c>
      <c r="K37" s="119"/>
      <c r="L37" s="121"/>
      <c r="M37" s="121"/>
      <c r="N37" s="113" t="s">
        <v>202</v>
      </c>
      <c r="O37" s="121">
        <v>3445.5</v>
      </c>
      <c r="P37" s="222">
        <v>42160</v>
      </c>
    </row>
    <row r="38" spans="1:17" ht="15.75" x14ac:dyDescent="0.25">
      <c r="A38" s="143">
        <v>42180</v>
      </c>
      <c r="B38" s="292" t="s">
        <v>486</v>
      </c>
      <c r="C38" s="157">
        <v>6843.2</v>
      </c>
      <c r="D38" s="320">
        <v>42189</v>
      </c>
      <c r="E38" s="383">
        <v>6843.2</v>
      </c>
      <c r="F38" s="155">
        <f t="shared" si="0"/>
        <v>0</v>
      </c>
      <c r="K38" s="119"/>
      <c r="L38" s="121"/>
      <c r="M38" s="121"/>
      <c r="N38" s="113" t="s">
        <v>202</v>
      </c>
      <c r="O38" s="121">
        <v>11112</v>
      </c>
      <c r="P38" s="222">
        <v>42160</v>
      </c>
    </row>
    <row r="39" spans="1:17" ht="15.75" x14ac:dyDescent="0.25">
      <c r="A39" s="143">
        <v>42181</v>
      </c>
      <c r="B39" s="292" t="s">
        <v>490</v>
      </c>
      <c r="C39" s="157">
        <v>12844.8</v>
      </c>
      <c r="D39" s="320">
        <v>42189</v>
      </c>
      <c r="E39" s="383">
        <v>12844.8</v>
      </c>
      <c r="F39" s="155">
        <f t="shared" si="0"/>
        <v>0</v>
      </c>
      <c r="K39" s="119"/>
      <c r="L39" s="121"/>
      <c r="M39" s="121"/>
      <c r="N39" s="113" t="s">
        <v>202</v>
      </c>
      <c r="O39" s="121">
        <v>6007.5</v>
      </c>
      <c r="P39" s="222">
        <v>42160</v>
      </c>
    </row>
    <row r="40" spans="1:17" ht="15.75" customHeight="1" x14ac:dyDescent="0.25">
      <c r="A40" s="143">
        <v>42182</v>
      </c>
      <c r="B40" s="292" t="s">
        <v>487</v>
      </c>
      <c r="C40" s="157">
        <v>25121.25</v>
      </c>
      <c r="D40" s="320">
        <v>42189</v>
      </c>
      <c r="E40" s="383">
        <v>25121.25</v>
      </c>
      <c r="F40" s="241">
        <f t="shared" si="0"/>
        <v>0</v>
      </c>
      <c r="K40" s="119"/>
      <c r="L40" s="121"/>
      <c r="M40" s="121"/>
      <c r="N40" s="113" t="s">
        <v>202</v>
      </c>
      <c r="O40" s="121">
        <v>55733</v>
      </c>
      <c r="P40" s="222">
        <v>42161</v>
      </c>
    </row>
    <row r="41" spans="1:17" ht="15.75" customHeight="1" x14ac:dyDescent="0.25">
      <c r="A41" s="305">
        <v>42182</v>
      </c>
      <c r="B41" s="306" t="s">
        <v>488</v>
      </c>
      <c r="C41" s="88">
        <v>50517.5</v>
      </c>
      <c r="D41" s="320">
        <v>42189</v>
      </c>
      <c r="E41" s="318">
        <v>50517.5</v>
      </c>
      <c r="F41" s="241">
        <f t="shared" si="0"/>
        <v>0</v>
      </c>
      <c r="K41" s="119"/>
      <c r="L41" s="121"/>
      <c r="M41" s="121"/>
      <c r="N41" s="113" t="s">
        <v>202</v>
      </c>
      <c r="O41" s="121">
        <v>10213</v>
      </c>
      <c r="P41" s="222">
        <v>42161</v>
      </c>
    </row>
    <row r="42" spans="1:17" ht="15.75" x14ac:dyDescent="0.25">
      <c r="A42" s="143">
        <v>42182</v>
      </c>
      <c r="B42" s="307" t="s">
        <v>489</v>
      </c>
      <c r="C42" s="207">
        <v>4929.3999999999996</v>
      </c>
      <c r="D42" s="320">
        <v>42189</v>
      </c>
      <c r="E42" s="384">
        <v>4929.3999999999996</v>
      </c>
      <c r="F42" s="241">
        <f t="shared" si="0"/>
        <v>0</v>
      </c>
      <c r="K42" s="119"/>
      <c r="L42" s="121"/>
      <c r="M42" s="121"/>
      <c r="N42" s="113" t="s">
        <v>202</v>
      </c>
      <c r="O42" s="121">
        <v>8904</v>
      </c>
      <c r="P42" s="222">
        <v>42161</v>
      </c>
    </row>
    <row r="43" spans="1:17" ht="15.75" x14ac:dyDescent="0.25">
      <c r="A43" s="143">
        <v>42182</v>
      </c>
      <c r="B43" s="307" t="s">
        <v>491</v>
      </c>
      <c r="C43" s="207">
        <v>92028.44</v>
      </c>
      <c r="D43" s="320">
        <v>42189</v>
      </c>
      <c r="E43" s="384">
        <v>92028.44</v>
      </c>
      <c r="F43" s="241">
        <f t="shared" si="0"/>
        <v>0</v>
      </c>
      <c r="K43" s="119"/>
      <c r="L43" s="121"/>
      <c r="M43" s="121"/>
      <c r="N43" s="113" t="s">
        <v>202</v>
      </c>
      <c r="O43" s="121">
        <v>68864</v>
      </c>
      <c r="P43" s="222">
        <v>42163</v>
      </c>
    </row>
    <row r="44" spans="1:17" ht="15.75" x14ac:dyDescent="0.25">
      <c r="A44" s="143">
        <v>42183</v>
      </c>
      <c r="B44" s="282" t="s">
        <v>492</v>
      </c>
      <c r="C44" s="207">
        <v>2229.2800000000002</v>
      </c>
      <c r="D44" s="320">
        <v>42189</v>
      </c>
      <c r="E44" s="384">
        <v>2229.2800000000002</v>
      </c>
      <c r="F44" s="241">
        <f t="shared" si="0"/>
        <v>0</v>
      </c>
      <c r="K44" s="119"/>
      <c r="L44" s="121"/>
      <c r="M44" s="121"/>
      <c r="N44" s="113" t="s">
        <v>202</v>
      </c>
      <c r="O44" s="121">
        <v>7136</v>
      </c>
      <c r="P44" s="222">
        <v>42163</v>
      </c>
      <c r="Q44" s="21">
        <v>42162</v>
      </c>
    </row>
    <row r="45" spans="1:17" ht="16.5" customHeight="1" x14ac:dyDescent="0.25">
      <c r="A45" s="143">
        <v>42183</v>
      </c>
      <c r="B45" s="293" t="s">
        <v>493</v>
      </c>
      <c r="C45" s="130">
        <v>3271.8</v>
      </c>
      <c r="D45" s="320">
        <v>42189</v>
      </c>
      <c r="E45" s="385">
        <v>3271.8</v>
      </c>
      <c r="F45" s="241">
        <f t="shared" si="0"/>
        <v>0</v>
      </c>
      <c r="K45" s="119"/>
      <c r="L45" s="121"/>
      <c r="M45" s="121"/>
      <c r="N45" s="113" t="s">
        <v>202</v>
      </c>
      <c r="O45" s="121">
        <v>6884</v>
      </c>
      <c r="P45" s="222">
        <v>42163</v>
      </c>
    </row>
    <row r="46" spans="1:17" ht="15.75" x14ac:dyDescent="0.25">
      <c r="A46" s="143">
        <v>42184</v>
      </c>
      <c r="B46" s="293" t="s">
        <v>494</v>
      </c>
      <c r="C46" s="130">
        <v>60605.25</v>
      </c>
      <c r="D46" s="320">
        <v>42189</v>
      </c>
      <c r="E46" s="385">
        <v>60605.25</v>
      </c>
      <c r="F46" s="241">
        <f t="shared" si="0"/>
        <v>0</v>
      </c>
      <c r="K46" s="196"/>
      <c r="L46" s="121">
        <v>0</v>
      </c>
      <c r="M46" s="121"/>
      <c r="N46" s="113" t="s">
        <v>202</v>
      </c>
      <c r="O46" s="121">
        <v>5768.5</v>
      </c>
      <c r="P46" s="222">
        <v>42163</v>
      </c>
    </row>
    <row r="47" spans="1:17" ht="17.25" x14ac:dyDescent="0.4">
      <c r="A47" s="295">
        <v>42185</v>
      </c>
      <c r="B47" s="297" t="s">
        <v>495</v>
      </c>
      <c r="C47" s="230">
        <v>36628.75</v>
      </c>
      <c r="D47" s="320">
        <v>42189</v>
      </c>
      <c r="E47" s="386">
        <v>36628.75</v>
      </c>
      <c r="F47" s="241">
        <f t="shared" si="0"/>
        <v>0</v>
      </c>
      <c r="K47" s="119"/>
      <c r="L47" s="121"/>
      <c r="M47" s="338"/>
      <c r="N47" s="339" t="s">
        <v>202</v>
      </c>
      <c r="O47" s="121">
        <v>11043.5</v>
      </c>
      <c r="P47" s="222">
        <v>42163</v>
      </c>
    </row>
    <row r="48" spans="1:17" ht="15.75" thickBot="1" x14ac:dyDescent="0.3">
      <c r="A48" s="143"/>
      <c r="B48" s="293"/>
      <c r="C48" s="207"/>
      <c r="D48" s="300"/>
      <c r="E48" s="121"/>
      <c r="F48" s="332">
        <f t="shared" si="0"/>
        <v>0</v>
      </c>
      <c r="K48" s="336"/>
      <c r="L48" s="337"/>
      <c r="M48" s="337"/>
      <c r="N48" s="337" t="s">
        <v>202</v>
      </c>
      <c r="O48" s="337">
        <v>1304</v>
      </c>
      <c r="P48" s="222">
        <v>42163</v>
      </c>
    </row>
    <row r="49" spans="1:17" ht="18.75" x14ac:dyDescent="0.3">
      <c r="A49" s="285"/>
      <c r="B49" s="290"/>
      <c r="C49" s="150"/>
      <c r="D49" s="300"/>
      <c r="E49" s="121"/>
      <c r="F49" s="332"/>
      <c r="L49" s="131">
        <f>SUM(L4:L47)</f>
        <v>695348.50000000023</v>
      </c>
      <c r="M49" s="131"/>
      <c r="N49" s="131"/>
      <c r="O49" s="131">
        <f>SUM(O4:O48)</f>
        <v>695348.5</v>
      </c>
    </row>
    <row r="50" spans="1:17" x14ac:dyDescent="0.25">
      <c r="A50" s="286"/>
      <c r="B50" s="291"/>
      <c r="C50" s="150"/>
      <c r="D50" s="159"/>
      <c r="E50" s="150"/>
      <c r="F50" s="332"/>
    </row>
    <row r="51" spans="1:17" x14ac:dyDescent="0.25">
      <c r="A51" s="286"/>
      <c r="B51" s="291"/>
      <c r="C51" s="150"/>
      <c r="D51" s="159"/>
      <c r="E51" s="150"/>
      <c r="F51" s="332"/>
    </row>
    <row r="52" spans="1:17" x14ac:dyDescent="0.25">
      <c r="A52" s="285"/>
      <c r="B52" s="290"/>
      <c r="C52" s="150"/>
      <c r="D52" s="300"/>
      <c r="E52" s="121"/>
      <c r="F52" s="332"/>
    </row>
    <row r="53" spans="1:17" ht="15.75" x14ac:dyDescent="0.25">
      <c r="A53" s="285"/>
      <c r="B53" s="290"/>
      <c r="C53" s="150"/>
      <c r="D53" s="150"/>
      <c r="E53" s="121"/>
      <c r="F53" s="332"/>
      <c r="H53" s="28"/>
      <c r="K53" s="104"/>
      <c r="L53" s="333">
        <v>42177</v>
      </c>
      <c r="M53" s="215"/>
      <c r="N53" s="134" t="s">
        <v>200</v>
      </c>
      <c r="O53" s="88"/>
    </row>
    <row r="54" spans="1:17" x14ac:dyDescent="0.25">
      <c r="A54" s="285"/>
      <c r="B54" s="290"/>
      <c r="C54" s="150"/>
      <c r="D54" s="150"/>
      <c r="E54" s="121"/>
      <c r="F54" s="332"/>
      <c r="H54" s="28"/>
      <c r="K54" s="104"/>
      <c r="L54" s="103"/>
      <c r="M54" s="103"/>
      <c r="N54" s="103"/>
      <c r="O54" s="213"/>
    </row>
    <row r="55" spans="1:17" ht="15.75" x14ac:dyDescent="0.25">
      <c r="A55" s="286"/>
      <c r="B55" s="291"/>
      <c r="C55" s="150"/>
      <c r="D55" s="119"/>
      <c r="E55" s="150"/>
      <c r="F55" s="332"/>
      <c r="H55" s="28"/>
      <c r="J55" s="43">
        <v>16925</v>
      </c>
      <c r="K55" s="144">
        <v>23599</v>
      </c>
      <c r="L55" s="156">
        <v>16925.13</v>
      </c>
      <c r="M55" s="348"/>
      <c r="N55" s="113" t="s">
        <v>202</v>
      </c>
      <c r="O55" s="214">
        <v>16925</v>
      </c>
      <c r="P55" s="221">
        <v>42164</v>
      </c>
      <c r="Q55" s="21">
        <v>42163</v>
      </c>
    </row>
    <row r="56" spans="1:17" ht="15.75" x14ac:dyDescent="0.25">
      <c r="A56" s="286"/>
      <c r="B56" s="291"/>
      <c r="C56" s="150"/>
      <c r="D56" s="119"/>
      <c r="E56" s="150"/>
      <c r="F56" s="332"/>
      <c r="H56" s="28"/>
      <c r="J56" s="43">
        <f>15834+14236+12371+10602</f>
        <v>53043</v>
      </c>
      <c r="K56" s="144">
        <v>23703</v>
      </c>
      <c r="L56" s="156">
        <v>53043.14</v>
      </c>
      <c r="M56" s="207"/>
      <c r="N56" s="113" t="s">
        <v>202</v>
      </c>
      <c r="O56" s="207">
        <v>15834</v>
      </c>
      <c r="P56" s="221">
        <v>42164</v>
      </c>
    </row>
    <row r="57" spans="1:17" ht="15.75" x14ac:dyDescent="0.25">
      <c r="A57" s="286"/>
      <c r="B57" s="291"/>
      <c r="C57" s="150"/>
      <c r="D57" s="119"/>
      <c r="E57" s="150"/>
      <c r="F57" s="332"/>
      <c r="H57" s="28"/>
      <c r="J57" s="43">
        <f>25137+9258</f>
        <v>34395</v>
      </c>
      <c r="K57" s="144">
        <v>23792</v>
      </c>
      <c r="L57" s="156">
        <v>34394.86</v>
      </c>
      <c r="M57" s="207"/>
      <c r="N57" s="113" t="s">
        <v>202</v>
      </c>
      <c r="O57" s="207">
        <v>14236</v>
      </c>
      <c r="P57" s="221">
        <v>42164</v>
      </c>
    </row>
    <row r="58" spans="1:17" ht="15.75" x14ac:dyDescent="0.25">
      <c r="A58" s="286"/>
      <c r="B58" s="291"/>
      <c r="C58" s="150"/>
      <c r="D58" s="119"/>
      <c r="E58" s="150"/>
      <c r="F58" s="332"/>
      <c r="H58" s="28"/>
      <c r="J58" s="43">
        <f>32885+6957+22438+7803.5</f>
        <v>70083.5</v>
      </c>
      <c r="K58" s="144">
        <v>23861</v>
      </c>
      <c r="L58" s="156">
        <v>70083.48</v>
      </c>
      <c r="M58" s="130"/>
      <c r="N58" s="113" t="s">
        <v>202</v>
      </c>
      <c r="O58" s="207">
        <v>25137</v>
      </c>
      <c r="P58" s="221">
        <v>42165</v>
      </c>
    </row>
    <row r="59" spans="1:17" ht="15.75" x14ac:dyDescent="0.25">
      <c r="A59" s="286"/>
      <c r="B59" s="289"/>
      <c r="C59" s="150"/>
      <c r="D59" s="119"/>
      <c r="E59" s="150"/>
      <c r="F59" s="332"/>
      <c r="H59" s="28"/>
      <c r="J59" s="43">
        <v>6709</v>
      </c>
      <c r="K59" s="144">
        <v>24023</v>
      </c>
      <c r="L59" s="156">
        <v>6708.74</v>
      </c>
      <c r="M59" s="130"/>
      <c r="N59" s="113" t="s">
        <v>202</v>
      </c>
      <c r="O59" s="214">
        <v>12371</v>
      </c>
      <c r="P59" s="221">
        <v>42165</v>
      </c>
    </row>
    <row r="60" spans="1:17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J60" s="43">
        <f>25908.5+18088+6277.5</f>
        <v>50274</v>
      </c>
      <c r="K60" s="144">
        <v>24039</v>
      </c>
      <c r="L60" s="156">
        <v>50274</v>
      </c>
      <c r="M60" s="207"/>
      <c r="N60" s="113" t="s">
        <v>202</v>
      </c>
      <c r="O60" s="207">
        <v>10602</v>
      </c>
      <c r="P60" s="221">
        <v>42165</v>
      </c>
    </row>
    <row r="61" spans="1:17" ht="16.5" thickTop="1" x14ac:dyDescent="0.25">
      <c r="C61" s="58">
        <f>SUM(C5:C60)</f>
        <v>1581936.5300000003</v>
      </c>
      <c r="D61" s="58"/>
      <c r="E61" s="58">
        <f>SUM(E5:E60)</f>
        <v>1581936.5300000003</v>
      </c>
      <c r="F61" s="242">
        <f>SUM(F5:F60)</f>
        <v>0</v>
      </c>
      <c r="H61" s="28"/>
      <c r="J61" s="43">
        <f>63875.5+5277.5+3622.5+3855.5</f>
        <v>76631</v>
      </c>
      <c r="K61" s="144">
        <v>24122</v>
      </c>
      <c r="L61" s="156">
        <v>76630.7</v>
      </c>
      <c r="M61" s="334"/>
      <c r="N61" s="113" t="s">
        <v>202</v>
      </c>
      <c r="O61" s="207">
        <v>32885</v>
      </c>
      <c r="P61" s="221">
        <v>42166</v>
      </c>
    </row>
    <row r="62" spans="1:17" ht="15.75" x14ac:dyDescent="0.25">
      <c r="A62" s="355"/>
      <c r="B62"/>
      <c r="D62"/>
      <c r="E62" s="43"/>
      <c r="H62" s="28"/>
      <c r="J62" s="43">
        <f>27430.5+22800+8569.5+1427</f>
        <v>60227</v>
      </c>
      <c r="K62" s="144">
        <v>24221</v>
      </c>
      <c r="L62" s="207">
        <v>60227.15</v>
      </c>
      <c r="M62" s="321"/>
      <c r="N62" s="113" t="s">
        <v>202</v>
      </c>
      <c r="O62" s="207">
        <v>9258</v>
      </c>
      <c r="P62" s="221">
        <v>42166</v>
      </c>
    </row>
    <row r="63" spans="1:17" ht="15.75" x14ac:dyDescent="0.25">
      <c r="A63" s="355"/>
      <c r="B63"/>
      <c r="D63"/>
      <c r="E63" s="43"/>
      <c r="H63" s="28"/>
      <c r="J63" s="43">
        <f>27560+6673+5507.5+7604</f>
        <v>47344.5</v>
      </c>
      <c r="K63" s="144">
        <v>24382</v>
      </c>
      <c r="L63" s="156">
        <v>47344.42</v>
      </c>
      <c r="M63" s="207"/>
      <c r="N63" s="113" t="s">
        <v>202</v>
      </c>
      <c r="O63" s="207">
        <v>6957</v>
      </c>
      <c r="P63" s="221">
        <v>42166</v>
      </c>
    </row>
    <row r="64" spans="1:17" ht="15.75" x14ac:dyDescent="0.25">
      <c r="A64" s="143"/>
      <c r="B64" s="393"/>
      <c r="C64" s="393"/>
      <c r="D64" s="394"/>
      <c r="E64" s="156"/>
      <c r="H64" s="28"/>
      <c r="J64" s="43">
        <f>31188.5+5213</f>
        <v>36401.5</v>
      </c>
      <c r="K64" s="144">
        <v>24493</v>
      </c>
      <c r="L64" s="156">
        <v>36401.300000000003</v>
      </c>
      <c r="M64" s="207"/>
      <c r="N64" s="113" t="s">
        <v>202</v>
      </c>
      <c r="O64" s="207">
        <v>25908.5</v>
      </c>
      <c r="P64" s="221">
        <v>42167</v>
      </c>
    </row>
    <row r="65" spans="1:17" ht="15.75" x14ac:dyDescent="0.25">
      <c r="A65" s="143"/>
      <c r="B65" s="393"/>
      <c r="C65" s="393"/>
      <c r="D65" s="395"/>
      <c r="E65" s="156"/>
      <c r="H65" s="28"/>
      <c r="J65" s="43">
        <f>22103+6132+1163</f>
        <v>29398</v>
      </c>
      <c r="K65" s="144">
        <v>24575</v>
      </c>
      <c r="L65" s="156">
        <v>29397.919999999998</v>
      </c>
      <c r="M65" s="207"/>
      <c r="N65" s="113" t="s">
        <v>202</v>
      </c>
      <c r="O65" s="207">
        <v>22438</v>
      </c>
      <c r="P65" s="221">
        <v>42167</v>
      </c>
    </row>
    <row r="66" spans="1:17" ht="15.75" x14ac:dyDescent="0.25">
      <c r="A66" s="143"/>
      <c r="B66" s="393"/>
      <c r="C66" s="393"/>
      <c r="D66" s="395"/>
      <c r="E66" s="156"/>
      <c r="H66" s="28"/>
      <c r="J66" s="43">
        <f>24382</f>
        <v>24382</v>
      </c>
      <c r="K66" s="144">
        <v>24577</v>
      </c>
      <c r="L66" s="156">
        <v>24382.05</v>
      </c>
      <c r="M66" s="207"/>
      <c r="N66" s="113" t="s">
        <v>202</v>
      </c>
      <c r="O66" s="207">
        <v>7803.5</v>
      </c>
      <c r="P66" s="221">
        <v>42167</v>
      </c>
    </row>
    <row r="67" spans="1:17" ht="15.75" x14ac:dyDescent="0.25">
      <c r="A67" s="143"/>
      <c r="B67" s="393"/>
      <c r="C67" s="393"/>
      <c r="D67" s="395"/>
      <c r="E67" s="156"/>
      <c r="H67" s="28"/>
      <c r="J67" s="43">
        <v>30669</v>
      </c>
      <c r="K67" s="144">
        <v>24706</v>
      </c>
      <c r="L67" s="156">
        <v>30668.9</v>
      </c>
      <c r="M67" s="207"/>
      <c r="N67" s="113" t="s">
        <v>202</v>
      </c>
      <c r="O67" s="207">
        <v>63875.5</v>
      </c>
      <c r="P67" s="221">
        <v>42168</v>
      </c>
    </row>
    <row r="68" spans="1:17" ht="15.75" x14ac:dyDescent="0.25">
      <c r="A68" s="143"/>
      <c r="B68" s="393"/>
      <c r="C68" s="393"/>
      <c r="D68" s="395"/>
      <c r="E68" s="156"/>
      <c r="H68" s="28"/>
      <c r="J68" s="43">
        <f>22577+1348</f>
        <v>23925</v>
      </c>
      <c r="K68" s="144">
        <v>24710</v>
      </c>
      <c r="L68" s="156">
        <v>23925</v>
      </c>
      <c r="M68" s="334"/>
      <c r="N68" s="113" t="s">
        <v>202</v>
      </c>
      <c r="O68" s="207">
        <v>5277.5</v>
      </c>
      <c r="P68" s="221">
        <v>42168</v>
      </c>
    </row>
    <row r="69" spans="1:17" ht="15.75" x14ac:dyDescent="0.25">
      <c r="A69" s="143"/>
      <c r="B69" s="393"/>
      <c r="C69" s="393"/>
      <c r="D69" s="395"/>
      <c r="E69" s="156"/>
      <c r="H69" s="28"/>
      <c r="J69" s="43">
        <f>27456.5+6627.5</f>
        <v>34084</v>
      </c>
      <c r="K69" s="144">
        <v>24807</v>
      </c>
      <c r="L69" s="156">
        <v>34084</v>
      </c>
      <c r="M69" s="207"/>
      <c r="N69" s="113" t="s">
        <v>202</v>
      </c>
      <c r="O69" s="207">
        <v>18088</v>
      </c>
      <c r="P69" s="221">
        <v>42168</v>
      </c>
    </row>
    <row r="70" spans="1:17" ht="15.75" x14ac:dyDescent="0.25">
      <c r="A70" s="143"/>
      <c r="B70" s="393"/>
      <c r="C70" s="393"/>
      <c r="D70" s="394"/>
      <c r="E70" s="156"/>
      <c r="H70" s="28"/>
      <c r="J70" s="43">
        <v>29511.5</v>
      </c>
      <c r="K70" s="144">
        <v>24816</v>
      </c>
      <c r="L70" s="156">
        <v>29511.4</v>
      </c>
      <c r="M70" s="207"/>
      <c r="N70" s="113" t="s">
        <v>202</v>
      </c>
      <c r="O70" s="207">
        <v>3622.5</v>
      </c>
      <c r="P70" s="221">
        <v>42170</v>
      </c>
      <c r="Q70" s="21">
        <v>42168</v>
      </c>
    </row>
    <row r="71" spans="1:17" ht="15.75" x14ac:dyDescent="0.25">
      <c r="A71" s="143"/>
      <c r="B71" s="393"/>
      <c r="C71" s="393"/>
      <c r="D71" s="396"/>
      <c r="E71" s="156"/>
      <c r="H71" s="28"/>
      <c r="J71" s="43">
        <f>5456.5+5791</f>
        <v>11247.5</v>
      </c>
      <c r="K71" s="144">
        <v>24821</v>
      </c>
      <c r="L71" s="156">
        <v>11248.31</v>
      </c>
      <c r="M71" s="207" t="s">
        <v>242</v>
      </c>
      <c r="N71" s="113" t="s">
        <v>202</v>
      </c>
      <c r="O71" s="207">
        <v>6709</v>
      </c>
      <c r="P71" s="221">
        <v>42168</v>
      </c>
    </row>
    <row r="72" spans="1:17" ht="16.5" thickBot="1" x14ac:dyDescent="0.3">
      <c r="A72" s="143"/>
      <c r="B72" s="393"/>
      <c r="C72" s="393"/>
      <c r="D72" s="394"/>
      <c r="E72" s="156"/>
      <c r="H72" s="28"/>
      <c r="J72" s="275">
        <v>0</v>
      </c>
      <c r="K72" s="144"/>
      <c r="L72" s="156"/>
      <c r="M72" s="207"/>
      <c r="N72" s="113" t="s">
        <v>202</v>
      </c>
      <c r="O72" s="207">
        <v>6277.5</v>
      </c>
      <c r="P72" s="221">
        <v>42170</v>
      </c>
      <c r="Q72" s="21">
        <v>42168</v>
      </c>
    </row>
    <row r="73" spans="1:17" ht="16.5" thickTop="1" x14ac:dyDescent="0.25">
      <c r="A73" s="143"/>
      <c r="B73" s="393"/>
      <c r="C73" s="393"/>
      <c r="D73" s="394"/>
      <c r="E73" s="156"/>
      <c r="H73" s="28"/>
      <c r="J73" s="43">
        <f>SUM(J55:J72)</f>
        <v>635250.5</v>
      </c>
      <c r="K73" s="144"/>
      <c r="L73" s="156"/>
      <c r="M73" s="207"/>
      <c r="N73" s="113" t="s">
        <v>202</v>
      </c>
      <c r="O73" s="207">
        <v>3855.5</v>
      </c>
      <c r="P73" s="221">
        <v>42170</v>
      </c>
      <c r="Q73" s="21">
        <v>42169</v>
      </c>
    </row>
    <row r="74" spans="1:17" ht="15.75" x14ac:dyDescent="0.25">
      <c r="A74" s="143"/>
      <c r="B74" s="393"/>
      <c r="C74" s="393"/>
      <c r="D74" s="394"/>
      <c r="E74" s="156"/>
      <c r="H74" s="28"/>
      <c r="K74" s="144"/>
      <c r="L74" s="156"/>
      <c r="M74" s="260"/>
      <c r="N74" s="113" t="s">
        <v>202</v>
      </c>
      <c r="O74" s="207">
        <v>27430.5</v>
      </c>
      <c r="P74" s="221">
        <v>42170</v>
      </c>
    </row>
    <row r="75" spans="1:17" ht="15.75" x14ac:dyDescent="0.25">
      <c r="A75" s="143"/>
      <c r="B75" s="393"/>
      <c r="C75" s="393"/>
      <c r="D75" s="394"/>
      <c r="E75" s="156"/>
      <c r="H75" s="28"/>
      <c r="K75" s="144"/>
      <c r="L75" s="156"/>
      <c r="M75" s="130"/>
      <c r="N75" s="113" t="s">
        <v>202</v>
      </c>
      <c r="O75" s="207">
        <v>22800</v>
      </c>
      <c r="P75" s="221">
        <v>42171</v>
      </c>
      <c r="Q75" s="21">
        <v>42170</v>
      </c>
    </row>
    <row r="76" spans="1:17" ht="15.75" x14ac:dyDescent="0.25">
      <c r="A76" s="143"/>
      <c r="B76" s="393"/>
      <c r="C76" s="393"/>
      <c r="D76" s="394"/>
      <c r="E76" s="156"/>
      <c r="K76" s="144"/>
      <c r="L76" s="156"/>
      <c r="M76" s="207"/>
      <c r="N76" s="113" t="s">
        <v>202</v>
      </c>
      <c r="O76" s="214">
        <v>8569.5</v>
      </c>
      <c r="P76" s="221">
        <v>42170</v>
      </c>
    </row>
    <row r="77" spans="1:17" ht="15.75" x14ac:dyDescent="0.25">
      <c r="A77" s="143"/>
      <c r="B77" s="393"/>
      <c r="C77" s="393"/>
      <c r="D77" s="394"/>
      <c r="E77" s="156"/>
      <c r="K77" s="144"/>
      <c r="L77" s="156"/>
      <c r="M77" s="207"/>
      <c r="N77" s="113" t="s">
        <v>202</v>
      </c>
      <c r="O77" s="207">
        <v>27560</v>
      </c>
      <c r="P77" s="221">
        <v>42171</v>
      </c>
    </row>
    <row r="78" spans="1:17" ht="15.75" x14ac:dyDescent="0.25">
      <c r="A78" s="143"/>
      <c r="B78" s="393"/>
      <c r="C78" s="393"/>
      <c r="D78" s="394"/>
      <c r="E78" s="156"/>
      <c r="F78" s="23"/>
      <c r="K78" s="264"/>
      <c r="L78" s="207"/>
      <c r="M78" s="207"/>
      <c r="N78" s="113" t="s">
        <v>202</v>
      </c>
      <c r="O78" s="207">
        <v>1427</v>
      </c>
      <c r="P78" s="221">
        <v>42171</v>
      </c>
    </row>
    <row r="79" spans="1:17" ht="15.75" x14ac:dyDescent="0.25">
      <c r="A79" s="143"/>
      <c r="B79" s="393"/>
      <c r="C79" s="393"/>
      <c r="D79" s="394"/>
      <c r="E79" s="156"/>
      <c r="F79" s="23"/>
      <c r="K79" s="264"/>
      <c r="L79" s="130"/>
      <c r="M79" s="130"/>
      <c r="N79" s="113" t="s">
        <v>202</v>
      </c>
      <c r="O79" s="207">
        <v>6673</v>
      </c>
      <c r="P79" s="221">
        <v>42171</v>
      </c>
    </row>
    <row r="80" spans="1:17" ht="15.75" x14ac:dyDescent="0.25">
      <c r="A80" s="143"/>
      <c r="B80" s="393"/>
      <c r="C80" s="393"/>
      <c r="D80" s="394"/>
      <c r="E80" s="156"/>
      <c r="K80" s="193"/>
      <c r="L80" s="207"/>
      <c r="M80" s="207"/>
      <c r="N80" s="113" t="s">
        <v>202</v>
      </c>
      <c r="O80" s="207">
        <v>31188.5</v>
      </c>
      <c r="P80" s="221">
        <v>42172</v>
      </c>
    </row>
    <row r="81" spans="1:16" ht="15.75" x14ac:dyDescent="0.25">
      <c r="A81" s="143"/>
      <c r="B81" s="393"/>
      <c r="C81" s="393"/>
      <c r="D81" s="394"/>
      <c r="E81" s="156"/>
      <c r="K81" s="193"/>
      <c r="L81" s="207"/>
      <c r="M81" s="207"/>
      <c r="N81" s="113" t="s">
        <v>202</v>
      </c>
      <c r="O81" s="214">
        <v>5507.5</v>
      </c>
      <c r="P81" s="221">
        <v>42172</v>
      </c>
    </row>
    <row r="82" spans="1:16" ht="15.75" x14ac:dyDescent="0.25">
      <c r="A82" s="143"/>
      <c r="B82" s="393"/>
      <c r="C82" s="393"/>
      <c r="D82" s="394"/>
      <c r="E82" s="156"/>
      <c r="K82" s="193"/>
      <c r="L82" s="207"/>
      <c r="M82" s="207"/>
      <c r="N82" s="113" t="s">
        <v>202</v>
      </c>
      <c r="O82" s="207">
        <v>7604</v>
      </c>
      <c r="P82" s="221">
        <v>42172</v>
      </c>
    </row>
    <row r="83" spans="1:16" ht="15.75" x14ac:dyDescent="0.25">
      <c r="A83" s="143"/>
      <c r="B83" s="393"/>
      <c r="C83" s="393"/>
      <c r="D83" s="394"/>
      <c r="E83" s="156"/>
      <c r="F83"/>
      <c r="G83"/>
      <c r="K83" s="193"/>
      <c r="L83" s="207"/>
      <c r="M83" s="207"/>
      <c r="N83" s="113" t="s">
        <v>202</v>
      </c>
      <c r="O83" s="207">
        <v>24382</v>
      </c>
      <c r="P83" s="221">
        <v>42173</v>
      </c>
    </row>
    <row r="84" spans="1:16" ht="15.75" x14ac:dyDescent="0.25">
      <c r="A84" s="143"/>
      <c r="B84" s="393"/>
      <c r="C84" s="393"/>
      <c r="D84" s="394"/>
      <c r="E84" s="156"/>
      <c r="F84"/>
      <c r="G84"/>
      <c r="K84" s="193"/>
      <c r="L84" s="207"/>
      <c r="M84" s="207"/>
      <c r="N84" s="113" t="s">
        <v>202</v>
      </c>
      <c r="O84" s="207">
        <v>22103</v>
      </c>
      <c r="P84" s="221">
        <v>42173</v>
      </c>
    </row>
    <row r="85" spans="1:16" ht="15.75" x14ac:dyDescent="0.25">
      <c r="A85" s="143"/>
      <c r="B85" s="393"/>
      <c r="C85" s="393"/>
      <c r="D85" s="394"/>
      <c r="E85" s="156"/>
      <c r="F85"/>
      <c r="G85"/>
      <c r="K85" s="206"/>
      <c r="L85" s="207"/>
      <c r="M85" s="207"/>
      <c r="N85" s="113" t="s">
        <v>202</v>
      </c>
      <c r="O85" s="207">
        <v>5213</v>
      </c>
      <c r="P85" s="221">
        <v>42173</v>
      </c>
    </row>
    <row r="86" spans="1:16" ht="15.75" x14ac:dyDescent="0.25">
      <c r="A86" s="143"/>
      <c r="B86" s="393"/>
      <c r="C86" s="393"/>
      <c r="D86" s="394"/>
      <c r="E86" s="156"/>
      <c r="F86"/>
      <c r="G86"/>
      <c r="K86" s="206"/>
      <c r="L86" s="207"/>
      <c r="M86" s="207"/>
      <c r="N86" s="113" t="s">
        <v>202</v>
      </c>
      <c r="O86" s="207">
        <v>6132</v>
      </c>
      <c r="P86" s="222">
        <v>42173</v>
      </c>
    </row>
    <row r="87" spans="1:16" ht="15.75" x14ac:dyDescent="0.25">
      <c r="A87" s="143"/>
      <c r="B87" s="393"/>
      <c r="C87" s="393"/>
      <c r="D87" s="394"/>
      <c r="E87" s="156"/>
      <c r="F87"/>
      <c r="G87"/>
      <c r="K87" s="193"/>
      <c r="L87" s="207"/>
      <c r="M87" s="207"/>
      <c r="N87" s="113" t="s">
        <v>202</v>
      </c>
      <c r="O87" s="207">
        <v>53246</v>
      </c>
      <c r="P87" s="221">
        <v>42174</v>
      </c>
    </row>
    <row r="88" spans="1:16" ht="15.75" x14ac:dyDescent="0.25">
      <c r="A88" s="143"/>
      <c r="B88" s="393"/>
      <c r="C88" s="393"/>
      <c r="D88" s="394"/>
      <c r="E88" s="156"/>
      <c r="F88"/>
      <c r="G88"/>
      <c r="K88" s="119"/>
      <c r="L88" s="121"/>
      <c r="M88" s="121"/>
      <c r="N88" s="113" t="s">
        <v>202</v>
      </c>
      <c r="O88" s="121">
        <v>1163</v>
      </c>
      <c r="P88" s="222">
        <v>42174</v>
      </c>
    </row>
    <row r="89" spans="1:16" ht="15.75" x14ac:dyDescent="0.25">
      <c r="A89" s="143"/>
      <c r="B89" s="393"/>
      <c r="C89" s="393"/>
      <c r="D89" s="394"/>
      <c r="E89" s="156"/>
      <c r="F89"/>
      <c r="G89"/>
      <c r="K89" s="119"/>
      <c r="L89" s="121"/>
      <c r="M89" s="121"/>
      <c r="N89" s="113" t="s">
        <v>202</v>
      </c>
      <c r="O89" s="323">
        <v>5791</v>
      </c>
      <c r="P89" s="222">
        <v>42174</v>
      </c>
    </row>
    <row r="90" spans="1:16" ht="15.75" x14ac:dyDescent="0.25">
      <c r="A90" s="143"/>
      <c r="B90" s="393"/>
      <c r="C90" s="393"/>
      <c r="D90" s="396"/>
      <c r="E90" s="156"/>
      <c r="F90"/>
      <c r="G90"/>
      <c r="K90" s="119"/>
      <c r="L90" s="121"/>
      <c r="M90" s="121"/>
      <c r="N90" s="113" t="s">
        <v>478</v>
      </c>
      <c r="O90" s="121">
        <v>29511.5</v>
      </c>
      <c r="P90" s="222">
        <v>42175</v>
      </c>
    </row>
    <row r="91" spans="1:16" ht="15.75" x14ac:dyDescent="0.25">
      <c r="A91" s="143"/>
      <c r="B91" s="393"/>
      <c r="C91" s="393"/>
      <c r="D91" s="394"/>
      <c r="E91" s="156"/>
      <c r="F91"/>
      <c r="G91"/>
      <c r="K91" s="119"/>
      <c r="L91" s="121"/>
      <c r="M91" s="121"/>
      <c r="N91" s="113" t="s">
        <v>478</v>
      </c>
      <c r="O91" s="121">
        <v>27456.5</v>
      </c>
      <c r="P91" s="222">
        <v>42175</v>
      </c>
    </row>
    <row r="92" spans="1:16" ht="15.75" x14ac:dyDescent="0.25">
      <c r="A92" s="143"/>
      <c r="B92" s="393"/>
      <c r="C92" s="393"/>
      <c r="D92" s="394"/>
      <c r="E92" s="156"/>
      <c r="F92"/>
      <c r="G92"/>
      <c r="K92" s="119"/>
      <c r="L92" s="121"/>
      <c r="M92" s="121"/>
      <c r="N92" s="113" t="s">
        <v>478</v>
      </c>
      <c r="O92" s="121">
        <v>5456.5</v>
      </c>
      <c r="P92" s="222">
        <v>42175</v>
      </c>
    </row>
    <row r="93" spans="1:16" ht="15.75" x14ac:dyDescent="0.25">
      <c r="A93" s="143"/>
      <c r="B93" s="397"/>
      <c r="C93" s="397"/>
      <c r="D93" s="398"/>
      <c r="E93" s="157"/>
      <c r="F93"/>
      <c r="G93"/>
      <c r="K93" s="119"/>
      <c r="L93" s="121"/>
      <c r="M93" s="121"/>
      <c r="N93" s="113" t="s">
        <v>478</v>
      </c>
      <c r="O93" s="121">
        <v>1348</v>
      </c>
      <c r="P93" s="222">
        <v>42175</v>
      </c>
    </row>
    <row r="94" spans="1:16" ht="15.75" x14ac:dyDescent="0.25">
      <c r="A94" s="143"/>
      <c r="B94" s="292"/>
      <c r="C94" s="292"/>
      <c r="D94" s="398"/>
      <c r="E94" s="157"/>
      <c r="F94"/>
      <c r="G94"/>
      <c r="K94" s="119"/>
      <c r="L94" s="121"/>
      <c r="M94" s="121"/>
      <c r="N94" s="113" t="s">
        <v>478</v>
      </c>
      <c r="O94" s="121">
        <v>6627.5</v>
      </c>
      <c r="P94" s="222">
        <v>42175</v>
      </c>
    </row>
    <row r="95" spans="1:16" ht="15.75" thickBot="1" x14ac:dyDescent="0.3">
      <c r="A95" s="143"/>
      <c r="B95" s="292"/>
      <c r="C95" s="292"/>
      <c r="D95" s="394"/>
      <c r="E95" s="156"/>
      <c r="F95"/>
      <c r="G95"/>
      <c r="K95" s="336"/>
      <c r="L95" s="337"/>
      <c r="M95" s="337"/>
      <c r="N95" s="337"/>
      <c r="O95" s="337"/>
      <c r="P95" s="222"/>
    </row>
    <row r="96" spans="1:16" ht="18.75" x14ac:dyDescent="0.3">
      <c r="A96" s="143"/>
      <c r="B96" s="292"/>
      <c r="C96" s="292"/>
      <c r="D96" s="394"/>
      <c r="E96" s="156"/>
      <c r="L96" s="131">
        <f>SUM(L55:L94)</f>
        <v>635250.5</v>
      </c>
      <c r="M96" s="131"/>
      <c r="N96" s="131"/>
      <c r="O96" s="131">
        <f>SUM(O55:O95)</f>
        <v>635250.5</v>
      </c>
    </row>
    <row r="97" spans="1:5" x14ac:dyDescent="0.25">
      <c r="A97" s="143"/>
      <c r="B97" s="292"/>
      <c r="C97" s="292"/>
      <c r="D97" s="394"/>
      <c r="E97" s="156"/>
    </row>
    <row r="98" spans="1:5" x14ac:dyDescent="0.25">
      <c r="A98" s="143"/>
      <c r="B98" s="397"/>
      <c r="C98" s="397"/>
      <c r="D98" s="394"/>
      <c r="E98" s="156"/>
    </row>
    <row r="99" spans="1:5" x14ac:dyDescent="0.25">
      <c r="A99" s="143"/>
      <c r="B99" s="292"/>
      <c r="C99" s="292"/>
      <c r="D99" s="394"/>
      <c r="E99" s="156"/>
    </row>
    <row r="100" spans="1:5" x14ac:dyDescent="0.25">
      <c r="A100" s="143"/>
      <c r="B100" s="397"/>
      <c r="C100" s="397"/>
      <c r="D100" s="394"/>
      <c r="E100" s="156"/>
    </row>
    <row r="101" spans="1:5" x14ac:dyDescent="0.25">
      <c r="A101" s="143"/>
      <c r="B101" s="397"/>
      <c r="C101" s="397"/>
      <c r="D101" s="394"/>
      <c r="E101" s="156"/>
    </row>
    <row r="102" spans="1:5" x14ac:dyDescent="0.25">
      <c r="A102" s="143"/>
      <c r="B102" s="397"/>
      <c r="C102" s="397"/>
      <c r="D102" s="396"/>
      <c r="E102" s="156"/>
    </row>
    <row r="103" spans="1:5" x14ac:dyDescent="0.25">
      <c r="A103" s="143"/>
      <c r="B103" s="292"/>
      <c r="C103" s="292"/>
      <c r="D103" s="394"/>
      <c r="E103" s="156"/>
    </row>
    <row r="104" spans="1:5" x14ac:dyDescent="0.25">
      <c r="A104" s="143"/>
      <c r="B104" s="292"/>
      <c r="C104" s="292"/>
      <c r="D104" s="396"/>
      <c r="E104" s="156"/>
    </row>
    <row r="105" spans="1:5" x14ac:dyDescent="0.25">
      <c r="A105" s="143"/>
      <c r="B105" s="292"/>
      <c r="C105" s="292"/>
      <c r="D105" s="394"/>
      <c r="E105" s="156"/>
    </row>
    <row r="106" spans="1:5" x14ac:dyDescent="0.25">
      <c r="A106" s="143"/>
      <c r="B106" s="397"/>
      <c r="C106" s="397"/>
      <c r="D106" s="394"/>
      <c r="E106" s="156"/>
    </row>
  </sheetData>
  <sortState ref="A34:C47">
    <sortCondition ref="B34:B47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48"/>
  <sheetViews>
    <sheetView topLeftCell="A28" workbookViewId="0">
      <selection activeCell="J27" sqref="J27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4.7109375" customWidth="1"/>
    <col min="19" max="19" width="12.5703125" bestFit="1" customWidth="1"/>
    <col min="22" max="22" width="14.140625" bestFit="1" customWidth="1"/>
    <col min="29" max="29" width="19.42578125" bestFit="1" customWidth="1"/>
    <col min="30" max="30" width="14.140625" bestFit="1" customWidth="1"/>
  </cols>
  <sheetData>
    <row r="1" spans="1:30" ht="23.25" x14ac:dyDescent="0.35">
      <c r="B1" s="37"/>
      <c r="C1" s="448" t="s">
        <v>496</v>
      </c>
      <c r="D1" s="448"/>
      <c r="E1" s="448"/>
      <c r="F1" s="448"/>
      <c r="G1" s="448"/>
      <c r="H1" s="448"/>
      <c r="I1" s="448"/>
      <c r="J1" s="448"/>
      <c r="K1" s="448"/>
      <c r="M1" s="390"/>
      <c r="N1" s="202"/>
      <c r="R1" s="37"/>
      <c r="S1" s="448" t="s">
        <v>496</v>
      </c>
      <c r="T1" s="448"/>
      <c r="U1" s="448"/>
      <c r="V1" s="448"/>
      <c r="W1" s="448"/>
      <c r="X1" s="448"/>
      <c r="Y1" s="448"/>
      <c r="Z1" s="448"/>
      <c r="AA1" s="448"/>
      <c r="AC1" s="377"/>
      <c r="AD1" s="202"/>
    </row>
    <row r="2" spans="1:30" ht="15.75" thickBot="1" x14ac:dyDescent="0.3">
      <c r="B2" s="37"/>
      <c r="C2" s="43"/>
      <c r="E2" s="389"/>
      <c r="F2" s="50"/>
      <c r="I2" s="43"/>
      <c r="J2" s="43"/>
      <c r="M2" s="390"/>
      <c r="N2" s="202"/>
      <c r="R2" s="37"/>
      <c r="S2" s="43"/>
      <c r="U2" s="375"/>
      <c r="V2" s="50"/>
      <c r="Y2" s="43"/>
      <c r="Z2" s="43"/>
      <c r="AC2" s="377"/>
      <c r="AD2" s="202"/>
    </row>
    <row r="3" spans="1:30" ht="15.75" thickBot="1" x14ac:dyDescent="0.3">
      <c r="B3" s="37"/>
      <c r="C3" s="44" t="s">
        <v>0</v>
      </c>
      <c r="D3" s="3"/>
      <c r="F3" s="43"/>
      <c r="I3" s="43"/>
      <c r="J3" s="43"/>
      <c r="M3" s="390"/>
      <c r="N3" s="202"/>
      <c r="R3" s="37"/>
      <c r="S3" s="44" t="s">
        <v>0</v>
      </c>
      <c r="T3" s="3"/>
      <c r="V3" s="43"/>
      <c r="Y3" s="43"/>
      <c r="Z3" s="43"/>
      <c r="AC3" s="377"/>
      <c r="AD3" s="202"/>
    </row>
    <row r="4" spans="1:30" ht="20.25" thickTop="1" thickBot="1" x14ac:dyDescent="0.35">
      <c r="A4" s="96" t="s">
        <v>2</v>
      </c>
      <c r="B4" s="38"/>
      <c r="C4" s="94">
        <v>112018.27</v>
      </c>
      <c r="D4" s="2"/>
      <c r="E4" s="469" t="s">
        <v>14</v>
      </c>
      <c r="F4" s="470"/>
      <c r="I4" s="451" t="s">
        <v>4</v>
      </c>
      <c r="J4" s="452"/>
      <c r="K4" s="452"/>
      <c r="L4" s="452"/>
      <c r="M4" s="69" t="s">
        <v>18</v>
      </c>
      <c r="N4" s="203" t="s">
        <v>264</v>
      </c>
      <c r="Q4" s="96" t="s">
        <v>2</v>
      </c>
      <c r="R4" s="38"/>
      <c r="S4" s="94">
        <v>112018.27</v>
      </c>
      <c r="T4" s="2"/>
      <c r="U4" s="469" t="s">
        <v>14</v>
      </c>
      <c r="V4" s="470"/>
      <c r="Y4" s="451" t="s">
        <v>4</v>
      </c>
      <c r="Z4" s="452"/>
      <c r="AA4" s="452"/>
      <c r="AB4" s="452"/>
      <c r="AC4" s="69" t="s">
        <v>18</v>
      </c>
      <c r="AD4" s="203" t="s">
        <v>264</v>
      </c>
    </row>
    <row r="5" spans="1:30" ht="15.75" thickTop="1" x14ac:dyDescent="0.25">
      <c r="A5" s="21"/>
      <c r="B5" s="39">
        <v>42186</v>
      </c>
      <c r="C5" s="45">
        <v>900</v>
      </c>
      <c r="D5" s="22" t="s">
        <v>518</v>
      </c>
      <c r="E5" s="26">
        <v>42186</v>
      </c>
      <c r="F5" s="51">
        <v>30663.5</v>
      </c>
      <c r="G5" s="23"/>
      <c r="H5" s="24">
        <v>42186</v>
      </c>
      <c r="I5" s="60">
        <v>200</v>
      </c>
      <c r="J5" s="87"/>
      <c r="K5" s="34"/>
      <c r="L5" s="34"/>
      <c r="M5" s="67" t="s">
        <v>519</v>
      </c>
      <c r="N5" s="75">
        <v>29180</v>
      </c>
      <c r="Q5" s="21"/>
      <c r="R5" s="39">
        <v>42186</v>
      </c>
      <c r="S5" s="45">
        <v>900</v>
      </c>
      <c r="T5" s="22" t="s">
        <v>518</v>
      </c>
      <c r="U5" s="26">
        <v>42186</v>
      </c>
      <c r="V5" s="51">
        <v>30663.5</v>
      </c>
      <c r="W5" s="23"/>
      <c r="X5" s="24">
        <v>42186</v>
      </c>
      <c r="Y5" s="60">
        <v>200</v>
      </c>
      <c r="Z5" s="87"/>
      <c r="AA5" s="34"/>
      <c r="AB5" s="34"/>
      <c r="AC5" s="67" t="s">
        <v>519</v>
      </c>
      <c r="AD5" s="75">
        <v>29180</v>
      </c>
    </row>
    <row r="6" spans="1:30" x14ac:dyDescent="0.25">
      <c r="A6" s="21"/>
      <c r="B6" s="39">
        <v>42187</v>
      </c>
      <c r="C6" s="45">
        <v>0</v>
      </c>
      <c r="D6" s="29"/>
      <c r="E6" s="26">
        <v>42187</v>
      </c>
      <c r="F6" s="51">
        <v>48789.5</v>
      </c>
      <c r="G6" s="19"/>
      <c r="H6" s="27">
        <v>42187</v>
      </c>
      <c r="I6" s="61">
        <v>200</v>
      </c>
      <c r="J6" s="88"/>
      <c r="K6" s="13" t="s">
        <v>5</v>
      </c>
      <c r="L6" s="20">
        <v>614</v>
      </c>
      <c r="M6" s="67" t="s">
        <v>560</v>
      </c>
      <c r="N6" s="75">
        <v>49700</v>
      </c>
      <c r="Q6" s="21"/>
      <c r="R6" s="39">
        <v>42187</v>
      </c>
      <c r="S6" s="45">
        <v>0</v>
      </c>
      <c r="T6" s="29"/>
      <c r="U6" s="26">
        <v>42187</v>
      </c>
      <c r="V6" s="51">
        <v>48789.5</v>
      </c>
      <c r="W6" s="19"/>
      <c r="X6" s="27">
        <v>42187</v>
      </c>
      <c r="Y6" s="61">
        <v>200</v>
      </c>
      <c r="Z6" s="88"/>
      <c r="AA6" s="13" t="s">
        <v>5</v>
      </c>
      <c r="AB6" s="20">
        <v>614</v>
      </c>
      <c r="AC6" s="67" t="s">
        <v>520</v>
      </c>
      <c r="AD6" s="75">
        <v>49700</v>
      </c>
    </row>
    <row r="7" spans="1:30" x14ac:dyDescent="0.25">
      <c r="A7" s="21"/>
      <c r="B7" s="39">
        <v>42188</v>
      </c>
      <c r="C7" s="45">
        <v>0</v>
      </c>
      <c r="D7" s="32"/>
      <c r="E7" s="26">
        <v>42188</v>
      </c>
      <c r="F7" s="51">
        <v>64461.5</v>
      </c>
      <c r="G7" s="23"/>
      <c r="H7" s="27">
        <v>42188</v>
      </c>
      <c r="I7" s="61">
        <v>200</v>
      </c>
      <c r="J7" s="88"/>
      <c r="K7" s="13" t="s">
        <v>3</v>
      </c>
      <c r="L7" s="20">
        <v>12626</v>
      </c>
      <c r="M7" s="67" t="s">
        <v>521</v>
      </c>
      <c r="N7" s="75">
        <v>66250</v>
      </c>
      <c r="Q7" s="21"/>
      <c r="R7" s="39">
        <v>42188</v>
      </c>
      <c r="S7" s="45">
        <v>0</v>
      </c>
      <c r="T7" s="32"/>
      <c r="U7" s="26">
        <v>42188</v>
      </c>
      <c r="V7" s="51">
        <v>64461.5</v>
      </c>
      <c r="W7" s="23"/>
      <c r="X7" s="27">
        <v>42188</v>
      </c>
      <c r="Y7" s="61">
        <v>200</v>
      </c>
      <c r="Z7" s="88"/>
      <c r="AA7" s="13" t="s">
        <v>3</v>
      </c>
      <c r="AB7" s="20">
        <v>12626</v>
      </c>
      <c r="AC7" s="67" t="s">
        <v>521</v>
      </c>
      <c r="AD7" s="75">
        <v>66250</v>
      </c>
    </row>
    <row r="8" spans="1:30" x14ac:dyDescent="0.25">
      <c r="A8" s="21"/>
      <c r="B8" s="39">
        <v>42189</v>
      </c>
      <c r="C8" s="45">
        <v>0</v>
      </c>
      <c r="D8" s="22"/>
      <c r="E8" s="26">
        <v>42189</v>
      </c>
      <c r="F8" s="51">
        <v>83074</v>
      </c>
      <c r="G8" s="23"/>
      <c r="H8" s="27">
        <v>42189</v>
      </c>
      <c r="I8" s="61">
        <v>200</v>
      </c>
      <c r="J8" s="88"/>
      <c r="K8" s="13" t="s">
        <v>6</v>
      </c>
      <c r="L8" s="20">
        <v>28750</v>
      </c>
      <c r="M8" s="201" t="s">
        <v>522</v>
      </c>
      <c r="N8" s="204">
        <v>77250</v>
      </c>
      <c r="Q8" s="21"/>
      <c r="R8" s="39">
        <v>42189</v>
      </c>
      <c r="S8" s="45">
        <v>0</v>
      </c>
      <c r="T8" s="22"/>
      <c r="U8" s="26">
        <v>42189</v>
      </c>
      <c r="V8" s="51">
        <v>83074</v>
      </c>
      <c r="W8" s="23"/>
      <c r="X8" s="27">
        <v>42189</v>
      </c>
      <c r="Y8" s="61">
        <v>200</v>
      </c>
      <c r="Z8" s="88"/>
      <c r="AA8" s="13" t="s">
        <v>6</v>
      </c>
      <c r="AB8" s="20">
        <v>28750</v>
      </c>
      <c r="AC8" s="201" t="s">
        <v>522</v>
      </c>
      <c r="AD8" s="204">
        <v>77250</v>
      </c>
    </row>
    <row r="9" spans="1:30" x14ac:dyDescent="0.25">
      <c r="A9" s="21"/>
      <c r="B9" s="39">
        <v>42190</v>
      </c>
      <c r="C9" s="45">
        <v>0</v>
      </c>
      <c r="D9" s="22"/>
      <c r="E9" s="26">
        <v>42190</v>
      </c>
      <c r="F9" s="51">
        <v>68483</v>
      </c>
      <c r="G9" s="23"/>
      <c r="H9" s="27">
        <v>42190</v>
      </c>
      <c r="I9" s="61">
        <v>200</v>
      </c>
      <c r="J9" s="88"/>
      <c r="K9" s="13" t="s">
        <v>523</v>
      </c>
      <c r="L9" s="20">
        <v>8038.91</v>
      </c>
      <c r="M9" s="67" t="s">
        <v>528</v>
      </c>
      <c r="N9" s="75">
        <v>72250</v>
      </c>
      <c r="Q9" s="21"/>
      <c r="R9" s="39">
        <v>42190</v>
      </c>
      <c r="S9" s="45">
        <v>0</v>
      </c>
      <c r="T9" s="22"/>
      <c r="U9" s="26">
        <v>42190</v>
      </c>
      <c r="V9" s="51">
        <v>68483</v>
      </c>
      <c r="W9" s="23"/>
      <c r="X9" s="27">
        <v>42190</v>
      </c>
      <c r="Y9" s="61">
        <v>200</v>
      </c>
      <c r="Z9" s="88"/>
      <c r="AA9" s="13" t="s">
        <v>523</v>
      </c>
      <c r="AB9" s="20">
        <v>8038.91</v>
      </c>
      <c r="AC9" s="67" t="s">
        <v>528</v>
      </c>
      <c r="AD9" s="75">
        <v>72250</v>
      </c>
    </row>
    <row r="10" spans="1:30" x14ac:dyDescent="0.25">
      <c r="A10" s="21"/>
      <c r="B10" s="39">
        <v>42191</v>
      </c>
      <c r="C10" s="45">
        <v>0</v>
      </c>
      <c r="D10" s="32"/>
      <c r="E10" s="26">
        <v>42191</v>
      </c>
      <c r="F10" s="51">
        <v>61395.5</v>
      </c>
      <c r="G10" s="23"/>
      <c r="H10" s="27">
        <v>42191</v>
      </c>
      <c r="I10" s="61">
        <v>200</v>
      </c>
      <c r="J10" s="88"/>
      <c r="K10" s="13" t="s">
        <v>524</v>
      </c>
      <c r="L10" s="19">
        <v>6434.83</v>
      </c>
      <c r="M10" s="67" t="s">
        <v>529</v>
      </c>
      <c r="N10" s="75">
        <v>60000</v>
      </c>
      <c r="Q10" s="21"/>
      <c r="R10" s="39">
        <v>42191</v>
      </c>
      <c r="S10" s="45">
        <v>0</v>
      </c>
      <c r="T10" s="32"/>
      <c r="U10" s="26">
        <v>42191</v>
      </c>
      <c r="V10" s="51">
        <v>61395.5</v>
      </c>
      <c r="W10" s="23"/>
      <c r="X10" s="27">
        <v>42191</v>
      </c>
      <c r="Y10" s="61">
        <v>200</v>
      </c>
      <c r="Z10" s="88"/>
      <c r="AA10" s="13" t="s">
        <v>524</v>
      </c>
      <c r="AB10" s="20">
        <v>0</v>
      </c>
      <c r="AC10" s="67" t="s">
        <v>529</v>
      </c>
      <c r="AD10" s="75">
        <v>60000</v>
      </c>
    </row>
    <row r="11" spans="1:30" x14ac:dyDescent="0.25">
      <c r="A11" s="21"/>
      <c r="B11" s="39">
        <v>42192</v>
      </c>
      <c r="C11" s="45">
        <v>0</v>
      </c>
      <c r="D11" s="32"/>
      <c r="E11" s="26">
        <v>42192</v>
      </c>
      <c r="F11" s="51">
        <v>41930.5</v>
      </c>
      <c r="G11" s="23"/>
      <c r="H11" s="27">
        <v>42192</v>
      </c>
      <c r="I11" s="62">
        <v>200</v>
      </c>
      <c r="J11" s="88"/>
      <c r="K11" s="13" t="s">
        <v>525</v>
      </c>
      <c r="L11" s="19">
        <v>4705.51</v>
      </c>
      <c r="M11" s="67" t="s">
        <v>531</v>
      </c>
      <c r="N11" s="75">
        <v>42000</v>
      </c>
      <c r="Q11" s="21"/>
      <c r="R11" s="39">
        <v>42192</v>
      </c>
      <c r="S11" s="45">
        <v>0</v>
      </c>
      <c r="T11" s="32"/>
      <c r="U11" s="26">
        <v>42192</v>
      </c>
      <c r="V11" s="51"/>
      <c r="W11" s="23"/>
      <c r="X11" s="27">
        <v>42192</v>
      </c>
      <c r="Y11" s="62"/>
      <c r="Z11" s="88"/>
      <c r="AA11" s="13" t="s">
        <v>525</v>
      </c>
      <c r="AB11" s="20">
        <v>0</v>
      </c>
      <c r="AC11" s="67"/>
      <c r="AD11" s="75"/>
    </row>
    <row r="12" spans="1:30" x14ac:dyDescent="0.25">
      <c r="A12" s="21"/>
      <c r="B12" s="39">
        <v>42193</v>
      </c>
      <c r="C12" s="45">
        <v>0</v>
      </c>
      <c r="D12" s="32"/>
      <c r="E12" s="26">
        <v>42193</v>
      </c>
      <c r="F12" s="51">
        <v>36935.5</v>
      </c>
      <c r="G12" s="23"/>
      <c r="H12" s="27">
        <v>42193</v>
      </c>
      <c r="I12" s="62">
        <v>200</v>
      </c>
      <c r="J12" s="88"/>
      <c r="K12" s="13" t="s">
        <v>526</v>
      </c>
      <c r="L12" s="20">
        <v>6309.58</v>
      </c>
      <c r="M12" s="67" t="s">
        <v>532</v>
      </c>
      <c r="N12" s="75">
        <v>38500</v>
      </c>
      <c r="Q12" s="21"/>
      <c r="R12" s="39">
        <v>42193</v>
      </c>
      <c r="S12" s="45">
        <v>0</v>
      </c>
      <c r="T12" s="32"/>
      <c r="U12" s="26">
        <v>42193</v>
      </c>
      <c r="V12" s="51"/>
      <c r="W12" s="23"/>
      <c r="X12" s="27">
        <v>42193</v>
      </c>
      <c r="Y12" s="62"/>
      <c r="Z12" s="88"/>
      <c r="AA12" s="13" t="s">
        <v>526</v>
      </c>
      <c r="AB12" s="20">
        <v>0</v>
      </c>
      <c r="AC12" s="67"/>
      <c r="AD12" s="75"/>
    </row>
    <row r="13" spans="1:30" x14ac:dyDescent="0.25">
      <c r="A13" s="21"/>
      <c r="B13" s="39">
        <v>42194</v>
      </c>
      <c r="C13" s="45">
        <v>0</v>
      </c>
      <c r="D13" s="32"/>
      <c r="E13" s="26">
        <v>42194</v>
      </c>
      <c r="F13" s="51">
        <v>59053</v>
      </c>
      <c r="G13" s="23"/>
      <c r="H13" s="27">
        <v>42194</v>
      </c>
      <c r="I13" s="62">
        <v>200</v>
      </c>
      <c r="J13" s="88"/>
      <c r="K13" s="13" t="s">
        <v>527</v>
      </c>
      <c r="L13" s="20">
        <v>0</v>
      </c>
      <c r="M13" s="67" t="s">
        <v>533</v>
      </c>
      <c r="N13" s="75">
        <v>58300</v>
      </c>
      <c r="Q13" s="21"/>
      <c r="R13" s="39">
        <v>42194</v>
      </c>
      <c r="S13" s="45">
        <v>0</v>
      </c>
      <c r="T13" s="32"/>
      <c r="U13" s="26">
        <v>42194</v>
      </c>
      <c r="V13" s="51"/>
      <c r="W13" s="23"/>
      <c r="X13" s="27">
        <v>42194</v>
      </c>
      <c r="Y13" s="62"/>
      <c r="Z13" s="88"/>
      <c r="AA13" s="13" t="s">
        <v>527</v>
      </c>
      <c r="AB13" s="20">
        <v>0</v>
      </c>
      <c r="AC13" s="67"/>
      <c r="AD13" s="75"/>
    </row>
    <row r="14" spans="1:30" x14ac:dyDescent="0.25">
      <c r="A14" s="21"/>
      <c r="B14" s="39">
        <v>42195</v>
      </c>
      <c r="C14" s="45">
        <v>0</v>
      </c>
      <c r="D14" s="29"/>
      <c r="E14" s="26">
        <v>42195</v>
      </c>
      <c r="F14" s="51">
        <v>64332.5</v>
      </c>
      <c r="G14" s="23"/>
      <c r="H14" s="27">
        <v>42195</v>
      </c>
      <c r="I14" s="62">
        <v>232</v>
      </c>
      <c r="J14" s="88"/>
      <c r="K14" s="35" t="s">
        <v>16</v>
      </c>
      <c r="L14" s="20">
        <v>0</v>
      </c>
      <c r="M14" s="67" t="s">
        <v>534</v>
      </c>
      <c r="N14" s="75">
        <v>63052.5</v>
      </c>
      <c r="Q14" s="21"/>
      <c r="R14" s="39">
        <v>42195</v>
      </c>
      <c r="S14" s="45">
        <v>0</v>
      </c>
      <c r="T14" s="29"/>
      <c r="U14" s="26">
        <v>42195</v>
      </c>
      <c r="V14" s="51"/>
      <c r="W14" s="23"/>
      <c r="X14" s="27">
        <v>42195</v>
      </c>
      <c r="Y14" s="62"/>
      <c r="Z14" s="88"/>
      <c r="AA14" s="35" t="s">
        <v>16</v>
      </c>
      <c r="AB14" s="20">
        <v>0</v>
      </c>
      <c r="AC14" s="67"/>
      <c r="AD14" s="75"/>
    </row>
    <row r="15" spans="1:30" x14ac:dyDescent="0.25">
      <c r="A15" s="21"/>
      <c r="B15" s="39">
        <v>42196</v>
      </c>
      <c r="C15" s="45">
        <v>293.55</v>
      </c>
      <c r="D15" s="29" t="s">
        <v>31</v>
      </c>
      <c r="E15" s="26">
        <v>42196</v>
      </c>
      <c r="F15" s="51">
        <v>88073</v>
      </c>
      <c r="G15" s="23"/>
      <c r="H15" s="27">
        <v>42196</v>
      </c>
      <c r="I15" s="62">
        <v>200</v>
      </c>
      <c r="J15" s="88"/>
      <c r="K15" s="28" t="s">
        <v>15</v>
      </c>
      <c r="L15" s="20">
        <v>0</v>
      </c>
      <c r="M15" s="67" t="s">
        <v>535</v>
      </c>
      <c r="N15" s="75">
        <v>89124</v>
      </c>
      <c r="Q15" s="21"/>
      <c r="R15" s="39">
        <v>42196</v>
      </c>
      <c r="S15" s="45">
        <v>0</v>
      </c>
      <c r="T15" s="29"/>
      <c r="U15" s="26">
        <v>42196</v>
      </c>
      <c r="V15" s="51"/>
      <c r="W15" s="23"/>
      <c r="X15" s="27">
        <v>42196</v>
      </c>
      <c r="Y15" s="62"/>
      <c r="Z15" s="88"/>
      <c r="AA15" s="28" t="s">
        <v>15</v>
      </c>
      <c r="AB15" s="20">
        <v>0</v>
      </c>
      <c r="AC15" s="67"/>
      <c r="AD15" s="75"/>
    </row>
    <row r="16" spans="1:30" x14ac:dyDescent="0.25">
      <c r="A16" s="21"/>
      <c r="B16" s="39">
        <v>42197</v>
      </c>
      <c r="C16" s="45">
        <v>0</v>
      </c>
      <c r="D16" s="29"/>
      <c r="E16" s="26">
        <v>42197</v>
      </c>
      <c r="F16" s="51">
        <v>69254.5</v>
      </c>
      <c r="G16" s="23"/>
      <c r="H16" s="27">
        <v>42197</v>
      </c>
      <c r="I16" s="62">
        <v>600</v>
      </c>
      <c r="J16" s="88"/>
      <c r="K16" s="73" t="s">
        <v>52</v>
      </c>
      <c r="L16" s="74">
        <v>0</v>
      </c>
      <c r="M16" s="67" t="s">
        <v>537</v>
      </c>
      <c r="N16" s="75">
        <v>65051.5</v>
      </c>
      <c r="Q16" s="21"/>
      <c r="R16" s="39">
        <v>42197</v>
      </c>
      <c r="S16" s="45">
        <v>0</v>
      </c>
      <c r="T16" s="29"/>
      <c r="U16" s="26">
        <v>42197</v>
      </c>
      <c r="V16" s="51"/>
      <c r="W16" s="23"/>
      <c r="X16" s="27">
        <v>42197</v>
      </c>
      <c r="Y16" s="62"/>
      <c r="Z16" s="88"/>
      <c r="AA16" s="73" t="s">
        <v>52</v>
      </c>
      <c r="AB16" s="74">
        <v>0</v>
      </c>
      <c r="AC16" s="67"/>
      <c r="AD16" s="75"/>
    </row>
    <row r="17" spans="1:30" x14ac:dyDescent="0.25">
      <c r="A17" s="21"/>
      <c r="B17" s="39">
        <v>42198</v>
      </c>
      <c r="C17" s="45">
        <v>0</v>
      </c>
      <c r="D17" s="29"/>
      <c r="E17" s="26">
        <v>42198</v>
      </c>
      <c r="F17" s="51">
        <v>44040</v>
      </c>
      <c r="G17" s="23"/>
      <c r="H17" s="27">
        <v>42198</v>
      </c>
      <c r="I17" s="62">
        <v>200</v>
      </c>
      <c r="J17" s="88"/>
      <c r="K17" s="28" t="s">
        <v>53</v>
      </c>
      <c r="L17" s="74">
        <v>0</v>
      </c>
      <c r="M17" s="67" t="s">
        <v>546</v>
      </c>
      <c r="N17" s="75">
        <v>44543.5</v>
      </c>
      <c r="Q17" s="21"/>
      <c r="R17" s="39">
        <v>42198</v>
      </c>
      <c r="S17" s="45">
        <v>0</v>
      </c>
      <c r="T17" s="29"/>
      <c r="U17" s="26">
        <v>42198</v>
      </c>
      <c r="V17" s="51"/>
      <c r="W17" s="23"/>
      <c r="X17" s="27">
        <v>42198</v>
      </c>
      <c r="Y17" s="62"/>
      <c r="Z17" s="88"/>
      <c r="AA17" s="28" t="s">
        <v>53</v>
      </c>
      <c r="AB17" s="74">
        <v>0</v>
      </c>
      <c r="AC17" s="67"/>
      <c r="AD17" s="75"/>
    </row>
    <row r="18" spans="1:30" x14ac:dyDescent="0.25">
      <c r="A18" s="21"/>
      <c r="B18" s="39">
        <v>42199</v>
      </c>
      <c r="C18" s="45">
        <v>0</v>
      </c>
      <c r="D18" s="22"/>
      <c r="E18" s="26">
        <v>42199</v>
      </c>
      <c r="F18" s="51">
        <v>39111.5</v>
      </c>
      <c r="G18" s="23"/>
      <c r="H18" s="27">
        <v>42199</v>
      </c>
      <c r="I18" s="62">
        <v>200</v>
      </c>
      <c r="J18" s="89"/>
      <c r="K18" s="28" t="s">
        <v>54</v>
      </c>
      <c r="L18" s="75">
        <v>0</v>
      </c>
      <c r="M18" s="67" t="s">
        <v>547</v>
      </c>
      <c r="N18" s="75">
        <v>37075</v>
      </c>
      <c r="Q18" s="21"/>
      <c r="R18" s="39">
        <v>42199</v>
      </c>
      <c r="S18" s="45">
        <v>0</v>
      </c>
      <c r="T18" s="22"/>
      <c r="U18" s="26">
        <v>42199</v>
      </c>
      <c r="V18" s="51"/>
      <c r="W18" s="23"/>
      <c r="X18" s="27">
        <v>42199</v>
      </c>
      <c r="Y18" s="62"/>
      <c r="Z18" s="89"/>
      <c r="AA18" s="28" t="s">
        <v>54</v>
      </c>
      <c r="AB18" s="75">
        <v>0</v>
      </c>
      <c r="AC18" s="67"/>
      <c r="AD18" s="75"/>
    </row>
    <row r="19" spans="1:30" x14ac:dyDescent="0.25">
      <c r="A19" s="21"/>
      <c r="B19" s="39">
        <v>42200</v>
      </c>
      <c r="C19" s="45">
        <v>0</v>
      </c>
      <c r="D19" s="29"/>
      <c r="E19" s="26">
        <v>42200</v>
      </c>
      <c r="F19" s="51">
        <v>39677</v>
      </c>
      <c r="G19" s="23"/>
      <c r="H19" s="27">
        <v>42200</v>
      </c>
      <c r="I19" s="62">
        <v>200</v>
      </c>
      <c r="J19" s="88"/>
      <c r="K19" s="28" t="s">
        <v>55</v>
      </c>
      <c r="L19" s="75">
        <v>0</v>
      </c>
      <c r="M19" s="67" t="s">
        <v>548</v>
      </c>
      <c r="N19" s="75">
        <v>40800</v>
      </c>
      <c r="Q19" s="21"/>
      <c r="R19" s="39">
        <v>42200</v>
      </c>
      <c r="S19" s="45">
        <v>0</v>
      </c>
      <c r="T19" s="29"/>
      <c r="U19" s="26">
        <v>42200</v>
      </c>
      <c r="V19" s="51"/>
      <c r="W19" s="23"/>
      <c r="X19" s="27">
        <v>42200</v>
      </c>
      <c r="Y19" s="62"/>
      <c r="Z19" s="88"/>
      <c r="AA19" s="28" t="s">
        <v>55</v>
      </c>
      <c r="AB19" s="75">
        <v>0</v>
      </c>
      <c r="AC19" s="67"/>
      <c r="AD19" s="75"/>
    </row>
    <row r="20" spans="1:30" x14ac:dyDescent="0.25">
      <c r="A20" s="21"/>
      <c r="B20" s="39">
        <v>42201</v>
      </c>
      <c r="C20" s="45">
        <v>0</v>
      </c>
      <c r="D20" s="22"/>
      <c r="E20" s="26">
        <v>42201</v>
      </c>
      <c r="F20" s="51">
        <v>49999.5</v>
      </c>
      <c r="G20" s="23"/>
      <c r="H20" s="27">
        <v>42201</v>
      </c>
      <c r="I20" s="62">
        <v>200</v>
      </c>
      <c r="J20" s="90"/>
      <c r="K20" s="314" t="s">
        <v>408</v>
      </c>
      <c r="L20" s="55">
        <v>0</v>
      </c>
      <c r="M20" s="67" t="s">
        <v>549</v>
      </c>
      <c r="N20" s="75">
        <v>52400</v>
      </c>
      <c r="Q20" s="21"/>
      <c r="R20" s="39">
        <v>42201</v>
      </c>
      <c r="S20" s="45">
        <v>0</v>
      </c>
      <c r="T20" s="22"/>
      <c r="U20" s="26">
        <v>42201</v>
      </c>
      <c r="V20" s="51"/>
      <c r="W20" s="23"/>
      <c r="X20" s="27">
        <v>42201</v>
      </c>
      <c r="Y20" s="62"/>
      <c r="Z20" s="90"/>
      <c r="AA20" s="314" t="s">
        <v>408</v>
      </c>
      <c r="AB20" s="55">
        <v>0</v>
      </c>
      <c r="AC20" s="67"/>
      <c r="AD20" s="75"/>
    </row>
    <row r="21" spans="1:30" x14ac:dyDescent="0.25">
      <c r="A21" s="21"/>
      <c r="B21" s="39">
        <v>42202</v>
      </c>
      <c r="C21" s="45">
        <v>0</v>
      </c>
      <c r="D21" s="22"/>
      <c r="E21" s="26">
        <v>42202</v>
      </c>
      <c r="F21" s="51">
        <v>67420</v>
      </c>
      <c r="G21" s="23"/>
      <c r="H21" s="27">
        <v>42202</v>
      </c>
      <c r="I21" s="62">
        <v>232</v>
      </c>
      <c r="J21" s="88"/>
      <c r="K21" s="25" t="s">
        <v>99</v>
      </c>
      <c r="L21" s="55">
        <v>0</v>
      </c>
      <c r="M21" s="67" t="s">
        <v>550</v>
      </c>
      <c r="N21" s="75">
        <v>67200</v>
      </c>
      <c r="Q21" s="21"/>
      <c r="R21" s="39">
        <v>42202</v>
      </c>
      <c r="S21" s="45">
        <v>0</v>
      </c>
      <c r="T21" s="22"/>
      <c r="U21" s="26">
        <v>42202</v>
      </c>
      <c r="V21" s="51"/>
      <c r="W21" s="23"/>
      <c r="X21" s="27">
        <v>42202</v>
      </c>
      <c r="Y21" s="62"/>
      <c r="Z21" s="88"/>
      <c r="AA21" s="25" t="s">
        <v>99</v>
      </c>
      <c r="AB21" s="55">
        <v>0</v>
      </c>
      <c r="AC21" s="67"/>
      <c r="AD21" s="75"/>
    </row>
    <row r="22" spans="1:30" x14ac:dyDescent="0.25">
      <c r="A22" s="21"/>
      <c r="B22" s="39">
        <v>42203</v>
      </c>
      <c r="C22" s="45">
        <v>580</v>
      </c>
      <c r="D22" s="22" t="s">
        <v>518</v>
      </c>
      <c r="E22" s="26">
        <v>42203</v>
      </c>
      <c r="F22" s="51">
        <v>72700.5</v>
      </c>
      <c r="G22" s="23"/>
      <c r="H22" s="27">
        <v>42203</v>
      </c>
      <c r="I22" s="62">
        <v>200</v>
      </c>
      <c r="J22" s="90"/>
      <c r="K22" s="392" t="s">
        <v>213</v>
      </c>
      <c r="L22" s="55">
        <v>1800</v>
      </c>
      <c r="M22" s="67" t="s">
        <v>551</v>
      </c>
      <c r="N22" s="75">
        <v>71499.5</v>
      </c>
      <c r="Q22" s="21"/>
      <c r="R22" s="39">
        <v>42203</v>
      </c>
      <c r="S22" s="45">
        <v>0</v>
      </c>
      <c r="T22" s="22"/>
      <c r="U22" s="26">
        <v>42203</v>
      </c>
      <c r="V22" s="51"/>
      <c r="W22" s="23"/>
      <c r="X22" s="27">
        <v>42203</v>
      </c>
      <c r="Y22" s="62"/>
      <c r="Z22" s="90"/>
      <c r="AA22" s="122" t="s">
        <v>213</v>
      </c>
      <c r="AB22" s="55">
        <v>0</v>
      </c>
      <c r="AC22" s="67"/>
      <c r="AD22" s="75"/>
    </row>
    <row r="23" spans="1:30" x14ac:dyDescent="0.25">
      <c r="A23" s="21"/>
      <c r="B23" s="39">
        <v>42204</v>
      </c>
      <c r="C23" s="45">
        <v>0</v>
      </c>
      <c r="D23" s="22"/>
      <c r="E23" s="26">
        <v>42204</v>
      </c>
      <c r="F23" s="51">
        <v>47041.5</v>
      </c>
      <c r="G23" s="23"/>
      <c r="H23" s="27">
        <v>42204</v>
      </c>
      <c r="I23" s="62">
        <v>200</v>
      </c>
      <c r="J23" s="88"/>
      <c r="K23" s="392" t="s">
        <v>536</v>
      </c>
      <c r="L23" s="55">
        <v>0</v>
      </c>
      <c r="M23" s="67" t="s">
        <v>552</v>
      </c>
      <c r="N23" s="75">
        <v>46800</v>
      </c>
      <c r="Q23" s="21"/>
      <c r="R23" s="39">
        <v>42204</v>
      </c>
      <c r="S23" s="45">
        <v>0</v>
      </c>
      <c r="T23" s="22"/>
      <c r="U23" s="26">
        <v>42204</v>
      </c>
      <c r="V23" s="51"/>
      <c r="W23" s="23"/>
      <c r="X23" s="27">
        <v>42204</v>
      </c>
      <c r="Y23" s="62"/>
      <c r="Z23" s="88"/>
      <c r="AA23" s="11" t="s">
        <v>332</v>
      </c>
      <c r="AB23" s="55">
        <v>0</v>
      </c>
      <c r="AC23" s="67"/>
      <c r="AD23" s="75"/>
    </row>
    <row r="24" spans="1:30" x14ac:dyDescent="0.25">
      <c r="A24" s="21"/>
      <c r="B24" s="39">
        <v>42205</v>
      </c>
      <c r="C24" s="45">
        <v>0</v>
      </c>
      <c r="D24" s="29"/>
      <c r="E24" s="26">
        <v>42205</v>
      </c>
      <c r="F24" s="51">
        <v>36723.5</v>
      </c>
      <c r="G24" s="23"/>
      <c r="H24" s="27">
        <v>42205</v>
      </c>
      <c r="I24" s="62">
        <v>200</v>
      </c>
      <c r="J24" s="88"/>
      <c r="K24" s="365" t="s">
        <v>332</v>
      </c>
      <c r="L24" s="55">
        <v>800</v>
      </c>
      <c r="M24" s="67" t="s">
        <v>553</v>
      </c>
      <c r="N24" s="75">
        <v>33850</v>
      </c>
      <c r="Q24" s="21"/>
      <c r="R24" s="39">
        <v>42205</v>
      </c>
      <c r="S24" s="45">
        <v>0</v>
      </c>
      <c r="T24" s="29"/>
      <c r="U24" s="26">
        <v>42205</v>
      </c>
      <c r="V24" s="51"/>
      <c r="W24" s="23"/>
      <c r="X24" s="27">
        <v>42205</v>
      </c>
      <c r="Y24" s="62"/>
      <c r="Z24" s="88"/>
      <c r="AA24" s="365">
        <v>42165</v>
      </c>
      <c r="AB24" s="55"/>
      <c r="AC24" s="67"/>
      <c r="AD24" s="75"/>
    </row>
    <row r="25" spans="1:30" x14ac:dyDescent="0.25">
      <c r="A25" s="21"/>
      <c r="B25" s="39">
        <v>42206</v>
      </c>
      <c r="C25" s="45">
        <v>0</v>
      </c>
      <c r="D25" s="22"/>
      <c r="E25" s="26">
        <v>42206</v>
      </c>
      <c r="F25" s="51">
        <v>29028</v>
      </c>
      <c r="G25" s="23"/>
      <c r="H25" s="27">
        <v>42206</v>
      </c>
      <c r="I25" s="62">
        <v>200</v>
      </c>
      <c r="J25" s="88"/>
      <c r="K25" s="11"/>
      <c r="L25" s="55"/>
      <c r="M25" s="67" t="s">
        <v>571</v>
      </c>
      <c r="N25" s="75">
        <v>30400</v>
      </c>
      <c r="Q25" s="21"/>
      <c r="R25" s="39">
        <v>42206</v>
      </c>
      <c r="S25" s="45">
        <v>0</v>
      </c>
      <c r="T25" s="22"/>
      <c r="U25" s="26">
        <v>42206</v>
      </c>
      <c r="V25" s="51"/>
      <c r="W25" s="23"/>
      <c r="X25" s="27">
        <v>42206</v>
      </c>
      <c r="Y25" s="62"/>
      <c r="Z25" s="88"/>
      <c r="AA25" s="11"/>
      <c r="AB25" s="55"/>
      <c r="AC25" s="67"/>
      <c r="AD25" s="75"/>
    </row>
    <row r="26" spans="1:30" x14ac:dyDescent="0.25">
      <c r="A26" s="21"/>
      <c r="B26" s="39">
        <v>42207</v>
      </c>
      <c r="C26" s="45">
        <v>0</v>
      </c>
      <c r="D26" s="29"/>
      <c r="E26" s="26">
        <v>42207</v>
      </c>
      <c r="F26" s="51">
        <v>31598</v>
      </c>
      <c r="G26" s="23"/>
      <c r="H26" s="27">
        <v>42207</v>
      </c>
      <c r="I26" s="62">
        <v>200</v>
      </c>
      <c r="J26" s="88"/>
      <c r="K26" s="11"/>
      <c r="L26" s="55"/>
      <c r="M26" s="67" t="s">
        <v>572</v>
      </c>
      <c r="N26" s="75">
        <v>29779</v>
      </c>
      <c r="Q26" s="21"/>
      <c r="R26" s="39">
        <v>42207</v>
      </c>
      <c r="S26" s="45">
        <v>0</v>
      </c>
      <c r="T26" s="29"/>
      <c r="U26" s="26">
        <v>42207</v>
      </c>
      <c r="V26" s="51"/>
      <c r="W26" s="23"/>
      <c r="X26" s="27">
        <v>42207</v>
      </c>
      <c r="Y26" s="62"/>
      <c r="Z26" s="88"/>
      <c r="AA26" s="11"/>
      <c r="AB26" s="55"/>
      <c r="AC26" s="67"/>
      <c r="AD26" s="75"/>
    </row>
    <row r="27" spans="1:30" x14ac:dyDescent="0.25">
      <c r="A27" s="21"/>
      <c r="B27" s="39">
        <v>42208</v>
      </c>
      <c r="C27" s="45">
        <v>0</v>
      </c>
      <c r="D27" s="29"/>
      <c r="E27" s="26">
        <v>42208</v>
      </c>
      <c r="F27" s="51">
        <v>49605</v>
      </c>
      <c r="G27" s="23"/>
      <c r="H27" s="27">
        <v>42208</v>
      </c>
      <c r="I27" s="62">
        <v>200</v>
      </c>
      <c r="J27" s="88"/>
      <c r="K27" s="11"/>
      <c r="L27" s="55"/>
      <c r="M27" s="201" t="s">
        <v>573</v>
      </c>
      <c r="N27" s="204">
        <v>49158</v>
      </c>
      <c r="Q27" s="21"/>
      <c r="R27" s="39">
        <v>42208</v>
      </c>
      <c r="S27" s="45">
        <v>0</v>
      </c>
      <c r="T27" s="29"/>
      <c r="U27" s="26">
        <v>42208</v>
      </c>
      <c r="V27" s="51"/>
      <c r="W27" s="23"/>
      <c r="X27" s="27">
        <v>42208</v>
      </c>
      <c r="Y27" s="62"/>
      <c r="Z27" s="88"/>
      <c r="AA27" s="11"/>
      <c r="AB27" s="55"/>
      <c r="AC27" s="201"/>
      <c r="AD27" s="204"/>
    </row>
    <row r="28" spans="1:30" x14ac:dyDescent="0.25">
      <c r="A28" s="21"/>
      <c r="B28" s="39">
        <v>42209</v>
      </c>
      <c r="C28" s="45">
        <v>0</v>
      </c>
      <c r="D28" s="29"/>
      <c r="E28" s="26">
        <v>42209</v>
      </c>
      <c r="F28" s="51">
        <v>49886.5</v>
      </c>
      <c r="G28" s="23"/>
      <c r="H28" s="27">
        <v>42209</v>
      </c>
      <c r="I28" s="62">
        <v>200</v>
      </c>
      <c r="J28" s="88"/>
      <c r="K28" s="11"/>
      <c r="L28" s="55"/>
      <c r="M28" s="201" t="s">
        <v>574</v>
      </c>
      <c r="N28" s="204">
        <v>50250</v>
      </c>
      <c r="Q28" s="21"/>
      <c r="R28" s="39">
        <v>42209</v>
      </c>
      <c r="S28" s="45">
        <v>0</v>
      </c>
      <c r="T28" s="29"/>
      <c r="U28" s="26">
        <v>42209</v>
      </c>
      <c r="V28" s="51"/>
      <c r="W28" s="23"/>
      <c r="X28" s="27">
        <v>42209</v>
      </c>
      <c r="Y28" s="62"/>
      <c r="Z28" s="88"/>
      <c r="AA28" s="11"/>
      <c r="AB28" s="55"/>
      <c r="AC28" s="201"/>
      <c r="AD28" s="204">
        <v>0</v>
      </c>
    </row>
    <row r="29" spans="1:30" x14ac:dyDescent="0.25">
      <c r="A29" s="21"/>
      <c r="B29" s="39">
        <v>42210</v>
      </c>
      <c r="C29" s="45">
        <v>0</v>
      </c>
      <c r="D29" s="29"/>
      <c r="E29" s="26">
        <v>42210</v>
      </c>
      <c r="F29" s="51">
        <v>63623</v>
      </c>
      <c r="G29" s="23"/>
      <c r="H29" s="27">
        <v>42210</v>
      </c>
      <c r="I29" s="62">
        <v>200</v>
      </c>
      <c r="J29" s="88"/>
      <c r="K29" s="11"/>
      <c r="L29" s="20"/>
      <c r="M29" s="67" t="s">
        <v>575</v>
      </c>
      <c r="N29" s="75">
        <v>62050</v>
      </c>
      <c r="Q29" s="21"/>
      <c r="R29" s="39">
        <v>42210</v>
      </c>
      <c r="S29" s="45">
        <v>0</v>
      </c>
      <c r="T29" s="29"/>
      <c r="U29" s="26">
        <v>42210</v>
      </c>
      <c r="V29" s="51"/>
      <c r="W29" s="23"/>
      <c r="X29" s="27">
        <v>42210</v>
      </c>
      <c r="Y29" s="62"/>
      <c r="Z29" s="88"/>
      <c r="AA29" s="11"/>
      <c r="AB29" s="20"/>
      <c r="AC29" s="67"/>
      <c r="AD29" s="75">
        <v>0</v>
      </c>
    </row>
    <row r="30" spans="1:30" x14ac:dyDescent="0.25">
      <c r="A30" s="21"/>
      <c r="B30" s="39">
        <v>42211</v>
      </c>
      <c r="C30" s="45">
        <v>0</v>
      </c>
      <c r="D30" s="22"/>
      <c r="E30" s="26">
        <v>42211</v>
      </c>
      <c r="F30" s="51">
        <v>70627.5</v>
      </c>
      <c r="G30" s="23"/>
      <c r="H30" s="27">
        <v>42211</v>
      </c>
      <c r="I30" s="62">
        <v>220</v>
      </c>
      <c r="J30" s="88"/>
      <c r="K30" s="11"/>
      <c r="L30" s="20"/>
      <c r="M30" s="201" t="s">
        <v>576</v>
      </c>
      <c r="N30" s="204">
        <v>70320</v>
      </c>
      <c r="Q30" s="21"/>
      <c r="R30" s="39">
        <v>42211</v>
      </c>
      <c r="S30" s="45">
        <v>0</v>
      </c>
      <c r="T30" s="22"/>
      <c r="U30" s="26">
        <v>42211</v>
      </c>
      <c r="V30" s="51"/>
      <c r="W30" s="23"/>
      <c r="X30" s="27">
        <v>42211</v>
      </c>
      <c r="Y30" s="62"/>
      <c r="Z30" s="88"/>
      <c r="AA30" s="11"/>
      <c r="AB30" s="20"/>
      <c r="AC30" s="201"/>
      <c r="AD30" s="204">
        <v>0</v>
      </c>
    </row>
    <row r="31" spans="1:30" x14ac:dyDescent="0.25">
      <c r="A31" s="21"/>
      <c r="B31" s="39">
        <v>42212</v>
      </c>
      <c r="C31" s="45">
        <v>0</v>
      </c>
      <c r="D31" s="22"/>
      <c r="E31" s="26">
        <v>42212</v>
      </c>
      <c r="F31" s="51">
        <v>44446</v>
      </c>
      <c r="G31" s="23"/>
      <c r="H31" s="27">
        <v>42212</v>
      </c>
      <c r="I31" s="62">
        <v>232</v>
      </c>
      <c r="J31" s="88"/>
      <c r="K31" s="11"/>
      <c r="L31" s="20"/>
      <c r="M31" s="201" t="s">
        <v>577</v>
      </c>
      <c r="N31" s="204">
        <v>43680</v>
      </c>
      <c r="Q31" s="21"/>
      <c r="R31" s="39">
        <v>42212</v>
      </c>
      <c r="S31" s="45">
        <v>0</v>
      </c>
      <c r="T31" s="22"/>
      <c r="U31" s="26">
        <v>42212</v>
      </c>
      <c r="V31" s="51"/>
      <c r="W31" s="23"/>
      <c r="X31" s="27">
        <v>42212</v>
      </c>
      <c r="Y31" s="62"/>
      <c r="Z31" s="88"/>
      <c r="AA31" s="11"/>
      <c r="AB31" s="20"/>
      <c r="AC31" s="201"/>
      <c r="AD31" s="204">
        <v>0</v>
      </c>
    </row>
    <row r="32" spans="1:30" x14ac:dyDescent="0.25">
      <c r="A32" s="21"/>
      <c r="B32" s="39">
        <v>42213</v>
      </c>
      <c r="C32" s="45">
        <v>0</v>
      </c>
      <c r="D32" s="22"/>
      <c r="E32" s="26">
        <v>42213</v>
      </c>
      <c r="F32" s="51">
        <v>32577.5</v>
      </c>
      <c r="G32" s="23"/>
      <c r="H32" s="27">
        <v>42213</v>
      </c>
      <c r="I32" s="62">
        <v>200</v>
      </c>
      <c r="J32" s="88"/>
      <c r="K32" s="11"/>
      <c r="L32" s="20"/>
      <c r="M32" s="67" t="s">
        <v>578</v>
      </c>
      <c r="N32" s="75">
        <v>30700</v>
      </c>
      <c r="Q32" s="21"/>
      <c r="R32" s="39">
        <v>42213</v>
      </c>
      <c r="S32" s="45">
        <v>0</v>
      </c>
      <c r="T32" s="22"/>
      <c r="U32" s="26">
        <v>42213</v>
      </c>
      <c r="V32" s="51"/>
      <c r="W32" s="23"/>
      <c r="X32" s="27">
        <v>42213</v>
      </c>
      <c r="Y32" s="62"/>
      <c r="Z32" s="88"/>
      <c r="AA32" s="11"/>
      <c r="AB32" s="20"/>
      <c r="AC32" s="67"/>
      <c r="AD32" s="75">
        <v>0</v>
      </c>
    </row>
    <row r="33" spans="1:30" x14ac:dyDescent="0.25">
      <c r="A33" s="21"/>
      <c r="B33" s="39">
        <v>42214</v>
      </c>
      <c r="C33" s="45">
        <v>0</v>
      </c>
      <c r="D33" s="32"/>
      <c r="E33" s="26">
        <v>42214</v>
      </c>
      <c r="F33" s="51">
        <v>37875.5</v>
      </c>
      <c r="G33" s="23"/>
      <c r="H33" s="27">
        <v>42214</v>
      </c>
      <c r="I33" s="62">
        <v>200</v>
      </c>
      <c r="J33" s="88"/>
      <c r="K33" s="11"/>
      <c r="L33" s="20"/>
      <c r="M33" s="67" t="s">
        <v>595</v>
      </c>
      <c r="N33" s="75">
        <v>40270</v>
      </c>
      <c r="Q33" s="21"/>
      <c r="R33" s="39">
        <v>42214</v>
      </c>
      <c r="S33" s="45">
        <v>0</v>
      </c>
      <c r="T33" s="32"/>
      <c r="U33" s="26">
        <v>42214</v>
      </c>
      <c r="V33" s="51"/>
      <c r="W33" s="23"/>
      <c r="X33" s="27">
        <v>42214</v>
      </c>
      <c r="Y33" s="62"/>
      <c r="Z33" s="88"/>
      <c r="AA33" s="11"/>
      <c r="AB33" s="20"/>
      <c r="AC33" s="67"/>
      <c r="AD33" s="75">
        <v>0</v>
      </c>
    </row>
    <row r="34" spans="1:30" x14ac:dyDescent="0.25">
      <c r="A34" s="21"/>
      <c r="B34" s="39">
        <v>42215</v>
      </c>
      <c r="C34" s="45">
        <v>0</v>
      </c>
      <c r="D34" s="72"/>
      <c r="E34" s="26">
        <v>42215</v>
      </c>
      <c r="F34" s="51">
        <v>52353</v>
      </c>
      <c r="G34" s="23"/>
      <c r="H34" s="27">
        <v>42215</v>
      </c>
      <c r="I34" s="62">
        <v>200</v>
      </c>
      <c r="J34" s="88"/>
      <c r="K34" s="11"/>
      <c r="L34" s="20"/>
      <c r="M34" s="258" t="s">
        <v>596</v>
      </c>
      <c r="N34" s="202">
        <v>52800</v>
      </c>
      <c r="Q34" s="21"/>
      <c r="R34" s="39">
        <v>42215</v>
      </c>
      <c r="S34" s="45">
        <v>0</v>
      </c>
      <c r="T34" s="72"/>
      <c r="U34" s="26">
        <v>42215</v>
      </c>
      <c r="V34" s="51"/>
      <c r="W34" s="23"/>
      <c r="X34" s="27">
        <v>42215</v>
      </c>
      <c r="Y34" s="62"/>
      <c r="Z34" s="88"/>
      <c r="AA34" s="11"/>
      <c r="AB34" s="20"/>
      <c r="AC34" s="258"/>
      <c r="AD34" s="202">
        <v>0</v>
      </c>
    </row>
    <row r="35" spans="1:30" ht="15.75" thickBot="1" x14ac:dyDescent="0.3">
      <c r="A35" s="21"/>
      <c r="B35" s="39">
        <v>42216</v>
      </c>
      <c r="C35" s="45">
        <v>0</v>
      </c>
      <c r="D35" s="22"/>
      <c r="E35" s="26">
        <v>42216</v>
      </c>
      <c r="F35" s="51">
        <v>53234</v>
      </c>
      <c r="G35" s="23"/>
      <c r="H35" s="27">
        <v>42216</v>
      </c>
      <c r="I35" s="62">
        <v>200</v>
      </c>
      <c r="J35" s="88"/>
      <c r="K35" s="11"/>
      <c r="L35" s="20"/>
      <c r="M35" s="71" t="s">
        <v>597</v>
      </c>
      <c r="N35" s="74">
        <v>53400</v>
      </c>
      <c r="Q35" s="21"/>
      <c r="R35" s="39">
        <v>42216</v>
      </c>
      <c r="S35" s="45">
        <v>0</v>
      </c>
      <c r="T35" s="22"/>
      <c r="U35" s="26">
        <v>42216</v>
      </c>
      <c r="V35" s="51"/>
      <c r="W35" s="23"/>
      <c r="X35" s="27">
        <v>42216</v>
      </c>
      <c r="Y35" s="62"/>
      <c r="Z35" s="88"/>
      <c r="AA35" s="11" t="s">
        <v>345</v>
      </c>
      <c r="AB35" s="20"/>
      <c r="AC35" s="71"/>
      <c r="AD35" s="74">
        <v>0</v>
      </c>
    </row>
    <row r="36" spans="1:30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90"/>
      <c r="N36" s="346">
        <v>0</v>
      </c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C36" s="377"/>
      <c r="AD36" s="346">
        <v>0</v>
      </c>
    </row>
    <row r="37" spans="1:30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90"/>
      <c r="N37" s="345">
        <f>SUM(N5:N36)</f>
        <v>1617633</v>
      </c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C37" s="377"/>
      <c r="AD37" s="345">
        <f>SUM(AD5:AD36)</f>
        <v>354630</v>
      </c>
    </row>
    <row r="38" spans="1:30" x14ac:dyDescent="0.25">
      <c r="B38" s="42" t="s">
        <v>1</v>
      </c>
      <c r="C38" s="48">
        <f>SUM(C5:C37)</f>
        <v>1773.55</v>
      </c>
      <c r="E38" s="387" t="s">
        <v>1</v>
      </c>
      <c r="F38" s="54">
        <f>SUM(F5:F37)</f>
        <v>1628013.5</v>
      </c>
      <c r="H38" s="389" t="s">
        <v>1</v>
      </c>
      <c r="I38" s="58">
        <f>SUM(I5:I37)</f>
        <v>6716</v>
      </c>
      <c r="J38" s="58"/>
      <c r="K38" s="17" t="s">
        <v>1</v>
      </c>
      <c r="L38" s="4">
        <f t="shared" ref="L38" si="0">SUM(L5:L37)</f>
        <v>70078.83</v>
      </c>
      <c r="M38" s="390"/>
      <c r="N38" s="202"/>
      <c r="R38" s="42" t="s">
        <v>1</v>
      </c>
      <c r="S38" s="48">
        <f>SUM(S5:S37)</f>
        <v>900</v>
      </c>
      <c r="U38" s="373" t="s">
        <v>1</v>
      </c>
      <c r="V38" s="54">
        <f>SUM(V5:V37)</f>
        <v>356867</v>
      </c>
      <c r="X38" s="375" t="s">
        <v>1</v>
      </c>
      <c r="Y38" s="58">
        <f>SUM(Y5:Y37)</f>
        <v>1200</v>
      </c>
      <c r="Z38" s="58"/>
      <c r="AA38" s="17" t="s">
        <v>1</v>
      </c>
      <c r="AB38" s="4">
        <f t="shared" ref="AB38" si="1">SUM(AB5:AB37)</f>
        <v>50028.91</v>
      </c>
      <c r="AC38" s="377"/>
      <c r="AD38" s="202"/>
    </row>
    <row r="39" spans="1:30" x14ac:dyDescent="0.25">
      <c r="B39" s="37"/>
      <c r="C39" s="43"/>
      <c r="F39" s="43"/>
      <c r="I39" s="43"/>
      <c r="J39" s="43"/>
      <c r="M39" s="390"/>
      <c r="N39" s="202"/>
      <c r="R39" s="37"/>
      <c r="S39" s="43"/>
      <c r="V39" s="43"/>
      <c r="Y39" s="43"/>
      <c r="Z39" s="43"/>
      <c r="AC39" s="377"/>
      <c r="AD39" s="202"/>
    </row>
    <row r="40" spans="1:30" ht="15.75" x14ac:dyDescent="0.25">
      <c r="A40" s="5"/>
      <c r="B40" s="37"/>
      <c r="C40" s="49">
        <v>0</v>
      </c>
      <c r="D40" s="13"/>
      <c r="E40" s="13"/>
      <c r="F40" s="55"/>
      <c r="H40" s="453" t="s">
        <v>7</v>
      </c>
      <c r="I40" s="454"/>
      <c r="J40" s="388"/>
      <c r="K40" s="455">
        <f>I38+L38</f>
        <v>76794.83</v>
      </c>
      <c r="L40" s="456"/>
      <c r="M40" s="390"/>
      <c r="N40" s="202"/>
      <c r="Q40" s="5"/>
      <c r="R40" s="37"/>
      <c r="S40" s="49">
        <v>0</v>
      </c>
      <c r="T40" s="13"/>
      <c r="U40" s="13"/>
      <c r="V40" s="55"/>
      <c r="X40" s="453" t="s">
        <v>7</v>
      </c>
      <c r="Y40" s="454"/>
      <c r="Z40" s="374"/>
      <c r="AA40" s="455">
        <f>Y38+AB38</f>
        <v>51228.91</v>
      </c>
      <c r="AB40" s="456"/>
      <c r="AC40" s="377"/>
      <c r="AD40" s="202"/>
    </row>
    <row r="41" spans="1:30" ht="15.75" x14ac:dyDescent="0.25">
      <c r="B41" s="37"/>
      <c r="C41" s="43"/>
      <c r="D41" s="447" t="s">
        <v>8</v>
      </c>
      <c r="E41" s="447"/>
      <c r="F41" s="56">
        <f>F38-K40</f>
        <v>1551218.67</v>
      </c>
      <c r="I41" s="65"/>
      <c r="J41" s="65"/>
      <c r="M41" s="390"/>
      <c r="N41" s="202"/>
      <c r="R41" s="37"/>
      <c r="S41" s="43"/>
      <c r="T41" s="447" t="s">
        <v>8</v>
      </c>
      <c r="U41" s="447"/>
      <c r="V41" s="56">
        <f>V38-AA40</f>
        <v>305638.08999999997</v>
      </c>
      <c r="Y41" s="65"/>
      <c r="Z41" s="65"/>
      <c r="AC41" s="377"/>
      <c r="AD41" s="202"/>
    </row>
    <row r="42" spans="1:30" x14ac:dyDescent="0.25">
      <c r="B42" s="37"/>
      <c r="C42" s="43"/>
      <c r="D42" s="13"/>
      <c r="E42" s="13" t="s">
        <v>0</v>
      </c>
      <c r="F42" s="56">
        <f>-C38</f>
        <v>-1773.55</v>
      </c>
      <c r="I42" s="43"/>
      <c r="J42" s="43"/>
      <c r="M42" s="390"/>
      <c r="N42" s="202"/>
      <c r="R42" s="37"/>
      <c r="S42" s="43"/>
      <c r="T42" s="13"/>
      <c r="U42" s="13" t="s">
        <v>0</v>
      </c>
      <c r="V42" s="56">
        <f>-S38</f>
        <v>-900</v>
      </c>
      <c r="Y42" s="43"/>
      <c r="Z42" s="43"/>
      <c r="AC42" s="377"/>
      <c r="AD42" s="202"/>
    </row>
    <row r="43" spans="1:30" ht="15.75" thickBot="1" x14ac:dyDescent="0.3">
      <c r="B43" s="37"/>
      <c r="C43" s="43" t="s">
        <v>12</v>
      </c>
      <c r="D43" t="s">
        <v>303</v>
      </c>
      <c r="F43" s="125">
        <v>-1486536.39</v>
      </c>
      <c r="I43" s="457"/>
      <c r="J43" s="457"/>
      <c r="K43" s="457"/>
      <c r="L43" s="2"/>
      <c r="M43" s="390"/>
      <c r="N43" s="202"/>
      <c r="R43" s="37"/>
      <c r="S43" s="43" t="s">
        <v>12</v>
      </c>
      <c r="T43" t="s">
        <v>303</v>
      </c>
      <c r="V43" s="125">
        <v>-311090.99</v>
      </c>
      <c r="Y43" s="457"/>
      <c r="Z43" s="457"/>
      <c r="AA43" s="457"/>
      <c r="AB43" s="2"/>
      <c r="AC43" s="377"/>
      <c r="AD43" s="202"/>
    </row>
    <row r="44" spans="1:30" ht="16.5" thickTop="1" x14ac:dyDescent="0.25">
      <c r="B44" s="37"/>
      <c r="C44" s="43"/>
      <c r="E44" s="5" t="s">
        <v>10</v>
      </c>
      <c r="F44" s="58">
        <f>SUM(F41:F43)</f>
        <v>62908.729999999981</v>
      </c>
      <c r="I44" s="489" t="s">
        <v>251</v>
      </c>
      <c r="J44" s="489"/>
      <c r="K44" s="474">
        <f>F46</f>
        <v>170158.52999999997</v>
      </c>
      <c r="L44" s="475"/>
      <c r="M44" s="390"/>
      <c r="N44" s="202"/>
      <c r="R44" s="37"/>
      <c r="S44" s="43"/>
      <c r="U44" s="5" t="s">
        <v>10</v>
      </c>
      <c r="V44" s="58">
        <f>SUM(V41:V43)</f>
        <v>-6352.9000000000233</v>
      </c>
      <c r="Y44" s="489" t="s">
        <v>251</v>
      </c>
      <c r="Z44" s="489"/>
      <c r="AA44" s="474">
        <f>V46</f>
        <v>92956.599999999977</v>
      </c>
      <c r="AB44" s="475"/>
      <c r="AC44" s="377"/>
      <c r="AD44" s="202"/>
    </row>
    <row r="45" spans="1:30" ht="16.5" thickBot="1" x14ac:dyDescent="0.3">
      <c r="B45" s="37"/>
      <c r="C45" s="43"/>
      <c r="D45" s="387" t="s">
        <v>9</v>
      </c>
      <c r="E45" s="387"/>
      <c r="F45" s="366">
        <v>107249.8</v>
      </c>
      <c r="I45" s="483" t="s">
        <v>2</v>
      </c>
      <c r="J45" s="483"/>
      <c r="K45" s="476">
        <v>-112018.27</v>
      </c>
      <c r="L45" s="476"/>
      <c r="M45" s="390"/>
      <c r="N45" s="202"/>
      <c r="R45" s="37"/>
      <c r="S45" s="43"/>
      <c r="T45" s="373" t="s">
        <v>9</v>
      </c>
      <c r="U45" s="373"/>
      <c r="V45" s="366">
        <v>99309.5</v>
      </c>
      <c r="Y45" s="483" t="s">
        <v>2</v>
      </c>
      <c r="Z45" s="483"/>
      <c r="AA45" s="476">
        <v>-112018.27</v>
      </c>
      <c r="AB45" s="476"/>
      <c r="AC45" s="377"/>
      <c r="AD45" s="202"/>
    </row>
    <row r="46" spans="1:30" ht="19.5" thickBot="1" x14ac:dyDescent="0.3">
      <c r="B46" s="37"/>
      <c r="C46" s="43"/>
      <c r="E46" s="6" t="s">
        <v>347</v>
      </c>
      <c r="F46" s="48">
        <f>F45+F44</f>
        <v>170158.52999999997</v>
      </c>
      <c r="J46" s="178"/>
      <c r="K46" s="477">
        <v>0</v>
      </c>
      <c r="L46" s="477"/>
      <c r="M46" s="390"/>
      <c r="N46" s="202"/>
      <c r="R46" s="37"/>
      <c r="S46" s="43"/>
      <c r="U46" s="6" t="s">
        <v>347</v>
      </c>
      <c r="V46" s="48">
        <f>V45+V44</f>
        <v>92956.599999999977</v>
      </c>
      <c r="Z46" s="178"/>
      <c r="AA46" s="477">
        <v>0</v>
      </c>
      <c r="AB46" s="477"/>
      <c r="AC46" s="377"/>
      <c r="AD46" s="202"/>
    </row>
    <row r="47" spans="1:30" ht="19.5" thickBot="1" x14ac:dyDescent="0.3">
      <c r="B47" s="37"/>
      <c r="C47" s="43"/>
      <c r="E47" s="5"/>
      <c r="F47" s="56"/>
      <c r="I47" s="487" t="s">
        <v>612</v>
      </c>
      <c r="J47" s="488"/>
      <c r="K47" s="480">
        <f>SUM(K44:L46)</f>
        <v>58140.259999999966</v>
      </c>
      <c r="L47" s="481"/>
      <c r="M47" s="390"/>
      <c r="N47" s="202"/>
      <c r="R47" s="37"/>
      <c r="S47" s="43"/>
      <c r="U47" s="5"/>
      <c r="V47" s="56"/>
      <c r="Y47" s="487" t="s">
        <v>401</v>
      </c>
      <c r="Z47" s="488"/>
      <c r="AA47" s="480">
        <f>SUM(AA44:AB46)</f>
        <v>-19061.670000000027</v>
      </c>
      <c r="AB47" s="481"/>
      <c r="AC47" s="377"/>
      <c r="AD47" s="202"/>
    </row>
    <row r="48" spans="1:30" x14ac:dyDescent="0.25">
      <c r="B48" s="37"/>
      <c r="C48" s="43"/>
      <c r="D48" s="457"/>
      <c r="E48" s="457"/>
      <c r="F48" s="58"/>
      <c r="I48" s="43"/>
      <c r="J48" s="43"/>
      <c r="M48" s="390"/>
      <c r="N48" s="202"/>
      <c r="R48" s="37"/>
      <c r="S48" s="43"/>
      <c r="T48" s="457"/>
      <c r="U48" s="457"/>
      <c r="V48" s="58"/>
      <c r="Y48" s="43"/>
      <c r="Z48" s="43"/>
      <c r="AC48" s="377"/>
      <c r="AD48" s="202"/>
    </row>
  </sheetData>
  <mergeCells count="30">
    <mergeCell ref="Y47:Z47"/>
    <mergeCell ref="AA47:AB47"/>
    <mergeCell ref="T48:U48"/>
    <mergeCell ref="Y43:AA43"/>
    <mergeCell ref="Y44:Z44"/>
    <mergeCell ref="AA44:AB44"/>
    <mergeCell ref="Y45:Z45"/>
    <mergeCell ref="AA45:AB45"/>
    <mergeCell ref="AA46:AB46"/>
    <mergeCell ref="T41:U41"/>
    <mergeCell ref="S1:AA1"/>
    <mergeCell ref="U4:V4"/>
    <mergeCell ref="Y4:AB4"/>
    <mergeCell ref="X40:Y40"/>
    <mergeCell ref="AA40:AB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51181102362204722" right="0.31496062992125984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Q151"/>
  <sheetViews>
    <sheetView topLeftCell="A25" workbookViewId="0">
      <selection activeCell="E44" sqref="E4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9.5703125" bestFit="1" customWidth="1"/>
  </cols>
  <sheetData>
    <row r="2" spans="1:17" ht="16.5" thickBot="1" x14ac:dyDescent="0.3">
      <c r="K2" s="104"/>
      <c r="L2" s="351">
        <v>42189</v>
      </c>
      <c r="M2" s="215"/>
      <c r="N2" s="134" t="s">
        <v>200</v>
      </c>
      <c r="O2" s="88"/>
    </row>
    <row r="3" spans="1:17" ht="16.5" thickBot="1" x14ac:dyDescent="0.3">
      <c r="C3" s="484" t="s">
        <v>240</v>
      </c>
      <c r="D3" s="485"/>
      <c r="E3" s="486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76" t="s">
        <v>297</v>
      </c>
      <c r="D4" s="376"/>
      <c r="E4" s="376" t="s">
        <v>298</v>
      </c>
      <c r="F4" s="331" t="s">
        <v>299</v>
      </c>
      <c r="J4" s="43">
        <f>18705</f>
        <v>18705</v>
      </c>
      <c r="K4" s="144">
        <v>24821</v>
      </c>
      <c r="L4" s="156">
        <v>12913.19</v>
      </c>
      <c r="M4" s="348"/>
      <c r="N4" s="113" t="s">
        <v>202</v>
      </c>
      <c r="O4" s="214">
        <v>8382</v>
      </c>
      <c r="P4" s="221">
        <v>42177</v>
      </c>
      <c r="Q4" s="21">
        <v>42176</v>
      </c>
    </row>
    <row r="5" spans="1:17" ht="15.75" x14ac:dyDescent="0.25">
      <c r="A5" s="243">
        <v>42186</v>
      </c>
      <c r="B5" s="244" t="s">
        <v>530</v>
      </c>
      <c r="C5" s="245">
        <v>4077</v>
      </c>
      <c r="D5" s="104">
        <v>42201</v>
      </c>
      <c r="E5" s="245">
        <v>4077</v>
      </c>
      <c r="F5" s="391">
        <f t="shared" ref="F5:F15" si="0">C5-E5</f>
        <v>0</v>
      </c>
      <c r="G5" s="105"/>
      <c r="H5" s="106"/>
      <c r="J5" s="43">
        <f>8382+45341</f>
        <v>53723</v>
      </c>
      <c r="K5" s="144">
        <v>24883</v>
      </c>
      <c r="L5" s="156">
        <v>53722.95</v>
      </c>
      <c r="M5" s="207"/>
      <c r="N5" s="113" t="s">
        <v>202</v>
      </c>
      <c r="O5" s="207">
        <v>18705</v>
      </c>
      <c r="P5" s="221">
        <v>42177</v>
      </c>
      <c r="Q5" s="21">
        <v>42176</v>
      </c>
    </row>
    <row r="6" spans="1:17" ht="15.75" x14ac:dyDescent="0.25">
      <c r="A6" s="143">
        <v>42187</v>
      </c>
      <c r="B6" s="144" t="s">
        <v>506</v>
      </c>
      <c r="C6" s="156">
        <v>104690.78</v>
      </c>
      <c r="D6" s="104" t="s">
        <v>543</v>
      </c>
      <c r="E6" s="156">
        <f>5792.82+98897.96</f>
        <v>104690.78</v>
      </c>
      <c r="F6" s="154">
        <f t="shared" si="0"/>
        <v>0</v>
      </c>
      <c r="G6" s="105"/>
      <c r="H6" s="108"/>
      <c r="J6" s="43">
        <f>24909+7091+1848</f>
        <v>33848</v>
      </c>
      <c r="K6" s="144" t="s">
        <v>482</v>
      </c>
      <c r="L6" s="156">
        <v>33848.199999999997</v>
      </c>
      <c r="M6" s="207"/>
      <c r="N6" s="113" t="s">
        <v>202</v>
      </c>
      <c r="O6" s="207">
        <v>45341</v>
      </c>
      <c r="P6" s="221">
        <v>42177</v>
      </c>
      <c r="Q6" s="21">
        <v>42176</v>
      </c>
    </row>
    <row r="7" spans="1:17" ht="15.75" x14ac:dyDescent="0.25">
      <c r="A7" s="143">
        <v>42188</v>
      </c>
      <c r="B7" s="144" t="s">
        <v>508</v>
      </c>
      <c r="C7" s="156">
        <v>43946.82</v>
      </c>
      <c r="D7" s="104">
        <v>42201</v>
      </c>
      <c r="E7" s="156">
        <v>43946.82</v>
      </c>
      <c r="F7" s="154">
        <f t="shared" si="0"/>
        <v>0</v>
      </c>
      <c r="G7" s="105"/>
      <c r="H7" s="108"/>
      <c r="J7" s="43">
        <f>9263.5+26040.5</f>
        <v>35304</v>
      </c>
      <c r="K7" s="144" t="s">
        <v>483</v>
      </c>
      <c r="L7" s="156">
        <v>35304.050000000003</v>
      </c>
      <c r="M7" s="130"/>
      <c r="N7" s="113" t="s">
        <v>202</v>
      </c>
      <c r="O7" s="207">
        <v>24909</v>
      </c>
      <c r="P7" s="221">
        <v>42177</v>
      </c>
    </row>
    <row r="8" spans="1:17" ht="15.75" x14ac:dyDescent="0.25">
      <c r="A8" s="143">
        <v>42188</v>
      </c>
      <c r="B8" s="144" t="s">
        <v>509</v>
      </c>
      <c r="C8" s="156">
        <v>62146.51</v>
      </c>
      <c r="D8" s="104">
        <v>42201</v>
      </c>
      <c r="E8" s="156">
        <v>62146.51</v>
      </c>
      <c r="F8" s="155">
        <f t="shared" si="0"/>
        <v>0</v>
      </c>
      <c r="H8" s="106"/>
      <c r="J8" s="43">
        <f>6920.5+27445</f>
        <v>34365.5</v>
      </c>
      <c r="K8" s="144" t="s">
        <v>484</v>
      </c>
      <c r="L8" s="156">
        <v>34365.360000000001</v>
      </c>
      <c r="M8" s="130"/>
      <c r="N8" s="113" t="s">
        <v>202</v>
      </c>
      <c r="O8" s="214">
        <v>7091</v>
      </c>
      <c r="P8" s="221">
        <v>42177</v>
      </c>
    </row>
    <row r="9" spans="1:17" ht="15.75" x14ac:dyDescent="0.25">
      <c r="A9" s="243">
        <v>42189</v>
      </c>
      <c r="B9" s="244" t="s">
        <v>510</v>
      </c>
      <c r="C9" s="245">
        <v>27111.7</v>
      </c>
      <c r="D9" s="104">
        <v>42201</v>
      </c>
      <c r="E9" s="245">
        <v>27111.7</v>
      </c>
      <c r="F9" s="155">
        <f t="shared" si="0"/>
        <v>0</v>
      </c>
      <c r="J9" s="43">
        <f>34614.5+9045.5+7300.5+51899.5+3589.5</f>
        <v>106449.5</v>
      </c>
      <c r="K9" s="292" t="s">
        <v>485</v>
      </c>
      <c r="L9" s="157">
        <v>106449.26</v>
      </c>
      <c r="M9" s="207"/>
      <c r="N9" s="113" t="s">
        <v>202</v>
      </c>
      <c r="O9" s="207">
        <v>9263.5</v>
      </c>
      <c r="P9" s="221">
        <v>42178</v>
      </c>
    </row>
    <row r="10" spans="1:17" ht="15.75" x14ac:dyDescent="0.25">
      <c r="A10" s="143">
        <v>42189</v>
      </c>
      <c r="B10" s="144" t="s">
        <v>511</v>
      </c>
      <c r="C10" s="156">
        <v>37830.6</v>
      </c>
      <c r="D10" s="104">
        <v>42201</v>
      </c>
      <c r="E10" s="156">
        <v>37830.6</v>
      </c>
      <c r="F10" s="155">
        <f t="shared" si="0"/>
        <v>0</v>
      </c>
      <c r="J10" s="43">
        <v>6843</v>
      </c>
      <c r="K10" s="292" t="s">
        <v>486</v>
      </c>
      <c r="L10" s="157">
        <v>6843.2</v>
      </c>
      <c r="M10" s="334"/>
      <c r="N10" s="113" t="s">
        <v>202</v>
      </c>
      <c r="O10" s="207">
        <v>1848</v>
      </c>
      <c r="P10" s="221">
        <v>42178</v>
      </c>
    </row>
    <row r="11" spans="1:17" ht="15.75" x14ac:dyDescent="0.25">
      <c r="A11" s="143">
        <v>42191</v>
      </c>
      <c r="B11" s="144" t="s">
        <v>512</v>
      </c>
      <c r="C11" s="156">
        <v>31287.58</v>
      </c>
      <c r="D11" s="104">
        <v>42201</v>
      </c>
      <c r="E11" s="156">
        <v>31287.58</v>
      </c>
      <c r="F11" s="155">
        <f t="shared" si="0"/>
        <v>0</v>
      </c>
      <c r="J11" s="43">
        <f>7807.5+5037.5</f>
        <v>12845</v>
      </c>
      <c r="K11" s="292" t="s">
        <v>490</v>
      </c>
      <c r="L11" s="157">
        <v>12844.8</v>
      </c>
      <c r="M11" s="321"/>
      <c r="N11" s="113" t="s">
        <v>202</v>
      </c>
      <c r="O11" s="207">
        <v>26040.5</v>
      </c>
      <c r="P11" s="221">
        <v>42178</v>
      </c>
      <c r="Q11" s="21"/>
    </row>
    <row r="12" spans="1:17" ht="15.75" x14ac:dyDescent="0.25">
      <c r="A12" s="143">
        <v>42192</v>
      </c>
      <c r="B12" s="144" t="s">
        <v>513</v>
      </c>
      <c r="C12" s="156">
        <v>54743.6</v>
      </c>
      <c r="D12" s="104">
        <v>42201</v>
      </c>
      <c r="E12" s="156">
        <v>54743.6</v>
      </c>
      <c r="F12" s="155">
        <f t="shared" si="0"/>
        <v>0</v>
      </c>
      <c r="J12" s="43">
        <f>23002+2119.5</f>
        <v>25121.5</v>
      </c>
      <c r="K12" s="292" t="s">
        <v>487</v>
      </c>
      <c r="L12" s="157">
        <v>25121.25</v>
      </c>
      <c r="M12" s="207"/>
      <c r="N12" s="113" t="s">
        <v>202</v>
      </c>
      <c r="O12" s="207">
        <v>34614.5</v>
      </c>
      <c r="P12" s="221">
        <v>42179</v>
      </c>
      <c r="Q12" s="21"/>
    </row>
    <row r="13" spans="1:17" ht="15.75" x14ac:dyDescent="0.25">
      <c r="A13" s="143">
        <v>42193</v>
      </c>
      <c r="B13" s="144" t="s">
        <v>514</v>
      </c>
      <c r="C13" s="156">
        <v>67359.12</v>
      </c>
      <c r="D13" s="104">
        <v>42201</v>
      </c>
      <c r="E13" s="156">
        <v>67359.12</v>
      </c>
      <c r="F13" s="155">
        <f t="shared" si="0"/>
        <v>0</v>
      </c>
      <c r="J13" s="43">
        <v>50517.5</v>
      </c>
      <c r="K13" s="306" t="s">
        <v>488</v>
      </c>
      <c r="L13" s="88">
        <v>50517.5</v>
      </c>
      <c r="M13" s="207"/>
      <c r="N13" s="113" t="s">
        <v>202</v>
      </c>
      <c r="O13" s="207">
        <v>9045.5</v>
      </c>
      <c r="P13" s="221">
        <v>42179</v>
      </c>
      <c r="Q13" s="21"/>
    </row>
    <row r="14" spans="1:17" ht="15.75" x14ac:dyDescent="0.25">
      <c r="A14" s="143">
        <v>42195</v>
      </c>
      <c r="B14" s="144" t="s">
        <v>515</v>
      </c>
      <c r="C14" s="156">
        <v>69655.06</v>
      </c>
      <c r="D14" s="104">
        <v>42201</v>
      </c>
      <c r="E14" s="156">
        <v>69655.06</v>
      </c>
      <c r="F14" s="155">
        <f t="shared" si="0"/>
        <v>0</v>
      </c>
      <c r="J14" s="43">
        <v>4929.5</v>
      </c>
      <c r="K14" s="307" t="s">
        <v>489</v>
      </c>
      <c r="L14" s="207">
        <v>4929.3999999999996</v>
      </c>
      <c r="M14" s="207"/>
      <c r="N14" s="113" t="s">
        <v>202</v>
      </c>
      <c r="O14" s="207">
        <v>7300.5</v>
      </c>
      <c r="P14" s="221">
        <v>42180</v>
      </c>
      <c r="Q14" s="21"/>
    </row>
    <row r="15" spans="1:17" ht="15.75" x14ac:dyDescent="0.25">
      <c r="A15" s="143">
        <v>42196</v>
      </c>
      <c r="B15" s="144" t="s">
        <v>516</v>
      </c>
      <c r="C15" s="156">
        <v>76226.3</v>
      </c>
      <c r="D15" s="328">
        <v>42201</v>
      </c>
      <c r="E15" s="156">
        <v>76226.3</v>
      </c>
      <c r="F15" s="155">
        <f t="shared" si="0"/>
        <v>0</v>
      </c>
      <c r="J15" s="43">
        <f>8100+12588.5+8273+63067</f>
        <v>92028.5</v>
      </c>
      <c r="K15" s="307" t="s">
        <v>491</v>
      </c>
      <c r="L15" s="207">
        <v>92028.44</v>
      </c>
      <c r="M15" s="207"/>
      <c r="N15" s="113" t="s">
        <v>202</v>
      </c>
      <c r="O15" s="207">
        <v>51899.5</v>
      </c>
      <c r="P15" s="221">
        <v>42180</v>
      </c>
    </row>
    <row r="16" spans="1:17" ht="15.75" x14ac:dyDescent="0.25">
      <c r="A16" s="143">
        <v>42196</v>
      </c>
      <c r="B16" s="144" t="s">
        <v>517</v>
      </c>
      <c r="C16" s="156">
        <v>31381.200000000001</v>
      </c>
      <c r="D16" s="104">
        <v>42201</v>
      </c>
      <c r="E16" s="156">
        <v>31381.200000000001</v>
      </c>
      <c r="F16" s="155">
        <f t="shared" ref="F16:F24" si="1">C16-E16</f>
        <v>0</v>
      </c>
      <c r="J16" s="43">
        <v>2229.5</v>
      </c>
      <c r="K16" s="282" t="s">
        <v>492</v>
      </c>
      <c r="L16" s="207">
        <v>2229.2800000000002</v>
      </c>
      <c r="M16" s="207"/>
      <c r="N16" s="113" t="s">
        <v>202</v>
      </c>
      <c r="O16" s="207">
        <v>6920.5</v>
      </c>
      <c r="P16" s="221">
        <v>42181</v>
      </c>
    </row>
    <row r="17" spans="1:17" ht="15.75" x14ac:dyDescent="0.25">
      <c r="A17" s="143">
        <v>42197</v>
      </c>
      <c r="B17" s="144" t="s">
        <v>538</v>
      </c>
      <c r="C17" s="156">
        <v>76233.72</v>
      </c>
      <c r="D17" s="104" t="s">
        <v>559</v>
      </c>
      <c r="E17" s="156">
        <f>49181.55+27052.17</f>
        <v>76233.72</v>
      </c>
      <c r="F17" s="155">
        <f t="shared" si="1"/>
        <v>0</v>
      </c>
      <c r="G17" s="105"/>
      <c r="J17" s="43">
        <v>3272</v>
      </c>
      <c r="K17" s="293" t="s">
        <v>493</v>
      </c>
      <c r="L17" s="130">
        <v>3271.8</v>
      </c>
      <c r="M17" s="334"/>
      <c r="N17" s="113" t="s">
        <v>202</v>
      </c>
      <c r="O17" s="207">
        <v>6843</v>
      </c>
      <c r="P17" s="221">
        <v>42181</v>
      </c>
    </row>
    <row r="18" spans="1:17" ht="15.75" x14ac:dyDescent="0.25">
      <c r="A18" s="143">
        <v>42198</v>
      </c>
      <c r="B18" s="144" t="s">
        <v>539</v>
      </c>
      <c r="C18" s="156">
        <v>8037</v>
      </c>
      <c r="D18" s="104">
        <v>42207</v>
      </c>
      <c r="E18" s="156">
        <v>8037</v>
      </c>
      <c r="F18" s="155">
        <f t="shared" si="1"/>
        <v>0</v>
      </c>
      <c r="J18" s="43">
        <f>10456+22000+21744+6405</f>
        <v>60605</v>
      </c>
      <c r="K18" s="293" t="s">
        <v>494</v>
      </c>
      <c r="L18" s="130">
        <v>60605.25</v>
      </c>
      <c r="M18" s="207"/>
      <c r="N18" s="113" t="s">
        <v>202</v>
      </c>
      <c r="O18" s="207">
        <v>3589.5</v>
      </c>
      <c r="P18" s="221">
        <v>42181</v>
      </c>
      <c r="Q18" s="21"/>
    </row>
    <row r="19" spans="1:17" ht="15.75" x14ac:dyDescent="0.25">
      <c r="A19" s="143">
        <v>42199</v>
      </c>
      <c r="B19" s="144" t="s">
        <v>540</v>
      </c>
      <c r="C19" s="156">
        <v>13439.7</v>
      </c>
      <c r="D19" s="104">
        <v>42207</v>
      </c>
      <c r="E19" s="156">
        <v>13439.7</v>
      </c>
      <c r="F19" s="155">
        <f t="shared" si="1"/>
        <v>0</v>
      </c>
      <c r="J19" s="43">
        <f>27628+9001</f>
        <v>36629</v>
      </c>
      <c r="K19" s="297" t="s">
        <v>495</v>
      </c>
      <c r="L19" s="230">
        <v>36628.75</v>
      </c>
      <c r="M19" s="207"/>
      <c r="N19" s="113" t="s">
        <v>202</v>
      </c>
      <c r="O19" s="207">
        <v>23002</v>
      </c>
      <c r="P19" s="221">
        <v>42181</v>
      </c>
      <c r="Q19" s="21"/>
    </row>
    <row r="20" spans="1:17" ht="15.75" x14ac:dyDescent="0.25">
      <c r="A20" s="143">
        <v>42200</v>
      </c>
      <c r="B20" s="144" t="s">
        <v>541</v>
      </c>
      <c r="C20" s="156">
        <v>28302.37</v>
      </c>
      <c r="D20" s="104">
        <v>42207</v>
      </c>
      <c r="E20" s="156">
        <v>28302.37</v>
      </c>
      <c r="F20" s="155">
        <f t="shared" si="1"/>
        <v>0</v>
      </c>
      <c r="J20" s="43">
        <v>0</v>
      </c>
      <c r="K20" s="144" t="s">
        <v>506</v>
      </c>
      <c r="L20" s="156">
        <v>5792.82</v>
      </c>
      <c r="M20" s="207" t="s">
        <v>361</v>
      </c>
      <c r="N20" s="113" t="s">
        <v>202</v>
      </c>
      <c r="O20" s="207">
        <v>27445</v>
      </c>
      <c r="P20" s="221">
        <v>42181</v>
      </c>
      <c r="Q20" s="21"/>
    </row>
    <row r="21" spans="1:17" ht="15.75" x14ac:dyDescent="0.25">
      <c r="A21" s="143">
        <v>42200</v>
      </c>
      <c r="B21" s="144" t="s">
        <v>544</v>
      </c>
      <c r="C21" s="156">
        <v>23684.400000000001</v>
      </c>
      <c r="D21" s="104">
        <v>42207</v>
      </c>
      <c r="E21" s="156">
        <v>23684.400000000001</v>
      </c>
      <c r="F21" s="155">
        <f t="shared" si="1"/>
        <v>0</v>
      </c>
      <c r="J21" s="43">
        <f>SUM(J4:J20)</f>
        <v>577415.5</v>
      </c>
      <c r="K21" s="144"/>
      <c r="L21" s="156"/>
      <c r="M21" s="207"/>
      <c r="N21" s="113" t="s">
        <v>202</v>
      </c>
      <c r="O21" s="207">
        <v>8100</v>
      </c>
      <c r="P21" s="221">
        <v>42184</v>
      </c>
      <c r="Q21" s="21">
        <v>42182</v>
      </c>
    </row>
    <row r="22" spans="1:17" ht="15.75" x14ac:dyDescent="0.25">
      <c r="A22" s="143">
        <v>42200</v>
      </c>
      <c r="B22" s="144" t="s">
        <v>542</v>
      </c>
      <c r="C22" s="157">
        <v>46455.13</v>
      </c>
      <c r="D22" s="104">
        <v>42207</v>
      </c>
      <c r="E22" s="157">
        <v>46455.13</v>
      </c>
      <c r="F22" s="155">
        <f t="shared" si="1"/>
        <v>0</v>
      </c>
      <c r="K22" s="144"/>
      <c r="L22" s="156"/>
      <c r="M22" s="207"/>
      <c r="N22" s="113" t="s">
        <v>461</v>
      </c>
      <c r="O22" s="207">
        <v>7807.5</v>
      </c>
      <c r="P22" s="221">
        <v>42182</v>
      </c>
      <c r="Q22" s="21"/>
    </row>
    <row r="23" spans="1:17" ht="15.75" x14ac:dyDescent="0.25">
      <c r="A23" s="143">
        <v>42201</v>
      </c>
      <c r="B23" s="144" t="s">
        <v>545</v>
      </c>
      <c r="C23" s="130">
        <v>58032.81</v>
      </c>
      <c r="D23" s="104">
        <v>42207</v>
      </c>
      <c r="E23" s="130">
        <v>58032.81</v>
      </c>
      <c r="F23" s="155">
        <f t="shared" si="1"/>
        <v>0</v>
      </c>
      <c r="K23" s="144"/>
      <c r="L23" s="156"/>
      <c r="M23" s="260"/>
      <c r="N23" s="113" t="s">
        <v>461</v>
      </c>
      <c r="O23" s="207">
        <v>2119.5</v>
      </c>
      <c r="P23" s="221">
        <v>42182</v>
      </c>
    </row>
    <row r="24" spans="1:17" ht="15.75" x14ac:dyDescent="0.25">
      <c r="A24" s="143">
        <v>42202</v>
      </c>
      <c r="B24" s="144" t="s">
        <v>554</v>
      </c>
      <c r="C24" s="156">
        <v>48325.05</v>
      </c>
      <c r="D24" s="104">
        <v>42207</v>
      </c>
      <c r="E24" s="156">
        <v>48325.05</v>
      </c>
      <c r="F24" s="155">
        <f t="shared" si="1"/>
        <v>0</v>
      </c>
      <c r="K24" s="144"/>
      <c r="L24" s="156"/>
      <c r="M24" s="130"/>
      <c r="N24" s="113" t="s">
        <v>461</v>
      </c>
      <c r="O24" s="207">
        <v>4929.5</v>
      </c>
      <c r="P24" s="221">
        <v>42182</v>
      </c>
    </row>
    <row r="25" spans="1:17" ht="15.75" x14ac:dyDescent="0.25">
      <c r="A25" s="143">
        <v>42203</v>
      </c>
      <c r="B25" s="144" t="s">
        <v>555</v>
      </c>
      <c r="C25" s="156">
        <v>13529.7</v>
      </c>
      <c r="D25" s="104">
        <v>42207</v>
      </c>
      <c r="E25" s="156">
        <v>13529.7</v>
      </c>
      <c r="F25" s="155">
        <f t="shared" ref="F25:F44" si="2">C25-E25</f>
        <v>0</v>
      </c>
      <c r="K25" s="144"/>
      <c r="L25" s="156"/>
      <c r="M25" s="207"/>
      <c r="N25" s="113" t="s">
        <v>461</v>
      </c>
      <c r="O25" s="214">
        <v>5037.5</v>
      </c>
      <c r="P25" s="221">
        <v>42182</v>
      </c>
    </row>
    <row r="26" spans="1:17" ht="15.75" x14ac:dyDescent="0.25">
      <c r="A26" s="143">
        <v>42203</v>
      </c>
      <c r="B26" s="144" t="s">
        <v>556</v>
      </c>
      <c r="C26" s="156">
        <v>47909.4</v>
      </c>
      <c r="D26" s="104">
        <v>42207</v>
      </c>
      <c r="E26" s="156">
        <v>47909.4</v>
      </c>
      <c r="F26" s="155">
        <f t="shared" si="2"/>
        <v>0</v>
      </c>
      <c r="K26" s="144"/>
      <c r="L26" s="156"/>
      <c r="M26" s="207"/>
      <c r="N26" s="113" t="s">
        <v>505</v>
      </c>
      <c r="O26" s="207">
        <v>12588.5</v>
      </c>
      <c r="P26" s="221">
        <v>42182</v>
      </c>
    </row>
    <row r="27" spans="1:17" ht="15.75" x14ac:dyDescent="0.25">
      <c r="A27" s="143">
        <v>42204</v>
      </c>
      <c r="B27" s="144" t="s">
        <v>557</v>
      </c>
      <c r="C27" s="156">
        <v>47261.7</v>
      </c>
      <c r="D27" s="104" t="s">
        <v>580</v>
      </c>
      <c r="E27" s="156">
        <f>34690.47+12571.23</f>
        <v>47261.7</v>
      </c>
      <c r="F27" s="155">
        <f t="shared" si="2"/>
        <v>0</v>
      </c>
      <c r="K27" s="264"/>
      <c r="L27" s="207"/>
      <c r="M27" s="207"/>
      <c r="N27" s="113" t="s">
        <v>505</v>
      </c>
      <c r="O27" s="207">
        <v>50517.5</v>
      </c>
      <c r="P27" s="221">
        <v>42182</v>
      </c>
    </row>
    <row r="28" spans="1:17" ht="15.75" x14ac:dyDescent="0.25">
      <c r="A28" s="143">
        <v>42205</v>
      </c>
      <c r="B28" s="144" t="s">
        <v>558</v>
      </c>
      <c r="C28" s="156">
        <v>1269.5999999999999</v>
      </c>
      <c r="D28" s="104">
        <v>42216</v>
      </c>
      <c r="E28" s="156">
        <v>1269.5999999999999</v>
      </c>
      <c r="F28" s="155">
        <f t="shared" ref="F28:F40" si="3">C28-E28</f>
        <v>0</v>
      </c>
      <c r="K28" s="264"/>
      <c r="L28" s="130"/>
      <c r="M28" s="130"/>
      <c r="N28" s="113" t="s">
        <v>202</v>
      </c>
      <c r="O28" s="207">
        <v>8273</v>
      </c>
      <c r="P28" s="221">
        <v>42184</v>
      </c>
      <c r="Q28" s="21">
        <v>42183</v>
      </c>
    </row>
    <row r="29" spans="1:17" ht="15.75" x14ac:dyDescent="0.25">
      <c r="A29" s="143">
        <v>42207</v>
      </c>
      <c r="B29" s="144" t="s">
        <v>561</v>
      </c>
      <c r="C29" s="156">
        <v>29779.47</v>
      </c>
      <c r="D29" s="104">
        <v>42216</v>
      </c>
      <c r="E29" s="156">
        <v>29779.47</v>
      </c>
      <c r="F29" s="155">
        <f t="shared" si="3"/>
        <v>0</v>
      </c>
      <c r="K29" s="193"/>
      <c r="L29" s="207"/>
      <c r="M29" s="207"/>
      <c r="N29" s="113" t="s">
        <v>202</v>
      </c>
      <c r="O29" s="207">
        <v>2229.5</v>
      </c>
      <c r="P29" s="221">
        <v>42184</v>
      </c>
      <c r="Q29" s="21">
        <v>42183</v>
      </c>
    </row>
    <row r="30" spans="1:17" ht="15.75" x14ac:dyDescent="0.25">
      <c r="A30" s="143">
        <v>42208</v>
      </c>
      <c r="B30" s="144" t="s">
        <v>562</v>
      </c>
      <c r="C30" s="156">
        <v>69324.88</v>
      </c>
      <c r="D30" s="104">
        <v>42216</v>
      </c>
      <c r="E30" s="156">
        <v>69324.88</v>
      </c>
      <c r="F30" s="155">
        <f t="shared" si="3"/>
        <v>0</v>
      </c>
      <c r="K30" s="193"/>
      <c r="L30" s="207"/>
      <c r="M30" s="207"/>
      <c r="N30" s="113" t="s">
        <v>202</v>
      </c>
      <c r="O30" s="214">
        <v>3272</v>
      </c>
      <c r="P30" s="221">
        <v>42184</v>
      </c>
      <c r="Q30" s="21">
        <v>42183</v>
      </c>
    </row>
    <row r="31" spans="1:17" ht="15.75" x14ac:dyDescent="0.25">
      <c r="A31" s="143">
        <v>42209</v>
      </c>
      <c r="B31" s="144" t="s">
        <v>563</v>
      </c>
      <c r="C31" s="156">
        <v>3333.4</v>
      </c>
      <c r="D31" s="104">
        <v>42216</v>
      </c>
      <c r="E31" s="103">
        <v>3333.4</v>
      </c>
      <c r="F31" s="155">
        <f t="shared" si="3"/>
        <v>0</v>
      </c>
      <c r="K31" s="193"/>
      <c r="L31" s="207"/>
      <c r="M31" s="207"/>
      <c r="N31" s="113" t="s">
        <v>202</v>
      </c>
      <c r="O31" s="207">
        <v>63067</v>
      </c>
      <c r="P31" s="221">
        <v>42184</v>
      </c>
      <c r="Q31" s="21">
        <v>42183</v>
      </c>
    </row>
    <row r="32" spans="1:17" ht="15.75" x14ac:dyDescent="0.25">
      <c r="A32" s="143">
        <v>42210</v>
      </c>
      <c r="B32" s="144" t="s">
        <v>564</v>
      </c>
      <c r="C32" s="156">
        <v>25436.7</v>
      </c>
      <c r="D32" s="104">
        <v>42216</v>
      </c>
      <c r="E32" s="88">
        <v>25436.7</v>
      </c>
      <c r="F32" s="155">
        <f t="shared" si="3"/>
        <v>0</v>
      </c>
      <c r="K32" s="193"/>
      <c r="L32" s="207"/>
      <c r="M32" s="207"/>
      <c r="N32" s="113" t="s">
        <v>202</v>
      </c>
      <c r="O32" s="207">
        <v>10456</v>
      </c>
      <c r="P32" s="221">
        <v>42184</v>
      </c>
    </row>
    <row r="33" spans="1:17" ht="15.75" x14ac:dyDescent="0.25">
      <c r="A33" s="143">
        <v>42210</v>
      </c>
      <c r="B33" s="144" t="s">
        <v>565</v>
      </c>
      <c r="C33" s="156">
        <v>25841.7</v>
      </c>
      <c r="D33" s="104">
        <v>42216</v>
      </c>
      <c r="E33" s="88">
        <v>25841.7</v>
      </c>
      <c r="F33" s="155">
        <f t="shared" si="3"/>
        <v>0</v>
      </c>
      <c r="K33" s="206"/>
      <c r="L33" s="207"/>
      <c r="M33" s="207"/>
      <c r="N33" s="113" t="s">
        <v>202</v>
      </c>
      <c r="O33" s="207">
        <v>22000</v>
      </c>
      <c r="P33" s="221">
        <v>42185</v>
      </c>
      <c r="Q33" s="21">
        <v>42184</v>
      </c>
    </row>
    <row r="34" spans="1:17" ht="15.75" x14ac:dyDescent="0.25">
      <c r="A34" s="143">
        <v>42210</v>
      </c>
      <c r="B34" s="144" t="s">
        <v>566</v>
      </c>
      <c r="C34" s="156">
        <v>49863.35</v>
      </c>
      <c r="D34" s="104">
        <v>42216</v>
      </c>
      <c r="E34" s="103">
        <v>49863.35</v>
      </c>
      <c r="F34" s="155">
        <f t="shared" si="3"/>
        <v>0</v>
      </c>
      <c r="K34" s="206"/>
      <c r="L34" s="207"/>
      <c r="M34" s="207"/>
      <c r="N34" s="113" t="s">
        <v>202</v>
      </c>
      <c r="O34" s="207">
        <v>21744</v>
      </c>
      <c r="P34" s="222">
        <v>42184</v>
      </c>
    </row>
    <row r="35" spans="1:17" ht="15.75" x14ac:dyDescent="0.25">
      <c r="A35" s="143">
        <v>42211</v>
      </c>
      <c r="B35" s="144" t="s">
        <v>567</v>
      </c>
      <c r="C35" s="156">
        <v>29047.599999999999</v>
      </c>
      <c r="D35" s="104">
        <v>42216</v>
      </c>
      <c r="E35" s="103">
        <v>29047.599999999999</v>
      </c>
      <c r="F35" s="155">
        <f t="shared" si="3"/>
        <v>0</v>
      </c>
      <c r="K35" s="193"/>
      <c r="L35" s="207"/>
      <c r="M35" s="207"/>
      <c r="N35" s="113" t="s">
        <v>202</v>
      </c>
      <c r="O35" s="207">
        <v>27628</v>
      </c>
      <c r="P35" s="221">
        <v>42185</v>
      </c>
    </row>
    <row r="36" spans="1:17" ht="15.75" x14ac:dyDescent="0.25">
      <c r="A36" s="143">
        <v>42212</v>
      </c>
      <c r="B36" s="292" t="s">
        <v>568</v>
      </c>
      <c r="C36" s="157">
        <v>33606.400000000001</v>
      </c>
      <c r="D36" s="320" t="s">
        <v>610</v>
      </c>
      <c r="E36" s="184">
        <f>20439.57+13166.83</f>
        <v>33606.400000000001</v>
      </c>
      <c r="F36" s="155">
        <f t="shared" si="3"/>
        <v>0</v>
      </c>
      <c r="K36" s="119"/>
      <c r="L36" s="121"/>
      <c r="M36" s="121"/>
      <c r="N36" s="113" t="s">
        <v>202</v>
      </c>
      <c r="O36" s="121">
        <v>6405</v>
      </c>
      <c r="P36" s="222">
        <v>42185</v>
      </c>
    </row>
    <row r="37" spans="1:17" ht="15.75" x14ac:dyDescent="0.25">
      <c r="A37" s="143">
        <v>42213</v>
      </c>
      <c r="B37" s="292" t="s">
        <v>569</v>
      </c>
      <c r="C37" s="157">
        <v>60131.68</v>
      </c>
      <c r="D37" s="416">
        <v>42228</v>
      </c>
      <c r="E37" s="318">
        <v>60131.68</v>
      </c>
      <c r="F37" s="155">
        <f t="shared" si="3"/>
        <v>0</v>
      </c>
      <c r="K37" s="237"/>
      <c r="L37" s="238"/>
      <c r="M37" s="238"/>
      <c r="N37" s="132" t="s">
        <v>202</v>
      </c>
      <c r="O37" s="238">
        <v>9001</v>
      </c>
      <c r="P37" s="378">
        <v>42185</v>
      </c>
    </row>
    <row r="38" spans="1:17" ht="15.75" thickBot="1" x14ac:dyDescent="0.3">
      <c r="A38" s="285">
        <v>42214</v>
      </c>
      <c r="B38" s="407" t="s">
        <v>582</v>
      </c>
      <c r="C38" s="121">
        <v>28341.77</v>
      </c>
      <c r="D38" s="419">
        <v>42228</v>
      </c>
      <c r="E38" s="418">
        <v>28341.77</v>
      </c>
      <c r="F38" s="207">
        <f t="shared" si="3"/>
        <v>0</v>
      </c>
      <c r="K38" s="379"/>
      <c r="L38" s="380"/>
      <c r="M38" s="380"/>
      <c r="N38" s="380"/>
      <c r="O38" s="380">
        <v>0</v>
      </c>
      <c r="P38" s="381"/>
    </row>
    <row r="39" spans="1:17" ht="18.75" x14ac:dyDescent="0.3">
      <c r="A39" s="285">
        <v>42214</v>
      </c>
      <c r="B39" s="240" t="s">
        <v>581</v>
      </c>
      <c r="C39" s="121">
        <v>5216.3999999999996</v>
      </c>
      <c r="D39" s="417">
        <v>42228</v>
      </c>
      <c r="E39" s="418">
        <v>5216.3999999999996</v>
      </c>
      <c r="F39" s="207">
        <f t="shared" si="3"/>
        <v>0</v>
      </c>
      <c r="L39" s="131">
        <f>SUM(L4:L37)</f>
        <v>577415.5</v>
      </c>
      <c r="M39" s="131"/>
      <c r="N39" s="131"/>
      <c r="O39" s="131">
        <f>SUM(O4:O38)</f>
        <v>577415.5</v>
      </c>
    </row>
    <row r="40" spans="1:17" x14ac:dyDescent="0.25">
      <c r="A40" s="143">
        <v>42215</v>
      </c>
      <c r="B40" s="293" t="s">
        <v>570</v>
      </c>
      <c r="C40" s="207">
        <v>103676.19</v>
      </c>
      <c r="D40" s="417">
        <v>42228</v>
      </c>
      <c r="E40" s="418">
        <v>103676.19</v>
      </c>
      <c r="F40" s="207">
        <f t="shared" si="3"/>
        <v>0</v>
      </c>
    </row>
    <row r="41" spans="1:17" x14ac:dyDescent="0.25">
      <c r="A41" s="406"/>
      <c r="B41" s="291"/>
      <c r="C41" s="150"/>
      <c r="D41" s="159"/>
      <c r="E41" s="150"/>
      <c r="F41" s="207">
        <f t="shared" si="2"/>
        <v>0</v>
      </c>
    </row>
    <row r="42" spans="1:17" x14ac:dyDescent="0.25">
      <c r="A42" s="285"/>
      <c r="B42" s="290"/>
      <c r="C42" s="150"/>
      <c r="D42" s="300"/>
      <c r="E42" s="121"/>
      <c r="F42" s="207">
        <f t="shared" si="2"/>
        <v>0</v>
      </c>
    </row>
    <row r="43" spans="1:17" ht="15.75" x14ac:dyDescent="0.25">
      <c r="A43" s="285"/>
      <c r="B43" s="290"/>
      <c r="C43" s="150"/>
      <c r="D43" s="150"/>
      <c r="E43" s="121"/>
      <c r="F43" s="207">
        <f t="shared" si="2"/>
        <v>0</v>
      </c>
      <c r="H43" s="28"/>
      <c r="J43" s="49"/>
      <c r="K43" s="104"/>
      <c r="L43" s="399">
        <v>42201</v>
      </c>
      <c r="M43" s="215"/>
      <c r="N43" s="134" t="s">
        <v>200</v>
      </c>
      <c r="O43" s="88"/>
      <c r="Q43" s="28"/>
    </row>
    <row r="44" spans="1:17" x14ac:dyDescent="0.25">
      <c r="A44" s="285"/>
      <c r="B44" s="290"/>
      <c r="C44" s="150"/>
      <c r="D44" s="150"/>
      <c r="E44" s="121"/>
      <c r="F44" s="207">
        <f t="shared" si="2"/>
        <v>0</v>
      </c>
      <c r="H44" s="28"/>
      <c r="J44" s="49"/>
      <c r="K44" s="104"/>
      <c r="L44" s="103"/>
      <c r="M44" s="103"/>
      <c r="N44" s="103"/>
      <c r="O44" s="213"/>
      <c r="Q44" s="28"/>
    </row>
    <row r="45" spans="1:17" ht="15.75" x14ac:dyDescent="0.25">
      <c r="A45" s="406"/>
      <c r="B45" s="291"/>
      <c r="C45" s="150"/>
      <c r="D45" s="119"/>
      <c r="E45" s="150"/>
      <c r="F45" s="332"/>
      <c r="H45" s="28"/>
      <c r="J45" s="49">
        <v>4077</v>
      </c>
      <c r="K45" s="144" t="s">
        <v>530</v>
      </c>
      <c r="L45" s="156">
        <v>4077</v>
      </c>
      <c r="M45" s="348"/>
      <c r="N45" s="113" t="s">
        <v>461</v>
      </c>
      <c r="O45" s="214">
        <v>7944.5</v>
      </c>
      <c r="P45" s="221">
        <v>42186</v>
      </c>
      <c r="Q45" s="252"/>
    </row>
    <row r="46" spans="1:17" ht="15.75" x14ac:dyDescent="0.25">
      <c r="A46" s="406"/>
      <c r="B46" s="291"/>
      <c r="C46" s="150"/>
      <c r="D46" s="119"/>
      <c r="E46" s="150"/>
      <c r="F46" s="332"/>
      <c r="H46" s="28"/>
      <c r="J46" s="49">
        <f>7944.5+21235.5+41372+8328+25811</f>
        <v>104691</v>
      </c>
      <c r="K46" s="144" t="s">
        <v>506</v>
      </c>
      <c r="L46" s="156">
        <v>98897.76</v>
      </c>
      <c r="M46" s="207"/>
      <c r="N46" s="113" t="s">
        <v>461</v>
      </c>
      <c r="O46" s="207">
        <v>21235.5</v>
      </c>
      <c r="P46" s="221">
        <v>42186</v>
      </c>
      <c r="Q46" s="28"/>
    </row>
    <row r="47" spans="1:17" ht="15.75" x14ac:dyDescent="0.25">
      <c r="A47" s="406"/>
      <c r="B47" s="291"/>
      <c r="C47" s="150"/>
      <c r="D47" s="119"/>
      <c r="E47" s="150"/>
      <c r="F47" s="332"/>
      <c r="H47" s="28"/>
      <c r="J47" s="49">
        <f>31037.5+9401.5+3508</f>
        <v>43947</v>
      </c>
      <c r="K47" s="144" t="s">
        <v>508</v>
      </c>
      <c r="L47" s="156">
        <v>43946.82</v>
      </c>
      <c r="M47" s="207"/>
      <c r="N47" s="113" t="s">
        <v>461</v>
      </c>
      <c r="O47" s="207">
        <v>41372</v>
      </c>
      <c r="P47" s="221">
        <v>42187</v>
      </c>
      <c r="Q47" s="28"/>
    </row>
    <row r="48" spans="1:17" ht="15.75" x14ac:dyDescent="0.25">
      <c r="A48" s="406"/>
      <c r="B48" s="291"/>
      <c r="C48" s="150"/>
      <c r="D48" s="119"/>
      <c r="E48" s="150"/>
      <c r="F48" s="332"/>
      <c r="H48" s="28"/>
      <c r="J48" s="49">
        <f>55508.5+6638</f>
        <v>62146.5</v>
      </c>
      <c r="K48" s="144" t="s">
        <v>509</v>
      </c>
      <c r="L48" s="156">
        <v>62146.51</v>
      </c>
      <c r="M48" s="130"/>
      <c r="N48" s="113" t="s">
        <v>461</v>
      </c>
      <c r="O48" s="207">
        <v>8328</v>
      </c>
      <c r="P48" s="221">
        <v>42187</v>
      </c>
      <c r="Q48" s="28"/>
    </row>
    <row r="49" spans="1:17" ht="15.75" x14ac:dyDescent="0.25">
      <c r="A49" s="406"/>
      <c r="B49" s="289"/>
      <c r="C49" s="150"/>
      <c r="D49" s="119"/>
      <c r="E49" s="150"/>
      <c r="F49" s="332"/>
      <c r="H49" s="28"/>
      <c r="J49" s="49">
        <f>11595.5+9725.5</f>
        <v>21321</v>
      </c>
      <c r="K49" s="244" t="s">
        <v>510</v>
      </c>
      <c r="L49" s="245">
        <v>27111.7</v>
      </c>
      <c r="M49" s="130"/>
      <c r="N49" s="113" t="s">
        <v>461</v>
      </c>
      <c r="O49" s="214">
        <v>31037.5</v>
      </c>
      <c r="P49" s="221">
        <v>42188</v>
      </c>
      <c r="Q49" s="28"/>
    </row>
    <row r="50" spans="1:17" ht="16.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28"/>
      <c r="J50" s="49">
        <f>24793.5+13037</f>
        <v>37830.5</v>
      </c>
      <c r="K50" s="144" t="s">
        <v>511</v>
      </c>
      <c r="L50" s="156">
        <v>37830.6</v>
      </c>
      <c r="M50" s="207"/>
      <c r="N50" s="113" t="s">
        <v>461</v>
      </c>
      <c r="O50" s="207">
        <v>25811</v>
      </c>
      <c r="P50" s="221">
        <v>42188</v>
      </c>
      <c r="Q50" s="28"/>
    </row>
    <row r="51" spans="1:17" ht="16.5" thickTop="1" x14ac:dyDescent="0.25">
      <c r="C51" s="58">
        <f>SUM(C5:C50)</f>
        <v>1486536.3899999994</v>
      </c>
      <c r="D51" s="58"/>
      <c r="E51" s="58">
        <f>SUM(E5:E50)</f>
        <v>1486536.3899999994</v>
      </c>
      <c r="F51" s="242">
        <f>SUM(F5:F50)</f>
        <v>0</v>
      </c>
      <c r="H51" s="28"/>
      <c r="J51" s="49">
        <f>24016.5+7271</f>
        <v>31287.5</v>
      </c>
      <c r="K51" s="144" t="s">
        <v>512</v>
      </c>
      <c r="L51" s="156">
        <v>31287.58</v>
      </c>
      <c r="M51" s="334"/>
      <c r="N51" s="113" t="s">
        <v>461</v>
      </c>
      <c r="O51" s="207">
        <v>9401.5</v>
      </c>
      <c r="P51" s="221">
        <v>42188</v>
      </c>
      <c r="Q51" s="28"/>
    </row>
    <row r="52" spans="1:17" ht="15.75" x14ac:dyDescent="0.25">
      <c r="A52" s="377"/>
      <c r="B52"/>
      <c r="D52"/>
      <c r="E52" s="43"/>
      <c r="H52" s="28"/>
      <c r="J52" s="49">
        <f>16500+12212.5+15300+8466.5+2264.5</f>
        <v>54743.5</v>
      </c>
      <c r="K52" s="144" t="s">
        <v>513</v>
      </c>
      <c r="L52" s="156">
        <v>54743.6</v>
      </c>
      <c r="M52" s="321"/>
      <c r="N52" s="113" t="s">
        <v>461</v>
      </c>
      <c r="O52" s="207">
        <v>55508.5</v>
      </c>
      <c r="P52" s="221">
        <v>42189</v>
      </c>
      <c r="Q52" s="28"/>
    </row>
    <row r="53" spans="1:17" ht="15.75" x14ac:dyDescent="0.25">
      <c r="A53" s="377"/>
      <c r="B53"/>
      <c r="D53"/>
      <c r="E53" s="43"/>
      <c r="H53" s="28"/>
      <c r="J53" s="49">
        <f>11000+12961.5+30667.5+6432.5+6297.5</f>
        <v>67359</v>
      </c>
      <c r="K53" s="144" t="s">
        <v>514</v>
      </c>
      <c r="L53" s="156">
        <v>67359.12</v>
      </c>
      <c r="M53" s="207"/>
      <c r="N53" s="113" t="s">
        <v>461</v>
      </c>
      <c r="O53" s="207">
        <v>11595.5</v>
      </c>
      <c r="P53" s="221">
        <v>42189</v>
      </c>
      <c r="Q53" s="28"/>
    </row>
    <row r="54" spans="1:17" ht="15.75" x14ac:dyDescent="0.25">
      <c r="A54" s="377"/>
      <c r="B54"/>
      <c r="D54"/>
      <c r="E54" s="43"/>
      <c r="H54" s="28"/>
      <c r="J54" s="49">
        <f>12400+8800+25917+15552.5+6985.5</f>
        <v>69655</v>
      </c>
      <c r="K54" s="144" t="s">
        <v>515</v>
      </c>
      <c r="L54" s="156">
        <v>69655.06</v>
      </c>
      <c r="M54" s="207"/>
      <c r="N54" s="113" t="s">
        <v>461</v>
      </c>
      <c r="O54" s="207">
        <v>3508</v>
      </c>
      <c r="P54" s="221">
        <v>42189</v>
      </c>
      <c r="Q54" s="28"/>
    </row>
    <row r="55" spans="1:17" ht="15.75" x14ac:dyDescent="0.25">
      <c r="A55" s="377"/>
      <c r="B55"/>
      <c r="D55"/>
      <c r="E55" s="43"/>
      <c r="H55" s="28"/>
      <c r="J55" s="49">
        <f>8300+52000+8690.5+7233.5</f>
        <v>76224</v>
      </c>
      <c r="K55" s="144" t="s">
        <v>516</v>
      </c>
      <c r="L55" s="156">
        <v>76226.3</v>
      </c>
      <c r="M55" s="207"/>
      <c r="N55" s="113" t="s">
        <v>461</v>
      </c>
      <c r="O55" s="207">
        <v>6638</v>
      </c>
      <c r="P55" s="221">
        <v>42189</v>
      </c>
      <c r="Q55" s="28"/>
    </row>
    <row r="56" spans="1:17" ht="15.75" x14ac:dyDescent="0.25">
      <c r="A56" s="377"/>
      <c r="B56"/>
      <c r="D56"/>
      <c r="E56" s="43"/>
      <c r="H56" s="28"/>
      <c r="J56" s="49">
        <f>21200+10181.5</f>
        <v>31381.5</v>
      </c>
      <c r="K56" s="144" t="s">
        <v>517</v>
      </c>
      <c r="L56" s="156">
        <v>31381.200000000001</v>
      </c>
      <c r="M56" s="207"/>
      <c r="N56" s="113" t="s">
        <v>461</v>
      </c>
      <c r="O56" s="207">
        <v>24793.5</v>
      </c>
      <c r="P56" s="221">
        <v>42191</v>
      </c>
      <c r="Q56" s="252">
        <v>42190</v>
      </c>
    </row>
    <row r="57" spans="1:17" ht="15.75" x14ac:dyDescent="0.25">
      <c r="A57" s="377"/>
      <c r="B57"/>
      <c r="D57"/>
      <c r="E57" s="43"/>
      <c r="H57" s="28"/>
      <c r="J57" s="49">
        <f>16181.5+33000</f>
        <v>49181.5</v>
      </c>
      <c r="K57" s="144" t="s">
        <v>538</v>
      </c>
      <c r="L57" s="156">
        <v>49181.75</v>
      </c>
      <c r="M57" s="207" t="s">
        <v>361</v>
      </c>
      <c r="N57" s="113" t="s">
        <v>461</v>
      </c>
      <c r="O57" s="207">
        <v>9725.5</v>
      </c>
      <c r="P57" s="221">
        <v>42191</v>
      </c>
      <c r="Q57" s="252">
        <v>42190</v>
      </c>
    </row>
    <row r="58" spans="1:17" ht="15.75" x14ac:dyDescent="0.25">
      <c r="A58" s="377"/>
      <c r="B58"/>
      <c r="D58"/>
      <c r="E58" s="43"/>
      <c r="H58" s="28"/>
      <c r="J58" s="49">
        <v>0</v>
      </c>
      <c r="K58" s="144"/>
      <c r="L58" s="156"/>
      <c r="M58" s="334"/>
      <c r="N58" s="113" t="s">
        <v>461</v>
      </c>
      <c r="O58" s="207">
        <v>13037</v>
      </c>
      <c r="P58" s="221">
        <v>42191</v>
      </c>
      <c r="Q58" s="252">
        <v>42190</v>
      </c>
    </row>
    <row r="59" spans="1:17" ht="15.75" x14ac:dyDescent="0.25">
      <c r="A59" s="377"/>
      <c r="B59"/>
      <c r="D59"/>
      <c r="E59" s="43"/>
      <c r="H59" s="28"/>
      <c r="J59" s="49">
        <v>0</v>
      </c>
      <c r="K59" s="144"/>
      <c r="L59" s="156"/>
      <c r="M59" s="207"/>
      <c r="N59" s="113" t="s">
        <v>461</v>
      </c>
      <c r="O59" s="207">
        <v>16500</v>
      </c>
      <c r="P59" s="221">
        <v>42192</v>
      </c>
      <c r="Q59" s="252">
        <v>42191</v>
      </c>
    </row>
    <row r="60" spans="1:17" ht="15.75" x14ac:dyDescent="0.25">
      <c r="A60" s="377"/>
      <c r="B60"/>
      <c r="D60"/>
      <c r="E60" s="43"/>
      <c r="H60" s="28"/>
      <c r="J60" s="49">
        <f>SUM(J45:J59)</f>
        <v>653845</v>
      </c>
      <c r="K60" s="297"/>
      <c r="L60" s="230"/>
      <c r="M60" s="207"/>
      <c r="N60" s="113" t="s">
        <v>461</v>
      </c>
      <c r="O60" s="207">
        <v>12212.5</v>
      </c>
      <c r="P60" s="221">
        <v>42191</v>
      </c>
      <c r="Q60" s="252"/>
    </row>
    <row r="61" spans="1:17" ht="15.75" x14ac:dyDescent="0.25">
      <c r="A61" s="377"/>
      <c r="B61"/>
      <c r="D61"/>
      <c r="E61" s="43"/>
      <c r="H61" s="28"/>
      <c r="J61" s="49"/>
      <c r="K61" s="144"/>
      <c r="L61" s="156"/>
      <c r="M61" s="207"/>
      <c r="N61" s="113" t="s">
        <v>461</v>
      </c>
      <c r="O61" s="207">
        <v>24016.5</v>
      </c>
      <c r="P61" s="221">
        <v>42191</v>
      </c>
      <c r="Q61" s="28"/>
    </row>
    <row r="62" spans="1:17" ht="15.75" x14ac:dyDescent="0.25">
      <c r="A62" s="377"/>
      <c r="B62"/>
      <c r="D62"/>
      <c r="E62" s="43"/>
      <c r="H62" s="28"/>
      <c r="J62" s="49"/>
      <c r="K62" s="144"/>
      <c r="L62" s="156"/>
      <c r="M62" s="207"/>
      <c r="N62" s="113" t="s">
        <v>461</v>
      </c>
      <c r="O62" s="207">
        <v>7271</v>
      </c>
      <c r="P62" s="221">
        <v>42191</v>
      </c>
      <c r="Q62" s="252"/>
    </row>
    <row r="63" spans="1:17" ht="15.75" x14ac:dyDescent="0.25">
      <c r="A63" s="377"/>
      <c r="B63"/>
      <c r="D63"/>
      <c r="E63" s="43"/>
      <c r="H63" s="28"/>
      <c r="J63" s="49"/>
      <c r="K63" s="144"/>
      <c r="L63" s="156"/>
      <c r="M63" s="207"/>
      <c r="N63" s="113" t="s">
        <v>461</v>
      </c>
      <c r="O63" s="207">
        <v>15300</v>
      </c>
      <c r="P63" s="221">
        <v>42193</v>
      </c>
      <c r="Q63" s="252">
        <v>42192</v>
      </c>
    </row>
    <row r="64" spans="1:17" ht="15.75" x14ac:dyDescent="0.25">
      <c r="A64" s="377"/>
      <c r="B64"/>
      <c r="D64"/>
      <c r="E64" s="43"/>
      <c r="H64" s="28"/>
      <c r="J64" s="49"/>
      <c r="K64" s="144"/>
      <c r="L64" s="156"/>
      <c r="M64" s="260"/>
      <c r="N64" s="113" t="s">
        <v>461</v>
      </c>
      <c r="O64" s="207">
        <v>8466.5</v>
      </c>
      <c r="P64" s="221">
        <v>42192</v>
      </c>
      <c r="Q64" s="28"/>
    </row>
    <row r="65" spans="1:17" ht="15.75" x14ac:dyDescent="0.25">
      <c r="H65" s="28"/>
      <c r="J65" s="49"/>
      <c r="K65" s="144"/>
      <c r="L65" s="156"/>
      <c r="M65" s="130"/>
      <c r="N65" s="113" t="s">
        <v>461</v>
      </c>
      <c r="O65" s="207">
        <v>2264.5</v>
      </c>
      <c r="P65" s="221">
        <v>42193</v>
      </c>
      <c r="Q65" s="252"/>
    </row>
    <row r="66" spans="1:17" ht="15.75" x14ac:dyDescent="0.25">
      <c r="J66" s="49"/>
      <c r="K66" s="144"/>
      <c r="L66" s="156"/>
      <c r="M66" s="207"/>
      <c r="N66" s="113" t="s">
        <v>461</v>
      </c>
      <c r="O66" s="214">
        <v>4077</v>
      </c>
      <c r="P66" s="221">
        <v>42193</v>
      </c>
      <c r="Q66" s="28"/>
    </row>
    <row r="67" spans="1:17" ht="15.75" x14ac:dyDescent="0.25">
      <c r="J67" s="49"/>
      <c r="K67" s="144"/>
      <c r="L67" s="156"/>
      <c r="M67" s="207"/>
      <c r="N67" s="113" t="s">
        <v>461</v>
      </c>
      <c r="O67" s="207">
        <v>11000</v>
      </c>
      <c r="P67" s="221">
        <v>42194</v>
      </c>
      <c r="Q67" s="252">
        <v>42193</v>
      </c>
    </row>
    <row r="68" spans="1:17" ht="15.75" x14ac:dyDescent="0.25">
      <c r="A68" s="377"/>
      <c r="B68"/>
      <c r="C68"/>
      <c r="D68"/>
      <c r="E68"/>
      <c r="F68" s="23"/>
      <c r="J68" s="49"/>
      <c r="K68" s="264"/>
      <c r="L68" s="207"/>
      <c r="M68" s="207"/>
      <c r="N68" s="113" t="s">
        <v>461</v>
      </c>
      <c r="O68" s="207">
        <v>12961.5</v>
      </c>
      <c r="P68" s="221">
        <v>42193</v>
      </c>
      <c r="Q68" s="28"/>
    </row>
    <row r="69" spans="1:17" ht="15.75" x14ac:dyDescent="0.25">
      <c r="A69" s="377"/>
      <c r="B69"/>
      <c r="C69"/>
      <c r="D69"/>
      <c r="E69"/>
      <c r="F69" s="23"/>
      <c r="J69" s="49"/>
      <c r="K69" s="264"/>
      <c r="L69" s="130"/>
      <c r="M69" s="130"/>
      <c r="N69" s="113" t="s">
        <v>461</v>
      </c>
      <c r="O69" s="207">
        <v>30667.5</v>
      </c>
      <c r="P69" s="221">
        <v>42194</v>
      </c>
      <c r="Q69" s="28"/>
    </row>
    <row r="70" spans="1:17" ht="15.75" x14ac:dyDescent="0.25">
      <c r="J70" s="49"/>
      <c r="K70" s="193"/>
      <c r="L70" s="207"/>
      <c r="M70" s="207"/>
      <c r="N70" s="113" t="s">
        <v>461</v>
      </c>
      <c r="O70" s="207">
        <v>12400</v>
      </c>
      <c r="P70" s="221">
        <v>42195</v>
      </c>
      <c r="Q70" s="252">
        <v>42194</v>
      </c>
    </row>
    <row r="71" spans="1:17" ht="15.75" x14ac:dyDescent="0.25">
      <c r="J71" s="49"/>
      <c r="K71" s="193"/>
      <c r="L71" s="207"/>
      <c r="M71" s="207"/>
      <c r="N71" s="113" t="s">
        <v>461</v>
      </c>
      <c r="O71" s="214">
        <v>8800</v>
      </c>
      <c r="P71" s="221">
        <v>42194</v>
      </c>
      <c r="Q71" s="28"/>
    </row>
    <row r="72" spans="1:17" ht="15.75" x14ac:dyDescent="0.25">
      <c r="J72" s="49"/>
      <c r="K72" s="193"/>
      <c r="L72" s="207"/>
      <c r="M72" s="207"/>
      <c r="N72" s="113" t="s">
        <v>461</v>
      </c>
      <c r="O72" s="207">
        <v>6432.5</v>
      </c>
      <c r="P72" s="221">
        <v>42194</v>
      </c>
      <c r="Q72" s="28"/>
    </row>
    <row r="73" spans="1:17" ht="15.75" x14ac:dyDescent="0.25">
      <c r="A73"/>
      <c r="B73"/>
      <c r="C73"/>
      <c r="D73"/>
      <c r="E73"/>
      <c r="F73"/>
      <c r="G73"/>
      <c r="J73" s="49"/>
      <c r="K73" s="193"/>
      <c r="L73" s="207"/>
      <c r="M73" s="207"/>
      <c r="N73" s="113" t="s">
        <v>461</v>
      </c>
      <c r="O73" s="207">
        <v>8300</v>
      </c>
      <c r="P73" s="221">
        <v>42196</v>
      </c>
      <c r="Q73" s="252">
        <v>42195</v>
      </c>
    </row>
    <row r="74" spans="1:17" ht="15.75" x14ac:dyDescent="0.25">
      <c r="A74"/>
      <c r="B74"/>
      <c r="C74"/>
      <c r="D74"/>
      <c r="E74"/>
      <c r="F74"/>
      <c r="G74"/>
      <c r="J74" s="49"/>
      <c r="K74" s="206"/>
      <c r="L74" s="207"/>
      <c r="M74" s="207"/>
      <c r="N74" s="113" t="s">
        <v>461</v>
      </c>
      <c r="O74" s="207">
        <v>25917</v>
      </c>
      <c r="P74" s="221">
        <v>42195</v>
      </c>
      <c r="Q74" s="28"/>
    </row>
    <row r="75" spans="1:17" ht="15.75" x14ac:dyDescent="0.25">
      <c r="A75"/>
      <c r="B75"/>
      <c r="C75"/>
      <c r="D75"/>
      <c r="E75"/>
      <c r="F75"/>
      <c r="G75"/>
      <c r="J75" s="49"/>
      <c r="K75" s="206"/>
      <c r="L75" s="207"/>
      <c r="M75" s="207"/>
      <c r="N75" s="113" t="s">
        <v>461</v>
      </c>
      <c r="O75" s="207">
        <v>15552.5</v>
      </c>
      <c r="P75" s="222">
        <v>42196</v>
      </c>
      <c r="Q75" s="252">
        <v>42195</v>
      </c>
    </row>
    <row r="76" spans="1:17" ht="15.75" x14ac:dyDescent="0.25">
      <c r="A76"/>
      <c r="B76"/>
      <c r="C76"/>
      <c r="D76"/>
      <c r="E76"/>
      <c r="F76"/>
      <c r="G76"/>
      <c r="J76" s="49"/>
      <c r="K76" s="193"/>
      <c r="L76" s="207"/>
      <c r="M76" s="207"/>
      <c r="N76" s="113" t="s">
        <v>461</v>
      </c>
      <c r="O76" s="207">
        <v>6297.5</v>
      </c>
      <c r="P76" s="221">
        <v>42195</v>
      </c>
      <c r="Q76" s="28"/>
    </row>
    <row r="77" spans="1:17" ht="15.75" x14ac:dyDescent="0.25">
      <c r="A77"/>
      <c r="B77"/>
      <c r="C77"/>
      <c r="D77"/>
      <c r="E77"/>
      <c r="F77"/>
      <c r="G77"/>
      <c r="J77" s="49"/>
      <c r="K77" s="119"/>
      <c r="L77" s="121"/>
      <c r="M77" s="121"/>
      <c r="N77" s="113" t="s">
        <v>461</v>
      </c>
      <c r="O77" s="121">
        <v>6985.5</v>
      </c>
      <c r="P77" s="222">
        <v>42195</v>
      </c>
      <c r="Q77" s="28"/>
    </row>
    <row r="78" spans="1:17" ht="15.75" x14ac:dyDescent="0.25">
      <c r="A78"/>
      <c r="B78"/>
      <c r="C78"/>
      <c r="D78"/>
      <c r="E78"/>
      <c r="F78"/>
      <c r="G78"/>
      <c r="J78" s="49"/>
      <c r="K78" s="119"/>
      <c r="L78" s="121"/>
      <c r="M78" s="121"/>
      <c r="N78" s="113" t="s">
        <v>461</v>
      </c>
      <c r="O78" s="121">
        <v>21200</v>
      </c>
      <c r="P78" s="222">
        <v>42198</v>
      </c>
      <c r="Q78" s="252">
        <v>42196</v>
      </c>
    </row>
    <row r="79" spans="1:17" ht="15.75" x14ac:dyDescent="0.25">
      <c r="A79"/>
      <c r="B79"/>
      <c r="C79"/>
      <c r="D79"/>
      <c r="E79"/>
      <c r="F79"/>
      <c r="G79"/>
      <c r="J79" s="49"/>
      <c r="K79" s="119"/>
      <c r="L79" s="119"/>
      <c r="M79" s="119"/>
      <c r="N79" s="113" t="s">
        <v>461</v>
      </c>
      <c r="O79" s="121">
        <v>52000</v>
      </c>
      <c r="P79" s="222">
        <v>42196</v>
      </c>
      <c r="Q79" s="28"/>
    </row>
    <row r="80" spans="1:17" ht="15.75" x14ac:dyDescent="0.25">
      <c r="A80"/>
      <c r="B80"/>
      <c r="C80"/>
      <c r="D80"/>
      <c r="E80"/>
      <c r="F80"/>
      <c r="G80"/>
      <c r="J80" s="49"/>
      <c r="K80" s="119"/>
      <c r="L80" s="119"/>
      <c r="M80" s="119"/>
      <c r="N80" s="113" t="s">
        <v>461</v>
      </c>
      <c r="O80" s="121">
        <v>8690.5</v>
      </c>
      <c r="P80" s="222">
        <v>42196</v>
      </c>
      <c r="Q80" s="28"/>
    </row>
    <row r="81" spans="1:17" ht="15.75" x14ac:dyDescent="0.25">
      <c r="A81"/>
      <c r="B81"/>
      <c r="C81"/>
      <c r="D81"/>
      <c r="E81"/>
      <c r="F81"/>
      <c r="G81"/>
      <c r="J81" s="49"/>
      <c r="K81" s="119"/>
      <c r="L81" s="119"/>
      <c r="M81" s="119"/>
      <c r="N81" s="113" t="s">
        <v>461</v>
      </c>
      <c r="O81" s="121">
        <v>7233.5</v>
      </c>
      <c r="P81" s="222">
        <v>42196</v>
      </c>
      <c r="Q81" s="28"/>
    </row>
    <row r="82" spans="1:17" ht="15.75" x14ac:dyDescent="0.25">
      <c r="A82"/>
      <c r="B82"/>
      <c r="C82"/>
      <c r="D82"/>
      <c r="E82"/>
      <c r="F82"/>
      <c r="G82"/>
      <c r="J82" s="49"/>
      <c r="K82" s="206"/>
      <c r="L82" s="207"/>
      <c r="M82" s="207"/>
      <c r="N82" s="113" t="s">
        <v>461</v>
      </c>
      <c r="O82" s="207">
        <v>16181.5</v>
      </c>
      <c r="P82" s="221">
        <v>42198</v>
      </c>
      <c r="Q82" s="252">
        <v>42197</v>
      </c>
    </row>
    <row r="83" spans="1:17" ht="15.75" x14ac:dyDescent="0.25">
      <c r="A83"/>
      <c r="B83"/>
      <c r="C83"/>
      <c r="D83"/>
      <c r="E83"/>
      <c r="F83"/>
      <c r="G83"/>
      <c r="J83" s="49"/>
      <c r="K83" s="206"/>
      <c r="L83" s="207"/>
      <c r="M83" s="207"/>
      <c r="N83" s="113" t="s">
        <v>461</v>
      </c>
      <c r="O83" s="207">
        <v>33000</v>
      </c>
      <c r="P83" s="221">
        <v>42198</v>
      </c>
      <c r="Q83" s="252">
        <v>42197</v>
      </c>
    </row>
    <row r="84" spans="1:17" ht="15.75" x14ac:dyDescent="0.25">
      <c r="A84"/>
      <c r="B84"/>
      <c r="C84"/>
      <c r="D84"/>
      <c r="E84"/>
      <c r="F84"/>
      <c r="G84"/>
      <c r="J84" s="49"/>
      <c r="K84" s="206"/>
      <c r="L84" s="207"/>
      <c r="M84" s="207"/>
      <c r="N84" s="113" t="s">
        <v>461</v>
      </c>
      <c r="O84" s="207">
        <v>10181.5</v>
      </c>
      <c r="P84" s="221">
        <v>42198</v>
      </c>
      <c r="Q84" s="252">
        <v>42197</v>
      </c>
    </row>
    <row r="85" spans="1:17" ht="15.75" x14ac:dyDescent="0.25">
      <c r="A85"/>
      <c r="B85"/>
      <c r="C85"/>
      <c r="D85"/>
      <c r="E85"/>
      <c r="F85"/>
      <c r="G85"/>
      <c r="J85" s="49"/>
      <c r="K85" s="206"/>
      <c r="L85" s="207"/>
      <c r="M85" s="207"/>
      <c r="N85" s="113" t="s">
        <v>461</v>
      </c>
      <c r="O85" s="207">
        <v>0</v>
      </c>
      <c r="P85" s="221">
        <v>42198</v>
      </c>
      <c r="Q85" s="252">
        <v>42197</v>
      </c>
    </row>
    <row r="86" spans="1:17" ht="16.5" thickBot="1" x14ac:dyDescent="0.3">
      <c r="J86" s="49"/>
      <c r="K86" s="379"/>
      <c r="L86" s="380"/>
      <c r="M86" s="380"/>
      <c r="N86" s="235" t="s">
        <v>461</v>
      </c>
      <c r="O86" s="380">
        <v>0</v>
      </c>
      <c r="P86" s="381"/>
      <c r="Q86" s="28"/>
    </row>
    <row r="87" spans="1:17" ht="18.75" x14ac:dyDescent="0.3">
      <c r="J87" s="49"/>
      <c r="L87" s="131">
        <f>SUM(L45:L78)</f>
        <v>653845</v>
      </c>
      <c r="M87" s="131"/>
      <c r="N87" s="131"/>
      <c r="O87" s="131">
        <f>SUM(O45:O86)</f>
        <v>653845</v>
      </c>
      <c r="Q87" s="28"/>
    </row>
    <row r="90" spans="1:17" ht="15.75" x14ac:dyDescent="0.25">
      <c r="K90" s="104"/>
      <c r="L90" s="333">
        <v>42207</v>
      </c>
      <c r="M90" s="215"/>
      <c r="N90" s="134" t="s">
        <v>200</v>
      </c>
      <c r="O90" s="88"/>
    </row>
    <row r="91" spans="1:17" x14ac:dyDescent="0.25">
      <c r="K91" s="104"/>
      <c r="L91" s="103"/>
      <c r="M91" s="103"/>
      <c r="N91" s="103"/>
      <c r="O91" s="213"/>
    </row>
    <row r="92" spans="1:17" ht="15.75" x14ac:dyDescent="0.25">
      <c r="J92" s="43">
        <f>2125+24927</f>
        <v>27052</v>
      </c>
      <c r="K92" s="144" t="s">
        <v>538</v>
      </c>
      <c r="L92" s="156">
        <v>27051.97</v>
      </c>
      <c r="M92" s="348"/>
      <c r="N92" s="113" t="s">
        <v>461</v>
      </c>
      <c r="O92" s="214">
        <v>5688.5</v>
      </c>
      <c r="P92" s="221">
        <v>42198</v>
      </c>
      <c r="Q92" s="21">
        <v>42197</v>
      </c>
    </row>
    <row r="93" spans="1:17" ht="15.75" x14ac:dyDescent="0.25">
      <c r="J93" s="43">
        <f>5688.5+2351.5</f>
        <v>8040</v>
      </c>
      <c r="K93" s="144" t="s">
        <v>539</v>
      </c>
      <c r="L93" s="156">
        <v>8037</v>
      </c>
      <c r="M93" s="207"/>
      <c r="N93" s="113" t="s">
        <v>461</v>
      </c>
      <c r="O93" s="207">
        <v>2125</v>
      </c>
      <c r="P93" s="221">
        <v>42199</v>
      </c>
      <c r="Q93" s="21">
        <v>42198</v>
      </c>
    </row>
    <row r="94" spans="1:17" ht="15.75" x14ac:dyDescent="0.25">
      <c r="J94" s="43">
        <f>7491.5+5948.5</f>
        <v>13440</v>
      </c>
      <c r="K94" s="144" t="s">
        <v>540</v>
      </c>
      <c r="L94" s="156">
        <v>13439.7</v>
      </c>
      <c r="M94" s="207"/>
      <c r="N94" s="113" t="s">
        <v>461</v>
      </c>
      <c r="O94" s="207">
        <v>24927</v>
      </c>
      <c r="P94" s="221">
        <v>42198</v>
      </c>
    </row>
    <row r="95" spans="1:17" ht="15.75" x14ac:dyDescent="0.25">
      <c r="J95" s="43">
        <f>11326.5+8351+8625</f>
        <v>28302.5</v>
      </c>
      <c r="K95" s="144" t="s">
        <v>541</v>
      </c>
      <c r="L95" s="156">
        <v>28302.37</v>
      </c>
      <c r="M95" s="130"/>
      <c r="N95" s="113" t="s">
        <v>461</v>
      </c>
      <c r="O95" s="207">
        <v>7491.5</v>
      </c>
      <c r="P95" s="221">
        <v>42199</v>
      </c>
    </row>
    <row r="96" spans="1:17" ht="15.75" x14ac:dyDescent="0.25">
      <c r="J96" s="43">
        <f>16382.5+7302</f>
        <v>23684.5</v>
      </c>
      <c r="K96" s="144" t="s">
        <v>544</v>
      </c>
      <c r="L96" s="156">
        <v>23684.400000000001</v>
      </c>
      <c r="M96" s="130"/>
      <c r="N96" s="113" t="s">
        <v>461</v>
      </c>
      <c r="O96" s="214">
        <v>9000</v>
      </c>
      <c r="P96" s="221">
        <v>42199</v>
      </c>
    </row>
    <row r="97" spans="10:17" customFormat="1" ht="15.75" x14ac:dyDescent="0.25">
      <c r="J97" s="43">
        <f>11900+16815.5+11946.5</f>
        <v>40662</v>
      </c>
      <c r="K97" s="400" t="s">
        <v>542</v>
      </c>
      <c r="L97" s="157">
        <v>46455.13</v>
      </c>
      <c r="M97" s="207"/>
      <c r="N97" s="113" t="s">
        <v>461</v>
      </c>
      <c r="O97" s="207">
        <v>18935</v>
      </c>
      <c r="P97" s="221">
        <v>42199</v>
      </c>
    </row>
    <row r="98" spans="10:17" customFormat="1" ht="15.75" x14ac:dyDescent="0.25">
      <c r="J98" s="43">
        <f>9000+18935+6788.5+23309</f>
        <v>58032.5</v>
      </c>
      <c r="K98" s="144" t="s">
        <v>545</v>
      </c>
      <c r="L98" s="130">
        <v>58032.81</v>
      </c>
      <c r="M98" s="334"/>
      <c r="N98" s="113" t="s">
        <v>461</v>
      </c>
      <c r="O98" s="207">
        <v>2351.5</v>
      </c>
      <c r="P98" s="221">
        <v>42199</v>
      </c>
    </row>
    <row r="99" spans="10:17" customFormat="1" ht="15.75" x14ac:dyDescent="0.25">
      <c r="J99" s="43">
        <f>12000+15243+4701.5+16380.5</f>
        <v>48325</v>
      </c>
      <c r="K99" s="144" t="s">
        <v>554</v>
      </c>
      <c r="L99" s="156">
        <v>48325.05</v>
      </c>
      <c r="M99" s="321"/>
      <c r="N99" s="113" t="s">
        <v>461</v>
      </c>
      <c r="O99" s="207">
        <v>6788.5</v>
      </c>
      <c r="P99" s="221">
        <v>42199</v>
      </c>
    </row>
    <row r="100" spans="10:17" customFormat="1" ht="15.75" x14ac:dyDescent="0.25">
      <c r="J100" s="43">
        <f>8837+4689.5</f>
        <v>13526.5</v>
      </c>
      <c r="K100" s="144" t="s">
        <v>555</v>
      </c>
      <c r="L100" s="156">
        <v>13529.7</v>
      </c>
      <c r="M100" s="207"/>
      <c r="N100" s="113" t="s">
        <v>461</v>
      </c>
      <c r="O100" s="207">
        <v>5948.5</v>
      </c>
      <c r="P100" s="221">
        <v>42200</v>
      </c>
    </row>
    <row r="101" spans="10:17" customFormat="1" ht="15.75" x14ac:dyDescent="0.25">
      <c r="J101" s="43">
        <f>22000+19593+1206+5110.5</f>
        <v>47909.5</v>
      </c>
      <c r="K101" s="144" t="s">
        <v>556</v>
      </c>
      <c r="L101" s="156">
        <v>47909.4</v>
      </c>
      <c r="M101" s="207"/>
      <c r="N101" s="113" t="s">
        <v>461</v>
      </c>
      <c r="O101" s="207">
        <v>11326.5</v>
      </c>
      <c r="P101" s="221">
        <v>42200</v>
      </c>
    </row>
    <row r="102" spans="10:17" customFormat="1" ht="15.75" x14ac:dyDescent="0.25">
      <c r="J102" s="43">
        <f>15000+25483.5</f>
        <v>40483.5</v>
      </c>
      <c r="K102" s="144" t="s">
        <v>557</v>
      </c>
      <c r="L102" s="156">
        <v>34690.47</v>
      </c>
      <c r="M102" s="207" t="s">
        <v>361</v>
      </c>
      <c r="N102" s="113" t="s">
        <v>461</v>
      </c>
      <c r="O102" s="207">
        <v>8351</v>
      </c>
      <c r="P102" s="221">
        <v>42201</v>
      </c>
      <c r="Q102" s="21">
        <v>42200</v>
      </c>
    </row>
    <row r="103" spans="10:17" customFormat="1" ht="15.75" x14ac:dyDescent="0.25">
      <c r="J103" s="43">
        <v>0</v>
      </c>
      <c r="K103" s="144"/>
      <c r="L103" s="156"/>
      <c r="M103" s="207"/>
      <c r="N103" s="113" t="s">
        <v>461</v>
      </c>
      <c r="O103" s="207">
        <v>8625</v>
      </c>
      <c r="P103" s="221">
        <v>42200</v>
      </c>
    </row>
    <row r="104" spans="10:17" customFormat="1" ht="15.75" x14ac:dyDescent="0.25">
      <c r="J104" s="43">
        <f>SUM(J92:J103)</f>
        <v>349458</v>
      </c>
      <c r="K104" s="144"/>
      <c r="L104" s="156"/>
      <c r="M104" s="207"/>
      <c r="N104" s="113" t="s">
        <v>461</v>
      </c>
      <c r="O104" s="207">
        <v>11900</v>
      </c>
      <c r="P104" s="221">
        <v>42202</v>
      </c>
      <c r="Q104" s="21">
        <v>42201</v>
      </c>
    </row>
    <row r="105" spans="10:17" customFormat="1" ht="15.75" x14ac:dyDescent="0.25">
      <c r="J105" s="43"/>
      <c r="K105" s="144"/>
      <c r="L105" s="156"/>
      <c r="M105" s="334"/>
      <c r="N105" s="113" t="s">
        <v>461</v>
      </c>
      <c r="O105" s="207">
        <v>16382.5</v>
      </c>
      <c r="P105" s="221">
        <v>42201</v>
      </c>
    </row>
    <row r="106" spans="10:17" customFormat="1" ht="15.75" x14ac:dyDescent="0.25">
      <c r="J106" s="43"/>
      <c r="K106" s="144"/>
      <c r="L106" s="156"/>
      <c r="M106" s="207"/>
      <c r="N106" s="113" t="s">
        <v>461</v>
      </c>
      <c r="O106" s="207">
        <v>16815.5</v>
      </c>
      <c r="P106" s="221">
        <v>42201</v>
      </c>
    </row>
    <row r="107" spans="10:17" customFormat="1" ht="15.75" x14ac:dyDescent="0.25">
      <c r="J107" s="43"/>
      <c r="K107" s="297"/>
      <c r="L107" s="230"/>
      <c r="M107" s="207"/>
      <c r="N107" s="113" t="s">
        <v>461</v>
      </c>
      <c r="O107" s="207">
        <v>7302</v>
      </c>
      <c r="P107" s="221">
        <v>42201</v>
      </c>
    </row>
    <row r="108" spans="10:17" customFormat="1" ht="15.75" x14ac:dyDescent="0.25">
      <c r="J108" s="43"/>
      <c r="K108" s="144"/>
      <c r="L108" s="156"/>
      <c r="M108" s="207"/>
      <c r="N108" s="113" t="s">
        <v>461</v>
      </c>
      <c r="O108" s="207">
        <v>12000</v>
      </c>
      <c r="P108" s="221">
        <v>42203</v>
      </c>
      <c r="Q108" s="21">
        <v>42202</v>
      </c>
    </row>
    <row r="109" spans="10:17" customFormat="1" ht="15.75" x14ac:dyDescent="0.25">
      <c r="J109" s="43"/>
      <c r="K109" s="144"/>
      <c r="L109" s="156"/>
      <c r="M109" s="207"/>
      <c r="N109" s="113" t="s">
        <v>461</v>
      </c>
      <c r="O109" s="207">
        <v>15243</v>
      </c>
      <c r="P109" s="221">
        <v>42202</v>
      </c>
    </row>
    <row r="110" spans="10:17" customFormat="1" ht="15.75" x14ac:dyDescent="0.25">
      <c r="J110" s="43"/>
      <c r="K110" s="144"/>
      <c r="L110" s="156"/>
      <c r="M110" s="207"/>
      <c r="N110" s="113" t="s">
        <v>461</v>
      </c>
      <c r="O110" s="207">
        <v>23309</v>
      </c>
      <c r="P110" s="221">
        <v>42202</v>
      </c>
    </row>
    <row r="111" spans="10:17" customFormat="1" ht="15.75" x14ac:dyDescent="0.25">
      <c r="J111" s="43"/>
      <c r="K111" s="144"/>
      <c r="L111" s="156"/>
      <c r="M111" s="260"/>
      <c r="N111" s="113" t="s">
        <v>461</v>
      </c>
      <c r="O111" s="207">
        <v>11946.5</v>
      </c>
      <c r="P111" s="221">
        <v>42202</v>
      </c>
    </row>
    <row r="112" spans="10:17" customFormat="1" ht="15.75" x14ac:dyDescent="0.25">
      <c r="J112" s="43"/>
      <c r="K112" s="144"/>
      <c r="L112" s="156"/>
      <c r="M112" s="130"/>
      <c r="N112" s="113" t="s">
        <v>461</v>
      </c>
      <c r="O112" s="207">
        <v>4701.5</v>
      </c>
      <c r="P112" s="221">
        <v>42202</v>
      </c>
    </row>
    <row r="113" spans="10:17" customFormat="1" ht="15.75" x14ac:dyDescent="0.25">
      <c r="J113" s="43"/>
      <c r="K113" s="144"/>
      <c r="L113" s="156"/>
      <c r="M113" s="207"/>
      <c r="N113" s="113" t="s">
        <v>461</v>
      </c>
      <c r="O113" s="214">
        <v>22000</v>
      </c>
      <c r="P113" s="221">
        <v>42205</v>
      </c>
      <c r="Q113" s="21">
        <v>42203</v>
      </c>
    </row>
    <row r="114" spans="10:17" customFormat="1" ht="15.75" x14ac:dyDescent="0.25">
      <c r="J114" s="43"/>
      <c r="K114" s="144"/>
      <c r="L114" s="156"/>
      <c r="M114" s="207"/>
      <c r="N114" s="113" t="s">
        <v>461</v>
      </c>
      <c r="O114" s="207">
        <v>19593</v>
      </c>
      <c r="P114" s="221">
        <v>42203</v>
      </c>
    </row>
    <row r="115" spans="10:17" customFormat="1" ht="15.75" x14ac:dyDescent="0.25">
      <c r="J115" s="43"/>
      <c r="K115" s="264"/>
      <c r="L115" s="207"/>
      <c r="M115" s="207"/>
      <c r="N115" s="113" t="s">
        <v>461</v>
      </c>
      <c r="O115" s="207">
        <v>8837</v>
      </c>
      <c r="P115" s="221">
        <v>42203</v>
      </c>
    </row>
    <row r="116" spans="10:17" customFormat="1" ht="15.75" x14ac:dyDescent="0.25">
      <c r="J116" s="43"/>
      <c r="K116" s="264"/>
      <c r="L116" s="130"/>
      <c r="M116" s="130"/>
      <c r="N116" s="113" t="s">
        <v>461</v>
      </c>
      <c r="O116" s="207">
        <v>16380.5</v>
      </c>
      <c r="P116" s="221">
        <v>42203</v>
      </c>
    </row>
    <row r="117" spans="10:17" customFormat="1" ht="15.75" x14ac:dyDescent="0.25">
      <c r="J117" s="43"/>
      <c r="K117" s="193"/>
      <c r="L117" s="207"/>
      <c r="M117" s="207"/>
      <c r="N117" s="113" t="s">
        <v>461</v>
      </c>
      <c r="O117" s="207">
        <v>4689.5</v>
      </c>
      <c r="P117" s="221">
        <v>42203</v>
      </c>
    </row>
    <row r="118" spans="10:17" customFormat="1" ht="15.75" x14ac:dyDescent="0.25">
      <c r="J118" s="43"/>
      <c r="K118" s="193"/>
      <c r="L118" s="207"/>
      <c r="M118" s="207"/>
      <c r="N118" s="113" t="s">
        <v>461</v>
      </c>
      <c r="O118" s="214">
        <v>15000</v>
      </c>
      <c r="P118" s="221">
        <v>42205</v>
      </c>
      <c r="Q118" s="21">
        <v>42204</v>
      </c>
    </row>
    <row r="119" spans="10:17" customFormat="1" ht="15.75" x14ac:dyDescent="0.25">
      <c r="J119" s="43"/>
      <c r="K119" s="193"/>
      <c r="L119" s="207"/>
      <c r="M119" s="207"/>
      <c r="N119" s="113" t="s">
        <v>461</v>
      </c>
      <c r="O119" s="207">
        <v>25483.5</v>
      </c>
      <c r="P119" s="221">
        <v>42205</v>
      </c>
      <c r="Q119" s="21">
        <v>42204</v>
      </c>
    </row>
    <row r="120" spans="10:17" customFormat="1" ht="15.75" x14ac:dyDescent="0.25">
      <c r="J120" s="43"/>
      <c r="K120" s="193"/>
      <c r="L120" s="207"/>
      <c r="M120" s="207"/>
      <c r="N120" s="113" t="s">
        <v>461</v>
      </c>
      <c r="O120" s="207">
        <v>1206</v>
      </c>
      <c r="P120" s="221">
        <v>42205</v>
      </c>
      <c r="Q120" s="21">
        <v>42204</v>
      </c>
    </row>
    <row r="121" spans="10:17" customFormat="1" ht="15.75" x14ac:dyDescent="0.25">
      <c r="J121" s="43"/>
      <c r="K121" s="206"/>
      <c r="L121" s="207"/>
      <c r="M121" s="207"/>
      <c r="N121" s="113" t="s">
        <v>461</v>
      </c>
      <c r="O121" s="207">
        <v>5110.5</v>
      </c>
      <c r="P121" s="221">
        <v>42205</v>
      </c>
      <c r="Q121" s="21">
        <v>42204</v>
      </c>
    </row>
    <row r="122" spans="10:17" customFormat="1" ht="16.5" thickBot="1" x14ac:dyDescent="0.3">
      <c r="J122" s="43"/>
      <c r="K122" s="379"/>
      <c r="L122" s="380"/>
      <c r="M122" s="380"/>
      <c r="N122" s="235" t="s">
        <v>461</v>
      </c>
      <c r="O122" s="380">
        <v>0</v>
      </c>
      <c r="P122" s="381"/>
    </row>
    <row r="123" spans="10:17" customFormat="1" ht="18.75" x14ac:dyDescent="0.3">
      <c r="J123" s="43"/>
      <c r="L123" s="131">
        <f>SUM(L92:L121)</f>
        <v>349458</v>
      </c>
      <c r="M123" s="131"/>
      <c r="N123" s="131"/>
      <c r="O123" s="131">
        <f>SUM(O92:O122)</f>
        <v>349458</v>
      </c>
    </row>
    <row r="126" spans="10:17" customFormat="1" ht="15.75" x14ac:dyDescent="0.25">
      <c r="J126" s="43"/>
      <c r="K126" s="104"/>
      <c r="L126" s="288">
        <v>42216</v>
      </c>
      <c r="M126" s="215"/>
      <c r="N126" s="134" t="s">
        <v>200</v>
      </c>
      <c r="O126" s="88"/>
    </row>
    <row r="127" spans="10:17" customFormat="1" x14ac:dyDescent="0.25">
      <c r="J127" s="43"/>
      <c r="K127" s="104"/>
      <c r="L127" s="103"/>
      <c r="M127" s="103"/>
      <c r="N127" s="103"/>
      <c r="O127" s="213"/>
    </row>
    <row r="128" spans="10:17" customFormat="1" ht="15.75" x14ac:dyDescent="0.25">
      <c r="J128" s="43">
        <f>6778</f>
        <v>6778</v>
      </c>
      <c r="K128" s="144" t="s">
        <v>579</v>
      </c>
      <c r="L128" s="156">
        <v>12571.23</v>
      </c>
      <c r="M128" s="348"/>
      <c r="N128" s="113" t="s">
        <v>461</v>
      </c>
      <c r="O128" s="214">
        <v>6778</v>
      </c>
      <c r="P128" s="221">
        <v>42206</v>
      </c>
    </row>
    <row r="129" spans="10:17" customFormat="1" ht="15.75" x14ac:dyDescent="0.25">
      <c r="J129" s="43">
        <v>1269.5</v>
      </c>
      <c r="K129" s="144" t="s">
        <v>558</v>
      </c>
      <c r="L129" s="156">
        <v>1269.5999999999999</v>
      </c>
      <c r="M129" s="207"/>
      <c r="N129" s="113" t="s">
        <v>461</v>
      </c>
      <c r="O129" s="207">
        <v>1269.5</v>
      </c>
      <c r="P129" s="221">
        <v>42206</v>
      </c>
    </row>
    <row r="130" spans="10:17" customFormat="1" ht="15.75" x14ac:dyDescent="0.25">
      <c r="J130" s="43">
        <f>21418.5+979.5+7381.5</f>
        <v>29779.5</v>
      </c>
      <c r="K130" s="144" t="s">
        <v>561</v>
      </c>
      <c r="L130" s="156">
        <v>29779.47</v>
      </c>
      <c r="M130" s="207"/>
      <c r="N130" s="113" t="s">
        <v>461</v>
      </c>
      <c r="O130" s="207">
        <v>21418.5</v>
      </c>
      <c r="P130" s="221">
        <v>42207</v>
      </c>
    </row>
    <row r="131" spans="10:17" customFormat="1" ht="15.75" x14ac:dyDescent="0.25">
      <c r="J131" s="43">
        <f>40845+7555+20925</f>
        <v>69325</v>
      </c>
      <c r="K131" s="144" t="s">
        <v>562</v>
      </c>
      <c r="L131" s="156">
        <v>69324.88</v>
      </c>
      <c r="M131" s="130"/>
      <c r="N131" s="113" t="s">
        <v>461</v>
      </c>
      <c r="O131" s="207">
        <v>979.5</v>
      </c>
      <c r="P131" s="221">
        <v>42208</v>
      </c>
      <c r="Q131" s="21">
        <v>42207</v>
      </c>
    </row>
    <row r="132" spans="10:17" customFormat="1" ht="15.75" x14ac:dyDescent="0.25">
      <c r="J132" s="43">
        <f>3333.5</f>
        <v>3333.5</v>
      </c>
      <c r="K132" s="144" t="s">
        <v>563</v>
      </c>
      <c r="L132" s="156">
        <v>3333.4</v>
      </c>
      <c r="M132" s="130"/>
      <c r="N132" s="113" t="s">
        <v>461</v>
      </c>
      <c r="O132" s="214">
        <v>7381.5</v>
      </c>
      <c r="P132" s="221">
        <v>42207</v>
      </c>
    </row>
    <row r="133" spans="10:17" customFormat="1" ht="15.75" x14ac:dyDescent="0.25">
      <c r="J133" s="43">
        <f>16527.5+462+8447.5</f>
        <v>25437</v>
      </c>
      <c r="K133" s="144" t="s">
        <v>564</v>
      </c>
      <c r="L133" s="156">
        <v>25436.7</v>
      </c>
      <c r="M133" s="207"/>
      <c r="N133" s="113" t="s">
        <v>461</v>
      </c>
      <c r="O133" s="207">
        <v>40845</v>
      </c>
      <c r="P133" s="221">
        <v>42208</v>
      </c>
    </row>
    <row r="134" spans="10:17" customFormat="1" ht="15.75" x14ac:dyDescent="0.25">
      <c r="J134" s="43">
        <f>15826+10015.5</f>
        <v>25841.5</v>
      </c>
      <c r="K134" s="144" t="s">
        <v>565</v>
      </c>
      <c r="L134" s="156">
        <v>25841.7</v>
      </c>
      <c r="M134" s="334"/>
      <c r="N134" s="113" t="s">
        <v>461</v>
      </c>
      <c r="O134" s="207">
        <v>7555</v>
      </c>
      <c r="P134" s="221">
        <v>42208</v>
      </c>
    </row>
    <row r="135" spans="10:17" customFormat="1" ht="15.75" x14ac:dyDescent="0.25">
      <c r="J135" s="43">
        <f>8342+41521.5</f>
        <v>49863.5</v>
      </c>
      <c r="K135" s="144" t="s">
        <v>566</v>
      </c>
      <c r="L135" s="156">
        <v>49863.35</v>
      </c>
      <c r="M135" s="321"/>
      <c r="N135" s="113" t="s">
        <v>461</v>
      </c>
      <c r="O135" s="207">
        <v>20925</v>
      </c>
      <c r="P135" s="221">
        <v>42209</v>
      </c>
    </row>
    <row r="136" spans="10:17" customFormat="1" ht="15.75" x14ac:dyDescent="0.25">
      <c r="J136" s="43">
        <f>20678.5+8369</f>
        <v>29047.5</v>
      </c>
      <c r="K136" s="144" t="s">
        <v>567</v>
      </c>
      <c r="L136" s="156">
        <v>29047.599999999999</v>
      </c>
      <c r="M136" s="207"/>
      <c r="N136" s="113" t="s">
        <v>461</v>
      </c>
      <c r="O136" s="207">
        <v>16527.5</v>
      </c>
      <c r="P136" s="221">
        <v>42209</v>
      </c>
    </row>
    <row r="137" spans="10:17" customFormat="1" ht="15.75" x14ac:dyDescent="0.25">
      <c r="J137" s="43">
        <f>8180+6452.5+2697+8903</f>
        <v>26232.5</v>
      </c>
      <c r="K137" s="292" t="s">
        <v>568</v>
      </c>
      <c r="L137" s="157">
        <v>20439.57</v>
      </c>
      <c r="M137" s="207"/>
      <c r="N137" s="113" t="s">
        <v>461</v>
      </c>
      <c r="O137" s="207">
        <v>462</v>
      </c>
      <c r="P137" s="221">
        <v>42210</v>
      </c>
      <c r="Q137" s="21">
        <v>42209</v>
      </c>
    </row>
    <row r="138" spans="10:17" customFormat="1" ht="15.75" x14ac:dyDescent="0.25">
      <c r="J138" s="43"/>
      <c r="K138" s="292"/>
      <c r="L138" s="157"/>
      <c r="M138" s="207"/>
      <c r="N138" s="113" t="s">
        <v>461</v>
      </c>
      <c r="O138" s="207">
        <v>8447.5</v>
      </c>
      <c r="P138" s="221">
        <v>42209</v>
      </c>
    </row>
    <row r="139" spans="10:17" customFormat="1" ht="15.75" x14ac:dyDescent="0.25">
      <c r="J139" s="43"/>
      <c r="K139" s="293"/>
      <c r="L139" s="207"/>
      <c r="M139" s="207"/>
      <c r="N139" s="113" t="s">
        <v>461</v>
      </c>
      <c r="O139" s="207">
        <v>3333.5</v>
      </c>
      <c r="P139" s="221">
        <v>42210</v>
      </c>
    </row>
    <row r="140" spans="10:17" customFormat="1" ht="15.75" x14ac:dyDescent="0.25">
      <c r="J140" s="43"/>
      <c r="K140" s="144"/>
      <c r="L140" s="156"/>
      <c r="M140" s="207"/>
      <c r="N140" s="113" t="s">
        <v>461</v>
      </c>
      <c r="O140" s="207">
        <v>8342</v>
      </c>
      <c r="P140" s="221">
        <v>42210</v>
      </c>
    </row>
    <row r="141" spans="10:17" customFormat="1" ht="15.75" x14ac:dyDescent="0.25">
      <c r="J141" s="43"/>
      <c r="K141" s="144"/>
      <c r="L141" s="156"/>
      <c r="M141" s="334"/>
      <c r="N141" s="113" t="s">
        <v>461</v>
      </c>
      <c r="O141" s="207">
        <v>41521.5</v>
      </c>
      <c r="P141" s="221">
        <v>42212</v>
      </c>
      <c r="Q141" s="21">
        <v>42211</v>
      </c>
    </row>
    <row r="142" spans="10:17" customFormat="1" ht="15.75" x14ac:dyDescent="0.25">
      <c r="J142" s="43"/>
      <c r="K142" s="144"/>
      <c r="L142" s="156"/>
      <c r="M142" s="207"/>
      <c r="N142" s="113" t="s">
        <v>461</v>
      </c>
      <c r="O142" s="207">
        <v>15826</v>
      </c>
      <c r="P142" s="221">
        <v>42212</v>
      </c>
    </row>
    <row r="143" spans="10:17" customFormat="1" ht="15.75" x14ac:dyDescent="0.25">
      <c r="J143" s="43"/>
      <c r="K143" s="297"/>
      <c r="L143" s="230"/>
      <c r="M143" s="207"/>
      <c r="N143" s="113" t="s">
        <v>461</v>
      </c>
      <c r="O143" s="207">
        <v>10015.5</v>
      </c>
      <c r="P143" s="221">
        <v>42212</v>
      </c>
      <c r="Q143" s="21">
        <v>42211</v>
      </c>
    </row>
    <row r="144" spans="10:17" customFormat="1" ht="15.75" x14ac:dyDescent="0.25">
      <c r="J144" s="43"/>
      <c r="K144" s="144"/>
      <c r="L144" s="156"/>
      <c r="M144" s="207"/>
      <c r="N144" s="113" t="s">
        <v>461</v>
      </c>
      <c r="O144" s="207">
        <v>8180</v>
      </c>
      <c r="P144" s="221">
        <v>42213</v>
      </c>
      <c r="Q144" s="21">
        <v>42212</v>
      </c>
    </row>
    <row r="145" spans="11:16" customFormat="1" ht="15.75" x14ac:dyDescent="0.25">
      <c r="K145" s="144"/>
      <c r="L145" s="156"/>
      <c r="M145" s="207"/>
      <c r="N145" s="113" t="s">
        <v>461</v>
      </c>
      <c r="O145" s="207">
        <v>6452.5</v>
      </c>
      <c r="P145" s="221">
        <v>42212</v>
      </c>
    </row>
    <row r="146" spans="11:16" customFormat="1" ht="15.75" x14ac:dyDescent="0.25">
      <c r="K146" s="144"/>
      <c r="L146" s="156"/>
      <c r="M146" s="207"/>
      <c r="N146" s="113" t="s">
        <v>461</v>
      </c>
      <c r="O146" s="207">
        <v>20678.5</v>
      </c>
      <c r="P146" s="221">
        <v>42212</v>
      </c>
    </row>
    <row r="147" spans="11:16" customFormat="1" ht="15.75" x14ac:dyDescent="0.25">
      <c r="K147" s="144"/>
      <c r="L147" s="156"/>
      <c r="M147" s="260"/>
      <c r="N147" s="113" t="s">
        <v>461</v>
      </c>
      <c r="O147" s="207">
        <v>8369</v>
      </c>
      <c r="P147" s="221">
        <v>42212</v>
      </c>
    </row>
    <row r="148" spans="11:16" customFormat="1" ht="15.75" x14ac:dyDescent="0.25">
      <c r="K148" s="144"/>
      <c r="L148" s="156"/>
      <c r="M148" s="130"/>
      <c r="N148" s="113" t="s">
        <v>461</v>
      </c>
      <c r="O148" s="207">
        <v>2697</v>
      </c>
      <c r="P148" s="221">
        <v>42213</v>
      </c>
    </row>
    <row r="149" spans="11:16" customFormat="1" ht="15.75" x14ac:dyDescent="0.25">
      <c r="K149" s="144"/>
      <c r="L149" s="156"/>
      <c r="M149" s="207"/>
      <c r="N149" s="113" t="s">
        <v>461</v>
      </c>
      <c r="O149" s="214">
        <v>8903</v>
      </c>
      <c r="P149" s="221">
        <v>42213</v>
      </c>
    </row>
    <row r="150" spans="11:16" customFormat="1" ht="16.5" thickBot="1" x14ac:dyDescent="0.3">
      <c r="K150" s="379"/>
      <c r="L150" s="380"/>
      <c r="M150" s="380"/>
      <c r="N150" s="235" t="s">
        <v>461</v>
      </c>
      <c r="O150" s="380">
        <v>0</v>
      </c>
      <c r="P150" s="381"/>
    </row>
    <row r="151" spans="11:16" customFormat="1" ht="18.75" x14ac:dyDescent="0.3">
      <c r="L151" s="131">
        <f>SUM(L128:L149)</f>
        <v>266907.5</v>
      </c>
      <c r="M151" s="131"/>
      <c r="N151" s="131"/>
      <c r="O151" s="131">
        <f>SUM(O128:O150)</f>
        <v>266907.5</v>
      </c>
    </row>
  </sheetData>
  <sortState ref="A28:F40">
    <sortCondition ref="B28:B40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N48"/>
  <sheetViews>
    <sheetView workbookViewId="0">
      <pane ySplit="4" topLeftCell="A23" activePane="bottomLeft" state="frozen"/>
      <selection pane="bottomLeft" activeCell="H43" sqref="H43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7" max="7" width="5.28515625" customWidth="1"/>
    <col min="10" max="10" width="6.5703125" customWidth="1"/>
    <col min="13" max="13" width="19.42578125" bestFit="1" customWidth="1"/>
    <col min="14" max="14" width="14.140625" bestFit="1" customWidth="1"/>
    <col min="15" max="16" width="11.42578125" style="43"/>
    <col min="18" max="18" width="4.7109375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4" max="34" width="4.7109375" customWidth="1"/>
    <col min="36" max="36" width="12.5703125" bestFit="1" customWidth="1"/>
    <col min="39" max="39" width="14.140625" bestFit="1" customWidth="1"/>
    <col min="46" max="46" width="19.42578125" bestFit="1" customWidth="1"/>
    <col min="47" max="47" width="14.140625" bestFit="1" customWidth="1"/>
    <col min="52" max="52" width="4.7109375" customWidth="1"/>
    <col min="54" max="54" width="12.5703125" bestFit="1" customWidth="1"/>
    <col min="57" max="57" width="14.140625" bestFit="1" customWidth="1"/>
    <col min="64" max="64" width="19.42578125" bestFit="1" customWidth="1"/>
    <col min="65" max="65" width="14.140625" bestFit="1" customWidth="1"/>
  </cols>
  <sheetData>
    <row r="1" spans="1:66" ht="23.25" x14ac:dyDescent="0.35">
      <c r="B1" s="37"/>
      <c r="C1" s="448" t="s">
        <v>583</v>
      </c>
      <c r="D1" s="448"/>
      <c r="E1" s="448"/>
      <c r="F1" s="448"/>
      <c r="G1" s="448"/>
      <c r="H1" s="448"/>
      <c r="I1" s="448"/>
      <c r="J1" s="448"/>
      <c r="K1" s="448"/>
      <c r="M1" s="431"/>
      <c r="N1" s="202"/>
      <c r="O1" s="443" t="s">
        <v>666</v>
      </c>
      <c r="P1" s="441"/>
      <c r="Q1" s="442"/>
      <c r="S1" s="37"/>
      <c r="T1" s="448" t="s">
        <v>583</v>
      </c>
      <c r="U1" s="448"/>
      <c r="V1" s="448"/>
      <c r="W1" s="448"/>
      <c r="X1" s="448"/>
      <c r="Y1" s="448"/>
      <c r="Z1" s="448"/>
      <c r="AA1" s="448"/>
      <c r="AB1" s="448"/>
      <c r="AD1" s="431"/>
      <c r="AE1" s="202"/>
      <c r="AI1" s="37"/>
      <c r="AJ1" s="448" t="s">
        <v>583</v>
      </c>
      <c r="AK1" s="448"/>
      <c r="AL1" s="448"/>
      <c r="AM1" s="448"/>
      <c r="AN1" s="448"/>
      <c r="AO1" s="448"/>
      <c r="AP1" s="448"/>
      <c r="AQ1" s="448"/>
      <c r="AR1" s="448"/>
      <c r="AT1" s="431"/>
      <c r="AU1" s="202"/>
      <c r="BA1" s="37"/>
      <c r="BB1" s="448" t="s">
        <v>583</v>
      </c>
      <c r="BC1" s="448"/>
      <c r="BD1" s="448"/>
      <c r="BE1" s="448"/>
      <c r="BF1" s="448"/>
      <c r="BG1" s="448"/>
      <c r="BH1" s="448"/>
      <c r="BI1" s="448"/>
      <c r="BJ1" s="448"/>
      <c r="BL1" s="405"/>
      <c r="BM1" s="202"/>
    </row>
    <row r="2" spans="1:66" ht="15.75" thickBot="1" x14ac:dyDescent="0.3">
      <c r="B2" s="37"/>
      <c r="C2" s="43"/>
      <c r="E2" s="430"/>
      <c r="F2" s="50"/>
      <c r="I2" s="43"/>
      <c r="J2" s="43"/>
      <c r="M2" s="431"/>
      <c r="N2" s="202"/>
      <c r="S2" s="37"/>
      <c r="T2" s="43"/>
      <c r="V2" s="430"/>
      <c r="W2" s="50"/>
      <c r="Z2" s="43"/>
      <c r="AA2" s="43"/>
      <c r="AD2" s="431"/>
      <c r="AE2" s="202"/>
      <c r="AI2" s="37"/>
      <c r="AJ2" s="43"/>
      <c r="AL2" s="430"/>
      <c r="AM2" s="50"/>
      <c r="AP2" s="43"/>
      <c r="AQ2" s="43"/>
      <c r="AT2" s="431"/>
      <c r="AU2" s="202"/>
      <c r="BA2" s="37"/>
      <c r="BB2" s="43"/>
      <c r="BD2" s="403"/>
      <c r="BE2" s="50"/>
      <c r="BH2" s="43"/>
      <c r="BI2" s="43"/>
      <c r="BL2" s="405"/>
      <c r="BM2" s="202"/>
    </row>
    <row r="3" spans="1:66" ht="15.75" thickBot="1" x14ac:dyDescent="0.3">
      <c r="B3" s="37"/>
      <c r="C3" s="44" t="s">
        <v>0</v>
      </c>
      <c r="D3" s="3"/>
      <c r="F3" s="43"/>
      <c r="I3" s="43"/>
      <c r="J3" s="43"/>
      <c r="M3" s="431"/>
      <c r="N3" s="202"/>
      <c r="S3" s="37"/>
      <c r="T3" s="44" t="s">
        <v>0</v>
      </c>
      <c r="U3" s="3"/>
      <c r="W3" s="43"/>
      <c r="Z3" s="43"/>
      <c r="AA3" s="43"/>
      <c r="AD3" s="431"/>
      <c r="AE3" s="202"/>
      <c r="AI3" s="37"/>
      <c r="AJ3" s="44" t="s">
        <v>0</v>
      </c>
      <c r="AK3" s="3"/>
      <c r="AM3" s="43"/>
      <c r="AP3" s="43"/>
      <c r="AQ3" s="43"/>
      <c r="AT3" s="431"/>
      <c r="AU3" s="202"/>
      <c r="BA3" s="37"/>
      <c r="BB3" s="44" t="s">
        <v>0</v>
      </c>
      <c r="BC3" s="3"/>
      <c r="BE3" s="43"/>
      <c r="BH3" s="43"/>
      <c r="BI3" s="43"/>
      <c r="BL3" s="405"/>
      <c r="BM3" s="202"/>
    </row>
    <row r="4" spans="1:66" ht="20.25" thickTop="1" thickBot="1" x14ac:dyDescent="0.35">
      <c r="A4" s="96" t="s">
        <v>2</v>
      </c>
      <c r="B4" s="38"/>
      <c r="C4" s="94">
        <v>107249.8</v>
      </c>
      <c r="D4" s="2"/>
      <c r="E4" s="469" t="s">
        <v>14</v>
      </c>
      <c r="F4" s="470"/>
      <c r="I4" s="451" t="s">
        <v>4</v>
      </c>
      <c r="J4" s="452"/>
      <c r="K4" s="452"/>
      <c r="L4" s="452"/>
      <c r="M4" s="69" t="s">
        <v>18</v>
      </c>
      <c r="N4" s="203" t="s">
        <v>264</v>
      </c>
      <c r="R4" s="96" t="s">
        <v>2</v>
      </c>
      <c r="S4" s="38"/>
      <c r="T4" s="94">
        <v>107249.8</v>
      </c>
      <c r="U4" s="2"/>
      <c r="V4" s="469" t="s">
        <v>14</v>
      </c>
      <c r="W4" s="470"/>
      <c r="Z4" s="451" t="s">
        <v>4</v>
      </c>
      <c r="AA4" s="452"/>
      <c r="AB4" s="452"/>
      <c r="AC4" s="452"/>
      <c r="AD4" s="69" t="s">
        <v>18</v>
      </c>
      <c r="AE4" s="203" t="s">
        <v>264</v>
      </c>
      <c r="AH4" s="96" t="s">
        <v>2</v>
      </c>
      <c r="AI4" s="38"/>
      <c r="AJ4" s="94">
        <v>107249.8</v>
      </c>
      <c r="AK4" s="2"/>
      <c r="AL4" s="469" t="s">
        <v>14</v>
      </c>
      <c r="AM4" s="470"/>
      <c r="AP4" s="451" t="s">
        <v>4</v>
      </c>
      <c r="AQ4" s="452"/>
      <c r="AR4" s="452"/>
      <c r="AS4" s="452"/>
      <c r="AT4" s="69" t="s">
        <v>18</v>
      </c>
      <c r="AU4" s="203" t="s">
        <v>264</v>
      </c>
      <c r="AZ4" s="96" t="s">
        <v>2</v>
      </c>
      <c r="BA4" s="38"/>
      <c r="BB4" s="94">
        <v>107249.8</v>
      </c>
      <c r="BC4" s="2"/>
      <c r="BD4" s="469" t="s">
        <v>14</v>
      </c>
      <c r="BE4" s="470"/>
      <c r="BH4" s="451" t="s">
        <v>4</v>
      </c>
      <c r="BI4" s="452"/>
      <c r="BJ4" s="452"/>
      <c r="BK4" s="452"/>
      <c r="BL4" s="69" t="s">
        <v>18</v>
      </c>
      <c r="BM4" s="203" t="s">
        <v>264</v>
      </c>
    </row>
    <row r="5" spans="1:66" ht="15.75" thickTop="1" x14ac:dyDescent="0.25">
      <c r="A5" s="21"/>
      <c r="B5" s="39">
        <v>42217</v>
      </c>
      <c r="C5" s="45">
        <v>0</v>
      </c>
      <c r="D5" s="22"/>
      <c r="E5" s="26">
        <v>42217</v>
      </c>
      <c r="F5" s="51">
        <v>87693</v>
      </c>
      <c r="G5" s="23"/>
      <c r="H5" s="24">
        <v>42217</v>
      </c>
      <c r="I5" s="60">
        <v>1200</v>
      </c>
      <c r="J5" s="87"/>
      <c r="K5" s="34"/>
      <c r="L5" s="34"/>
      <c r="M5" s="67" t="s">
        <v>599</v>
      </c>
      <c r="N5" s="75">
        <v>84450</v>
      </c>
      <c r="R5" s="21"/>
      <c r="S5" s="39">
        <v>42217</v>
      </c>
      <c r="T5" s="45">
        <v>0</v>
      </c>
      <c r="U5" s="22"/>
      <c r="V5" s="26">
        <v>42217</v>
      </c>
      <c r="W5" s="51">
        <v>87693</v>
      </c>
      <c r="X5" s="23"/>
      <c r="Y5" s="24">
        <v>42217</v>
      </c>
      <c r="Z5" s="60">
        <v>1200</v>
      </c>
      <c r="AA5" s="87"/>
      <c r="AB5" s="34"/>
      <c r="AC5" s="34"/>
      <c r="AD5" s="67" t="s">
        <v>599</v>
      </c>
      <c r="AE5" s="75">
        <v>84450</v>
      </c>
      <c r="AH5" s="21"/>
      <c r="AI5" s="39">
        <v>42217</v>
      </c>
      <c r="AJ5" s="45">
        <v>0</v>
      </c>
      <c r="AK5" s="22"/>
      <c r="AL5" s="26">
        <v>42217</v>
      </c>
      <c r="AM5" s="51">
        <v>87693</v>
      </c>
      <c r="AN5" s="23"/>
      <c r="AO5" s="24">
        <v>42217</v>
      </c>
      <c r="AP5" s="60">
        <v>1200</v>
      </c>
      <c r="AQ5" s="87"/>
      <c r="AR5" s="34"/>
      <c r="AS5" s="34"/>
      <c r="AT5" s="67" t="s">
        <v>599</v>
      </c>
      <c r="AU5" s="75">
        <v>84450</v>
      </c>
      <c r="AZ5" s="21"/>
      <c r="BA5" s="39">
        <v>42217</v>
      </c>
      <c r="BB5" s="45">
        <v>0</v>
      </c>
      <c r="BC5" s="22"/>
      <c r="BD5" s="26">
        <v>42217</v>
      </c>
      <c r="BE5" s="51">
        <v>87693</v>
      </c>
      <c r="BF5" s="23"/>
      <c r="BG5" s="24">
        <v>42217</v>
      </c>
      <c r="BH5" s="60">
        <v>1200</v>
      </c>
      <c r="BI5" s="87"/>
      <c r="BJ5" s="34"/>
      <c r="BK5" s="34"/>
      <c r="BL5" s="67" t="s">
        <v>599</v>
      </c>
      <c r="BM5" s="75">
        <v>84450</v>
      </c>
    </row>
    <row r="6" spans="1:66" x14ac:dyDescent="0.25">
      <c r="A6" s="21"/>
      <c r="B6" s="39">
        <v>42218</v>
      </c>
      <c r="C6" s="45">
        <v>0</v>
      </c>
      <c r="D6" s="29"/>
      <c r="E6" s="26">
        <v>42218</v>
      </c>
      <c r="F6" s="51">
        <v>81002.5</v>
      </c>
      <c r="G6" s="19"/>
      <c r="H6" s="27">
        <v>42218</v>
      </c>
      <c r="I6" s="61">
        <v>200</v>
      </c>
      <c r="J6" s="88"/>
      <c r="K6" s="13" t="s">
        <v>5</v>
      </c>
      <c r="L6" s="20">
        <v>613</v>
      </c>
      <c r="M6" s="67" t="s">
        <v>600</v>
      </c>
      <c r="N6" s="75">
        <v>82340</v>
      </c>
      <c r="R6" s="21"/>
      <c r="S6" s="39">
        <v>42218</v>
      </c>
      <c r="T6" s="45">
        <v>0</v>
      </c>
      <c r="U6" s="29"/>
      <c r="V6" s="26">
        <v>42218</v>
      </c>
      <c r="W6" s="51">
        <v>81002.5</v>
      </c>
      <c r="X6" s="19"/>
      <c r="Y6" s="27">
        <v>42218</v>
      </c>
      <c r="Z6" s="61">
        <v>200</v>
      </c>
      <c r="AA6" s="88"/>
      <c r="AB6" s="13" t="s">
        <v>5</v>
      </c>
      <c r="AC6" s="20">
        <v>0</v>
      </c>
      <c r="AD6" s="67" t="s">
        <v>600</v>
      </c>
      <c r="AE6" s="75">
        <v>82340</v>
      </c>
      <c r="AH6" s="21"/>
      <c r="AI6" s="39">
        <v>42218</v>
      </c>
      <c r="AJ6" s="45">
        <v>0</v>
      </c>
      <c r="AK6" s="29"/>
      <c r="AL6" s="26">
        <v>42218</v>
      </c>
      <c r="AM6" s="51">
        <v>81002.5</v>
      </c>
      <c r="AN6" s="19"/>
      <c r="AO6" s="27">
        <v>42218</v>
      </c>
      <c r="AP6" s="61">
        <v>200</v>
      </c>
      <c r="AQ6" s="88"/>
      <c r="AR6" s="13" t="s">
        <v>5</v>
      </c>
      <c r="AS6" s="20">
        <v>0</v>
      </c>
      <c r="AT6" s="67" t="s">
        <v>600</v>
      </c>
      <c r="AU6" s="75">
        <v>82340</v>
      </c>
      <c r="AZ6" s="21"/>
      <c r="BA6" s="39">
        <v>42218</v>
      </c>
      <c r="BB6" s="45">
        <v>0</v>
      </c>
      <c r="BC6" s="29"/>
      <c r="BD6" s="26">
        <v>42218</v>
      </c>
      <c r="BE6" s="51">
        <v>81002.5</v>
      </c>
      <c r="BF6" s="19"/>
      <c r="BG6" s="27">
        <v>42218</v>
      </c>
      <c r="BH6" s="61">
        <v>200</v>
      </c>
      <c r="BI6" s="88"/>
      <c r="BJ6" s="13" t="s">
        <v>5</v>
      </c>
      <c r="BK6" s="20">
        <v>0</v>
      </c>
      <c r="BL6" s="67" t="s">
        <v>600</v>
      </c>
      <c r="BM6" s="75">
        <v>82340</v>
      </c>
    </row>
    <row r="7" spans="1:66" x14ac:dyDescent="0.25">
      <c r="A7" s="21"/>
      <c r="B7" s="39">
        <v>42219</v>
      </c>
      <c r="C7" s="45">
        <v>0</v>
      </c>
      <c r="D7" s="32"/>
      <c r="E7" s="26">
        <v>42219</v>
      </c>
      <c r="F7" s="51">
        <v>40466</v>
      </c>
      <c r="G7" s="23"/>
      <c r="H7" s="27">
        <v>42219</v>
      </c>
      <c r="I7" s="61">
        <v>222</v>
      </c>
      <c r="J7" s="88"/>
      <c r="K7" s="13" t="s">
        <v>3</v>
      </c>
      <c r="L7" s="20">
        <v>0</v>
      </c>
      <c r="M7" s="67" t="s">
        <v>601</v>
      </c>
      <c r="N7" s="75">
        <v>40250</v>
      </c>
      <c r="R7" s="21"/>
      <c r="S7" s="39">
        <v>42219</v>
      </c>
      <c r="T7" s="45">
        <v>0</v>
      </c>
      <c r="U7" s="32"/>
      <c r="V7" s="26">
        <v>42219</v>
      </c>
      <c r="W7" s="51">
        <v>40466</v>
      </c>
      <c r="X7" s="23"/>
      <c r="Y7" s="27">
        <v>42219</v>
      </c>
      <c r="Z7" s="61">
        <v>222</v>
      </c>
      <c r="AA7" s="88"/>
      <c r="AB7" s="13" t="s">
        <v>3</v>
      </c>
      <c r="AC7" s="20">
        <v>0</v>
      </c>
      <c r="AD7" s="67" t="s">
        <v>601</v>
      </c>
      <c r="AE7" s="75">
        <v>40250</v>
      </c>
      <c r="AH7" s="21"/>
      <c r="AI7" s="39">
        <v>42219</v>
      </c>
      <c r="AJ7" s="45">
        <v>0</v>
      </c>
      <c r="AK7" s="32"/>
      <c r="AL7" s="26">
        <v>42219</v>
      </c>
      <c r="AM7" s="51">
        <v>40466</v>
      </c>
      <c r="AN7" s="23"/>
      <c r="AO7" s="27">
        <v>42219</v>
      </c>
      <c r="AP7" s="61">
        <v>222</v>
      </c>
      <c r="AQ7" s="88"/>
      <c r="AR7" s="13" t="s">
        <v>3</v>
      </c>
      <c r="AS7" s="20">
        <v>0</v>
      </c>
      <c r="AT7" s="67" t="s">
        <v>601</v>
      </c>
      <c r="AU7" s="75">
        <v>40250</v>
      </c>
      <c r="AZ7" s="21"/>
      <c r="BA7" s="39">
        <v>42219</v>
      </c>
      <c r="BB7" s="45">
        <v>0</v>
      </c>
      <c r="BC7" s="32"/>
      <c r="BD7" s="26">
        <v>42219</v>
      </c>
      <c r="BE7" s="51">
        <v>40466</v>
      </c>
      <c r="BF7" s="23"/>
      <c r="BG7" s="27">
        <v>42219</v>
      </c>
      <c r="BH7" s="61">
        <v>222</v>
      </c>
      <c r="BI7" s="88"/>
      <c r="BJ7" s="13" t="s">
        <v>3</v>
      </c>
      <c r="BK7" s="20">
        <v>0</v>
      </c>
      <c r="BL7" s="67" t="s">
        <v>601</v>
      </c>
      <c r="BM7" s="75">
        <v>40250</v>
      </c>
    </row>
    <row r="8" spans="1:66" x14ac:dyDescent="0.25">
      <c r="A8" s="21"/>
      <c r="B8" s="39">
        <v>42220</v>
      </c>
      <c r="C8" s="45">
        <v>0</v>
      </c>
      <c r="D8" s="22"/>
      <c r="E8" s="26">
        <v>42220</v>
      </c>
      <c r="F8" s="51">
        <v>37189.5</v>
      </c>
      <c r="G8" s="23"/>
      <c r="H8" s="27">
        <v>42220</v>
      </c>
      <c r="I8" s="61">
        <v>200</v>
      </c>
      <c r="J8" s="88"/>
      <c r="K8" s="13" t="s">
        <v>6</v>
      </c>
      <c r="L8" s="20">
        <v>28750</v>
      </c>
      <c r="M8" s="201" t="s">
        <v>602</v>
      </c>
      <c r="N8" s="204">
        <v>34850</v>
      </c>
      <c r="R8" s="21"/>
      <c r="S8" s="39">
        <v>42220</v>
      </c>
      <c r="T8" s="45">
        <v>0</v>
      </c>
      <c r="U8" s="22"/>
      <c r="V8" s="26">
        <v>42220</v>
      </c>
      <c r="W8" s="51">
        <v>37189.5</v>
      </c>
      <c r="X8" s="23"/>
      <c r="Y8" s="27">
        <v>42220</v>
      </c>
      <c r="Z8" s="61">
        <v>200</v>
      </c>
      <c r="AA8" s="88"/>
      <c r="AB8" s="13" t="s">
        <v>6</v>
      </c>
      <c r="AC8" s="20">
        <v>28750</v>
      </c>
      <c r="AD8" s="201" t="s">
        <v>602</v>
      </c>
      <c r="AE8" s="204">
        <v>34850</v>
      </c>
      <c r="AH8" s="21"/>
      <c r="AI8" s="39">
        <v>42220</v>
      </c>
      <c r="AJ8" s="45">
        <v>0</v>
      </c>
      <c r="AK8" s="22"/>
      <c r="AL8" s="26">
        <v>42220</v>
      </c>
      <c r="AM8" s="51">
        <v>37189.5</v>
      </c>
      <c r="AN8" s="23"/>
      <c r="AO8" s="27">
        <v>42220</v>
      </c>
      <c r="AP8" s="61">
        <v>200</v>
      </c>
      <c r="AQ8" s="88"/>
      <c r="AR8" s="13" t="s">
        <v>6</v>
      </c>
      <c r="AS8" s="20">
        <v>28750</v>
      </c>
      <c r="AT8" s="201" t="s">
        <v>602</v>
      </c>
      <c r="AU8" s="204">
        <v>34850</v>
      </c>
      <c r="AZ8" s="21"/>
      <c r="BA8" s="39">
        <v>42220</v>
      </c>
      <c r="BB8" s="45">
        <v>0</v>
      </c>
      <c r="BC8" s="22"/>
      <c r="BD8" s="26">
        <v>42220</v>
      </c>
      <c r="BE8" s="51">
        <v>37189.5</v>
      </c>
      <c r="BF8" s="23"/>
      <c r="BG8" s="27">
        <v>42220</v>
      </c>
      <c r="BH8" s="61">
        <v>200</v>
      </c>
      <c r="BI8" s="88"/>
      <c r="BJ8" s="13" t="s">
        <v>6</v>
      </c>
      <c r="BK8" s="20">
        <v>28750</v>
      </c>
      <c r="BL8" s="201" t="s">
        <v>602</v>
      </c>
      <c r="BM8" s="204">
        <v>34850</v>
      </c>
    </row>
    <row r="9" spans="1:66" x14ac:dyDescent="0.25">
      <c r="A9" s="21"/>
      <c r="B9" s="39">
        <v>42221</v>
      </c>
      <c r="C9" s="45">
        <v>0</v>
      </c>
      <c r="D9" s="22"/>
      <c r="E9" s="26">
        <v>42221</v>
      </c>
      <c r="F9" s="51">
        <v>31683.5</v>
      </c>
      <c r="G9" s="23"/>
      <c r="H9" s="27">
        <v>42221</v>
      </c>
      <c r="I9" s="61">
        <v>230</v>
      </c>
      <c r="J9" s="88"/>
      <c r="K9" s="13" t="s">
        <v>613</v>
      </c>
      <c r="L9" s="20">
        <v>6309.58</v>
      </c>
      <c r="M9" s="67" t="s">
        <v>603</v>
      </c>
      <c r="N9" s="75">
        <v>34000</v>
      </c>
      <c r="R9" s="21"/>
      <c r="S9" s="39">
        <v>42221</v>
      </c>
      <c r="T9" s="45">
        <v>0</v>
      </c>
      <c r="U9" s="22"/>
      <c r="V9" s="26">
        <v>42221</v>
      </c>
      <c r="W9" s="51">
        <v>31683.5</v>
      </c>
      <c r="X9" s="23"/>
      <c r="Y9" s="27">
        <v>42221</v>
      </c>
      <c r="Z9" s="61">
        <v>230</v>
      </c>
      <c r="AA9" s="88"/>
      <c r="AB9" s="13" t="s">
        <v>613</v>
      </c>
      <c r="AC9" s="20">
        <v>6309.58</v>
      </c>
      <c r="AD9" s="67" t="s">
        <v>603</v>
      </c>
      <c r="AE9" s="75">
        <v>34000</v>
      </c>
      <c r="AH9" s="21"/>
      <c r="AI9" s="39">
        <v>42221</v>
      </c>
      <c r="AJ9" s="45">
        <v>0</v>
      </c>
      <c r="AK9" s="22"/>
      <c r="AL9" s="26">
        <v>42221</v>
      </c>
      <c r="AM9" s="51">
        <v>31683.5</v>
      </c>
      <c r="AN9" s="23"/>
      <c r="AO9" s="27">
        <v>42221</v>
      </c>
      <c r="AP9" s="61">
        <v>230</v>
      </c>
      <c r="AQ9" s="88"/>
      <c r="AR9" s="13" t="s">
        <v>613</v>
      </c>
      <c r="AS9" s="20">
        <v>6309.58</v>
      </c>
      <c r="AT9" s="67" t="s">
        <v>603</v>
      </c>
      <c r="AU9" s="75">
        <v>34000</v>
      </c>
      <c r="AZ9" s="21"/>
      <c r="BA9" s="39">
        <v>42221</v>
      </c>
      <c r="BB9" s="45">
        <v>0</v>
      </c>
      <c r="BC9" s="22"/>
      <c r="BD9" s="26">
        <v>42221</v>
      </c>
      <c r="BE9" s="51">
        <v>31683.5</v>
      </c>
      <c r="BF9" s="23"/>
      <c r="BG9" s="27">
        <v>42221</v>
      </c>
      <c r="BH9" s="61">
        <v>230</v>
      </c>
      <c r="BI9" s="88"/>
      <c r="BJ9" s="13" t="s">
        <v>613</v>
      </c>
      <c r="BK9" s="20">
        <v>6309.58</v>
      </c>
      <c r="BL9" s="67" t="s">
        <v>603</v>
      </c>
      <c r="BM9" s="75">
        <v>34000</v>
      </c>
    </row>
    <row r="10" spans="1:66" x14ac:dyDescent="0.25">
      <c r="A10" s="21"/>
      <c r="B10" s="39">
        <v>42222</v>
      </c>
      <c r="C10" s="45">
        <v>0</v>
      </c>
      <c r="D10" s="32"/>
      <c r="E10" s="26">
        <v>42222</v>
      </c>
      <c r="F10" s="51">
        <v>41858.5</v>
      </c>
      <c r="G10" s="23"/>
      <c r="H10" s="27">
        <v>42222</v>
      </c>
      <c r="I10" s="61">
        <v>200</v>
      </c>
      <c r="J10" s="88"/>
      <c r="K10" s="13" t="s">
        <v>614</v>
      </c>
      <c r="L10" s="19">
        <v>8100.06</v>
      </c>
      <c r="M10" s="67" t="s">
        <v>604</v>
      </c>
      <c r="N10" s="75">
        <v>40350</v>
      </c>
      <c r="R10" s="21"/>
      <c r="S10" s="39">
        <v>42222</v>
      </c>
      <c r="T10" s="45">
        <v>0</v>
      </c>
      <c r="U10" s="32"/>
      <c r="V10" s="26">
        <v>42222</v>
      </c>
      <c r="W10" s="51">
        <v>41858.5</v>
      </c>
      <c r="X10" s="23"/>
      <c r="Y10" s="27">
        <v>42222</v>
      </c>
      <c r="Z10" s="61">
        <v>200</v>
      </c>
      <c r="AA10" s="88"/>
      <c r="AB10" s="13" t="s">
        <v>614</v>
      </c>
      <c r="AC10" s="19">
        <v>8100.06</v>
      </c>
      <c r="AD10" s="67" t="s">
        <v>604</v>
      </c>
      <c r="AE10" s="75">
        <v>40350</v>
      </c>
      <c r="AH10" s="21"/>
      <c r="AI10" s="39">
        <v>42222</v>
      </c>
      <c r="AJ10" s="45">
        <v>0</v>
      </c>
      <c r="AK10" s="32"/>
      <c r="AL10" s="26">
        <v>42222</v>
      </c>
      <c r="AM10" s="51">
        <v>41858.5</v>
      </c>
      <c r="AN10" s="23"/>
      <c r="AO10" s="27">
        <v>42222</v>
      </c>
      <c r="AP10" s="61">
        <v>200</v>
      </c>
      <c r="AQ10" s="88"/>
      <c r="AR10" s="13" t="s">
        <v>614</v>
      </c>
      <c r="AS10" s="19">
        <v>8100.06</v>
      </c>
      <c r="AT10" s="67" t="s">
        <v>604</v>
      </c>
      <c r="AU10" s="75">
        <v>40350</v>
      </c>
      <c r="AZ10" s="21"/>
      <c r="BA10" s="39">
        <v>42222</v>
      </c>
      <c r="BB10" s="45">
        <v>0</v>
      </c>
      <c r="BC10" s="32"/>
      <c r="BD10" s="26">
        <v>42222</v>
      </c>
      <c r="BE10" s="51">
        <v>41858.5</v>
      </c>
      <c r="BF10" s="23"/>
      <c r="BG10" s="27">
        <v>42222</v>
      </c>
      <c r="BH10" s="61">
        <v>200</v>
      </c>
      <c r="BI10" s="88"/>
      <c r="BJ10" s="13" t="s">
        <v>614</v>
      </c>
      <c r="BK10" s="19">
        <v>8100.06</v>
      </c>
      <c r="BL10" s="67" t="s">
        <v>604</v>
      </c>
      <c r="BM10" s="75">
        <v>40350</v>
      </c>
    </row>
    <row r="11" spans="1:66" x14ac:dyDescent="0.25">
      <c r="A11" s="21"/>
      <c r="B11" s="39">
        <v>42223</v>
      </c>
      <c r="C11" s="45">
        <v>1152.2</v>
      </c>
      <c r="D11" s="32" t="s">
        <v>605</v>
      </c>
      <c r="E11" s="26">
        <v>42223</v>
      </c>
      <c r="F11" s="51">
        <v>78994.5</v>
      </c>
      <c r="G11" s="23"/>
      <c r="H11" s="27">
        <v>42223</v>
      </c>
      <c r="I11" s="62">
        <v>200</v>
      </c>
      <c r="J11" s="88"/>
      <c r="K11" s="13" t="s">
        <v>615</v>
      </c>
      <c r="L11" s="19">
        <f>6966.73</f>
        <v>6966.73</v>
      </c>
      <c r="M11" s="67" t="s">
        <v>606</v>
      </c>
      <c r="N11" s="75">
        <v>75400</v>
      </c>
      <c r="R11" s="21"/>
      <c r="S11" s="39">
        <v>42223</v>
      </c>
      <c r="T11" s="45">
        <v>1152.2</v>
      </c>
      <c r="U11" s="32" t="s">
        <v>605</v>
      </c>
      <c r="V11" s="26">
        <v>42223</v>
      </c>
      <c r="W11" s="51">
        <v>78994.5</v>
      </c>
      <c r="X11" s="23"/>
      <c r="Y11" s="27">
        <v>42223</v>
      </c>
      <c r="Z11" s="62">
        <v>200</v>
      </c>
      <c r="AA11" s="88"/>
      <c r="AB11" s="13" t="s">
        <v>615</v>
      </c>
      <c r="AC11" s="19">
        <f>6966.73</f>
        <v>6966.73</v>
      </c>
      <c r="AD11" s="67" t="s">
        <v>606</v>
      </c>
      <c r="AE11" s="75">
        <v>75400</v>
      </c>
      <c r="AH11" s="21"/>
      <c r="AI11" s="39">
        <v>42223</v>
      </c>
      <c r="AJ11" s="45">
        <v>1152.2</v>
      </c>
      <c r="AK11" s="32" t="s">
        <v>605</v>
      </c>
      <c r="AL11" s="26">
        <v>42223</v>
      </c>
      <c r="AM11" s="51">
        <v>78994.5</v>
      </c>
      <c r="AN11" s="23"/>
      <c r="AO11" s="27">
        <v>42223</v>
      </c>
      <c r="AP11" s="62">
        <v>200</v>
      </c>
      <c r="AQ11" s="88"/>
      <c r="AR11" s="13" t="s">
        <v>615</v>
      </c>
      <c r="AS11" s="19">
        <f>6966.73</f>
        <v>6966.73</v>
      </c>
      <c r="AT11" s="67" t="s">
        <v>606</v>
      </c>
      <c r="AU11" s="75">
        <v>75400</v>
      </c>
      <c r="AZ11" s="21"/>
      <c r="BA11" s="39">
        <v>42223</v>
      </c>
      <c r="BB11" s="45">
        <v>1152.2</v>
      </c>
      <c r="BC11" s="32" t="s">
        <v>605</v>
      </c>
      <c r="BD11" s="26">
        <v>42223</v>
      </c>
      <c r="BE11" s="51">
        <v>78994.5</v>
      </c>
      <c r="BF11" s="23"/>
      <c r="BG11" s="27">
        <v>42223</v>
      </c>
      <c r="BH11" s="62">
        <v>200</v>
      </c>
      <c r="BI11" s="88"/>
      <c r="BJ11" s="13" t="s">
        <v>615</v>
      </c>
      <c r="BK11" s="19">
        <v>0</v>
      </c>
      <c r="BL11" s="67" t="s">
        <v>606</v>
      </c>
      <c r="BM11" s="75">
        <v>75400</v>
      </c>
    </row>
    <row r="12" spans="1:66" x14ac:dyDescent="0.25">
      <c r="A12" s="21"/>
      <c r="B12" s="39">
        <v>42224</v>
      </c>
      <c r="C12" s="45">
        <v>0</v>
      </c>
      <c r="D12" s="32"/>
      <c r="E12" s="26">
        <v>42224</v>
      </c>
      <c r="F12" s="51">
        <v>66867</v>
      </c>
      <c r="G12" s="23"/>
      <c r="H12" s="27">
        <v>42224</v>
      </c>
      <c r="I12" s="62">
        <v>200</v>
      </c>
      <c r="J12" s="88"/>
      <c r="K12" s="13" t="s">
        <v>616</v>
      </c>
      <c r="L12" s="20">
        <f>5712.65+1200</f>
        <v>6912.65</v>
      </c>
      <c r="M12" s="67" t="s">
        <v>607</v>
      </c>
      <c r="N12" s="75">
        <v>63500.03</v>
      </c>
      <c r="R12" s="21"/>
      <c r="S12" s="39">
        <v>42224</v>
      </c>
      <c r="T12" s="45">
        <v>0</v>
      </c>
      <c r="U12" s="32"/>
      <c r="V12" s="26">
        <v>42224</v>
      </c>
      <c r="W12" s="51">
        <v>66867</v>
      </c>
      <c r="X12" s="23"/>
      <c r="Y12" s="27">
        <v>42224</v>
      </c>
      <c r="Z12" s="62">
        <v>200</v>
      </c>
      <c r="AA12" s="88"/>
      <c r="AB12" s="13" t="s">
        <v>616</v>
      </c>
      <c r="AC12" s="20">
        <f>5712.65+1200</f>
        <v>6912.65</v>
      </c>
      <c r="AD12" s="67" t="s">
        <v>607</v>
      </c>
      <c r="AE12" s="75">
        <v>63500.03</v>
      </c>
      <c r="AH12" s="21"/>
      <c r="AI12" s="39">
        <v>42224</v>
      </c>
      <c r="AJ12" s="45">
        <v>0</v>
      </c>
      <c r="AK12" s="32"/>
      <c r="AL12" s="26">
        <v>42224</v>
      </c>
      <c r="AM12" s="51">
        <v>66867</v>
      </c>
      <c r="AN12" s="23"/>
      <c r="AO12" s="27">
        <v>42224</v>
      </c>
      <c r="AP12" s="62">
        <v>200</v>
      </c>
      <c r="AQ12" s="88"/>
      <c r="AR12" s="13" t="s">
        <v>616</v>
      </c>
      <c r="AS12" s="20">
        <v>0</v>
      </c>
      <c r="AT12" s="67" t="s">
        <v>607</v>
      </c>
      <c r="AU12" s="75">
        <v>63500.03</v>
      </c>
      <c r="AZ12" s="21"/>
      <c r="BA12" s="39">
        <v>42224</v>
      </c>
      <c r="BB12" s="45">
        <v>0</v>
      </c>
      <c r="BC12" s="32"/>
      <c r="BD12" s="26">
        <v>42224</v>
      </c>
      <c r="BE12" s="51">
        <v>66867</v>
      </c>
      <c r="BF12" s="23"/>
      <c r="BG12" s="27">
        <v>42224</v>
      </c>
      <c r="BH12" s="62">
        <v>200</v>
      </c>
      <c r="BI12" s="88"/>
      <c r="BJ12" s="13" t="s">
        <v>616</v>
      </c>
      <c r="BK12" s="20">
        <v>0</v>
      </c>
      <c r="BL12" s="67" t="s">
        <v>607</v>
      </c>
      <c r="BM12" s="75">
        <v>63500.03</v>
      </c>
    </row>
    <row r="13" spans="1:66" x14ac:dyDescent="0.25">
      <c r="A13" s="21"/>
      <c r="B13" s="39">
        <v>42225</v>
      </c>
      <c r="C13" s="45">
        <v>0</v>
      </c>
      <c r="D13" s="32"/>
      <c r="E13" s="26">
        <v>42225</v>
      </c>
      <c r="F13" s="51">
        <v>65500.5</v>
      </c>
      <c r="G13" s="23"/>
      <c r="H13" s="27">
        <v>42225</v>
      </c>
      <c r="I13" s="62">
        <v>200</v>
      </c>
      <c r="J13" s="88"/>
      <c r="K13" s="13" t="s">
        <v>617</v>
      </c>
      <c r="L13" s="20">
        <f>1200+4705.58</f>
        <v>5905.58</v>
      </c>
      <c r="M13" s="67" t="s">
        <v>608</v>
      </c>
      <c r="N13" s="75">
        <v>68300</v>
      </c>
      <c r="R13" s="21"/>
      <c r="S13" s="39">
        <v>42225</v>
      </c>
      <c r="T13" s="45">
        <v>0</v>
      </c>
      <c r="U13" s="32"/>
      <c r="V13" s="26">
        <v>42225</v>
      </c>
      <c r="W13" s="51">
        <v>65500.5</v>
      </c>
      <c r="X13" s="23"/>
      <c r="Y13" s="27">
        <v>42225</v>
      </c>
      <c r="Z13" s="62">
        <v>200</v>
      </c>
      <c r="AA13" s="88"/>
      <c r="AB13" s="13" t="s">
        <v>617</v>
      </c>
      <c r="AC13" s="20">
        <v>0</v>
      </c>
      <c r="AD13" s="67" t="s">
        <v>608</v>
      </c>
      <c r="AE13" s="75">
        <v>68300</v>
      </c>
      <c r="AH13" s="21"/>
      <c r="AI13" s="39">
        <v>42225</v>
      </c>
      <c r="AJ13" s="45">
        <v>0</v>
      </c>
      <c r="AK13" s="32"/>
      <c r="AL13" s="26">
        <v>42225</v>
      </c>
      <c r="AM13" s="51">
        <v>65500.5</v>
      </c>
      <c r="AN13" s="23"/>
      <c r="AO13" s="27">
        <v>42225</v>
      </c>
      <c r="AP13" s="62">
        <v>200</v>
      </c>
      <c r="AQ13" s="88"/>
      <c r="AR13" s="13" t="s">
        <v>617</v>
      </c>
      <c r="AS13" s="20">
        <v>0</v>
      </c>
      <c r="AT13" s="67" t="s">
        <v>608</v>
      </c>
      <c r="AU13" s="75">
        <v>68300</v>
      </c>
      <c r="AZ13" s="21"/>
      <c r="BA13" s="39">
        <v>42225</v>
      </c>
      <c r="BB13" s="45">
        <v>0</v>
      </c>
      <c r="BC13" s="32"/>
      <c r="BD13" s="26">
        <v>42225</v>
      </c>
      <c r="BE13" s="51">
        <v>65500.5</v>
      </c>
      <c r="BF13" s="23"/>
      <c r="BG13" s="27">
        <v>42225</v>
      </c>
      <c r="BH13" s="62">
        <v>200</v>
      </c>
      <c r="BI13" s="88"/>
      <c r="BJ13" s="13" t="s">
        <v>617</v>
      </c>
      <c r="BK13" s="20">
        <v>0</v>
      </c>
      <c r="BL13" s="67" t="s">
        <v>608</v>
      </c>
      <c r="BM13" s="75">
        <v>68300</v>
      </c>
    </row>
    <row r="14" spans="1:66" x14ac:dyDescent="0.25">
      <c r="A14" s="21"/>
      <c r="B14" s="39">
        <v>42226</v>
      </c>
      <c r="C14" s="45">
        <v>0</v>
      </c>
      <c r="D14" s="29"/>
      <c r="E14" s="26">
        <v>42226</v>
      </c>
      <c r="F14" s="51">
        <v>55249</v>
      </c>
      <c r="G14" s="23"/>
      <c r="H14" s="27">
        <v>42226</v>
      </c>
      <c r="I14" s="62">
        <v>200</v>
      </c>
      <c r="J14" s="88"/>
      <c r="K14" s="35" t="s">
        <v>16</v>
      </c>
      <c r="L14" s="20">
        <v>0</v>
      </c>
      <c r="M14" s="67" t="s">
        <v>609</v>
      </c>
      <c r="N14" s="75">
        <v>56400</v>
      </c>
      <c r="O14" s="242"/>
      <c r="P14" s="242"/>
      <c r="R14" s="21"/>
      <c r="S14" s="39">
        <v>42226</v>
      </c>
      <c r="T14" s="45">
        <v>0</v>
      </c>
      <c r="U14" s="29"/>
      <c r="V14" s="26">
        <v>42226</v>
      </c>
      <c r="W14" s="51">
        <v>55249</v>
      </c>
      <c r="X14" s="23"/>
      <c r="Y14" s="27">
        <v>42226</v>
      </c>
      <c r="Z14" s="62">
        <v>200</v>
      </c>
      <c r="AA14" s="88"/>
      <c r="AB14" s="35" t="s">
        <v>16</v>
      </c>
      <c r="AC14" s="20">
        <v>0</v>
      </c>
      <c r="AD14" s="67" t="s">
        <v>609</v>
      </c>
      <c r="AE14" s="75">
        <v>56400</v>
      </c>
      <c r="AF14" s="242"/>
      <c r="AG14" s="242"/>
      <c r="AH14" s="21"/>
      <c r="AI14" s="39">
        <v>42226</v>
      </c>
      <c r="AJ14" s="45">
        <v>0</v>
      </c>
      <c r="AK14" s="29"/>
      <c r="AL14" s="26">
        <v>42226</v>
      </c>
      <c r="AM14" s="51">
        <v>55249</v>
      </c>
      <c r="AN14" s="23"/>
      <c r="AO14" s="27">
        <v>42226</v>
      </c>
      <c r="AP14" s="62">
        <v>200</v>
      </c>
      <c r="AQ14" s="88"/>
      <c r="AR14" s="35" t="s">
        <v>16</v>
      </c>
      <c r="AS14" s="20">
        <v>0</v>
      </c>
      <c r="AT14" s="67" t="s">
        <v>609</v>
      </c>
      <c r="AU14" s="75">
        <v>56400</v>
      </c>
      <c r="AV14" s="242"/>
      <c r="AW14" s="242"/>
      <c r="AX14" s="242"/>
      <c r="AY14" s="242"/>
      <c r="AZ14" s="21"/>
      <c r="BA14" s="39">
        <v>42226</v>
      </c>
      <c r="BB14" s="45">
        <v>0</v>
      </c>
      <c r="BC14" s="29"/>
      <c r="BD14" s="26">
        <v>42226</v>
      </c>
      <c r="BE14" s="51">
        <v>55249</v>
      </c>
      <c r="BF14" s="23"/>
      <c r="BG14" s="27">
        <v>42226</v>
      </c>
      <c r="BH14" s="62">
        <v>200</v>
      </c>
      <c r="BI14" s="88"/>
      <c r="BJ14" s="35" t="s">
        <v>16</v>
      </c>
      <c r="BK14" s="20">
        <v>0</v>
      </c>
      <c r="BL14" s="67" t="s">
        <v>609</v>
      </c>
      <c r="BM14" s="75">
        <v>56400</v>
      </c>
      <c r="BN14" s="242"/>
    </row>
    <row r="15" spans="1:66" x14ac:dyDescent="0.25">
      <c r="A15" s="21"/>
      <c r="B15" s="39">
        <v>42227</v>
      </c>
      <c r="C15" s="45">
        <v>0</v>
      </c>
      <c r="D15" s="29"/>
      <c r="E15" s="26">
        <v>42227</v>
      </c>
      <c r="F15" s="51">
        <v>45510.5</v>
      </c>
      <c r="G15" s="23"/>
      <c r="H15" s="27">
        <v>42227</v>
      </c>
      <c r="I15" s="62">
        <v>200</v>
      </c>
      <c r="J15" s="88"/>
      <c r="K15" s="28" t="s">
        <v>15</v>
      </c>
      <c r="L15" s="20">
        <v>0</v>
      </c>
      <c r="M15" s="67" t="s">
        <v>625</v>
      </c>
      <c r="N15" s="75">
        <v>42960</v>
      </c>
      <c r="R15" s="21"/>
      <c r="S15" s="39">
        <v>42227</v>
      </c>
      <c r="T15" s="45">
        <v>0</v>
      </c>
      <c r="U15" s="29"/>
      <c r="V15" s="26">
        <v>42227</v>
      </c>
      <c r="W15" s="51">
        <v>45510.5</v>
      </c>
      <c r="X15" s="23"/>
      <c r="Y15" s="27">
        <v>42227</v>
      </c>
      <c r="Z15" s="62">
        <v>200</v>
      </c>
      <c r="AA15" s="88"/>
      <c r="AB15" s="28" t="s">
        <v>15</v>
      </c>
      <c r="AC15" s="20">
        <v>0</v>
      </c>
      <c r="AD15" s="67" t="s">
        <v>625</v>
      </c>
      <c r="AE15" s="75">
        <v>42960</v>
      </c>
      <c r="AH15" s="21"/>
      <c r="AI15" s="39">
        <v>42227</v>
      </c>
      <c r="AJ15" s="45">
        <v>0</v>
      </c>
      <c r="AK15" s="29"/>
      <c r="AL15" s="26">
        <v>42227</v>
      </c>
      <c r="AM15" s="51">
        <v>45510.5</v>
      </c>
      <c r="AN15" s="23"/>
      <c r="AO15" s="27">
        <v>42227</v>
      </c>
      <c r="AP15" s="62">
        <v>200</v>
      </c>
      <c r="AQ15" s="88"/>
      <c r="AR15" s="28" t="s">
        <v>15</v>
      </c>
      <c r="AS15" s="20">
        <v>0</v>
      </c>
      <c r="AT15" s="67" t="s">
        <v>625</v>
      </c>
      <c r="AU15" s="75">
        <v>42960</v>
      </c>
      <c r="AZ15" s="21"/>
      <c r="BA15" s="39">
        <v>42227</v>
      </c>
      <c r="BB15" s="45">
        <v>0</v>
      </c>
      <c r="BC15" s="29"/>
      <c r="BD15" s="26">
        <v>42227</v>
      </c>
      <c r="BE15" s="51"/>
      <c r="BF15" s="23"/>
      <c r="BG15" s="27">
        <v>42227</v>
      </c>
      <c r="BH15" s="62"/>
      <c r="BI15" s="88"/>
      <c r="BJ15" s="28" t="s">
        <v>15</v>
      </c>
      <c r="BK15" s="20">
        <v>0</v>
      </c>
      <c r="BL15" s="67"/>
      <c r="BM15" s="75"/>
      <c r="BN15" s="23"/>
    </row>
    <row r="16" spans="1:66" x14ac:dyDescent="0.25">
      <c r="A16" s="21"/>
      <c r="B16" s="39">
        <v>42228</v>
      </c>
      <c r="C16" s="45">
        <v>0</v>
      </c>
      <c r="D16" s="29"/>
      <c r="E16" s="26">
        <v>42228</v>
      </c>
      <c r="F16" s="51">
        <v>39860.5</v>
      </c>
      <c r="G16" s="23"/>
      <c r="H16" s="27">
        <v>42228</v>
      </c>
      <c r="I16" s="62">
        <v>200</v>
      </c>
      <c r="J16" s="88"/>
      <c r="K16" s="73" t="s">
        <v>52</v>
      </c>
      <c r="L16" s="74">
        <v>0</v>
      </c>
      <c r="M16" s="67" t="s">
        <v>626</v>
      </c>
      <c r="N16" s="75">
        <v>40850</v>
      </c>
      <c r="R16" s="21"/>
      <c r="S16" s="39">
        <v>42228</v>
      </c>
      <c r="T16" s="45">
        <v>0</v>
      </c>
      <c r="U16" s="29"/>
      <c r="V16" s="26">
        <v>42228</v>
      </c>
      <c r="W16" s="51">
        <v>39860.5</v>
      </c>
      <c r="X16" s="23"/>
      <c r="Y16" s="27">
        <v>42228</v>
      </c>
      <c r="Z16" s="62">
        <v>200</v>
      </c>
      <c r="AA16" s="88"/>
      <c r="AB16" s="73" t="s">
        <v>52</v>
      </c>
      <c r="AC16" s="74">
        <v>0</v>
      </c>
      <c r="AD16" s="67" t="s">
        <v>626</v>
      </c>
      <c r="AE16" s="75">
        <v>40850</v>
      </c>
      <c r="AH16" s="21"/>
      <c r="AI16" s="39">
        <v>42228</v>
      </c>
      <c r="AJ16" s="45">
        <v>0</v>
      </c>
      <c r="AK16" s="29"/>
      <c r="AL16" s="26">
        <v>42228</v>
      </c>
      <c r="AM16" s="51">
        <v>39860.5</v>
      </c>
      <c r="AN16" s="23"/>
      <c r="AO16" s="27">
        <v>42228</v>
      </c>
      <c r="AP16" s="62">
        <v>200</v>
      </c>
      <c r="AQ16" s="88"/>
      <c r="AR16" s="73" t="s">
        <v>52</v>
      </c>
      <c r="AS16" s="74">
        <v>0</v>
      </c>
      <c r="AT16" s="67" t="s">
        <v>626</v>
      </c>
      <c r="AU16" s="75">
        <v>40850</v>
      </c>
      <c r="AZ16" s="21"/>
      <c r="BA16" s="39">
        <v>42228</v>
      </c>
      <c r="BB16" s="45">
        <v>0</v>
      </c>
      <c r="BC16" s="29"/>
      <c r="BD16" s="26">
        <v>42228</v>
      </c>
      <c r="BE16" s="51"/>
      <c r="BF16" s="23"/>
      <c r="BG16" s="27">
        <v>42228</v>
      </c>
      <c r="BH16" s="62"/>
      <c r="BI16" s="88"/>
      <c r="BJ16" s="73" t="s">
        <v>52</v>
      </c>
      <c r="BK16" s="74">
        <v>0</v>
      </c>
      <c r="BL16" s="67"/>
      <c r="BM16" s="75"/>
      <c r="BN16" s="23"/>
    </row>
    <row r="17" spans="1:66" x14ac:dyDescent="0.25">
      <c r="A17" s="21"/>
      <c r="B17" s="39">
        <v>42229</v>
      </c>
      <c r="C17" s="45">
        <v>0</v>
      </c>
      <c r="D17" s="29"/>
      <c r="E17" s="26">
        <v>42229</v>
      </c>
      <c r="F17" s="51">
        <v>40080.54</v>
      </c>
      <c r="G17" s="23"/>
      <c r="H17" s="27">
        <v>42229</v>
      </c>
      <c r="I17" s="62">
        <v>390</v>
      </c>
      <c r="J17" s="88"/>
      <c r="K17" s="28" t="s">
        <v>53</v>
      </c>
      <c r="L17" s="74">
        <v>0</v>
      </c>
      <c r="M17" s="67" t="s">
        <v>627</v>
      </c>
      <c r="N17" s="75">
        <v>43080</v>
      </c>
      <c r="R17" s="21"/>
      <c r="S17" s="39">
        <v>42229</v>
      </c>
      <c r="T17" s="45">
        <v>0</v>
      </c>
      <c r="U17" s="29"/>
      <c r="V17" s="26">
        <v>42229</v>
      </c>
      <c r="W17" s="51">
        <v>40080.54</v>
      </c>
      <c r="X17" s="23"/>
      <c r="Y17" s="27">
        <v>42229</v>
      </c>
      <c r="Z17" s="62">
        <v>390</v>
      </c>
      <c r="AA17" s="88"/>
      <c r="AB17" s="28" t="s">
        <v>53</v>
      </c>
      <c r="AC17" s="74">
        <v>0</v>
      </c>
      <c r="AD17" s="67" t="s">
        <v>627</v>
      </c>
      <c r="AE17" s="75">
        <v>43080</v>
      </c>
      <c r="AH17" s="21"/>
      <c r="AI17" s="39">
        <v>42229</v>
      </c>
      <c r="AJ17" s="45">
        <v>0</v>
      </c>
      <c r="AK17" s="29"/>
      <c r="AL17" s="26">
        <v>42229</v>
      </c>
      <c r="AM17" s="51">
        <v>40080.54</v>
      </c>
      <c r="AN17" s="23"/>
      <c r="AO17" s="27">
        <v>42229</v>
      </c>
      <c r="AP17" s="62">
        <v>390</v>
      </c>
      <c r="AQ17" s="88"/>
      <c r="AR17" s="28" t="s">
        <v>53</v>
      </c>
      <c r="AS17" s="74">
        <v>0</v>
      </c>
      <c r="AT17" s="67" t="s">
        <v>627</v>
      </c>
      <c r="AU17" s="75">
        <v>43080</v>
      </c>
      <c r="AZ17" s="21"/>
      <c r="BA17" s="39">
        <v>42229</v>
      </c>
      <c r="BB17" s="45">
        <v>0</v>
      </c>
      <c r="BC17" s="29"/>
      <c r="BD17" s="26">
        <v>42229</v>
      </c>
      <c r="BE17" s="51"/>
      <c r="BF17" s="23"/>
      <c r="BG17" s="27">
        <v>42229</v>
      </c>
      <c r="BH17" s="62"/>
      <c r="BI17" s="88"/>
      <c r="BJ17" s="28" t="s">
        <v>53</v>
      </c>
      <c r="BK17" s="74">
        <v>0</v>
      </c>
      <c r="BL17" s="67"/>
      <c r="BM17" s="75"/>
      <c r="BN17" s="23"/>
    </row>
    <row r="18" spans="1:66" x14ac:dyDescent="0.25">
      <c r="A18" s="21"/>
      <c r="B18" s="39">
        <v>42230</v>
      </c>
      <c r="C18" s="45">
        <v>0</v>
      </c>
      <c r="D18" s="22"/>
      <c r="E18" s="26">
        <v>42230</v>
      </c>
      <c r="F18" s="51">
        <v>73894.5</v>
      </c>
      <c r="G18" s="23"/>
      <c r="H18" s="27">
        <v>42230</v>
      </c>
      <c r="I18" s="62">
        <v>200</v>
      </c>
      <c r="J18" s="89"/>
      <c r="K18" s="28" t="s">
        <v>54</v>
      </c>
      <c r="L18" s="75">
        <v>0</v>
      </c>
      <c r="M18" s="67" t="s">
        <v>628</v>
      </c>
      <c r="N18" s="75">
        <v>70600</v>
      </c>
      <c r="R18" s="21"/>
      <c r="S18" s="39">
        <v>42230</v>
      </c>
      <c r="T18" s="45">
        <v>0</v>
      </c>
      <c r="U18" s="22"/>
      <c r="V18" s="26">
        <v>42230</v>
      </c>
      <c r="W18" s="51">
        <v>73894.5</v>
      </c>
      <c r="X18" s="23"/>
      <c r="Y18" s="27">
        <v>42230</v>
      </c>
      <c r="Z18" s="62">
        <v>200</v>
      </c>
      <c r="AA18" s="89"/>
      <c r="AB18" s="28" t="s">
        <v>54</v>
      </c>
      <c r="AC18" s="75">
        <v>0</v>
      </c>
      <c r="AD18" s="67" t="s">
        <v>628</v>
      </c>
      <c r="AE18" s="75">
        <v>70600</v>
      </c>
      <c r="AH18" s="21"/>
      <c r="AI18" s="39">
        <v>42230</v>
      </c>
      <c r="AJ18" s="45">
        <v>0</v>
      </c>
      <c r="AK18" s="22"/>
      <c r="AL18" s="26">
        <v>42230</v>
      </c>
      <c r="AM18" s="51">
        <v>73894.5</v>
      </c>
      <c r="AN18" s="23"/>
      <c r="AO18" s="27">
        <v>42230</v>
      </c>
      <c r="AP18" s="62">
        <v>200</v>
      </c>
      <c r="AQ18" s="89"/>
      <c r="AR18" s="28" t="s">
        <v>54</v>
      </c>
      <c r="AS18" s="75">
        <v>0</v>
      </c>
      <c r="AT18" s="67" t="s">
        <v>628</v>
      </c>
      <c r="AU18" s="75">
        <v>70600</v>
      </c>
      <c r="AZ18" s="21"/>
      <c r="BA18" s="39">
        <v>42230</v>
      </c>
      <c r="BB18" s="45">
        <v>0</v>
      </c>
      <c r="BC18" s="22"/>
      <c r="BD18" s="26">
        <v>42230</v>
      </c>
      <c r="BE18" s="51"/>
      <c r="BF18" s="23"/>
      <c r="BG18" s="27">
        <v>42230</v>
      </c>
      <c r="BH18" s="62"/>
      <c r="BI18" s="89"/>
      <c r="BJ18" s="28" t="s">
        <v>54</v>
      </c>
      <c r="BK18" s="75">
        <v>0</v>
      </c>
      <c r="BL18" s="67"/>
      <c r="BM18" s="75"/>
      <c r="BN18" s="23"/>
    </row>
    <row r="19" spans="1:66" x14ac:dyDescent="0.25">
      <c r="A19" s="21"/>
      <c r="B19" s="39">
        <v>42231</v>
      </c>
      <c r="C19" s="45">
        <v>0</v>
      </c>
      <c r="D19" s="29"/>
      <c r="E19" s="26">
        <v>42231</v>
      </c>
      <c r="F19" s="51">
        <v>57995.5</v>
      </c>
      <c r="G19" s="23"/>
      <c r="H19" s="27">
        <v>42231</v>
      </c>
      <c r="I19" s="62">
        <v>240</v>
      </c>
      <c r="J19" s="88"/>
      <c r="K19" s="28" t="s">
        <v>55</v>
      </c>
      <c r="L19" s="75">
        <v>0</v>
      </c>
      <c r="M19" s="67" t="s">
        <v>629</v>
      </c>
      <c r="N19" s="75">
        <v>60800</v>
      </c>
      <c r="R19" s="21"/>
      <c r="S19" s="39">
        <v>42231</v>
      </c>
      <c r="T19" s="45">
        <v>0</v>
      </c>
      <c r="U19" s="29"/>
      <c r="V19" s="26">
        <v>42231</v>
      </c>
      <c r="W19" s="51">
        <v>57995.5</v>
      </c>
      <c r="X19" s="23"/>
      <c r="Y19" s="27">
        <v>42231</v>
      </c>
      <c r="Z19" s="62">
        <v>240</v>
      </c>
      <c r="AA19" s="88"/>
      <c r="AB19" s="28" t="s">
        <v>55</v>
      </c>
      <c r="AC19" s="75">
        <v>0</v>
      </c>
      <c r="AD19" s="67" t="s">
        <v>629</v>
      </c>
      <c r="AE19" s="75">
        <v>60800</v>
      </c>
      <c r="AH19" s="21"/>
      <c r="AI19" s="39">
        <v>42231</v>
      </c>
      <c r="AJ19" s="45">
        <v>0</v>
      </c>
      <c r="AK19" s="29"/>
      <c r="AL19" s="26">
        <v>42231</v>
      </c>
      <c r="AM19" s="51">
        <v>57995.5</v>
      </c>
      <c r="AN19" s="23"/>
      <c r="AO19" s="27">
        <v>42231</v>
      </c>
      <c r="AP19" s="62">
        <v>240</v>
      </c>
      <c r="AQ19" s="88"/>
      <c r="AR19" s="28" t="s">
        <v>55</v>
      </c>
      <c r="AS19" s="75">
        <v>0</v>
      </c>
      <c r="AT19" s="67" t="s">
        <v>629</v>
      </c>
      <c r="AU19" s="75">
        <v>60800</v>
      </c>
      <c r="AZ19" s="21"/>
      <c r="BA19" s="39">
        <v>42231</v>
      </c>
      <c r="BB19" s="45">
        <v>0</v>
      </c>
      <c r="BC19" s="29"/>
      <c r="BD19" s="26">
        <v>42231</v>
      </c>
      <c r="BE19" s="51"/>
      <c r="BF19" s="23"/>
      <c r="BG19" s="27">
        <v>42231</v>
      </c>
      <c r="BH19" s="62"/>
      <c r="BI19" s="88"/>
      <c r="BJ19" s="28" t="s">
        <v>55</v>
      </c>
      <c r="BK19" s="75">
        <v>0</v>
      </c>
      <c r="BL19" s="67"/>
      <c r="BM19" s="75"/>
      <c r="BN19" s="23"/>
    </row>
    <row r="20" spans="1:66" x14ac:dyDescent="0.25">
      <c r="A20" s="21"/>
      <c r="B20" s="39">
        <v>42232</v>
      </c>
      <c r="C20" s="45">
        <v>0</v>
      </c>
      <c r="D20" s="22"/>
      <c r="E20" s="26">
        <v>42232</v>
      </c>
      <c r="F20" s="51">
        <v>76774.5</v>
      </c>
      <c r="G20" s="23"/>
      <c r="H20" s="27">
        <v>42232</v>
      </c>
      <c r="I20" s="62">
        <v>200</v>
      </c>
      <c r="J20" s="90"/>
      <c r="K20" s="314" t="s">
        <v>408</v>
      </c>
      <c r="L20" s="55">
        <v>0</v>
      </c>
      <c r="M20" s="67" t="s">
        <v>630</v>
      </c>
      <c r="N20" s="75">
        <v>75700</v>
      </c>
      <c r="R20" s="21"/>
      <c r="S20" s="39">
        <v>42232</v>
      </c>
      <c r="T20" s="45">
        <v>0</v>
      </c>
      <c r="U20" s="22"/>
      <c r="V20" s="26">
        <v>42232</v>
      </c>
      <c r="W20" s="51">
        <v>76774.5</v>
      </c>
      <c r="X20" s="23"/>
      <c r="Y20" s="27">
        <v>42232</v>
      </c>
      <c r="Z20" s="62">
        <v>200</v>
      </c>
      <c r="AA20" s="90"/>
      <c r="AB20" s="314" t="s">
        <v>408</v>
      </c>
      <c r="AC20" s="55">
        <v>0</v>
      </c>
      <c r="AD20" s="67" t="s">
        <v>630</v>
      </c>
      <c r="AE20" s="75">
        <v>75700</v>
      </c>
      <c r="AH20" s="21"/>
      <c r="AI20" s="39">
        <v>42232</v>
      </c>
      <c r="AJ20" s="45">
        <v>0</v>
      </c>
      <c r="AK20" s="22"/>
      <c r="AL20" s="26">
        <v>42232</v>
      </c>
      <c r="AM20" s="51">
        <v>76774.5</v>
      </c>
      <c r="AN20" s="23"/>
      <c r="AO20" s="27">
        <v>42232</v>
      </c>
      <c r="AP20" s="62">
        <v>200</v>
      </c>
      <c r="AQ20" s="90"/>
      <c r="AR20" s="314" t="s">
        <v>408</v>
      </c>
      <c r="AS20" s="55">
        <v>0</v>
      </c>
      <c r="AT20" s="67" t="s">
        <v>630</v>
      </c>
      <c r="AU20" s="75">
        <v>75700</v>
      </c>
      <c r="AZ20" s="21"/>
      <c r="BA20" s="39">
        <v>42232</v>
      </c>
      <c r="BB20" s="45">
        <v>0</v>
      </c>
      <c r="BC20" s="22"/>
      <c r="BD20" s="26">
        <v>42232</v>
      </c>
      <c r="BE20" s="51"/>
      <c r="BF20" s="23"/>
      <c r="BG20" s="27">
        <v>42232</v>
      </c>
      <c r="BH20" s="62"/>
      <c r="BI20" s="90"/>
      <c r="BJ20" s="314" t="s">
        <v>408</v>
      </c>
      <c r="BK20" s="55">
        <v>0</v>
      </c>
      <c r="BL20" s="67"/>
      <c r="BM20" s="75"/>
      <c r="BN20" s="23"/>
    </row>
    <row r="21" spans="1:66" x14ac:dyDescent="0.25">
      <c r="A21" s="21"/>
      <c r="B21" s="39">
        <v>42233</v>
      </c>
      <c r="C21" s="45">
        <v>0</v>
      </c>
      <c r="D21" s="22"/>
      <c r="E21" s="26">
        <v>42233</v>
      </c>
      <c r="F21" s="51">
        <v>49850.5</v>
      </c>
      <c r="G21" s="23"/>
      <c r="H21" s="27">
        <v>42233</v>
      </c>
      <c r="I21" s="62">
        <v>200</v>
      </c>
      <c r="J21" s="88"/>
      <c r="K21" s="25" t="s">
        <v>99</v>
      </c>
      <c r="L21" s="55">
        <v>0</v>
      </c>
      <c r="M21" s="67" t="s">
        <v>631</v>
      </c>
      <c r="N21" s="75">
        <v>48400</v>
      </c>
      <c r="R21" s="21"/>
      <c r="S21" s="39">
        <v>42233</v>
      </c>
      <c r="T21" s="45">
        <v>0</v>
      </c>
      <c r="U21" s="22"/>
      <c r="V21" s="26">
        <v>42233</v>
      </c>
      <c r="W21" s="51">
        <v>49850.5</v>
      </c>
      <c r="X21" s="23"/>
      <c r="Y21" s="27">
        <v>42233</v>
      </c>
      <c r="Z21" s="62">
        <v>200</v>
      </c>
      <c r="AA21" s="88"/>
      <c r="AB21" s="25" t="s">
        <v>99</v>
      </c>
      <c r="AC21" s="55">
        <v>0</v>
      </c>
      <c r="AD21" s="67" t="s">
        <v>631</v>
      </c>
      <c r="AE21" s="75">
        <v>48400</v>
      </c>
      <c r="AH21" s="21"/>
      <c r="AI21" s="39">
        <v>42233</v>
      </c>
      <c r="AJ21" s="45">
        <v>0</v>
      </c>
      <c r="AK21" s="22"/>
      <c r="AL21" s="26">
        <v>42233</v>
      </c>
      <c r="AM21" s="51">
        <v>49850.5</v>
      </c>
      <c r="AN21" s="23"/>
      <c r="AO21" s="27">
        <v>42233</v>
      </c>
      <c r="AP21" s="62">
        <v>200</v>
      </c>
      <c r="AQ21" s="88"/>
      <c r="AR21" s="25" t="s">
        <v>99</v>
      </c>
      <c r="AS21" s="55">
        <v>0</v>
      </c>
      <c r="AT21" s="67" t="s">
        <v>631</v>
      </c>
      <c r="AU21" s="75">
        <v>48400</v>
      </c>
      <c r="AZ21" s="21"/>
      <c r="BA21" s="39">
        <v>42233</v>
      </c>
      <c r="BB21" s="45">
        <v>0</v>
      </c>
      <c r="BC21" s="22"/>
      <c r="BD21" s="26">
        <v>42233</v>
      </c>
      <c r="BE21" s="51"/>
      <c r="BF21" s="23"/>
      <c r="BG21" s="27">
        <v>42233</v>
      </c>
      <c r="BH21" s="62"/>
      <c r="BI21" s="88"/>
      <c r="BJ21" s="25" t="s">
        <v>99</v>
      </c>
      <c r="BK21" s="55">
        <v>0</v>
      </c>
      <c r="BL21" s="67"/>
      <c r="BM21" s="75"/>
      <c r="BN21" s="23"/>
    </row>
    <row r="22" spans="1:66" x14ac:dyDescent="0.25">
      <c r="A22" s="21"/>
      <c r="B22" s="39">
        <v>42234</v>
      </c>
      <c r="C22" s="45">
        <v>0</v>
      </c>
      <c r="D22" s="22"/>
      <c r="E22" s="26">
        <v>42234</v>
      </c>
      <c r="F22" s="51">
        <v>37705</v>
      </c>
      <c r="G22" s="23"/>
      <c r="H22" s="27">
        <v>42234</v>
      </c>
      <c r="I22" s="62">
        <v>200</v>
      </c>
      <c r="J22" s="90"/>
      <c r="K22" s="392" t="s">
        <v>213</v>
      </c>
      <c r="L22" s="55">
        <v>900</v>
      </c>
      <c r="M22" s="67" t="s">
        <v>632</v>
      </c>
      <c r="N22" s="75">
        <v>38500</v>
      </c>
      <c r="R22" s="21"/>
      <c r="S22" s="39">
        <v>42234</v>
      </c>
      <c r="T22" s="45">
        <v>0</v>
      </c>
      <c r="U22" s="22"/>
      <c r="V22" s="26">
        <v>42234</v>
      </c>
      <c r="W22" s="51">
        <v>37705</v>
      </c>
      <c r="X22" s="23"/>
      <c r="Y22" s="27">
        <v>42234</v>
      </c>
      <c r="Z22" s="62">
        <v>200</v>
      </c>
      <c r="AA22" s="90"/>
      <c r="AB22" s="392" t="s">
        <v>213</v>
      </c>
      <c r="AC22" s="55">
        <v>900</v>
      </c>
      <c r="AD22" s="67" t="s">
        <v>632</v>
      </c>
      <c r="AE22" s="75">
        <v>38500</v>
      </c>
      <c r="AH22" s="21"/>
      <c r="AI22" s="39">
        <v>42234</v>
      </c>
      <c r="AJ22" s="45">
        <v>0</v>
      </c>
      <c r="AK22" s="22"/>
      <c r="AL22" s="26">
        <v>42234</v>
      </c>
      <c r="AM22" s="51"/>
      <c r="AN22" s="23"/>
      <c r="AO22" s="27">
        <v>42234</v>
      </c>
      <c r="AP22" s="62"/>
      <c r="AQ22" s="90"/>
      <c r="AR22" s="392" t="s">
        <v>213</v>
      </c>
      <c r="AS22" s="55">
        <v>900</v>
      </c>
      <c r="AT22" s="67"/>
      <c r="AU22" s="75"/>
      <c r="AV22" s="23"/>
      <c r="AZ22" s="21"/>
      <c r="BA22" s="39">
        <v>42234</v>
      </c>
      <c r="BB22" s="45">
        <v>0</v>
      </c>
      <c r="BC22" s="22"/>
      <c r="BD22" s="26">
        <v>42234</v>
      </c>
      <c r="BE22" s="51"/>
      <c r="BF22" s="23"/>
      <c r="BG22" s="27">
        <v>42234</v>
      </c>
      <c r="BH22" s="62"/>
      <c r="BI22" s="90"/>
      <c r="BJ22" s="392" t="s">
        <v>213</v>
      </c>
      <c r="BK22" s="55">
        <v>0</v>
      </c>
      <c r="BL22" s="67"/>
      <c r="BM22" s="75"/>
      <c r="BN22" s="23"/>
    </row>
    <row r="23" spans="1:66" x14ac:dyDescent="0.25">
      <c r="A23" s="21"/>
      <c r="B23" s="39">
        <v>42235</v>
      </c>
      <c r="C23" s="45">
        <v>0</v>
      </c>
      <c r="D23" s="22"/>
      <c r="E23" s="26">
        <v>42235</v>
      </c>
      <c r="F23" s="51">
        <v>43233.5</v>
      </c>
      <c r="G23" s="23"/>
      <c r="H23" s="27">
        <v>42235</v>
      </c>
      <c r="I23" s="62">
        <v>284</v>
      </c>
      <c r="J23" s="88"/>
      <c r="K23" s="420">
        <v>42228</v>
      </c>
      <c r="L23" s="55">
        <v>0</v>
      </c>
      <c r="M23" s="67" t="s">
        <v>633</v>
      </c>
      <c r="N23" s="75">
        <v>42850</v>
      </c>
      <c r="R23" s="21"/>
      <c r="S23" s="39">
        <v>42235</v>
      </c>
      <c r="T23" s="45">
        <v>0</v>
      </c>
      <c r="U23" s="22"/>
      <c r="V23" s="26">
        <v>42235</v>
      </c>
      <c r="W23" s="51">
        <v>43233.5</v>
      </c>
      <c r="X23" s="23"/>
      <c r="Y23" s="27">
        <v>42235</v>
      </c>
      <c r="Z23" s="62">
        <v>284</v>
      </c>
      <c r="AA23" s="88"/>
      <c r="AB23" s="420">
        <v>42228</v>
      </c>
      <c r="AC23" s="55">
        <v>0</v>
      </c>
      <c r="AD23" s="67" t="s">
        <v>633</v>
      </c>
      <c r="AE23" s="75">
        <v>42850</v>
      </c>
      <c r="AH23" s="21"/>
      <c r="AI23" s="39">
        <v>42235</v>
      </c>
      <c r="AJ23" s="45">
        <v>0</v>
      </c>
      <c r="AK23" s="22"/>
      <c r="AL23" s="26">
        <v>42235</v>
      </c>
      <c r="AM23" s="51"/>
      <c r="AN23" s="23"/>
      <c r="AO23" s="27">
        <v>42235</v>
      </c>
      <c r="AP23" s="62"/>
      <c r="AQ23" s="88"/>
      <c r="AR23" s="420">
        <v>42228</v>
      </c>
      <c r="AS23" s="55">
        <v>0</v>
      </c>
      <c r="AT23" s="67"/>
      <c r="AU23" s="75"/>
      <c r="AV23" s="23"/>
      <c r="AZ23" s="21"/>
      <c r="BA23" s="39">
        <v>42235</v>
      </c>
      <c r="BB23" s="45">
        <v>0</v>
      </c>
      <c r="BC23" s="22"/>
      <c r="BD23" s="26">
        <v>42235</v>
      </c>
      <c r="BE23" s="51"/>
      <c r="BF23" s="23"/>
      <c r="BG23" s="27">
        <v>42235</v>
      </c>
      <c r="BH23" s="62"/>
      <c r="BI23" s="88"/>
      <c r="BJ23" s="420">
        <v>42228</v>
      </c>
      <c r="BK23" s="55">
        <v>0</v>
      </c>
      <c r="BL23" s="67"/>
      <c r="BM23" s="75"/>
      <c r="BN23" s="23"/>
    </row>
    <row r="24" spans="1:66" x14ac:dyDescent="0.25">
      <c r="A24" s="21"/>
      <c r="B24" s="39">
        <v>42236</v>
      </c>
      <c r="C24" s="45">
        <v>0</v>
      </c>
      <c r="D24" s="29"/>
      <c r="E24" s="26">
        <v>42236</v>
      </c>
      <c r="F24" s="51">
        <v>68939.5</v>
      </c>
      <c r="G24" s="23"/>
      <c r="H24" s="27">
        <v>42236</v>
      </c>
      <c r="I24" s="62">
        <v>200</v>
      </c>
      <c r="J24" s="88"/>
      <c r="K24" s="365" t="s">
        <v>332</v>
      </c>
      <c r="L24" s="55">
        <v>800</v>
      </c>
      <c r="M24" s="67" t="s">
        <v>634</v>
      </c>
      <c r="N24" s="75">
        <v>68000</v>
      </c>
      <c r="R24" s="21"/>
      <c r="S24" s="39">
        <v>42236</v>
      </c>
      <c r="T24" s="45">
        <v>0</v>
      </c>
      <c r="U24" s="29"/>
      <c r="V24" s="26">
        <v>42236</v>
      </c>
      <c r="W24" s="51">
        <v>68939.5</v>
      </c>
      <c r="X24" s="23"/>
      <c r="Y24" s="27">
        <v>42236</v>
      </c>
      <c r="Z24" s="62">
        <v>200</v>
      </c>
      <c r="AA24" s="88"/>
      <c r="AB24" s="365" t="s">
        <v>332</v>
      </c>
      <c r="AC24" s="55">
        <v>800</v>
      </c>
      <c r="AD24" s="67" t="s">
        <v>634</v>
      </c>
      <c r="AE24" s="75">
        <v>68000</v>
      </c>
      <c r="AH24" s="21"/>
      <c r="AI24" s="39">
        <v>42236</v>
      </c>
      <c r="AJ24" s="45">
        <v>0</v>
      </c>
      <c r="AK24" s="29"/>
      <c r="AL24" s="26">
        <v>42236</v>
      </c>
      <c r="AM24" s="51"/>
      <c r="AN24" s="23"/>
      <c r="AO24" s="27">
        <v>42236</v>
      </c>
      <c r="AP24" s="62"/>
      <c r="AQ24" s="88"/>
      <c r="AR24" s="365" t="s">
        <v>332</v>
      </c>
      <c r="AS24" s="55">
        <v>800</v>
      </c>
      <c r="AT24" s="67"/>
      <c r="AU24" s="75"/>
      <c r="AV24" s="23"/>
      <c r="AZ24" s="21"/>
      <c r="BA24" s="39">
        <v>42236</v>
      </c>
      <c r="BB24" s="45">
        <v>0</v>
      </c>
      <c r="BC24" s="29"/>
      <c r="BD24" s="26">
        <v>42236</v>
      </c>
      <c r="BE24" s="51"/>
      <c r="BF24" s="23"/>
      <c r="BG24" s="27">
        <v>42236</v>
      </c>
      <c r="BH24" s="62"/>
      <c r="BI24" s="88"/>
      <c r="BJ24" s="365" t="s">
        <v>332</v>
      </c>
      <c r="BK24" s="55">
        <v>0</v>
      </c>
      <c r="BL24" s="67"/>
      <c r="BM24" s="75"/>
      <c r="BN24" s="23"/>
    </row>
    <row r="25" spans="1:66" x14ac:dyDescent="0.25">
      <c r="A25" s="21"/>
      <c r="B25" s="39">
        <v>42237</v>
      </c>
      <c r="C25" s="45">
        <v>0</v>
      </c>
      <c r="D25" s="22"/>
      <c r="E25" s="26">
        <v>42237</v>
      </c>
      <c r="F25" s="51">
        <v>61753.5</v>
      </c>
      <c r="G25" s="23"/>
      <c r="H25" s="27">
        <v>42237</v>
      </c>
      <c r="I25" s="62">
        <v>200</v>
      </c>
      <c r="J25" s="88"/>
      <c r="K25" s="25">
        <v>42230</v>
      </c>
      <c r="L25" s="55"/>
      <c r="M25" s="67" t="s">
        <v>641</v>
      </c>
      <c r="N25" s="75">
        <v>62459</v>
      </c>
      <c r="R25" s="21"/>
      <c r="S25" s="39">
        <v>42237</v>
      </c>
      <c r="T25" s="45">
        <v>0</v>
      </c>
      <c r="U25" s="22"/>
      <c r="V25" s="26">
        <v>42237</v>
      </c>
      <c r="W25" s="51">
        <v>61753.5</v>
      </c>
      <c r="X25" s="23"/>
      <c r="Y25" s="27">
        <v>42237</v>
      </c>
      <c r="Z25" s="62">
        <v>200</v>
      </c>
      <c r="AA25" s="88"/>
      <c r="AB25" s="25">
        <v>42230</v>
      </c>
      <c r="AC25" s="55"/>
      <c r="AD25" s="67" t="s">
        <v>641</v>
      </c>
      <c r="AE25" s="75">
        <v>62459</v>
      </c>
      <c r="AH25" s="21"/>
      <c r="AI25" s="39">
        <v>42237</v>
      </c>
      <c r="AJ25" s="45">
        <v>0</v>
      </c>
      <c r="AK25" s="22"/>
      <c r="AL25" s="26">
        <v>42237</v>
      </c>
      <c r="AM25" s="51"/>
      <c r="AN25" s="23"/>
      <c r="AO25" s="27">
        <v>42237</v>
      </c>
      <c r="AP25" s="62"/>
      <c r="AQ25" s="88"/>
      <c r="AR25" s="25">
        <v>42230</v>
      </c>
      <c r="AS25" s="55"/>
      <c r="AT25" s="67"/>
      <c r="AU25" s="75"/>
      <c r="AV25" s="23"/>
      <c r="AZ25" s="21"/>
      <c r="BA25" s="39">
        <v>42237</v>
      </c>
      <c r="BB25" s="45">
        <v>0</v>
      </c>
      <c r="BC25" s="22"/>
      <c r="BD25" s="26">
        <v>42237</v>
      </c>
      <c r="BE25" s="51"/>
      <c r="BF25" s="23"/>
      <c r="BG25" s="27">
        <v>42237</v>
      </c>
      <c r="BH25" s="62"/>
      <c r="BI25" s="88"/>
      <c r="BJ25" s="25">
        <v>42230</v>
      </c>
      <c r="BK25" s="55"/>
      <c r="BL25" s="67"/>
      <c r="BM25" s="75"/>
      <c r="BN25" s="23"/>
    </row>
    <row r="26" spans="1:66" x14ac:dyDescent="0.25">
      <c r="A26" s="21"/>
      <c r="B26" s="39">
        <v>42238</v>
      </c>
      <c r="C26" s="45">
        <v>0</v>
      </c>
      <c r="D26" s="29"/>
      <c r="E26" s="26">
        <v>42238</v>
      </c>
      <c r="F26" s="51">
        <v>75972</v>
      </c>
      <c r="G26" s="23"/>
      <c r="H26" s="27">
        <v>42238</v>
      </c>
      <c r="I26" s="62">
        <v>200</v>
      </c>
      <c r="J26" s="88"/>
      <c r="K26" s="11"/>
      <c r="L26" s="55"/>
      <c r="M26" s="67" t="s">
        <v>642</v>
      </c>
      <c r="N26" s="75">
        <v>75380</v>
      </c>
      <c r="R26" s="21"/>
      <c r="S26" s="39">
        <v>42238</v>
      </c>
      <c r="T26" s="45">
        <v>0</v>
      </c>
      <c r="U26" s="29"/>
      <c r="V26" s="26">
        <v>42238</v>
      </c>
      <c r="W26" s="51">
        <v>75972</v>
      </c>
      <c r="X26" s="23"/>
      <c r="Y26" s="27">
        <v>42238</v>
      </c>
      <c r="Z26" s="62">
        <v>200</v>
      </c>
      <c r="AA26" s="88"/>
      <c r="AB26" s="11"/>
      <c r="AC26" s="55"/>
      <c r="AD26" s="67" t="s">
        <v>642</v>
      </c>
      <c r="AE26" s="75">
        <v>75380</v>
      </c>
      <c r="AH26" s="21"/>
      <c r="AI26" s="39">
        <v>42238</v>
      </c>
      <c r="AJ26" s="45">
        <v>0</v>
      </c>
      <c r="AK26" s="29"/>
      <c r="AL26" s="26">
        <v>42238</v>
      </c>
      <c r="AM26" s="51"/>
      <c r="AN26" s="23"/>
      <c r="AO26" s="27">
        <v>42238</v>
      </c>
      <c r="AP26" s="62"/>
      <c r="AQ26" s="88"/>
      <c r="AR26" s="11"/>
      <c r="AS26" s="55"/>
      <c r="AT26" s="67"/>
      <c r="AU26" s="75"/>
      <c r="AV26" s="23"/>
      <c r="AZ26" s="21"/>
      <c r="BA26" s="39">
        <v>42238</v>
      </c>
      <c r="BB26" s="45">
        <v>0</v>
      </c>
      <c r="BC26" s="29"/>
      <c r="BD26" s="26">
        <v>42238</v>
      </c>
      <c r="BE26" s="51"/>
      <c r="BF26" s="23"/>
      <c r="BG26" s="27">
        <v>42238</v>
      </c>
      <c r="BH26" s="62"/>
      <c r="BI26" s="88"/>
      <c r="BJ26" s="11"/>
      <c r="BK26" s="55"/>
      <c r="BL26" s="67"/>
      <c r="BM26" s="75"/>
      <c r="BN26" s="23"/>
    </row>
    <row r="27" spans="1:66" x14ac:dyDescent="0.25">
      <c r="A27" s="21"/>
      <c r="B27" s="39">
        <v>42239</v>
      </c>
      <c r="C27" s="45">
        <v>0</v>
      </c>
      <c r="D27" s="29"/>
      <c r="E27" s="26">
        <v>42239</v>
      </c>
      <c r="F27" s="51">
        <v>79112.5</v>
      </c>
      <c r="G27" s="23"/>
      <c r="H27" s="27">
        <v>42239</v>
      </c>
      <c r="I27" s="62">
        <v>200</v>
      </c>
      <c r="J27" s="88"/>
      <c r="K27" s="11"/>
      <c r="L27" s="55"/>
      <c r="M27" s="201" t="s">
        <v>643</v>
      </c>
      <c r="N27" s="204">
        <v>77340</v>
      </c>
      <c r="R27" s="21"/>
      <c r="S27" s="39">
        <v>42239</v>
      </c>
      <c r="T27" s="45">
        <v>0</v>
      </c>
      <c r="U27" s="29"/>
      <c r="V27" s="26">
        <v>42239</v>
      </c>
      <c r="W27" s="51">
        <v>79112.5</v>
      </c>
      <c r="X27" s="23"/>
      <c r="Y27" s="27">
        <v>42239</v>
      </c>
      <c r="Z27" s="62">
        <v>200</v>
      </c>
      <c r="AA27" s="88"/>
      <c r="AB27" s="11"/>
      <c r="AC27" s="55"/>
      <c r="AD27" s="201" t="s">
        <v>643</v>
      </c>
      <c r="AE27" s="204">
        <v>77340</v>
      </c>
      <c r="AH27" s="21"/>
      <c r="AI27" s="39">
        <v>42239</v>
      </c>
      <c r="AJ27" s="45">
        <v>0</v>
      </c>
      <c r="AK27" s="29"/>
      <c r="AL27" s="26">
        <v>42239</v>
      </c>
      <c r="AM27" s="51"/>
      <c r="AN27" s="23"/>
      <c r="AO27" s="27">
        <v>42239</v>
      </c>
      <c r="AP27" s="62"/>
      <c r="AQ27" s="88"/>
      <c r="AR27" s="11"/>
      <c r="AS27" s="55"/>
      <c r="AT27" s="201"/>
      <c r="AU27" s="204"/>
      <c r="AV27" s="23"/>
      <c r="AZ27" s="21"/>
      <c r="BA27" s="39">
        <v>42239</v>
      </c>
      <c r="BB27" s="45">
        <v>0</v>
      </c>
      <c r="BC27" s="29"/>
      <c r="BD27" s="26">
        <v>42239</v>
      </c>
      <c r="BE27" s="51"/>
      <c r="BF27" s="23"/>
      <c r="BG27" s="27">
        <v>42239</v>
      </c>
      <c r="BH27" s="62"/>
      <c r="BI27" s="88"/>
      <c r="BJ27" s="11"/>
      <c r="BK27" s="55"/>
      <c r="BL27" s="201"/>
      <c r="BM27" s="204"/>
      <c r="BN27" s="23"/>
    </row>
    <row r="28" spans="1:66" x14ac:dyDescent="0.25">
      <c r="A28" s="21"/>
      <c r="B28" s="39">
        <v>42240</v>
      </c>
      <c r="C28" s="45">
        <v>0</v>
      </c>
      <c r="D28" s="29"/>
      <c r="E28" s="26">
        <v>42240</v>
      </c>
      <c r="F28" s="51">
        <v>66509</v>
      </c>
      <c r="G28" s="23"/>
      <c r="H28" s="27">
        <v>42240</v>
      </c>
      <c r="I28" s="62">
        <v>200</v>
      </c>
      <c r="J28" s="88"/>
      <c r="K28" s="11"/>
      <c r="L28" s="55"/>
      <c r="M28" s="201" t="s">
        <v>644</v>
      </c>
      <c r="N28" s="204">
        <v>52950</v>
      </c>
      <c r="R28" s="21"/>
      <c r="S28" s="39">
        <v>42240</v>
      </c>
      <c r="T28" s="45">
        <v>0</v>
      </c>
      <c r="U28" s="29"/>
      <c r="V28" s="26">
        <v>42240</v>
      </c>
      <c r="W28" s="51">
        <v>66509</v>
      </c>
      <c r="X28" s="23"/>
      <c r="Y28" s="27">
        <v>42240</v>
      </c>
      <c r="Z28" s="62">
        <v>200</v>
      </c>
      <c r="AA28" s="88"/>
      <c r="AB28" s="11"/>
      <c r="AC28" s="55"/>
      <c r="AD28" s="201" t="s">
        <v>644</v>
      </c>
      <c r="AE28" s="204">
        <v>52950</v>
      </c>
      <c r="AH28" s="21"/>
      <c r="AI28" s="39">
        <v>42240</v>
      </c>
      <c r="AJ28" s="45">
        <v>0</v>
      </c>
      <c r="AK28" s="29"/>
      <c r="AL28" s="26">
        <v>42240</v>
      </c>
      <c r="AM28" s="51"/>
      <c r="AN28" s="23"/>
      <c r="AO28" s="27">
        <v>42240</v>
      </c>
      <c r="AP28" s="62"/>
      <c r="AQ28" s="88"/>
      <c r="AR28" s="11"/>
      <c r="AS28" s="55"/>
      <c r="AT28" s="201"/>
      <c r="AU28" s="204"/>
      <c r="AV28" s="23"/>
      <c r="AZ28" s="21"/>
      <c r="BA28" s="39">
        <v>42240</v>
      </c>
      <c r="BB28" s="45">
        <v>0</v>
      </c>
      <c r="BC28" s="29"/>
      <c r="BD28" s="26">
        <v>42240</v>
      </c>
      <c r="BE28" s="51"/>
      <c r="BF28" s="23"/>
      <c r="BG28" s="27">
        <v>42240</v>
      </c>
      <c r="BH28" s="62"/>
      <c r="BI28" s="88"/>
      <c r="BJ28" s="11"/>
      <c r="BK28" s="55"/>
      <c r="BL28" s="201"/>
      <c r="BM28" s="204"/>
      <c r="BN28" s="23"/>
    </row>
    <row r="29" spans="1:66" x14ac:dyDescent="0.25">
      <c r="A29" s="21"/>
      <c r="B29" s="39">
        <v>42241</v>
      </c>
      <c r="C29" s="45">
        <v>0</v>
      </c>
      <c r="D29" s="29"/>
      <c r="E29" s="26">
        <v>42241</v>
      </c>
      <c r="F29" s="51">
        <v>29010.5</v>
      </c>
      <c r="G29" s="23"/>
      <c r="H29" s="27">
        <v>42241</v>
      </c>
      <c r="I29" s="62">
        <v>200</v>
      </c>
      <c r="J29" s="88"/>
      <c r="K29" s="11"/>
      <c r="L29" s="20"/>
      <c r="M29" s="67" t="s">
        <v>654</v>
      </c>
      <c r="N29" s="75">
        <v>42980.5</v>
      </c>
      <c r="O29" s="360"/>
      <c r="P29" s="360"/>
      <c r="R29" s="21"/>
      <c r="S29" s="39">
        <v>42241</v>
      </c>
      <c r="T29" s="45">
        <v>0</v>
      </c>
      <c r="U29" s="29"/>
      <c r="V29" s="26">
        <v>42241</v>
      </c>
      <c r="W29" s="51"/>
      <c r="X29" s="23"/>
      <c r="Y29" s="27">
        <v>42241</v>
      </c>
      <c r="Z29" s="62"/>
      <c r="AA29" s="88"/>
      <c r="AB29" s="11"/>
      <c r="AC29" s="20"/>
      <c r="AD29" s="67"/>
      <c r="AE29" s="75"/>
      <c r="AF29" s="360"/>
      <c r="AG29" s="360"/>
      <c r="AH29" s="21"/>
      <c r="AI29" s="39">
        <v>42241</v>
      </c>
      <c r="AJ29" s="45">
        <v>0</v>
      </c>
      <c r="AK29" s="29"/>
      <c r="AL29" s="26">
        <v>42241</v>
      </c>
      <c r="AM29" s="51"/>
      <c r="AN29" s="23"/>
      <c r="AO29" s="27">
        <v>42241</v>
      </c>
      <c r="AP29" s="62"/>
      <c r="AQ29" s="88"/>
      <c r="AR29" s="11"/>
      <c r="AS29" s="20"/>
      <c r="AT29" s="67"/>
      <c r="AU29" s="75"/>
      <c r="AV29" s="360"/>
      <c r="AW29" s="360"/>
      <c r="AX29" s="360"/>
      <c r="AY29" s="360"/>
      <c r="AZ29" s="21"/>
      <c r="BA29" s="39">
        <v>42241</v>
      </c>
      <c r="BB29" s="45">
        <v>0</v>
      </c>
      <c r="BC29" s="29"/>
      <c r="BD29" s="26">
        <v>42241</v>
      </c>
      <c r="BE29" s="51"/>
      <c r="BF29" s="23"/>
      <c r="BG29" s="27">
        <v>42241</v>
      </c>
      <c r="BH29" s="62"/>
      <c r="BI29" s="88"/>
      <c r="BJ29" s="11"/>
      <c r="BK29" s="20"/>
      <c r="BL29" s="67"/>
      <c r="BM29" s="75"/>
      <c r="BN29" s="360"/>
    </row>
    <row r="30" spans="1:66" x14ac:dyDescent="0.25">
      <c r="A30" s="21"/>
      <c r="B30" s="39">
        <v>42242</v>
      </c>
      <c r="C30" s="45">
        <v>0</v>
      </c>
      <c r="D30" s="22"/>
      <c r="E30" s="26">
        <v>42242</v>
      </c>
      <c r="F30" s="51">
        <v>34772</v>
      </c>
      <c r="G30" s="23"/>
      <c r="H30" s="27">
        <v>42242</v>
      </c>
      <c r="I30" s="62">
        <v>200</v>
      </c>
      <c r="J30" s="88"/>
      <c r="K30" s="11"/>
      <c r="L30" s="20"/>
      <c r="M30" s="201" t="s">
        <v>655</v>
      </c>
      <c r="N30" s="204">
        <v>34480</v>
      </c>
      <c r="R30" s="21"/>
      <c r="S30" s="39">
        <v>42242</v>
      </c>
      <c r="T30" s="45">
        <v>0</v>
      </c>
      <c r="U30" s="22"/>
      <c r="V30" s="26">
        <v>42242</v>
      </c>
      <c r="W30" s="51"/>
      <c r="X30" s="23"/>
      <c r="Y30" s="27">
        <v>42242</v>
      </c>
      <c r="Z30" s="62"/>
      <c r="AA30" s="88"/>
      <c r="AB30" s="11"/>
      <c r="AC30" s="20"/>
      <c r="AD30" s="201"/>
      <c r="AE30" s="204"/>
      <c r="AH30" s="21"/>
      <c r="AI30" s="39">
        <v>42242</v>
      </c>
      <c r="AJ30" s="45">
        <v>0</v>
      </c>
      <c r="AK30" s="22"/>
      <c r="AL30" s="26">
        <v>42242</v>
      </c>
      <c r="AM30" s="51"/>
      <c r="AN30" s="23"/>
      <c r="AO30" s="27">
        <v>42242</v>
      </c>
      <c r="AP30" s="62"/>
      <c r="AQ30" s="88"/>
      <c r="AR30" s="11"/>
      <c r="AS30" s="20"/>
      <c r="AT30" s="201"/>
      <c r="AU30" s="204"/>
      <c r="AZ30" s="21"/>
      <c r="BA30" s="39">
        <v>42242</v>
      </c>
      <c r="BB30" s="45">
        <v>0</v>
      </c>
      <c r="BC30" s="22"/>
      <c r="BD30" s="26">
        <v>42242</v>
      </c>
      <c r="BE30" s="51"/>
      <c r="BF30" s="23"/>
      <c r="BG30" s="27">
        <v>42242</v>
      </c>
      <c r="BH30" s="62"/>
      <c r="BI30" s="88"/>
      <c r="BJ30" s="11"/>
      <c r="BK30" s="20"/>
      <c r="BL30" s="201"/>
      <c r="BM30" s="204"/>
    </row>
    <row r="31" spans="1:66" x14ac:dyDescent="0.25">
      <c r="A31" s="21"/>
      <c r="B31" s="39">
        <v>42243</v>
      </c>
      <c r="C31" s="45">
        <v>1000</v>
      </c>
      <c r="D31" s="22" t="s">
        <v>50</v>
      </c>
      <c r="E31" s="26">
        <v>42243</v>
      </c>
      <c r="F31" s="51">
        <v>35527.5</v>
      </c>
      <c r="G31" s="23"/>
      <c r="H31" s="27">
        <v>42243</v>
      </c>
      <c r="I31" s="62">
        <v>200</v>
      </c>
      <c r="J31" s="88"/>
      <c r="K31" s="11"/>
      <c r="L31" s="20"/>
      <c r="M31" s="201" t="s">
        <v>656</v>
      </c>
      <c r="N31" s="204">
        <v>34520</v>
      </c>
      <c r="R31" s="21"/>
      <c r="S31" s="39">
        <v>42243</v>
      </c>
      <c r="T31" s="45">
        <v>0</v>
      </c>
      <c r="U31" s="22"/>
      <c r="V31" s="26">
        <v>42243</v>
      </c>
      <c r="W31" s="51"/>
      <c r="X31" s="23"/>
      <c r="Y31" s="27">
        <v>42243</v>
      </c>
      <c r="Z31" s="62"/>
      <c r="AA31" s="88"/>
      <c r="AB31" s="11"/>
      <c r="AC31" s="20"/>
      <c r="AD31" s="201"/>
      <c r="AE31" s="204"/>
      <c r="AH31" s="21"/>
      <c r="AI31" s="39">
        <v>42243</v>
      </c>
      <c r="AJ31" s="45">
        <v>0</v>
      </c>
      <c r="AK31" s="22"/>
      <c r="AL31" s="26">
        <v>42243</v>
      </c>
      <c r="AM31" s="51"/>
      <c r="AN31" s="23"/>
      <c r="AO31" s="27">
        <v>42243</v>
      </c>
      <c r="AP31" s="62"/>
      <c r="AQ31" s="88"/>
      <c r="AR31" s="11"/>
      <c r="AS31" s="20"/>
      <c r="AT31" s="201"/>
      <c r="AU31" s="204"/>
      <c r="AZ31" s="21"/>
      <c r="BA31" s="39">
        <v>42243</v>
      </c>
      <c r="BB31" s="45">
        <v>0</v>
      </c>
      <c r="BC31" s="22"/>
      <c r="BD31" s="26">
        <v>42243</v>
      </c>
      <c r="BE31" s="51"/>
      <c r="BF31" s="23"/>
      <c r="BG31" s="27">
        <v>42243</v>
      </c>
      <c r="BH31" s="62"/>
      <c r="BI31" s="88"/>
      <c r="BJ31" s="11"/>
      <c r="BK31" s="20"/>
      <c r="BL31" s="201"/>
      <c r="BM31" s="204"/>
    </row>
    <row r="32" spans="1:66" x14ac:dyDescent="0.25">
      <c r="A32" s="21"/>
      <c r="B32" s="39">
        <v>42244</v>
      </c>
      <c r="C32" s="45">
        <v>0</v>
      </c>
      <c r="D32" s="22"/>
      <c r="E32" s="26">
        <v>42244</v>
      </c>
      <c r="F32" s="51">
        <v>51209</v>
      </c>
      <c r="G32" s="23"/>
      <c r="H32" s="27">
        <v>42244</v>
      </c>
      <c r="I32" s="62">
        <v>200</v>
      </c>
      <c r="J32" s="88"/>
      <c r="K32" s="11"/>
      <c r="L32" s="20"/>
      <c r="M32" s="67" t="s">
        <v>657</v>
      </c>
      <c r="N32" s="75">
        <v>51110</v>
      </c>
      <c r="R32" s="21"/>
      <c r="S32" s="39">
        <v>42244</v>
      </c>
      <c r="T32" s="45">
        <v>0</v>
      </c>
      <c r="U32" s="22"/>
      <c r="V32" s="26">
        <v>42244</v>
      </c>
      <c r="W32" s="51"/>
      <c r="X32" s="23"/>
      <c r="Y32" s="27">
        <v>42244</v>
      </c>
      <c r="Z32" s="62"/>
      <c r="AA32" s="88"/>
      <c r="AB32" s="11"/>
      <c r="AC32" s="20"/>
      <c r="AD32" s="67"/>
      <c r="AE32" s="75"/>
      <c r="AH32" s="21"/>
      <c r="AI32" s="39">
        <v>42244</v>
      </c>
      <c r="AJ32" s="45">
        <v>0</v>
      </c>
      <c r="AK32" s="22"/>
      <c r="AL32" s="26">
        <v>42244</v>
      </c>
      <c r="AM32" s="51"/>
      <c r="AN32" s="23"/>
      <c r="AO32" s="27">
        <v>42244</v>
      </c>
      <c r="AP32" s="62"/>
      <c r="AQ32" s="88"/>
      <c r="AR32" s="11"/>
      <c r="AS32" s="20"/>
      <c r="AT32" s="67"/>
      <c r="AU32" s="75"/>
      <c r="AZ32" s="21"/>
      <c r="BA32" s="39">
        <v>42244</v>
      </c>
      <c r="BB32" s="45">
        <v>0</v>
      </c>
      <c r="BC32" s="22"/>
      <c r="BD32" s="26">
        <v>42244</v>
      </c>
      <c r="BE32" s="51"/>
      <c r="BF32" s="23"/>
      <c r="BG32" s="27">
        <v>42244</v>
      </c>
      <c r="BH32" s="62"/>
      <c r="BI32" s="88"/>
      <c r="BJ32" s="11"/>
      <c r="BK32" s="20"/>
      <c r="BL32" s="67"/>
      <c r="BM32" s="75"/>
    </row>
    <row r="33" spans="1:65" x14ac:dyDescent="0.25">
      <c r="A33" s="21"/>
      <c r="B33" s="39">
        <v>42245</v>
      </c>
      <c r="C33" s="45">
        <v>0</v>
      </c>
      <c r="D33" s="32"/>
      <c r="E33" s="26">
        <v>42245</v>
      </c>
      <c r="F33" s="51">
        <v>87657.5</v>
      </c>
      <c r="G33" s="23"/>
      <c r="H33" s="27">
        <v>42245</v>
      </c>
      <c r="I33" s="62">
        <v>200</v>
      </c>
      <c r="J33" s="88"/>
      <c r="K33" s="11"/>
      <c r="L33" s="20"/>
      <c r="M33" s="67" t="s">
        <v>658</v>
      </c>
      <c r="N33" s="75">
        <v>85060</v>
      </c>
      <c r="R33" s="21"/>
      <c r="S33" s="39">
        <v>42245</v>
      </c>
      <c r="T33" s="45">
        <v>0</v>
      </c>
      <c r="U33" s="32"/>
      <c r="V33" s="26">
        <v>42245</v>
      </c>
      <c r="W33" s="51"/>
      <c r="X33" s="23"/>
      <c r="Y33" s="27">
        <v>42245</v>
      </c>
      <c r="Z33" s="62"/>
      <c r="AA33" s="88"/>
      <c r="AB33" s="11"/>
      <c r="AC33" s="20"/>
      <c r="AD33" s="67"/>
      <c r="AE33" s="75"/>
      <c r="AH33" s="21"/>
      <c r="AI33" s="39">
        <v>42245</v>
      </c>
      <c r="AJ33" s="45">
        <v>0</v>
      </c>
      <c r="AK33" s="32"/>
      <c r="AL33" s="26">
        <v>42245</v>
      </c>
      <c r="AM33" s="51"/>
      <c r="AN33" s="23"/>
      <c r="AO33" s="27">
        <v>42245</v>
      </c>
      <c r="AP33" s="62"/>
      <c r="AQ33" s="88"/>
      <c r="AR33" s="11"/>
      <c r="AS33" s="20"/>
      <c r="AT33" s="67"/>
      <c r="AU33" s="75"/>
      <c r="AZ33" s="21"/>
      <c r="BA33" s="39">
        <v>42245</v>
      </c>
      <c r="BB33" s="45">
        <v>0</v>
      </c>
      <c r="BC33" s="32"/>
      <c r="BD33" s="26">
        <v>42245</v>
      </c>
      <c r="BE33" s="51"/>
      <c r="BF33" s="23"/>
      <c r="BG33" s="27">
        <v>42245</v>
      </c>
      <c r="BH33" s="62"/>
      <c r="BI33" s="88"/>
      <c r="BJ33" s="11"/>
      <c r="BK33" s="20"/>
      <c r="BL33" s="67"/>
      <c r="BM33" s="75"/>
    </row>
    <row r="34" spans="1:65" x14ac:dyDescent="0.25">
      <c r="A34" s="21"/>
      <c r="B34" s="39">
        <v>42246</v>
      </c>
      <c r="C34" s="45">
        <v>0</v>
      </c>
      <c r="D34" s="72"/>
      <c r="E34" s="26">
        <v>42246</v>
      </c>
      <c r="F34" s="51">
        <v>64242.21</v>
      </c>
      <c r="G34" s="23"/>
      <c r="H34" s="27">
        <v>42246</v>
      </c>
      <c r="I34" s="62">
        <v>200</v>
      </c>
      <c r="J34" s="88"/>
      <c r="K34" s="11"/>
      <c r="L34" s="20"/>
      <c r="M34" s="258" t="s">
        <v>663</v>
      </c>
      <c r="N34" s="202">
        <v>63900</v>
      </c>
      <c r="O34" s="444">
        <v>149.34</v>
      </c>
      <c r="P34" s="444" t="s">
        <v>669</v>
      </c>
      <c r="Q34" s="343"/>
      <c r="R34" s="21"/>
      <c r="S34" s="39">
        <v>42246</v>
      </c>
      <c r="T34" s="45">
        <v>0</v>
      </c>
      <c r="U34" s="72"/>
      <c r="V34" s="26">
        <v>42246</v>
      </c>
      <c r="W34" s="51"/>
      <c r="X34" s="23"/>
      <c r="Y34" s="27">
        <v>42246</v>
      </c>
      <c r="Z34" s="62"/>
      <c r="AA34" s="88"/>
      <c r="AB34" s="11"/>
      <c r="AC34" s="20"/>
      <c r="AD34" s="258"/>
      <c r="AE34" s="202">
        <v>0</v>
      </c>
      <c r="AH34" s="21"/>
      <c r="AI34" s="39">
        <v>42246</v>
      </c>
      <c r="AJ34" s="45">
        <v>0</v>
      </c>
      <c r="AK34" s="72"/>
      <c r="AL34" s="26">
        <v>42246</v>
      </c>
      <c r="AM34" s="51"/>
      <c r="AN34" s="23"/>
      <c r="AO34" s="27">
        <v>42246</v>
      </c>
      <c r="AP34" s="62"/>
      <c r="AQ34" s="88"/>
      <c r="AR34" s="11"/>
      <c r="AS34" s="20"/>
      <c r="AT34" s="258"/>
      <c r="AU34" s="202">
        <v>0</v>
      </c>
      <c r="AZ34" s="21"/>
      <c r="BA34" s="39">
        <v>42246</v>
      </c>
      <c r="BB34" s="45">
        <v>0</v>
      </c>
      <c r="BC34" s="72"/>
      <c r="BD34" s="26">
        <v>42246</v>
      </c>
      <c r="BE34" s="51"/>
      <c r="BF34" s="23"/>
      <c r="BG34" s="27">
        <v>42246</v>
      </c>
      <c r="BH34" s="62"/>
      <c r="BI34" s="88"/>
      <c r="BJ34" s="11"/>
      <c r="BK34" s="20"/>
      <c r="BL34" s="258"/>
      <c r="BM34" s="202">
        <v>0</v>
      </c>
    </row>
    <row r="35" spans="1:65" ht="15.75" thickBot="1" x14ac:dyDescent="0.3">
      <c r="A35" s="21"/>
      <c r="B35" s="39">
        <v>42247</v>
      </c>
      <c r="C35" s="45">
        <v>0</v>
      </c>
      <c r="D35" s="22"/>
      <c r="E35" s="26">
        <v>42247</v>
      </c>
      <c r="F35" s="51">
        <v>75353</v>
      </c>
      <c r="G35" s="23"/>
      <c r="H35" s="27">
        <v>42247</v>
      </c>
      <c r="I35" s="62">
        <v>200</v>
      </c>
      <c r="J35" s="88"/>
      <c r="K35" s="11"/>
      <c r="L35" s="20"/>
      <c r="M35" s="71" t="s">
        <v>665</v>
      </c>
      <c r="N35" s="74">
        <v>76290</v>
      </c>
      <c r="O35" s="315">
        <v>6063</v>
      </c>
      <c r="P35" s="315" t="s">
        <v>664</v>
      </c>
      <c r="R35" s="21"/>
      <c r="S35" s="39">
        <v>42247</v>
      </c>
      <c r="T35" s="45">
        <v>0</v>
      </c>
      <c r="U35" s="22"/>
      <c r="V35" s="26">
        <v>42247</v>
      </c>
      <c r="W35" s="51"/>
      <c r="X35" s="23"/>
      <c r="Y35" s="27">
        <v>42247</v>
      </c>
      <c r="Z35" s="62"/>
      <c r="AA35" s="88"/>
      <c r="AB35" s="11" t="s">
        <v>345</v>
      </c>
      <c r="AC35" s="20"/>
      <c r="AD35" s="71"/>
      <c r="AE35" s="74">
        <v>0</v>
      </c>
      <c r="AH35" s="21"/>
      <c r="AI35" s="39">
        <v>42247</v>
      </c>
      <c r="AJ35" s="45">
        <v>0</v>
      </c>
      <c r="AK35" s="22"/>
      <c r="AL35" s="26">
        <v>42247</v>
      </c>
      <c r="AM35" s="51"/>
      <c r="AN35" s="23"/>
      <c r="AO35" s="27">
        <v>42247</v>
      </c>
      <c r="AP35" s="62"/>
      <c r="AQ35" s="88"/>
      <c r="AR35" s="11" t="s">
        <v>345</v>
      </c>
      <c r="AS35" s="20"/>
      <c r="AT35" s="71"/>
      <c r="AU35" s="74">
        <v>0</v>
      </c>
      <c r="AZ35" s="21"/>
      <c r="BA35" s="39">
        <v>42247</v>
      </c>
      <c r="BB35" s="45">
        <v>0</v>
      </c>
      <c r="BC35" s="22"/>
      <c r="BD35" s="26">
        <v>42247</v>
      </c>
      <c r="BE35" s="51"/>
      <c r="BF35" s="23"/>
      <c r="BG35" s="27">
        <v>42247</v>
      </c>
      <c r="BH35" s="62"/>
      <c r="BI35" s="88"/>
      <c r="BJ35" s="11" t="s">
        <v>345</v>
      </c>
      <c r="BK35" s="20"/>
      <c r="BL35" s="71"/>
      <c r="BM35" s="74">
        <v>0</v>
      </c>
    </row>
    <row r="36" spans="1:6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431"/>
      <c r="N36" s="346">
        <v>0</v>
      </c>
      <c r="R36" s="15"/>
      <c r="S36" s="40"/>
      <c r="T36" s="46">
        <v>0</v>
      </c>
      <c r="U36" s="2"/>
      <c r="V36" s="8"/>
      <c r="W36" s="52">
        <v>0</v>
      </c>
      <c r="Y36" s="78"/>
      <c r="Z36" s="63"/>
      <c r="AA36" s="55"/>
      <c r="AB36" s="11"/>
      <c r="AC36" s="7"/>
      <c r="AD36" s="431"/>
      <c r="AE36" s="346">
        <v>0</v>
      </c>
      <c r="AH36" s="15"/>
      <c r="AI36" s="40"/>
      <c r="AJ36" s="46">
        <v>0</v>
      </c>
      <c r="AK36" s="2"/>
      <c r="AL36" s="8"/>
      <c r="AM36" s="52">
        <v>0</v>
      </c>
      <c r="AO36" s="78"/>
      <c r="AP36" s="63"/>
      <c r="AQ36" s="55"/>
      <c r="AR36" s="11"/>
      <c r="AS36" s="7"/>
      <c r="AT36" s="431"/>
      <c r="AU36" s="346">
        <v>0</v>
      </c>
      <c r="AZ36" s="15"/>
      <c r="BA36" s="40"/>
      <c r="BB36" s="46">
        <v>0</v>
      </c>
      <c r="BC36" s="2"/>
      <c r="BD36" s="8"/>
      <c r="BE36" s="52">
        <v>0</v>
      </c>
      <c r="BG36" s="78"/>
      <c r="BH36" s="63"/>
      <c r="BI36" s="55"/>
      <c r="BJ36" s="11"/>
      <c r="BK36" s="7"/>
      <c r="BL36" s="405"/>
      <c r="BM36" s="346">
        <v>0</v>
      </c>
    </row>
    <row r="37" spans="1:6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431"/>
      <c r="N37" s="345">
        <f>SUM(N5:N36)</f>
        <v>1768049.53</v>
      </c>
      <c r="R37" s="101"/>
      <c r="S37" s="41"/>
      <c r="T37" s="47">
        <v>0</v>
      </c>
      <c r="U37" s="2"/>
      <c r="V37" s="9"/>
      <c r="W37" s="53">
        <v>0</v>
      </c>
      <c r="Y37" s="31"/>
      <c r="Z37" s="64"/>
      <c r="AA37" s="55"/>
      <c r="AB37" s="16"/>
      <c r="AC37" s="10"/>
      <c r="AD37" s="431"/>
      <c r="AE37" s="345">
        <f>SUM(AE5:AE36)</f>
        <v>1379709.03</v>
      </c>
      <c r="AH37" s="101"/>
      <c r="AI37" s="41"/>
      <c r="AJ37" s="47">
        <v>0</v>
      </c>
      <c r="AK37" s="2"/>
      <c r="AL37" s="9"/>
      <c r="AM37" s="53">
        <v>0</v>
      </c>
      <c r="AO37" s="31"/>
      <c r="AP37" s="64"/>
      <c r="AQ37" s="55"/>
      <c r="AR37" s="16"/>
      <c r="AS37" s="10"/>
      <c r="AT37" s="431"/>
      <c r="AU37" s="345">
        <f>SUM(AU5:AU36)</f>
        <v>962230.03</v>
      </c>
      <c r="AZ37" s="101"/>
      <c r="BA37" s="41"/>
      <c r="BB37" s="47">
        <v>0</v>
      </c>
      <c r="BC37" s="2"/>
      <c r="BD37" s="9"/>
      <c r="BE37" s="53">
        <v>0</v>
      </c>
      <c r="BG37" s="31"/>
      <c r="BH37" s="64"/>
      <c r="BI37" s="55"/>
      <c r="BJ37" s="16"/>
      <c r="BK37" s="10"/>
      <c r="BL37" s="405"/>
      <c r="BM37" s="345">
        <f>SUM(BM5:BM36)</f>
        <v>579840.03</v>
      </c>
    </row>
    <row r="38" spans="1:65" x14ac:dyDescent="0.25">
      <c r="B38" s="42" t="s">
        <v>1</v>
      </c>
      <c r="C38" s="48">
        <f>SUM(C5:C37)</f>
        <v>2152.1999999999998</v>
      </c>
      <c r="E38" s="428" t="s">
        <v>1</v>
      </c>
      <c r="F38" s="54">
        <f>SUM(F5:F37)</f>
        <v>1781467.25</v>
      </c>
      <c r="H38" s="430" t="s">
        <v>1</v>
      </c>
      <c r="I38" s="58">
        <f>SUM(I5:I37)</f>
        <v>7566</v>
      </c>
      <c r="J38" s="58"/>
      <c r="K38" s="17" t="s">
        <v>1</v>
      </c>
      <c r="L38" s="4">
        <f t="shared" ref="L38" si="0">SUM(L5:L37)</f>
        <v>65257.599999999999</v>
      </c>
      <c r="M38" s="431"/>
      <c r="N38" s="202"/>
      <c r="S38" s="42" t="s">
        <v>1</v>
      </c>
      <c r="T38" s="48">
        <f>SUM(T5:T37)</f>
        <v>1152.2</v>
      </c>
      <c r="V38" s="428" t="s">
        <v>1</v>
      </c>
      <c r="W38" s="54">
        <f>SUM(W5:W37)</f>
        <v>1403695.54</v>
      </c>
      <c r="Y38" s="430" t="s">
        <v>1</v>
      </c>
      <c r="Z38" s="58">
        <f>SUM(Z5:Z37)</f>
        <v>6166</v>
      </c>
      <c r="AA38" s="58"/>
      <c r="AB38" s="17" t="s">
        <v>1</v>
      </c>
      <c r="AC38" s="4">
        <f t="shared" ref="AC38" si="1">SUM(AC5:AC37)</f>
        <v>58739.02</v>
      </c>
      <c r="AD38" s="431"/>
      <c r="AE38" s="202"/>
      <c r="AI38" s="42" t="s">
        <v>1</v>
      </c>
      <c r="AJ38" s="48">
        <f>SUM(AJ5:AJ37)</f>
        <v>1152.2</v>
      </c>
      <c r="AL38" s="428" t="s">
        <v>1</v>
      </c>
      <c r="AM38" s="54">
        <f>SUM(AM5:AM37)</f>
        <v>970470.54</v>
      </c>
      <c r="AO38" s="430" t="s">
        <v>1</v>
      </c>
      <c r="AP38" s="58">
        <f>SUM(AP5:AP37)</f>
        <v>4682</v>
      </c>
      <c r="AQ38" s="58"/>
      <c r="AR38" s="17" t="s">
        <v>1</v>
      </c>
      <c r="AS38" s="4">
        <f t="shared" ref="AS38" si="2">SUM(AS5:AS37)</f>
        <v>51826.369999999995</v>
      </c>
      <c r="AT38" s="431"/>
      <c r="AU38" s="202"/>
      <c r="BA38" s="42" t="s">
        <v>1</v>
      </c>
      <c r="BB38" s="48">
        <f>SUM(BB5:BB37)</f>
        <v>1152.2</v>
      </c>
      <c r="BD38" s="401" t="s">
        <v>1</v>
      </c>
      <c r="BE38" s="54">
        <f>SUM(BE5:BE37)</f>
        <v>586504</v>
      </c>
      <c r="BG38" s="403" t="s">
        <v>1</v>
      </c>
      <c r="BH38" s="58">
        <f>SUM(BH5:BH37)</f>
        <v>3052</v>
      </c>
      <c r="BI38" s="58"/>
      <c r="BJ38" s="17" t="s">
        <v>1</v>
      </c>
      <c r="BK38" s="4">
        <f t="shared" ref="BK38" si="3">SUM(BK5:BK37)</f>
        <v>43159.64</v>
      </c>
      <c r="BL38" s="405"/>
      <c r="BM38" s="202"/>
    </row>
    <row r="39" spans="1:65" x14ac:dyDescent="0.25">
      <c r="B39" s="37"/>
      <c r="C39" s="43"/>
      <c r="F39" s="43"/>
      <c r="I39" s="43"/>
      <c r="J39" s="43"/>
      <c r="M39" s="431"/>
      <c r="N39" s="202"/>
      <c r="S39" s="37"/>
      <c r="T39" s="43"/>
      <c r="W39" s="43"/>
      <c r="Z39" s="43"/>
      <c r="AA39" s="43"/>
      <c r="AD39" s="431"/>
      <c r="AE39" s="202"/>
      <c r="AI39" s="37"/>
      <c r="AJ39" s="43"/>
      <c r="AM39" s="43"/>
      <c r="AP39" s="43"/>
      <c r="AQ39" s="43"/>
      <c r="AT39" s="431"/>
      <c r="AU39" s="202"/>
      <c r="BA39" s="37"/>
      <c r="BB39" s="43"/>
      <c r="BE39" s="43"/>
      <c r="BH39" s="43"/>
      <c r="BI39" s="43"/>
      <c r="BL39" s="405"/>
      <c r="BM39" s="202"/>
    </row>
    <row r="40" spans="1:65" ht="15.75" customHeight="1" x14ac:dyDescent="0.25">
      <c r="A40" s="5"/>
      <c r="B40" s="37"/>
      <c r="C40" s="49">
        <v>0</v>
      </c>
      <c r="D40" s="13"/>
      <c r="E40" s="13"/>
      <c r="F40" s="55"/>
      <c r="H40" s="453" t="s">
        <v>7</v>
      </c>
      <c r="I40" s="454"/>
      <c r="J40" s="429"/>
      <c r="K40" s="455">
        <f>I38+L38</f>
        <v>72823.600000000006</v>
      </c>
      <c r="L40" s="456"/>
      <c r="M40" s="431"/>
      <c r="N40" s="202"/>
      <c r="R40" s="5"/>
      <c r="S40" s="37"/>
      <c r="T40" s="49">
        <v>0</v>
      </c>
      <c r="U40" s="13"/>
      <c r="V40" s="13"/>
      <c r="W40" s="55"/>
      <c r="Y40" s="453" t="s">
        <v>7</v>
      </c>
      <c r="Z40" s="454"/>
      <c r="AA40" s="429"/>
      <c r="AB40" s="455">
        <f>Z38+AC38</f>
        <v>64905.02</v>
      </c>
      <c r="AC40" s="456"/>
      <c r="AD40" s="431"/>
      <c r="AE40" s="202"/>
      <c r="AH40" s="5"/>
      <c r="AI40" s="37"/>
      <c r="AJ40" s="49">
        <v>0</v>
      </c>
      <c r="AK40" s="13"/>
      <c r="AL40" s="13"/>
      <c r="AM40" s="55"/>
      <c r="AO40" s="453" t="s">
        <v>7</v>
      </c>
      <c r="AP40" s="454"/>
      <c r="AQ40" s="429"/>
      <c r="AR40" s="455">
        <f>AP38+AS38</f>
        <v>56508.369999999995</v>
      </c>
      <c r="AS40" s="456"/>
      <c r="AT40" s="431"/>
      <c r="AU40" s="202"/>
      <c r="AZ40" s="5"/>
      <c r="BA40" s="37"/>
      <c r="BB40" s="49">
        <v>0</v>
      </c>
      <c r="BC40" s="13"/>
      <c r="BD40" s="13"/>
      <c r="BE40" s="55"/>
      <c r="BG40" s="453" t="s">
        <v>7</v>
      </c>
      <c r="BH40" s="454"/>
      <c r="BI40" s="402"/>
      <c r="BJ40" s="455">
        <f>BH38+BK38</f>
        <v>46211.64</v>
      </c>
      <c r="BK40" s="456"/>
      <c r="BL40" s="405"/>
      <c r="BM40" s="202"/>
    </row>
    <row r="41" spans="1:65" ht="15.75" customHeight="1" x14ac:dyDescent="0.25">
      <c r="B41" s="37"/>
      <c r="C41" s="43"/>
      <c r="D41" s="447" t="s">
        <v>8</v>
      </c>
      <c r="E41" s="447"/>
      <c r="F41" s="56">
        <f>F38-K40</f>
        <v>1708643.65</v>
      </c>
      <c r="I41" s="65"/>
      <c r="J41" s="65"/>
      <c r="M41" s="431"/>
      <c r="N41" s="202"/>
      <c r="S41" s="37"/>
      <c r="T41" s="43"/>
      <c r="U41" s="447" t="s">
        <v>8</v>
      </c>
      <c r="V41" s="447"/>
      <c r="W41" s="56">
        <f>W38-AB40</f>
        <v>1338790.52</v>
      </c>
      <c r="Z41" s="65"/>
      <c r="AA41" s="65"/>
      <c r="AD41" s="431"/>
      <c r="AE41" s="202"/>
      <c r="AI41" s="37"/>
      <c r="AJ41" s="43"/>
      <c r="AK41" s="447" t="s">
        <v>8</v>
      </c>
      <c r="AL41" s="447"/>
      <c r="AM41" s="56">
        <f>AM38-AR40</f>
        <v>913962.17</v>
      </c>
      <c r="AP41" s="65"/>
      <c r="AQ41" s="65"/>
      <c r="AT41" s="431"/>
      <c r="AU41" s="202"/>
      <c r="BA41" s="37"/>
      <c r="BB41" s="43"/>
      <c r="BC41" s="447" t="s">
        <v>8</v>
      </c>
      <c r="BD41" s="447"/>
      <c r="BE41" s="56">
        <f>BE38-BJ40</f>
        <v>540292.36</v>
      </c>
      <c r="BH41" s="65"/>
      <c r="BI41" s="65"/>
      <c r="BL41" s="405"/>
      <c r="BM41" s="202"/>
    </row>
    <row r="42" spans="1:65" x14ac:dyDescent="0.25">
      <c r="B42" s="37"/>
      <c r="C42" s="43"/>
      <c r="D42" s="13"/>
      <c r="E42" s="13" t="s">
        <v>0</v>
      </c>
      <c r="F42" s="56">
        <f>-C38</f>
        <v>-2152.1999999999998</v>
      </c>
      <c r="I42" s="43"/>
      <c r="J42" s="43"/>
      <c r="M42" s="431"/>
      <c r="N42" s="202"/>
      <c r="S42" s="37"/>
      <c r="T42" s="43"/>
      <c r="U42" s="13"/>
      <c r="V42" s="13" t="s">
        <v>0</v>
      </c>
      <c r="W42" s="56">
        <f>-T38</f>
        <v>-1152.2</v>
      </c>
      <c r="Z42" s="43"/>
      <c r="AA42" s="43"/>
      <c r="AD42" s="431"/>
      <c r="AE42" s="202"/>
      <c r="AI42" s="37"/>
      <c r="AJ42" s="43"/>
      <c r="AK42" s="13"/>
      <c r="AL42" s="13" t="s">
        <v>0</v>
      </c>
      <c r="AM42" s="56">
        <f>-AJ38</f>
        <v>-1152.2</v>
      </c>
      <c r="AP42" s="43"/>
      <c r="AQ42" s="43"/>
      <c r="AT42" s="431"/>
      <c r="AU42" s="202"/>
      <c r="BA42" s="37"/>
      <c r="BB42" s="43"/>
      <c r="BC42" s="13"/>
      <c r="BD42" s="13" t="s">
        <v>0</v>
      </c>
      <c r="BE42" s="56">
        <f>-BB38</f>
        <v>-1152.2</v>
      </c>
      <c r="BH42" s="43"/>
      <c r="BI42" s="43"/>
      <c r="BL42" s="405"/>
      <c r="BM42" s="202"/>
    </row>
    <row r="43" spans="1:65" ht="15.75" thickBot="1" x14ac:dyDescent="0.3">
      <c r="B43" s="37"/>
      <c r="C43" s="43" t="s">
        <v>12</v>
      </c>
      <c r="D43" t="s">
        <v>303</v>
      </c>
      <c r="F43" s="125">
        <v>-1662677</v>
      </c>
      <c r="I43" s="457"/>
      <c r="J43" s="457"/>
      <c r="K43" s="457"/>
      <c r="L43" s="2"/>
      <c r="M43" s="431"/>
      <c r="N43" s="202"/>
      <c r="S43" s="37"/>
      <c r="T43" s="43" t="s">
        <v>12</v>
      </c>
      <c r="U43" t="s">
        <v>303</v>
      </c>
      <c r="W43" s="125">
        <v>-1311918.8600000001</v>
      </c>
      <c r="Z43" s="457"/>
      <c r="AA43" s="457"/>
      <c r="AB43" s="457"/>
      <c r="AC43" s="2"/>
      <c r="AD43" s="431"/>
      <c r="AE43" s="202"/>
      <c r="AI43" s="37"/>
      <c r="AJ43" s="43" t="s">
        <v>12</v>
      </c>
      <c r="AK43" t="s">
        <v>303</v>
      </c>
      <c r="AM43" s="125">
        <v>-931826.22</v>
      </c>
      <c r="AP43" s="457"/>
      <c r="AQ43" s="457"/>
      <c r="AR43" s="457"/>
      <c r="AS43" s="2"/>
      <c r="AT43" s="431"/>
      <c r="AU43" s="202"/>
      <c r="BA43" s="37"/>
      <c r="BB43" s="43" t="s">
        <v>12</v>
      </c>
      <c r="BC43" t="s">
        <v>303</v>
      </c>
      <c r="BE43" s="125">
        <v>-555601.14</v>
      </c>
      <c r="BH43" s="457"/>
      <c r="BI43" s="457"/>
      <c r="BJ43" s="457"/>
      <c r="BK43" s="2"/>
      <c r="BL43" s="405"/>
      <c r="BM43" s="202"/>
    </row>
    <row r="44" spans="1:65" ht="16.5" thickTop="1" x14ac:dyDescent="0.25">
      <c r="B44" s="37"/>
      <c r="C44" s="43"/>
      <c r="E44" s="5" t="s">
        <v>10</v>
      </c>
      <c r="F44" s="58">
        <f>SUM(F41:F43)</f>
        <v>43814.449999999953</v>
      </c>
      <c r="I44" s="489" t="s">
        <v>251</v>
      </c>
      <c r="J44" s="489"/>
      <c r="K44" s="474">
        <f>F46</f>
        <v>140362.68999999994</v>
      </c>
      <c r="L44" s="475"/>
      <c r="M44" s="431"/>
      <c r="N44" s="202"/>
      <c r="S44" s="37"/>
      <c r="T44" s="43"/>
      <c r="V44" s="5" t="s">
        <v>10</v>
      </c>
      <c r="W44" s="58">
        <f>SUM(W41:W43)</f>
        <v>25719.459999999963</v>
      </c>
      <c r="Z44" s="489" t="s">
        <v>251</v>
      </c>
      <c r="AA44" s="489"/>
      <c r="AB44" s="474">
        <f>W46</f>
        <v>137884.43999999994</v>
      </c>
      <c r="AC44" s="475"/>
      <c r="AD44" s="431"/>
      <c r="AE44" s="202"/>
      <c r="AI44" s="37"/>
      <c r="AJ44" s="43"/>
      <c r="AL44" s="5" t="s">
        <v>10</v>
      </c>
      <c r="AM44" s="58">
        <f>SUM(AM41:AM43)</f>
        <v>-19016.249999999884</v>
      </c>
      <c r="AP44" s="489" t="s">
        <v>251</v>
      </c>
      <c r="AQ44" s="489"/>
      <c r="AR44" s="474">
        <f>AM46</f>
        <v>110607.16000000012</v>
      </c>
      <c r="AS44" s="475"/>
      <c r="AT44" s="431"/>
      <c r="AU44" s="202"/>
      <c r="BA44" s="37"/>
      <c r="BB44" s="43"/>
      <c r="BD44" s="5" t="s">
        <v>10</v>
      </c>
      <c r="BE44" s="58">
        <f>SUM(BE41:BE43)</f>
        <v>-16460.979999999981</v>
      </c>
      <c r="BH44" s="489" t="s">
        <v>251</v>
      </c>
      <c r="BI44" s="489"/>
      <c r="BJ44" s="474">
        <f>BE46</f>
        <v>100412.90000000002</v>
      </c>
      <c r="BK44" s="475"/>
      <c r="BL44" s="405"/>
      <c r="BM44" s="202"/>
    </row>
    <row r="45" spans="1:65" ht="16.5" thickBot="1" x14ac:dyDescent="0.3">
      <c r="B45" s="37"/>
      <c r="C45" s="43"/>
      <c r="D45" s="428" t="s">
        <v>9</v>
      </c>
      <c r="E45" s="428"/>
      <c r="F45" s="366">
        <v>96548.24</v>
      </c>
      <c r="I45" s="483" t="s">
        <v>2</v>
      </c>
      <c r="J45" s="483"/>
      <c r="K45" s="476">
        <v>-107249.8</v>
      </c>
      <c r="L45" s="476"/>
      <c r="M45" s="431"/>
      <c r="N45" s="202"/>
      <c r="S45" s="37"/>
      <c r="T45" s="43"/>
      <c r="U45" s="428" t="s">
        <v>9</v>
      </c>
      <c r="V45" s="428"/>
      <c r="W45" s="366">
        <v>112164.98</v>
      </c>
      <c r="Z45" s="483" t="s">
        <v>2</v>
      </c>
      <c r="AA45" s="483"/>
      <c r="AB45" s="476">
        <v>-107249.8</v>
      </c>
      <c r="AC45" s="476"/>
      <c r="AD45" s="431"/>
      <c r="AE45" s="202"/>
      <c r="AI45" s="37"/>
      <c r="AJ45" s="43"/>
      <c r="AK45" s="428" t="s">
        <v>9</v>
      </c>
      <c r="AL45" s="428"/>
      <c r="AM45" s="366">
        <v>129623.41</v>
      </c>
      <c r="AP45" s="483" t="s">
        <v>2</v>
      </c>
      <c r="AQ45" s="483"/>
      <c r="AR45" s="476">
        <v>-107249.8</v>
      </c>
      <c r="AS45" s="476"/>
      <c r="AT45" s="431"/>
      <c r="AU45" s="202"/>
      <c r="BA45" s="37"/>
      <c r="BB45" s="43"/>
      <c r="BC45" s="401" t="s">
        <v>9</v>
      </c>
      <c r="BD45" s="401"/>
      <c r="BE45" s="366">
        <v>116873.88</v>
      </c>
      <c r="BH45" s="483" t="s">
        <v>2</v>
      </c>
      <c r="BI45" s="483"/>
      <c r="BJ45" s="476">
        <v>-107249.8</v>
      </c>
      <c r="BK45" s="476"/>
      <c r="BL45" s="405"/>
      <c r="BM45" s="202"/>
    </row>
    <row r="46" spans="1:65" ht="19.5" thickBot="1" x14ac:dyDescent="0.3">
      <c r="B46" s="37"/>
      <c r="C46" s="43"/>
      <c r="E46" s="6" t="s">
        <v>347</v>
      </c>
      <c r="F46" s="48">
        <f>F45+F44</f>
        <v>140362.68999999994</v>
      </c>
      <c r="J46" s="178"/>
      <c r="K46" s="477">
        <v>0</v>
      </c>
      <c r="L46" s="477"/>
      <c r="M46" s="431"/>
      <c r="N46" s="202"/>
      <c r="S46" s="37"/>
      <c r="T46" s="43"/>
      <c r="V46" s="6" t="s">
        <v>347</v>
      </c>
      <c r="W46" s="48">
        <f>W45+W44</f>
        <v>137884.43999999994</v>
      </c>
      <c r="AA46" s="178"/>
      <c r="AB46" s="477">
        <v>0</v>
      </c>
      <c r="AC46" s="477"/>
      <c r="AD46" s="431"/>
      <c r="AE46" s="202"/>
      <c r="AI46" s="37"/>
      <c r="AJ46" s="43"/>
      <c r="AL46" s="6" t="s">
        <v>347</v>
      </c>
      <c r="AM46" s="48">
        <f>AM45+AM44</f>
        <v>110607.16000000012</v>
      </c>
      <c r="AQ46" s="178"/>
      <c r="AR46" s="477">
        <v>0</v>
      </c>
      <c r="AS46" s="477"/>
      <c r="AT46" s="431"/>
      <c r="AU46" s="202"/>
      <c r="BA46" s="37"/>
      <c r="BB46" s="43"/>
      <c r="BD46" s="6" t="s">
        <v>347</v>
      </c>
      <c r="BE46" s="48">
        <f>BE45+BE44</f>
        <v>100412.90000000002</v>
      </c>
      <c r="BI46" s="178"/>
      <c r="BJ46" s="477">
        <v>0</v>
      </c>
      <c r="BK46" s="477"/>
      <c r="BL46" s="405"/>
      <c r="BM46" s="202"/>
    </row>
    <row r="47" spans="1:65" ht="19.5" thickBot="1" x14ac:dyDescent="0.3">
      <c r="B47" s="37"/>
      <c r="C47" s="43"/>
      <c r="E47" s="5"/>
      <c r="F47" s="56"/>
      <c r="I47" s="487" t="s">
        <v>13</v>
      </c>
      <c r="J47" s="488"/>
      <c r="K47" s="480">
        <f>SUM(K44:L46)</f>
        <v>33112.889999999941</v>
      </c>
      <c r="L47" s="481"/>
      <c r="M47" s="431"/>
      <c r="N47" s="202"/>
      <c r="S47" s="37"/>
      <c r="T47" s="43"/>
      <c r="V47" s="5"/>
      <c r="W47" s="56"/>
      <c r="Z47" s="487" t="s">
        <v>13</v>
      </c>
      <c r="AA47" s="488"/>
      <c r="AB47" s="480">
        <f>SUM(AB44:AC46)</f>
        <v>30634.639999999941</v>
      </c>
      <c r="AC47" s="481"/>
      <c r="AD47" s="431"/>
      <c r="AE47" s="202"/>
      <c r="AI47" s="37"/>
      <c r="AJ47" s="43"/>
      <c r="AL47" s="5"/>
      <c r="AM47" s="56"/>
      <c r="AP47" s="487" t="s">
        <v>468</v>
      </c>
      <c r="AQ47" s="488"/>
      <c r="AR47" s="480">
        <f>SUM(AR44:AS46)</f>
        <v>3357.360000000117</v>
      </c>
      <c r="AS47" s="481"/>
      <c r="AT47" s="431"/>
      <c r="AU47" s="202"/>
      <c r="BA47" s="37"/>
      <c r="BB47" s="43"/>
      <c r="BD47" s="5"/>
      <c r="BE47" s="56"/>
      <c r="BH47" s="487" t="s">
        <v>401</v>
      </c>
      <c r="BI47" s="488"/>
      <c r="BJ47" s="480">
        <f>SUM(BJ44:BK46)</f>
        <v>-6836.8999999999796</v>
      </c>
      <c r="BK47" s="481"/>
      <c r="BL47" s="405"/>
      <c r="BM47" s="202"/>
    </row>
    <row r="48" spans="1:65" x14ac:dyDescent="0.25">
      <c r="B48" s="37"/>
      <c r="C48" s="43"/>
      <c r="D48" s="457"/>
      <c r="E48" s="457"/>
      <c r="F48" s="58"/>
      <c r="I48" s="43"/>
      <c r="J48" s="43"/>
      <c r="M48" s="431"/>
      <c r="N48" s="202"/>
      <c r="S48" s="37"/>
      <c r="T48" s="43"/>
      <c r="U48" s="457"/>
      <c r="V48" s="457"/>
      <c r="W48" s="58"/>
      <c r="Z48" s="43"/>
      <c r="AA48" s="43"/>
      <c r="AD48" s="431"/>
      <c r="AE48" s="202"/>
      <c r="AI48" s="37"/>
      <c r="AJ48" s="43"/>
      <c r="AK48" s="457"/>
      <c r="AL48" s="457"/>
      <c r="AM48" s="58"/>
      <c r="AP48" s="43"/>
      <c r="AQ48" s="43"/>
      <c r="AT48" s="431"/>
      <c r="AU48" s="202"/>
      <c r="BA48" s="37"/>
      <c r="BB48" s="43"/>
      <c r="BC48" s="457"/>
      <c r="BD48" s="457"/>
      <c r="BE48" s="58"/>
      <c r="BH48" s="43"/>
      <c r="BI48" s="43"/>
      <c r="BL48" s="405"/>
      <c r="BM48" s="202"/>
    </row>
  </sheetData>
  <mergeCells count="60">
    <mergeCell ref="BB1:BJ1"/>
    <mergeCell ref="BD4:BE4"/>
    <mergeCell ref="BH4:BK4"/>
    <mergeCell ref="BH43:BJ43"/>
    <mergeCell ref="BG40:BH40"/>
    <mergeCell ref="BJ40:BK40"/>
    <mergeCell ref="BH47:BI47"/>
    <mergeCell ref="BJ47:BK47"/>
    <mergeCell ref="BC41:BD41"/>
    <mergeCell ref="BC48:BD48"/>
    <mergeCell ref="BH45:BI45"/>
    <mergeCell ref="BJ45:BK45"/>
    <mergeCell ref="BJ46:BK46"/>
    <mergeCell ref="BH44:BI44"/>
    <mergeCell ref="BJ44:BK44"/>
    <mergeCell ref="T1:AB1"/>
    <mergeCell ref="V4:W4"/>
    <mergeCell ref="Z4:AC4"/>
    <mergeCell ref="Y40:Z40"/>
    <mergeCell ref="AB40:AC40"/>
    <mergeCell ref="AR46:AS46"/>
    <mergeCell ref="U41:V41"/>
    <mergeCell ref="Z43:AB43"/>
    <mergeCell ref="Z44:AA44"/>
    <mergeCell ref="AB44:AC44"/>
    <mergeCell ref="Z45:AA45"/>
    <mergeCell ref="AB45:AC45"/>
    <mergeCell ref="AK41:AL41"/>
    <mergeCell ref="AP43:AR43"/>
    <mergeCell ref="AP44:AQ44"/>
    <mergeCell ref="AR44:AS44"/>
    <mergeCell ref="AP45:AQ45"/>
    <mergeCell ref="AR45:AS45"/>
    <mergeCell ref="AJ1:AR1"/>
    <mergeCell ref="AL4:AM4"/>
    <mergeCell ref="AP4:AS4"/>
    <mergeCell ref="AO40:AP40"/>
    <mergeCell ref="AR40:AS40"/>
    <mergeCell ref="K46:L46"/>
    <mergeCell ref="I47:J47"/>
    <mergeCell ref="AB46:AC46"/>
    <mergeCell ref="Z47:AA47"/>
    <mergeCell ref="AB47:AC47"/>
    <mergeCell ref="K47:L47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D48:E48"/>
    <mergeCell ref="AP47:AQ47"/>
    <mergeCell ref="AR47:AS47"/>
    <mergeCell ref="AK48:AL48"/>
    <mergeCell ref="U48:V48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Y120"/>
  <sheetViews>
    <sheetView topLeftCell="A31" workbookViewId="0">
      <selection activeCell="B38" sqref="B38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8" max="8" width="12.5703125" style="43" bestFit="1" customWidth="1"/>
    <col min="10" max="10" width="17.42578125" bestFit="1" customWidth="1"/>
    <col min="11" max="11" width="9.140625" bestFit="1" customWidth="1"/>
    <col min="12" max="12" width="13.140625" customWidth="1"/>
    <col min="13" max="13" width="17.42578125" bestFit="1" customWidth="1"/>
    <col min="20" max="20" width="17.42578125" bestFit="1" customWidth="1"/>
    <col min="23" max="23" width="17.42578125" bestFit="1" customWidth="1"/>
  </cols>
  <sheetData>
    <row r="1" spans="1:25" ht="15.75" x14ac:dyDescent="0.25">
      <c r="I1" s="104"/>
      <c r="J1" s="333">
        <v>42228</v>
      </c>
      <c r="K1" s="215"/>
      <c r="L1" s="134" t="s">
        <v>200</v>
      </c>
      <c r="M1" s="88"/>
      <c r="S1" s="104"/>
      <c r="T1" s="399">
        <v>42243</v>
      </c>
      <c r="U1" s="215"/>
      <c r="V1" s="134" t="s">
        <v>200</v>
      </c>
      <c r="W1" s="88"/>
    </row>
    <row r="2" spans="1:25" ht="15.75" thickBot="1" x14ac:dyDescent="0.3">
      <c r="I2" s="413"/>
      <c r="J2" s="414"/>
      <c r="K2" s="414"/>
      <c r="L2" s="414"/>
      <c r="M2" s="415"/>
      <c r="N2" s="18"/>
      <c r="S2" s="413"/>
      <c r="T2" s="414"/>
      <c r="U2" s="414"/>
      <c r="V2" s="414"/>
      <c r="W2" s="415"/>
      <c r="X2" s="18"/>
    </row>
    <row r="3" spans="1:25" ht="17.25" thickTop="1" thickBot="1" x14ac:dyDescent="0.3">
      <c r="C3" s="484" t="s">
        <v>240</v>
      </c>
      <c r="D3" s="485"/>
      <c r="E3" s="486"/>
      <c r="H3" s="43">
        <f>7374</f>
        <v>7374</v>
      </c>
      <c r="I3" s="244" t="s">
        <v>568</v>
      </c>
      <c r="J3" s="245">
        <v>13166.83</v>
      </c>
      <c r="K3" s="410"/>
      <c r="L3" s="235" t="s">
        <v>461</v>
      </c>
      <c r="M3" s="411">
        <v>10580.5</v>
      </c>
      <c r="N3" s="412">
        <v>42214</v>
      </c>
      <c r="S3" s="244" t="s">
        <v>624</v>
      </c>
      <c r="T3" s="245">
        <v>98832.59</v>
      </c>
      <c r="U3" s="410"/>
      <c r="V3" s="235" t="s">
        <v>202</v>
      </c>
      <c r="W3" s="411">
        <v>36540</v>
      </c>
      <c r="X3" s="412">
        <v>42237</v>
      </c>
    </row>
    <row r="4" spans="1:25" ht="16.5" thickBot="1" x14ac:dyDescent="0.3">
      <c r="A4" s="247" t="s">
        <v>295</v>
      </c>
      <c r="B4" s="248" t="s">
        <v>296</v>
      </c>
      <c r="C4" s="404" t="s">
        <v>297</v>
      </c>
      <c r="D4" s="404"/>
      <c r="E4" s="404" t="s">
        <v>298</v>
      </c>
      <c r="F4" s="331" t="s">
        <v>299</v>
      </c>
      <c r="H4" s="43">
        <f>10580.5+22315.5+18131.5+9104</f>
        <v>60131.5</v>
      </c>
      <c r="I4" s="292" t="s">
        <v>569</v>
      </c>
      <c r="J4" s="157">
        <v>60131.68</v>
      </c>
      <c r="K4" s="207"/>
      <c r="L4" s="113" t="s">
        <v>461</v>
      </c>
      <c r="M4" s="207">
        <v>7374</v>
      </c>
      <c r="N4" s="221">
        <v>42214</v>
      </c>
      <c r="S4" s="144" t="s">
        <v>636</v>
      </c>
      <c r="T4" s="156">
        <v>63505.84</v>
      </c>
      <c r="U4" s="207"/>
      <c r="V4" s="235" t="s">
        <v>202</v>
      </c>
      <c r="W4" s="207">
        <v>25919</v>
      </c>
      <c r="X4" s="221">
        <v>42238</v>
      </c>
      <c r="Y4" s="21">
        <v>42237</v>
      </c>
    </row>
    <row r="5" spans="1:25" ht="15.75" x14ac:dyDescent="0.25">
      <c r="A5" s="243">
        <v>42217</v>
      </c>
      <c r="B5" s="244" t="s">
        <v>584</v>
      </c>
      <c r="C5" s="245">
        <v>32457.8</v>
      </c>
      <c r="D5" s="104">
        <v>42228</v>
      </c>
      <c r="E5" s="245">
        <v>32457.8</v>
      </c>
      <c r="F5" s="391">
        <f t="shared" ref="F5:F39" si="0">C5-E5</f>
        <v>0</v>
      </c>
      <c r="G5" s="105">
        <v>1</v>
      </c>
      <c r="H5" s="103">
        <f>20348+7994</f>
        <v>28342</v>
      </c>
      <c r="I5" s="407" t="s">
        <v>582</v>
      </c>
      <c r="J5" s="121">
        <v>28341.77</v>
      </c>
      <c r="K5" s="207"/>
      <c r="L5" s="113" t="s">
        <v>461</v>
      </c>
      <c r="M5" s="207">
        <v>22315.5</v>
      </c>
      <c r="N5" s="221">
        <v>42214</v>
      </c>
      <c r="S5" s="144" t="s">
        <v>637</v>
      </c>
      <c r="T5" s="156">
        <v>63775.5</v>
      </c>
      <c r="U5" s="207"/>
      <c r="V5" s="235" t="s">
        <v>202</v>
      </c>
      <c r="W5" s="207">
        <v>65130</v>
      </c>
      <c r="X5" s="221">
        <v>42238</v>
      </c>
    </row>
    <row r="6" spans="1:25" ht="15.75" x14ac:dyDescent="0.25">
      <c r="A6" s="143">
        <v>42217</v>
      </c>
      <c r="B6" s="144" t="s">
        <v>585</v>
      </c>
      <c r="C6" s="156">
        <v>29749.599999999999</v>
      </c>
      <c r="D6" s="104">
        <v>42228</v>
      </c>
      <c r="E6" s="156">
        <v>29749.599999999999</v>
      </c>
      <c r="F6" s="154">
        <f t="shared" si="0"/>
        <v>0</v>
      </c>
      <c r="G6" s="105">
        <v>2</v>
      </c>
      <c r="H6" s="88">
        <f>5216.5</f>
        <v>5216.5</v>
      </c>
      <c r="I6" s="240" t="s">
        <v>581</v>
      </c>
      <c r="J6" s="121">
        <v>5216.3999999999996</v>
      </c>
      <c r="K6" s="130"/>
      <c r="L6" s="113" t="s">
        <v>461</v>
      </c>
      <c r="M6" s="207">
        <v>20348</v>
      </c>
      <c r="N6" s="221">
        <v>42215</v>
      </c>
      <c r="S6" s="144" t="s">
        <v>638</v>
      </c>
      <c r="T6" s="156">
        <v>4762.8</v>
      </c>
      <c r="U6" s="130"/>
      <c r="V6" s="235" t="s">
        <v>202</v>
      </c>
      <c r="W6" s="207">
        <v>10250</v>
      </c>
      <c r="X6" s="221">
        <v>42238</v>
      </c>
    </row>
    <row r="7" spans="1:25" ht="15.75" x14ac:dyDescent="0.25">
      <c r="A7" s="143">
        <v>42217</v>
      </c>
      <c r="B7" s="144" t="s">
        <v>586</v>
      </c>
      <c r="C7" s="156">
        <v>56807.9</v>
      </c>
      <c r="D7" s="104">
        <v>42228</v>
      </c>
      <c r="E7" s="156">
        <v>56807.9</v>
      </c>
      <c r="F7" s="154">
        <f t="shared" si="0"/>
        <v>0</v>
      </c>
      <c r="G7" s="105">
        <v>3</v>
      </c>
      <c r="H7" s="88">
        <f>37472+7934+58270</f>
        <v>103676</v>
      </c>
      <c r="I7" s="293" t="s">
        <v>570</v>
      </c>
      <c r="J7" s="207">
        <v>103676.19</v>
      </c>
      <c r="K7" s="130"/>
      <c r="L7" s="113" t="s">
        <v>461</v>
      </c>
      <c r="M7" s="214">
        <v>18131.5</v>
      </c>
      <c r="N7" s="221">
        <v>42215</v>
      </c>
      <c r="S7" s="144" t="s">
        <v>639</v>
      </c>
      <c r="T7" s="156">
        <v>2969.6</v>
      </c>
      <c r="U7" s="130"/>
      <c r="V7" s="235" t="s">
        <v>202</v>
      </c>
      <c r="W7" s="214">
        <v>77340</v>
      </c>
      <c r="X7" s="221">
        <v>42240</v>
      </c>
      <c r="Y7" s="21">
        <v>42239</v>
      </c>
    </row>
    <row r="8" spans="1:25" ht="15.75" x14ac:dyDescent="0.25">
      <c r="A8" s="143">
        <v>42218</v>
      </c>
      <c r="B8" s="144" t="s">
        <v>587</v>
      </c>
      <c r="C8" s="156">
        <v>62916.6</v>
      </c>
      <c r="D8" s="104">
        <v>42228</v>
      </c>
      <c r="E8" s="156">
        <v>62916.6</v>
      </c>
      <c r="F8" s="155">
        <f t="shared" si="0"/>
        <v>0</v>
      </c>
      <c r="G8" s="105">
        <v>4</v>
      </c>
      <c r="H8" s="103">
        <f>8707+6000+11473+6278</f>
        <v>32458</v>
      </c>
      <c r="I8" s="244" t="s">
        <v>584</v>
      </c>
      <c r="J8" s="245">
        <v>32457.8</v>
      </c>
      <c r="K8" s="207"/>
      <c r="L8" s="113" t="s">
        <v>461</v>
      </c>
      <c r="M8" s="207">
        <v>5216.5</v>
      </c>
      <c r="N8" s="221">
        <v>42215</v>
      </c>
      <c r="S8" s="144" t="s">
        <v>640</v>
      </c>
      <c r="T8" s="156">
        <v>31155.47</v>
      </c>
      <c r="U8" s="207"/>
      <c r="V8" s="235" t="s">
        <v>202</v>
      </c>
      <c r="W8" s="207">
        <v>52950</v>
      </c>
      <c r="X8" s="221">
        <v>42240</v>
      </c>
      <c r="Y8" s="21">
        <v>42240</v>
      </c>
    </row>
    <row r="9" spans="1:25" ht="15.75" x14ac:dyDescent="0.25">
      <c r="A9" s="243">
        <v>42220</v>
      </c>
      <c r="B9" s="244" t="s">
        <v>588</v>
      </c>
      <c r="C9" s="245">
        <v>60058.48</v>
      </c>
      <c r="D9" s="104">
        <v>42228</v>
      </c>
      <c r="E9" s="245">
        <v>60058.48</v>
      </c>
      <c r="F9" s="155">
        <f t="shared" si="0"/>
        <v>0</v>
      </c>
      <c r="G9" s="105">
        <v>5</v>
      </c>
      <c r="H9" s="43">
        <f>10170+19579.5</f>
        <v>29749.5</v>
      </c>
      <c r="I9" s="144" t="s">
        <v>585</v>
      </c>
      <c r="J9" s="156">
        <v>29749.599999999999</v>
      </c>
      <c r="K9" s="334"/>
      <c r="L9" s="113" t="s">
        <v>461</v>
      </c>
      <c r="M9" s="207">
        <v>9104</v>
      </c>
      <c r="N9" s="221">
        <v>42215</v>
      </c>
      <c r="S9" s="144" t="s">
        <v>645</v>
      </c>
      <c r="T9" s="156">
        <v>35777.199999999997</v>
      </c>
      <c r="U9" s="334" t="s">
        <v>361</v>
      </c>
      <c r="V9" s="235" t="s">
        <v>202</v>
      </c>
      <c r="W9" s="207">
        <v>32650</v>
      </c>
      <c r="X9" s="221">
        <v>42241</v>
      </c>
    </row>
    <row r="10" spans="1:25" ht="15.75" x14ac:dyDescent="0.25">
      <c r="A10" s="143">
        <v>42221</v>
      </c>
      <c r="B10" s="144" t="s">
        <v>589</v>
      </c>
      <c r="C10" s="156">
        <v>58059.8</v>
      </c>
      <c r="D10" s="104">
        <v>42228</v>
      </c>
      <c r="E10" s="156">
        <v>58059.8</v>
      </c>
      <c r="F10" s="155">
        <f t="shared" si="0"/>
        <v>0</v>
      </c>
      <c r="G10" s="105">
        <v>6</v>
      </c>
      <c r="H10" s="43">
        <f>46312.5+10495.5</f>
        <v>56808</v>
      </c>
      <c r="I10" s="144" t="s">
        <v>586</v>
      </c>
      <c r="J10" s="156">
        <v>56807.9</v>
      </c>
      <c r="K10" s="321"/>
      <c r="L10" s="113" t="s">
        <v>461</v>
      </c>
      <c r="M10" s="207">
        <v>37472</v>
      </c>
      <c r="N10" s="221">
        <v>42216</v>
      </c>
      <c r="S10" s="422"/>
      <c r="T10" s="423">
        <v>0</v>
      </c>
      <c r="U10" s="424"/>
      <c r="V10" s="425"/>
      <c r="W10" s="217">
        <v>0</v>
      </c>
      <c r="X10" s="426"/>
    </row>
    <row r="11" spans="1:25" ht="16.5" thickBot="1" x14ac:dyDescent="0.3">
      <c r="A11" s="143">
        <v>42222</v>
      </c>
      <c r="B11" s="144" t="s">
        <v>590</v>
      </c>
      <c r="C11" s="156">
        <v>65546.2</v>
      </c>
      <c r="D11" s="104">
        <v>42228</v>
      </c>
      <c r="E11" s="156">
        <v>65546.2</v>
      </c>
      <c r="F11" s="155">
        <f t="shared" si="0"/>
        <v>0</v>
      </c>
      <c r="G11" s="105">
        <v>7</v>
      </c>
      <c r="H11" s="43">
        <f>8850+14070.5+6834+6828+26334</f>
        <v>62916.5</v>
      </c>
      <c r="I11" s="144" t="s">
        <v>587</v>
      </c>
      <c r="J11" s="156">
        <v>62916.6</v>
      </c>
      <c r="K11" s="207"/>
      <c r="L11" s="113" t="s">
        <v>461</v>
      </c>
      <c r="M11" s="207">
        <v>7994</v>
      </c>
      <c r="N11" s="221">
        <v>42216</v>
      </c>
      <c r="S11" s="379"/>
      <c r="T11" s="380">
        <v>0</v>
      </c>
      <c r="U11" s="380"/>
      <c r="V11" s="235"/>
      <c r="W11" s="380">
        <v>0</v>
      </c>
      <c r="X11" s="381"/>
    </row>
    <row r="12" spans="1:25" ht="18.75" x14ac:dyDescent="0.3">
      <c r="A12" s="143">
        <v>42223</v>
      </c>
      <c r="B12" s="144" t="s">
        <v>591</v>
      </c>
      <c r="C12" s="156">
        <v>117296.4</v>
      </c>
      <c r="D12" s="104">
        <v>42228</v>
      </c>
      <c r="E12" s="156">
        <v>117296.4</v>
      </c>
      <c r="F12" s="155">
        <f t="shared" si="0"/>
        <v>0</v>
      </c>
      <c r="G12" s="105">
        <v>8</v>
      </c>
      <c r="H12" s="43">
        <f>1688+8967.5+25032.5+33928.5+6421.5+9053</f>
        <v>85091</v>
      </c>
      <c r="I12" s="244" t="s">
        <v>588</v>
      </c>
      <c r="J12" s="245">
        <v>60058.48</v>
      </c>
      <c r="K12" s="207"/>
      <c r="L12" s="113" t="s">
        <v>461</v>
      </c>
      <c r="M12" s="207">
        <v>7934</v>
      </c>
      <c r="N12" s="221">
        <v>42216</v>
      </c>
      <c r="T12" s="131">
        <f>SUM(T3:T11)</f>
        <v>300779</v>
      </c>
      <c r="U12" s="131"/>
      <c r="V12" s="131"/>
      <c r="W12" s="131">
        <f>SUM(W3:W11)</f>
        <v>300779</v>
      </c>
    </row>
    <row r="13" spans="1:25" ht="15.75" x14ac:dyDescent="0.25">
      <c r="A13" s="143">
        <v>42224</v>
      </c>
      <c r="B13" s="144" t="s">
        <v>592</v>
      </c>
      <c r="C13" s="156">
        <v>30484.16</v>
      </c>
      <c r="D13" s="104" t="s">
        <v>635</v>
      </c>
      <c r="E13" s="156">
        <f>13484.38+16999.78</f>
        <v>30484.159999999996</v>
      </c>
      <c r="F13" s="155">
        <f t="shared" si="0"/>
        <v>0</v>
      </c>
      <c r="G13" s="105">
        <v>9</v>
      </c>
      <c r="H13" s="43">
        <f>50329.5+7730</f>
        <v>58059.5</v>
      </c>
      <c r="I13" s="144" t="s">
        <v>589</v>
      </c>
      <c r="J13" s="156">
        <v>58059.8</v>
      </c>
      <c r="K13" s="207"/>
      <c r="L13" s="113" t="s">
        <v>461</v>
      </c>
      <c r="M13" s="207">
        <v>8707</v>
      </c>
      <c r="N13" s="221">
        <v>42217</v>
      </c>
      <c r="S13" s="105"/>
      <c r="T13" s="103"/>
      <c r="U13" s="88"/>
      <c r="V13" s="135"/>
      <c r="W13" s="88"/>
      <c r="X13" s="250"/>
    </row>
    <row r="14" spans="1:25" ht="15.75" x14ac:dyDescent="0.25">
      <c r="A14" s="143">
        <v>42225</v>
      </c>
      <c r="B14" s="144" t="s">
        <v>593</v>
      </c>
      <c r="C14" s="156">
        <v>2240</v>
      </c>
      <c r="D14" s="104">
        <v>42237</v>
      </c>
      <c r="E14" s="156">
        <v>2240</v>
      </c>
      <c r="F14" s="155">
        <f t="shared" si="0"/>
        <v>0</v>
      </c>
      <c r="G14" s="105">
        <v>10</v>
      </c>
      <c r="H14" s="43">
        <f>8287.5+9972.51+47286.51</f>
        <v>65546.52</v>
      </c>
      <c r="I14" s="144" t="s">
        <v>590</v>
      </c>
      <c r="J14" s="156">
        <v>65546.2</v>
      </c>
      <c r="K14" s="207"/>
      <c r="L14" s="113" t="s">
        <v>461</v>
      </c>
      <c r="M14" s="207">
        <v>6000</v>
      </c>
      <c r="N14" s="221">
        <v>42219</v>
      </c>
      <c r="O14" s="21">
        <v>42217</v>
      </c>
      <c r="S14" s="105"/>
      <c r="T14" s="103"/>
      <c r="U14" s="88"/>
      <c r="V14" s="135"/>
      <c r="W14" s="88"/>
      <c r="X14" s="250"/>
    </row>
    <row r="15" spans="1:25" ht="15.75" x14ac:dyDescent="0.25">
      <c r="A15" s="143">
        <v>42226</v>
      </c>
      <c r="B15" s="144" t="s">
        <v>594</v>
      </c>
      <c r="C15" s="156">
        <v>39984.199999999997</v>
      </c>
      <c r="D15" s="104">
        <v>42237</v>
      </c>
      <c r="E15" s="156">
        <v>39984.199999999997</v>
      </c>
      <c r="F15" s="155">
        <f t="shared" si="0"/>
        <v>0</v>
      </c>
      <c r="G15" s="105">
        <v>11</v>
      </c>
      <c r="H15" s="43">
        <f>6241.01+14937.5+53362.5+30077+6923</f>
        <v>111541.01000000001</v>
      </c>
      <c r="I15" s="144" t="s">
        <v>591</v>
      </c>
      <c r="J15" s="156">
        <v>117296.4</v>
      </c>
      <c r="K15" s="207"/>
      <c r="L15" s="113" t="s">
        <v>461</v>
      </c>
      <c r="M15" s="207">
        <v>11473</v>
      </c>
      <c r="N15" s="221">
        <v>42217</v>
      </c>
      <c r="S15" s="105"/>
      <c r="T15" s="103"/>
      <c r="U15" s="88"/>
      <c r="V15" s="135"/>
      <c r="W15" s="88"/>
      <c r="X15" s="250"/>
    </row>
    <row r="16" spans="1:25" ht="15.75" x14ac:dyDescent="0.25">
      <c r="A16" s="143">
        <v>42227</v>
      </c>
      <c r="B16" s="144" t="s">
        <v>598</v>
      </c>
      <c r="C16" s="156">
        <v>36129.86</v>
      </c>
      <c r="D16" s="104">
        <v>42237</v>
      </c>
      <c r="E16" s="156">
        <v>36129.86</v>
      </c>
      <c r="F16" s="155">
        <f t="shared" si="0"/>
        <v>0</v>
      </c>
      <c r="G16" s="105">
        <v>12</v>
      </c>
      <c r="H16" s="43">
        <v>0</v>
      </c>
      <c r="I16" s="144" t="s">
        <v>592</v>
      </c>
      <c r="J16" s="156">
        <v>13484.38</v>
      </c>
      <c r="K16" s="334" t="s">
        <v>242</v>
      </c>
      <c r="L16" s="113" t="s">
        <v>461</v>
      </c>
      <c r="M16" s="207">
        <v>58270</v>
      </c>
      <c r="N16" s="221">
        <v>42217</v>
      </c>
      <c r="S16" s="105"/>
      <c r="T16" s="103"/>
      <c r="U16" s="427"/>
      <c r="V16" s="135"/>
      <c r="W16" s="88"/>
      <c r="X16" s="250"/>
    </row>
    <row r="17" spans="1:24" ht="15.75" x14ac:dyDescent="0.25">
      <c r="A17" s="143">
        <v>42228</v>
      </c>
      <c r="B17" s="144" t="s">
        <v>611</v>
      </c>
      <c r="C17" s="156">
        <v>32883.86</v>
      </c>
      <c r="D17" s="104">
        <v>42237</v>
      </c>
      <c r="E17" s="156">
        <v>32883.86</v>
      </c>
      <c r="F17" s="155">
        <f t="shared" si="0"/>
        <v>0</v>
      </c>
      <c r="G17" s="105">
        <v>13</v>
      </c>
      <c r="H17" s="43">
        <f>SUM(H3:H16)</f>
        <v>706910.03</v>
      </c>
      <c r="I17" s="144"/>
      <c r="J17" s="156"/>
      <c r="K17" s="207"/>
      <c r="L17" s="113" t="s">
        <v>461</v>
      </c>
      <c r="M17" s="207">
        <v>10170</v>
      </c>
      <c r="N17" s="221">
        <v>42219</v>
      </c>
      <c r="S17" s="105"/>
      <c r="T17" s="103"/>
      <c r="U17" s="88"/>
      <c r="V17" s="135"/>
      <c r="W17" s="88"/>
      <c r="X17" s="250"/>
    </row>
    <row r="18" spans="1:24" ht="15.75" x14ac:dyDescent="0.25">
      <c r="A18" s="143">
        <v>42229</v>
      </c>
      <c r="B18" s="144" t="s">
        <v>618</v>
      </c>
      <c r="C18" s="156">
        <v>86653.440000000002</v>
      </c>
      <c r="D18" s="104">
        <v>42237</v>
      </c>
      <c r="E18" s="156">
        <v>86653.440000000002</v>
      </c>
      <c r="F18" s="155">
        <f t="shared" si="0"/>
        <v>0</v>
      </c>
      <c r="G18" s="105">
        <v>14</v>
      </c>
      <c r="I18" s="144"/>
      <c r="J18" s="156"/>
      <c r="K18" s="207"/>
      <c r="L18" s="113" t="s">
        <v>461</v>
      </c>
      <c r="M18" s="207">
        <v>19579.5</v>
      </c>
      <c r="N18" s="221">
        <v>42219</v>
      </c>
      <c r="O18" s="21">
        <v>42218</v>
      </c>
      <c r="S18" s="28"/>
      <c r="T18" s="88"/>
      <c r="U18" s="88"/>
      <c r="V18" s="135"/>
      <c r="W18" s="88"/>
      <c r="X18" s="250"/>
    </row>
    <row r="19" spans="1:24" ht="15.75" x14ac:dyDescent="0.25">
      <c r="A19" s="143">
        <v>42230</v>
      </c>
      <c r="B19" s="144" t="s">
        <v>619</v>
      </c>
      <c r="C19" s="156">
        <v>59585.62</v>
      </c>
      <c r="D19" s="104">
        <v>42237</v>
      </c>
      <c r="E19" s="156">
        <v>59585.62</v>
      </c>
      <c r="F19" s="155">
        <f t="shared" si="0"/>
        <v>0</v>
      </c>
      <c r="G19" s="105">
        <v>15</v>
      </c>
      <c r="I19" s="144"/>
      <c r="J19" s="156"/>
      <c r="K19" s="207"/>
      <c r="L19" s="113" t="s">
        <v>461</v>
      </c>
      <c r="M19" s="207">
        <v>6278</v>
      </c>
      <c r="N19" s="221">
        <v>42219</v>
      </c>
      <c r="O19" s="21">
        <v>42218</v>
      </c>
    </row>
    <row r="20" spans="1:24" ht="15.75" x14ac:dyDescent="0.25">
      <c r="A20" s="143">
        <v>42231</v>
      </c>
      <c r="B20" s="144" t="s">
        <v>620</v>
      </c>
      <c r="C20" s="156">
        <v>124562.4</v>
      </c>
      <c r="D20" s="104">
        <v>42237</v>
      </c>
      <c r="E20" s="156">
        <v>124562.4</v>
      </c>
      <c r="F20" s="155">
        <f t="shared" si="0"/>
        <v>0</v>
      </c>
      <c r="G20" s="105">
        <v>16</v>
      </c>
      <c r="I20" s="144"/>
      <c r="J20" s="156"/>
      <c r="K20" s="207"/>
      <c r="L20" s="113" t="s">
        <v>461</v>
      </c>
      <c r="M20" s="207">
        <v>46312.5</v>
      </c>
      <c r="N20" s="221">
        <v>42219</v>
      </c>
      <c r="O20" s="21">
        <v>42218</v>
      </c>
    </row>
    <row r="21" spans="1:24" ht="15.75" x14ac:dyDescent="0.25">
      <c r="A21" s="143">
        <v>42233</v>
      </c>
      <c r="B21" s="144" t="s">
        <v>621</v>
      </c>
      <c r="C21" s="156">
        <v>36409.9</v>
      </c>
      <c r="D21" s="104">
        <v>42237</v>
      </c>
      <c r="E21" s="156">
        <v>36409.9</v>
      </c>
      <c r="F21" s="155">
        <f t="shared" ref="F21:F37" si="1">C21-E21</f>
        <v>0</v>
      </c>
      <c r="G21" s="105">
        <v>17</v>
      </c>
      <c r="I21" s="144"/>
      <c r="J21" s="156"/>
      <c r="K21" s="207"/>
      <c r="L21" s="113" t="s">
        <v>461</v>
      </c>
      <c r="M21" s="207">
        <v>8850</v>
      </c>
      <c r="N21" s="221">
        <v>42220</v>
      </c>
      <c r="O21" s="21">
        <v>42219</v>
      </c>
    </row>
    <row r="22" spans="1:24" ht="15.75" x14ac:dyDescent="0.25">
      <c r="A22" s="143">
        <v>42234</v>
      </c>
      <c r="B22" s="144" t="s">
        <v>622</v>
      </c>
      <c r="C22" s="157">
        <v>33416.6</v>
      </c>
      <c r="D22" s="104">
        <v>42237</v>
      </c>
      <c r="E22" s="157">
        <v>33416.6</v>
      </c>
      <c r="F22" s="155">
        <f t="shared" si="1"/>
        <v>0</v>
      </c>
      <c r="G22" s="105">
        <v>18</v>
      </c>
      <c r="I22" s="144"/>
      <c r="J22" s="156"/>
      <c r="K22" s="260"/>
      <c r="L22" s="113" t="s">
        <v>461</v>
      </c>
      <c r="M22" s="207">
        <v>14070.5</v>
      </c>
      <c r="N22" s="221">
        <v>42219</v>
      </c>
    </row>
    <row r="23" spans="1:24" ht="15.75" x14ac:dyDescent="0.25">
      <c r="A23" s="143">
        <v>42235</v>
      </c>
      <c r="B23" s="144" t="s">
        <v>623</v>
      </c>
      <c r="C23" s="130">
        <v>58549.52</v>
      </c>
      <c r="D23" s="104">
        <v>42237</v>
      </c>
      <c r="E23" s="130">
        <v>58549.52</v>
      </c>
      <c r="F23" s="155">
        <f t="shared" si="1"/>
        <v>0</v>
      </c>
      <c r="G23" s="105">
        <v>19</v>
      </c>
      <c r="I23" s="144"/>
      <c r="J23" s="156"/>
      <c r="K23" s="130"/>
      <c r="L23" s="113" t="s">
        <v>461</v>
      </c>
      <c r="M23" s="207">
        <v>10495.5</v>
      </c>
      <c r="N23" s="221">
        <v>42219</v>
      </c>
    </row>
    <row r="24" spans="1:24" ht="15.75" x14ac:dyDescent="0.25">
      <c r="A24" s="143">
        <v>42236</v>
      </c>
      <c r="B24" s="144" t="s">
        <v>624</v>
      </c>
      <c r="C24" s="156">
        <v>121957.31</v>
      </c>
      <c r="D24" s="328" t="s">
        <v>646</v>
      </c>
      <c r="E24" s="156">
        <f>23124.92+98832.39</f>
        <v>121957.31</v>
      </c>
      <c r="F24" s="155">
        <f t="shared" si="1"/>
        <v>0</v>
      </c>
      <c r="G24" s="105">
        <v>20</v>
      </c>
      <c r="I24" s="144"/>
      <c r="J24" s="156"/>
      <c r="K24" s="207"/>
      <c r="L24" s="113" t="s">
        <v>461</v>
      </c>
      <c r="M24" s="214">
        <v>6834</v>
      </c>
      <c r="N24" s="221">
        <v>42219</v>
      </c>
    </row>
    <row r="25" spans="1:24" ht="15.75" x14ac:dyDescent="0.25">
      <c r="A25" s="143">
        <v>42236</v>
      </c>
      <c r="B25" s="144" t="s">
        <v>648</v>
      </c>
      <c r="C25" s="156">
        <v>2328</v>
      </c>
      <c r="D25" s="320">
        <v>42248</v>
      </c>
      <c r="E25" s="383">
        <v>2328</v>
      </c>
      <c r="F25" s="155">
        <f t="shared" si="1"/>
        <v>0</v>
      </c>
      <c r="G25" s="105">
        <v>21</v>
      </c>
      <c r="I25" s="144"/>
      <c r="J25" s="156"/>
      <c r="K25" s="207"/>
      <c r="L25" s="113" t="s">
        <v>461</v>
      </c>
      <c r="M25" s="207">
        <v>6828</v>
      </c>
      <c r="N25" s="221">
        <v>42220</v>
      </c>
    </row>
    <row r="26" spans="1:24" ht="15.75" x14ac:dyDescent="0.25">
      <c r="A26" s="143">
        <v>42237</v>
      </c>
      <c r="B26" s="144" t="s">
        <v>636</v>
      </c>
      <c r="C26" s="156">
        <v>63505.84</v>
      </c>
      <c r="D26" s="104">
        <v>42243</v>
      </c>
      <c r="E26" s="156">
        <v>63505.84</v>
      </c>
      <c r="F26" s="155">
        <f t="shared" si="1"/>
        <v>0</v>
      </c>
      <c r="G26" s="105">
        <v>22</v>
      </c>
      <c r="I26" s="264"/>
      <c r="J26" s="207"/>
      <c r="K26" s="207"/>
      <c r="L26" s="113" t="s">
        <v>461</v>
      </c>
      <c r="M26" s="207">
        <v>1688</v>
      </c>
      <c r="N26" s="221">
        <v>42220</v>
      </c>
    </row>
    <row r="27" spans="1:24" ht="15.75" x14ac:dyDescent="0.25">
      <c r="A27" s="143">
        <v>42238</v>
      </c>
      <c r="B27" s="144" t="s">
        <v>637</v>
      </c>
      <c r="C27" s="156">
        <v>63775.5</v>
      </c>
      <c r="D27" s="104">
        <v>42243</v>
      </c>
      <c r="E27" s="156">
        <v>63775.5</v>
      </c>
      <c r="F27" s="155">
        <f t="shared" si="1"/>
        <v>0</v>
      </c>
      <c r="G27" s="105">
        <v>23</v>
      </c>
      <c r="I27" s="264"/>
      <c r="J27" s="130"/>
      <c r="K27" s="130"/>
      <c r="L27" s="113" t="s">
        <v>461</v>
      </c>
      <c r="M27" s="207">
        <v>26334</v>
      </c>
      <c r="N27" s="221">
        <v>42220</v>
      </c>
    </row>
    <row r="28" spans="1:24" ht="15.75" x14ac:dyDescent="0.25">
      <c r="A28" s="143">
        <v>42238</v>
      </c>
      <c r="B28" s="144" t="s">
        <v>638</v>
      </c>
      <c r="C28" s="156">
        <v>4762.8</v>
      </c>
      <c r="D28" s="104">
        <v>42243</v>
      </c>
      <c r="E28" s="156">
        <v>4762.8</v>
      </c>
      <c r="F28" s="155">
        <f t="shared" si="1"/>
        <v>0</v>
      </c>
      <c r="G28" s="105">
        <v>24</v>
      </c>
      <c r="I28" s="193"/>
      <c r="J28" s="207"/>
      <c r="K28" s="207"/>
      <c r="L28" s="113" t="s">
        <v>461</v>
      </c>
      <c r="M28" s="207">
        <v>8967.5</v>
      </c>
      <c r="N28" s="221">
        <v>42221</v>
      </c>
    </row>
    <row r="29" spans="1:24" ht="15.75" x14ac:dyDescent="0.25">
      <c r="A29" s="143">
        <v>42239</v>
      </c>
      <c r="B29" s="144" t="s">
        <v>639</v>
      </c>
      <c r="C29" s="156">
        <v>2969.6</v>
      </c>
      <c r="D29" s="104">
        <v>42243</v>
      </c>
      <c r="E29" s="156">
        <v>2969.6</v>
      </c>
      <c r="F29" s="155">
        <f t="shared" si="1"/>
        <v>0</v>
      </c>
      <c r="G29" s="105">
        <v>25</v>
      </c>
      <c r="I29" s="193"/>
      <c r="J29" s="207"/>
      <c r="K29" s="207"/>
      <c r="L29" s="113" t="s">
        <v>461</v>
      </c>
      <c r="M29" s="214">
        <v>25032.5</v>
      </c>
      <c r="N29" s="221">
        <v>42221</v>
      </c>
    </row>
    <row r="30" spans="1:24" ht="15.75" x14ac:dyDescent="0.25">
      <c r="A30" s="143">
        <v>42240</v>
      </c>
      <c r="B30" s="144" t="s">
        <v>640</v>
      </c>
      <c r="C30" s="156">
        <v>31155.47</v>
      </c>
      <c r="D30" s="104">
        <v>42243</v>
      </c>
      <c r="E30" s="156">
        <v>31155.47</v>
      </c>
      <c r="F30" s="155">
        <f t="shared" si="1"/>
        <v>0</v>
      </c>
      <c r="G30" s="105">
        <v>26</v>
      </c>
      <c r="I30" s="193"/>
      <c r="J30" s="207"/>
      <c r="K30" s="207"/>
      <c r="L30" s="113" t="s">
        <v>461</v>
      </c>
      <c r="M30" s="207">
        <v>33928.5</v>
      </c>
      <c r="N30" s="221">
        <v>42222</v>
      </c>
    </row>
    <row r="31" spans="1:24" ht="15.75" x14ac:dyDescent="0.25">
      <c r="A31" s="143">
        <v>42241</v>
      </c>
      <c r="B31" s="144" t="s">
        <v>645</v>
      </c>
      <c r="C31" s="156">
        <v>64986.9</v>
      </c>
      <c r="D31" s="437" t="s">
        <v>660</v>
      </c>
      <c r="E31" s="184">
        <f>35777.2+29209.7</f>
        <v>64986.899999999994</v>
      </c>
      <c r="F31" s="155">
        <f t="shared" si="1"/>
        <v>0</v>
      </c>
      <c r="G31" s="105">
        <v>27</v>
      </c>
      <c r="I31" s="193"/>
      <c r="J31" s="207"/>
      <c r="K31" s="207"/>
      <c r="L31" s="113" t="s">
        <v>461</v>
      </c>
      <c r="M31" s="207">
        <v>6421.5</v>
      </c>
      <c r="N31" s="221">
        <v>42222</v>
      </c>
    </row>
    <row r="32" spans="1:24" ht="15.75" x14ac:dyDescent="0.25">
      <c r="A32" s="143">
        <v>42242</v>
      </c>
      <c r="B32" s="144" t="s">
        <v>649</v>
      </c>
      <c r="C32" s="156">
        <v>71144.31</v>
      </c>
      <c r="D32" s="320">
        <v>42248</v>
      </c>
      <c r="E32" s="318">
        <v>71144.31</v>
      </c>
      <c r="F32" s="155">
        <f t="shared" si="1"/>
        <v>0</v>
      </c>
      <c r="G32" s="105">
        <v>28</v>
      </c>
      <c r="I32" s="206"/>
      <c r="J32" s="207"/>
      <c r="K32" s="207"/>
      <c r="L32" s="113" t="s">
        <v>461</v>
      </c>
      <c r="M32" s="207">
        <v>50329.5</v>
      </c>
      <c r="N32" s="221">
        <v>42223</v>
      </c>
    </row>
    <row r="33" spans="1:15" ht="15.75" x14ac:dyDescent="0.25">
      <c r="A33" s="143">
        <v>42243</v>
      </c>
      <c r="B33" s="144" t="s">
        <v>647</v>
      </c>
      <c r="C33" s="156">
        <v>10385.6</v>
      </c>
      <c r="D33" s="320">
        <v>42248</v>
      </c>
      <c r="E33" s="184">
        <v>10385.6</v>
      </c>
      <c r="F33" s="155">
        <f t="shared" si="1"/>
        <v>0</v>
      </c>
      <c r="G33" s="105">
        <v>29</v>
      </c>
      <c r="I33" s="206"/>
      <c r="J33" s="207"/>
      <c r="K33" s="207"/>
      <c r="L33" s="113" t="s">
        <v>461</v>
      </c>
      <c r="M33" s="207">
        <v>9053</v>
      </c>
      <c r="N33" s="222">
        <v>42223</v>
      </c>
    </row>
    <row r="34" spans="1:15" ht="15.75" x14ac:dyDescent="0.25">
      <c r="A34" s="143">
        <v>42244</v>
      </c>
      <c r="B34" s="144" t="s">
        <v>650</v>
      </c>
      <c r="C34" s="156">
        <v>65898.2</v>
      </c>
      <c r="D34" s="320">
        <v>42248</v>
      </c>
      <c r="E34" s="184">
        <v>65898.2</v>
      </c>
      <c r="F34" s="155">
        <f t="shared" si="1"/>
        <v>0</v>
      </c>
      <c r="G34" s="105">
        <v>30</v>
      </c>
      <c r="I34" s="193"/>
      <c r="J34" s="207"/>
      <c r="K34" s="207"/>
      <c r="L34" s="113" t="s">
        <v>461</v>
      </c>
      <c r="M34" s="207">
        <v>8287.5</v>
      </c>
      <c r="N34" s="221">
        <v>42223</v>
      </c>
    </row>
    <row r="35" spans="1:15" ht="15.75" x14ac:dyDescent="0.25">
      <c r="A35" s="143">
        <v>42245</v>
      </c>
      <c r="B35" s="144" t="s">
        <v>651</v>
      </c>
      <c r="C35" s="156">
        <v>41616.15</v>
      </c>
      <c r="D35" s="320">
        <v>42248</v>
      </c>
      <c r="E35" s="439">
        <v>36534.19</v>
      </c>
      <c r="F35" s="438">
        <f t="shared" si="1"/>
        <v>5081.9599999999991</v>
      </c>
      <c r="G35" s="105">
        <v>31</v>
      </c>
      <c r="I35" s="119"/>
      <c r="J35" s="121"/>
      <c r="K35" s="121"/>
      <c r="L35" s="113" t="s">
        <v>461</v>
      </c>
      <c r="M35" s="121">
        <v>7730</v>
      </c>
      <c r="N35" s="222">
        <v>42223</v>
      </c>
    </row>
    <row r="36" spans="1:15" ht="15.75" x14ac:dyDescent="0.25">
      <c r="A36" s="143">
        <v>42245</v>
      </c>
      <c r="B36" s="292" t="s">
        <v>652</v>
      </c>
      <c r="C36" s="157">
        <v>30954</v>
      </c>
      <c r="D36" s="320"/>
      <c r="E36" s="184"/>
      <c r="F36" s="155">
        <f t="shared" si="1"/>
        <v>30954</v>
      </c>
      <c r="G36" s="105">
        <v>32</v>
      </c>
      <c r="I36" s="119"/>
      <c r="J36" s="121"/>
      <c r="K36" s="121"/>
      <c r="L36" s="113" t="s">
        <v>461</v>
      </c>
      <c r="M36" s="121">
        <v>9972.51</v>
      </c>
      <c r="N36" s="222">
        <v>42224</v>
      </c>
    </row>
    <row r="37" spans="1:15" ht="15.75" x14ac:dyDescent="0.25">
      <c r="A37" s="143">
        <v>42246</v>
      </c>
      <c r="B37" s="292" t="s">
        <v>653</v>
      </c>
      <c r="C37" s="157">
        <v>31631.37</v>
      </c>
      <c r="D37" s="416"/>
      <c r="E37" s="318"/>
      <c r="F37" s="155">
        <f t="shared" si="1"/>
        <v>31631.37</v>
      </c>
      <c r="G37" s="105">
        <v>33</v>
      </c>
      <c r="I37" s="119"/>
      <c r="J37" s="119"/>
      <c r="K37" s="119"/>
      <c r="L37" s="113" t="s">
        <v>461</v>
      </c>
      <c r="M37" s="121">
        <v>6241.01</v>
      </c>
      <c r="N37" s="222">
        <v>42224</v>
      </c>
    </row>
    <row r="38" spans="1:15" ht="15.75" x14ac:dyDescent="0.25">
      <c r="A38" s="143">
        <v>42247</v>
      </c>
      <c r="B38" s="293" t="s">
        <v>659</v>
      </c>
      <c r="C38" s="207">
        <v>31813.61</v>
      </c>
      <c r="D38" s="440"/>
      <c r="E38" s="384"/>
      <c r="F38" s="207">
        <f t="shared" si="0"/>
        <v>31813.61</v>
      </c>
      <c r="G38" s="105">
        <v>34</v>
      </c>
      <c r="I38" s="119"/>
      <c r="J38" s="119"/>
      <c r="K38" s="119"/>
      <c r="L38" s="113" t="s">
        <v>461</v>
      </c>
      <c r="M38" s="121">
        <v>47286.51</v>
      </c>
      <c r="N38" s="222">
        <v>42224</v>
      </c>
    </row>
    <row r="39" spans="1:15" ht="15.75" x14ac:dyDescent="0.25">
      <c r="A39" s="143"/>
      <c r="B39" s="307"/>
      <c r="C39" s="207"/>
      <c r="D39" s="408"/>
      <c r="E39" s="207"/>
      <c r="F39" s="207">
        <f t="shared" si="0"/>
        <v>0</v>
      </c>
      <c r="I39" s="119"/>
      <c r="J39" s="119"/>
      <c r="K39" s="119"/>
      <c r="L39" s="113" t="s">
        <v>461</v>
      </c>
      <c r="M39" s="121">
        <v>14937.5</v>
      </c>
      <c r="N39" s="222">
        <v>42226</v>
      </c>
      <c r="O39" s="21">
        <v>42225</v>
      </c>
    </row>
    <row r="40" spans="1:15" ht="15.75" x14ac:dyDescent="0.25">
      <c r="A40" s="143"/>
      <c r="B40" s="409"/>
      <c r="C40" s="207"/>
      <c r="D40" s="226"/>
      <c r="E40" s="332"/>
      <c r="F40" s="207"/>
      <c r="I40" s="206"/>
      <c r="J40" s="207"/>
      <c r="K40" s="207"/>
      <c r="L40" s="113" t="s">
        <v>461</v>
      </c>
      <c r="M40" s="207">
        <v>53362.5</v>
      </c>
      <c r="N40" s="221">
        <v>42226</v>
      </c>
      <c r="O40" s="21">
        <v>42225</v>
      </c>
    </row>
    <row r="41" spans="1:15" ht="15.75" x14ac:dyDescent="0.25">
      <c r="A41" s="406"/>
      <c r="B41" s="291"/>
      <c r="C41" s="150"/>
      <c r="D41" s="159"/>
      <c r="E41" s="150"/>
      <c r="F41" s="207"/>
      <c r="I41" s="206"/>
      <c r="J41" s="207"/>
      <c r="K41" s="207"/>
      <c r="L41" s="113" t="s">
        <v>461</v>
      </c>
      <c r="M41" s="207">
        <v>30077</v>
      </c>
      <c r="N41" s="221">
        <v>42226</v>
      </c>
    </row>
    <row r="42" spans="1:15" ht="15.75" x14ac:dyDescent="0.25">
      <c r="A42" s="285"/>
      <c r="B42" s="290"/>
      <c r="C42" s="150"/>
      <c r="D42" s="300"/>
      <c r="E42" s="121"/>
      <c r="F42" s="207"/>
      <c r="I42" s="206"/>
      <c r="J42" s="207"/>
      <c r="K42" s="207"/>
      <c r="L42" s="113" t="s">
        <v>461</v>
      </c>
      <c r="M42" s="207">
        <v>6923</v>
      </c>
      <c r="N42" s="221">
        <v>42226</v>
      </c>
    </row>
    <row r="43" spans="1:15" ht="15.75" x14ac:dyDescent="0.25">
      <c r="A43" s="285"/>
      <c r="B43" s="290"/>
      <c r="C43" s="150"/>
      <c r="D43" s="150"/>
      <c r="E43" s="121"/>
      <c r="F43" s="207"/>
      <c r="H43" s="49"/>
      <c r="I43" s="206"/>
      <c r="J43" s="207"/>
      <c r="K43" s="207"/>
      <c r="L43" s="113" t="s">
        <v>461</v>
      </c>
      <c r="M43" s="207"/>
      <c r="N43" s="221"/>
    </row>
    <row r="44" spans="1:15" ht="16.5" thickBot="1" x14ac:dyDescent="0.3">
      <c r="A44" s="285"/>
      <c r="B44" s="290"/>
      <c r="C44" s="150"/>
      <c r="D44" s="150"/>
      <c r="E44" s="121"/>
      <c r="F44" s="207"/>
      <c r="H44" s="49"/>
      <c r="I44" s="379"/>
      <c r="J44" s="380"/>
      <c r="K44" s="380"/>
      <c r="L44" s="235" t="s">
        <v>461</v>
      </c>
      <c r="M44" s="380">
        <v>0</v>
      </c>
      <c r="N44" s="381"/>
    </row>
    <row r="45" spans="1:15" ht="18.75" x14ac:dyDescent="0.3">
      <c r="A45" s="406"/>
      <c r="B45" s="291"/>
      <c r="C45" s="150"/>
      <c r="D45" s="119"/>
      <c r="E45" s="150"/>
      <c r="F45" s="332"/>
      <c r="H45" s="49"/>
      <c r="J45" s="131">
        <f>SUM(J3:J36)</f>
        <v>706910.02999999991</v>
      </c>
      <c r="K45" s="131"/>
      <c r="L45" s="131"/>
      <c r="M45" s="131">
        <f>SUM(M3:M44)</f>
        <v>706910.03</v>
      </c>
    </row>
    <row r="46" spans="1:15" x14ac:dyDescent="0.25">
      <c r="A46" s="406"/>
      <c r="B46" s="291"/>
      <c r="C46" s="150"/>
      <c r="D46" s="119"/>
      <c r="E46" s="150"/>
      <c r="F46" s="332"/>
      <c r="H46" s="49"/>
    </row>
    <row r="47" spans="1:15" x14ac:dyDescent="0.25">
      <c r="A47" s="406"/>
      <c r="B47" s="291"/>
      <c r="C47" s="150"/>
      <c r="D47" s="119"/>
      <c r="E47" s="150"/>
      <c r="F47" s="332"/>
      <c r="H47" s="49"/>
    </row>
    <row r="48" spans="1:15" ht="15.75" x14ac:dyDescent="0.25">
      <c r="A48" s="406"/>
      <c r="B48" s="291"/>
      <c r="C48" s="150"/>
      <c r="D48" s="119"/>
      <c r="E48" s="150"/>
      <c r="F48" s="332"/>
      <c r="H48" s="49"/>
      <c r="I48" s="104"/>
      <c r="J48" s="421">
        <v>42237</v>
      </c>
      <c r="K48" s="215"/>
      <c r="L48" s="134" t="s">
        <v>200</v>
      </c>
      <c r="M48" s="88"/>
    </row>
    <row r="49" spans="1:15" ht="15.75" thickBot="1" x14ac:dyDescent="0.3">
      <c r="A49" s="406"/>
      <c r="B49" s="289"/>
      <c r="C49" s="150"/>
      <c r="D49" s="119"/>
      <c r="E49" s="150"/>
      <c r="F49" s="332"/>
      <c r="H49" s="49"/>
      <c r="I49" s="413"/>
      <c r="J49" s="414"/>
      <c r="K49" s="414"/>
      <c r="L49" s="414"/>
      <c r="M49" s="415"/>
      <c r="N49" s="18"/>
    </row>
    <row r="50" spans="1:15" ht="17.25" thickTop="1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49">
        <f>13644.52+5755.55+8616.5+8223.02</f>
        <v>36239.589999999997</v>
      </c>
      <c r="I50" s="244" t="s">
        <v>592</v>
      </c>
      <c r="J50" s="245">
        <v>16999.78</v>
      </c>
      <c r="K50" s="410"/>
      <c r="L50" s="235" t="s">
        <v>202</v>
      </c>
      <c r="M50" s="411">
        <v>13644.52</v>
      </c>
      <c r="N50" s="412">
        <v>42227</v>
      </c>
      <c r="O50" s="21">
        <v>42226</v>
      </c>
    </row>
    <row r="51" spans="1:15" ht="16.5" thickTop="1" x14ac:dyDescent="0.25">
      <c r="C51" s="58">
        <f>SUM(C5:C50)</f>
        <v>1662677.0000000005</v>
      </c>
      <c r="D51" s="58"/>
      <c r="E51" s="58">
        <f>SUM(E5:E50)</f>
        <v>1563196.0600000003</v>
      </c>
      <c r="F51" s="242">
        <f>SUM(F5:F50)</f>
        <v>99480.94</v>
      </c>
      <c r="H51" s="49">
        <v>2240</v>
      </c>
      <c r="I51" s="144" t="s">
        <v>593</v>
      </c>
      <c r="J51" s="156">
        <v>2240</v>
      </c>
      <c r="K51" s="207"/>
      <c r="L51" s="235" t="s">
        <v>202</v>
      </c>
      <c r="M51" s="207">
        <v>5755.55</v>
      </c>
      <c r="N51" s="221">
        <v>42227</v>
      </c>
      <c r="O51" s="21">
        <v>42226</v>
      </c>
    </row>
    <row r="52" spans="1:15" ht="15.75" x14ac:dyDescent="0.25">
      <c r="A52" s="405"/>
      <c r="B52"/>
      <c r="D52"/>
      <c r="E52" s="43"/>
      <c r="H52" s="49">
        <f>25520.5+12438+2025.5</f>
        <v>39984</v>
      </c>
      <c r="I52" s="144" t="s">
        <v>594</v>
      </c>
      <c r="J52" s="156">
        <v>39984.199999999997</v>
      </c>
      <c r="K52" s="207"/>
      <c r="L52" s="235" t="s">
        <v>202</v>
      </c>
      <c r="M52" s="207">
        <v>34137.01</v>
      </c>
      <c r="N52" s="221">
        <v>42227</v>
      </c>
    </row>
    <row r="53" spans="1:15" ht="15.75" x14ac:dyDescent="0.25">
      <c r="A53" s="405"/>
      <c r="B53"/>
      <c r="D53"/>
      <c r="E53" s="43"/>
      <c r="H53" s="49">
        <f>24146.5+1509</f>
        <v>25655.5</v>
      </c>
      <c r="I53" s="144" t="s">
        <v>598</v>
      </c>
      <c r="J53" s="156">
        <v>36129.86</v>
      </c>
      <c r="K53" s="130"/>
      <c r="L53" s="235" t="s">
        <v>202</v>
      </c>
      <c r="M53" s="207">
        <v>8223.02</v>
      </c>
      <c r="N53" s="221">
        <v>42227</v>
      </c>
    </row>
    <row r="54" spans="1:15" ht="15.75" x14ac:dyDescent="0.25">
      <c r="A54" s="405"/>
      <c r="B54"/>
      <c r="D54"/>
      <c r="E54" s="43"/>
      <c r="H54" s="49">
        <f>31096.5+10474.5+1787.5</f>
        <v>43358.5</v>
      </c>
      <c r="I54" s="144" t="s">
        <v>611</v>
      </c>
      <c r="J54" s="156">
        <v>32883.86</v>
      </c>
      <c r="K54" s="130"/>
      <c r="L54" s="235" t="s">
        <v>202</v>
      </c>
      <c r="M54" s="214">
        <v>40850</v>
      </c>
      <c r="N54" s="221">
        <v>42228</v>
      </c>
    </row>
    <row r="55" spans="1:15" ht="15.75" x14ac:dyDescent="0.25">
      <c r="A55" s="405"/>
      <c r="B55"/>
      <c r="D55"/>
      <c r="E55" s="43" t="s">
        <v>12</v>
      </c>
      <c r="H55" s="49">
        <f>61727.5+7085+10353+7488</f>
        <v>86653.5</v>
      </c>
      <c r="I55" s="144" t="s">
        <v>618</v>
      </c>
      <c r="J55" s="156">
        <v>86653.440000000002</v>
      </c>
      <c r="K55" s="207"/>
      <c r="L55" s="235" t="s">
        <v>202</v>
      </c>
      <c r="M55" s="207">
        <v>43080</v>
      </c>
      <c r="N55" s="221">
        <v>42229</v>
      </c>
    </row>
    <row r="56" spans="1:15" ht="15.75" x14ac:dyDescent="0.25">
      <c r="A56" s="405"/>
      <c r="B56"/>
      <c r="D56"/>
      <c r="E56" s="43"/>
      <c r="H56" s="49">
        <f>5918+36579+7168.5+9920</f>
        <v>59585.5</v>
      </c>
      <c r="I56" s="144" t="s">
        <v>619</v>
      </c>
      <c r="J56" s="156">
        <v>59585.62</v>
      </c>
      <c r="K56" s="334"/>
      <c r="L56" s="235" t="s">
        <v>202</v>
      </c>
      <c r="M56" s="207">
        <v>70600</v>
      </c>
      <c r="N56" s="221">
        <v>42230</v>
      </c>
    </row>
    <row r="57" spans="1:15" ht="15.75" x14ac:dyDescent="0.25">
      <c r="A57" s="405"/>
      <c r="B57"/>
      <c r="D57"/>
      <c r="E57" s="43"/>
      <c r="H57" s="49">
        <f>42959.5+68391.5+7308.5+5903</f>
        <v>124562.5</v>
      </c>
      <c r="I57" s="144" t="s">
        <v>620</v>
      </c>
      <c r="J57" s="156">
        <v>124562.4</v>
      </c>
      <c r="K57" s="321"/>
      <c r="L57" s="235" t="s">
        <v>202</v>
      </c>
      <c r="M57" s="207">
        <v>60800</v>
      </c>
      <c r="N57" s="221">
        <v>42231</v>
      </c>
    </row>
    <row r="58" spans="1:15" ht="15.75" x14ac:dyDescent="0.25">
      <c r="A58" s="405"/>
      <c r="B58"/>
      <c r="D58"/>
      <c r="E58" s="43"/>
      <c r="H58" s="49">
        <f>5000+16411.5+6174</f>
        <v>27585.5</v>
      </c>
      <c r="I58" s="144" t="s">
        <v>621</v>
      </c>
      <c r="J58" s="156">
        <v>36409.9</v>
      </c>
      <c r="K58" s="207"/>
      <c r="L58" s="235" t="s">
        <v>202</v>
      </c>
      <c r="M58" s="207">
        <v>75700</v>
      </c>
      <c r="N58" s="221">
        <v>42233</v>
      </c>
      <c r="O58" s="21">
        <v>42232</v>
      </c>
    </row>
    <row r="59" spans="1:15" ht="15.75" x14ac:dyDescent="0.25">
      <c r="A59" s="405"/>
      <c r="B59"/>
      <c r="D59"/>
      <c r="E59" s="43"/>
      <c r="H59" s="49">
        <f>8050+9324.5+19301.6+6065.5</f>
        <v>42741.599999999999</v>
      </c>
      <c r="I59" s="144" t="s">
        <v>622</v>
      </c>
      <c r="J59" s="157">
        <v>33416.6</v>
      </c>
      <c r="K59" s="207"/>
      <c r="L59" s="235" t="s">
        <v>202</v>
      </c>
      <c r="M59" s="207">
        <v>48400</v>
      </c>
      <c r="N59" s="221">
        <v>42233</v>
      </c>
    </row>
    <row r="60" spans="1:15" ht="15.75" x14ac:dyDescent="0.25">
      <c r="A60" s="405"/>
      <c r="B60"/>
      <c r="D60"/>
      <c r="E60" s="43"/>
      <c r="H60" s="49">
        <f>52276</f>
        <v>52276</v>
      </c>
      <c r="I60" s="144" t="s">
        <v>623</v>
      </c>
      <c r="J60" s="130">
        <v>58549.52</v>
      </c>
      <c r="K60" s="207"/>
      <c r="L60" s="235" t="s">
        <v>202</v>
      </c>
      <c r="M60" s="207">
        <v>5000</v>
      </c>
      <c r="N60" s="221">
        <v>42231</v>
      </c>
      <c r="O60" s="21">
        <v>42234</v>
      </c>
    </row>
    <row r="61" spans="1:15" ht="15.75" x14ac:dyDescent="0.25">
      <c r="A61" s="405"/>
      <c r="B61"/>
      <c r="D61"/>
      <c r="E61" s="43"/>
      <c r="H61" s="49">
        <f>3385</f>
        <v>3385</v>
      </c>
      <c r="I61" s="144" t="s">
        <v>624</v>
      </c>
      <c r="J61" s="156">
        <v>23124.92</v>
      </c>
      <c r="K61" s="207" t="s">
        <v>361</v>
      </c>
      <c r="L61" s="235" t="s">
        <v>202</v>
      </c>
      <c r="M61" s="207">
        <v>33500</v>
      </c>
      <c r="N61" s="221">
        <v>42234</v>
      </c>
    </row>
    <row r="62" spans="1:15" ht="15.75" x14ac:dyDescent="0.25">
      <c r="A62" s="405"/>
      <c r="B62"/>
      <c r="D62"/>
      <c r="E62" s="43"/>
      <c r="H62" s="49"/>
      <c r="I62" s="144"/>
      <c r="J62" s="156"/>
      <c r="K62" s="207"/>
      <c r="L62" s="235" t="s">
        <v>202</v>
      </c>
      <c r="M62" s="207">
        <v>8050</v>
      </c>
      <c r="N62" s="221">
        <v>42231</v>
      </c>
      <c r="O62" s="21">
        <v>42235</v>
      </c>
    </row>
    <row r="63" spans="1:15" ht="15.75" x14ac:dyDescent="0.25">
      <c r="A63" s="405"/>
      <c r="B63"/>
      <c r="D63"/>
      <c r="E63" s="43"/>
      <c r="H63" s="49"/>
      <c r="I63" s="144"/>
      <c r="J63" s="156"/>
      <c r="K63" s="334"/>
      <c r="L63" s="235" t="s">
        <v>202</v>
      </c>
      <c r="M63" s="207">
        <v>34800</v>
      </c>
      <c r="N63" s="221">
        <v>42235</v>
      </c>
    </row>
    <row r="64" spans="1:15" ht="15.75" x14ac:dyDescent="0.25">
      <c r="A64" s="243"/>
      <c r="B64" s="244"/>
      <c r="C64" s="245"/>
      <c r="D64"/>
      <c r="E64" s="43"/>
      <c r="H64" s="49"/>
      <c r="I64" s="144"/>
      <c r="J64" s="156"/>
      <c r="K64" s="207"/>
      <c r="L64" s="235" t="s">
        <v>202</v>
      </c>
      <c r="M64" s="207">
        <v>68000</v>
      </c>
      <c r="N64" s="221">
        <v>42236</v>
      </c>
    </row>
    <row r="65" spans="1:15" ht="15.75" x14ac:dyDescent="0.25">
      <c r="A65" s="143"/>
      <c r="B65" s="144"/>
      <c r="C65" s="156"/>
      <c r="I65" s="206"/>
      <c r="J65" s="207"/>
      <c r="K65" s="207"/>
      <c r="L65" s="113"/>
      <c r="M65" s="207"/>
      <c r="N65" s="221"/>
    </row>
    <row r="66" spans="1:15" ht="16.5" thickBot="1" x14ac:dyDescent="0.3">
      <c r="A66" s="143"/>
      <c r="B66" s="144"/>
      <c r="C66" s="156"/>
      <c r="I66" s="379"/>
      <c r="J66" s="380"/>
      <c r="K66" s="380"/>
      <c r="L66" s="235"/>
      <c r="M66" s="380"/>
      <c r="N66" s="381"/>
    </row>
    <row r="67" spans="1:15" ht="18.75" x14ac:dyDescent="0.3">
      <c r="A67" s="143"/>
      <c r="B67" s="144"/>
      <c r="C67" s="156"/>
      <c r="J67" s="131">
        <f>SUM(J50:J64)</f>
        <v>550540.10000000009</v>
      </c>
      <c r="K67" s="131"/>
      <c r="L67" s="131"/>
      <c r="M67" s="131">
        <f>SUM(M50:M66)</f>
        <v>550540.1</v>
      </c>
    </row>
    <row r="68" spans="1:15" x14ac:dyDescent="0.25">
      <c r="A68" s="243"/>
      <c r="B68" s="244"/>
      <c r="C68" s="245"/>
    </row>
    <row r="69" spans="1:15" x14ac:dyDescent="0.25">
      <c r="A69" s="143"/>
      <c r="B69" s="144"/>
      <c r="C69" s="156"/>
    </row>
    <row r="70" spans="1:15" ht="15.75" x14ac:dyDescent="0.25">
      <c r="A70" s="143"/>
      <c r="B70" s="144"/>
      <c r="C70" s="156"/>
      <c r="I70" s="104"/>
      <c r="J70" s="353">
        <v>42247</v>
      </c>
      <c r="K70" s="215"/>
      <c r="L70" s="134" t="s">
        <v>200</v>
      </c>
      <c r="M70" s="88"/>
    </row>
    <row r="71" spans="1:15" ht="15.75" thickBot="1" x14ac:dyDescent="0.3">
      <c r="A71" s="143"/>
      <c r="B71" s="144"/>
      <c r="C71" s="156"/>
      <c r="I71" s="413"/>
      <c r="J71" s="414"/>
      <c r="K71" s="414"/>
      <c r="L71" s="414"/>
      <c r="M71" s="415"/>
      <c r="N71" s="18"/>
    </row>
    <row r="72" spans="1:15" ht="16.5" thickTop="1" x14ac:dyDescent="0.25">
      <c r="A72" s="143"/>
      <c r="B72" s="144"/>
      <c r="C72" s="156"/>
      <c r="D72"/>
      <c r="E72"/>
      <c r="F72" s="23"/>
      <c r="G72"/>
      <c r="H72" s="43">
        <v>2328</v>
      </c>
      <c r="I72" s="244" t="s">
        <v>648</v>
      </c>
      <c r="J72" s="245">
        <v>2328</v>
      </c>
      <c r="K72" s="410"/>
      <c r="L72" s="235" t="s">
        <v>202</v>
      </c>
      <c r="M72" s="411">
        <v>10330</v>
      </c>
      <c r="N72" s="412">
        <v>42242</v>
      </c>
      <c r="O72" s="21">
        <v>42241</v>
      </c>
    </row>
    <row r="73" spans="1:15" ht="15.75" x14ac:dyDescent="0.25">
      <c r="A73" s="143"/>
      <c r="B73" s="144"/>
      <c r="C73" s="156"/>
      <c r="D73"/>
      <c r="E73"/>
      <c r="F73" s="23"/>
      <c r="G73"/>
      <c r="H73" s="43">
        <f>10330+6061.5+15945.4</f>
        <v>32336.9</v>
      </c>
      <c r="I73" s="144" t="s">
        <v>645</v>
      </c>
      <c r="J73" s="156">
        <v>29209.7</v>
      </c>
      <c r="K73" s="207"/>
      <c r="L73" s="235" t="s">
        <v>202</v>
      </c>
      <c r="M73" s="207">
        <v>25490</v>
      </c>
      <c r="N73" s="221">
        <v>42242</v>
      </c>
    </row>
    <row r="74" spans="1:15" ht="15.75" x14ac:dyDescent="0.25">
      <c r="A74" s="143"/>
      <c r="B74" s="144"/>
      <c r="C74" s="156"/>
      <c r="D74"/>
      <c r="E74"/>
      <c r="F74" s="23"/>
      <c r="G74"/>
      <c r="H74" s="43">
        <f>3483.1+6153.5+21646.5+6720+18190+5961</f>
        <v>62154.1</v>
      </c>
      <c r="I74" s="144" t="s">
        <v>649</v>
      </c>
      <c r="J74" s="156">
        <v>71144.31</v>
      </c>
      <c r="K74" s="207"/>
      <c r="L74" s="235" t="s">
        <v>202</v>
      </c>
      <c r="M74" s="207">
        <v>7990</v>
      </c>
      <c r="N74" s="221">
        <v>42243</v>
      </c>
      <c r="O74" s="21">
        <v>42242</v>
      </c>
    </row>
    <row r="75" spans="1:15" ht="15.75" x14ac:dyDescent="0.25">
      <c r="A75" s="143"/>
      <c r="B75" s="144"/>
      <c r="C75" s="156"/>
      <c r="D75"/>
      <c r="E75"/>
      <c r="F75" s="23"/>
      <c r="G75"/>
      <c r="H75" s="43">
        <f>7990+1000+8636.6+1749</f>
        <v>19375.599999999999</v>
      </c>
      <c r="I75" s="144" t="s">
        <v>647</v>
      </c>
      <c r="J75" s="156">
        <v>10385.6</v>
      </c>
      <c r="K75" s="130"/>
      <c r="L75" s="235" t="s">
        <v>202</v>
      </c>
      <c r="M75" s="207">
        <v>1000</v>
      </c>
      <c r="N75" s="221">
        <v>42244</v>
      </c>
      <c r="O75" s="21">
        <v>42242</v>
      </c>
    </row>
    <row r="76" spans="1:15" ht="15.75" x14ac:dyDescent="0.25">
      <c r="A76" s="143"/>
      <c r="B76" s="144"/>
      <c r="C76" s="156"/>
      <c r="D76"/>
      <c r="E76"/>
      <c r="F76" s="23"/>
      <c r="G76"/>
      <c r="H76" s="43">
        <f>16573.4+5860+43464.5</f>
        <v>65897.899999999994</v>
      </c>
      <c r="I76" s="144" t="s">
        <v>650</v>
      </c>
      <c r="J76" s="156">
        <v>65898.2</v>
      </c>
      <c r="K76" s="130"/>
      <c r="L76" s="235" t="s">
        <v>202</v>
      </c>
      <c r="M76" s="214">
        <v>27800</v>
      </c>
      <c r="N76" s="221">
        <v>42243</v>
      </c>
    </row>
    <row r="77" spans="1:15" ht="15.75" x14ac:dyDescent="0.25">
      <c r="A77" s="143"/>
      <c r="B77" s="144"/>
      <c r="C77" s="156"/>
      <c r="D77"/>
      <c r="E77"/>
      <c r="F77" s="23"/>
      <c r="G77"/>
      <c r="H77" s="43">
        <v>33407.5</v>
      </c>
      <c r="I77" s="144" t="s">
        <v>651</v>
      </c>
      <c r="J77" s="156">
        <v>36534.19</v>
      </c>
      <c r="K77" s="207" t="s">
        <v>242</v>
      </c>
      <c r="L77" s="235" t="s">
        <v>202</v>
      </c>
      <c r="M77" s="207">
        <v>6720</v>
      </c>
      <c r="N77" s="221">
        <v>42244</v>
      </c>
      <c r="O77" s="21">
        <v>42243</v>
      </c>
    </row>
    <row r="78" spans="1:15" ht="15.75" x14ac:dyDescent="0.25">
      <c r="A78" s="143"/>
      <c r="B78" s="144"/>
      <c r="C78" s="156"/>
      <c r="D78"/>
      <c r="E78"/>
      <c r="F78" s="23"/>
      <c r="G78"/>
      <c r="H78" s="43">
        <f>SUM(H72:H77)</f>
        <v>215500</v>
      </c>
      <c r="I78" s="292"/>
      <c r="J78" s="157">
        <v>0</v>
      </c>
      <c r="K78" s="334"/>
      <c r="L78" s="235" t="s">
        <v>202</v>
      </c>
      <c r="M78" s="207">
        <v>25210</v>
      </c>
      <c r="N78" s="221">
        <v>42245</v>
      </c>
      <c r="O78" s="21">
        <v>42244</v>
      </c>
    </row>
    <row r="79" spans="1:15" ht="15.75" x14ac:dyDescent="0.25">
      <c r="A79" s="143"/>
      <c r="B79" s="144"/>
      <c r="C79" s="156"/>
      <c r="D79"/>
      <c r="E79"/>
      <c r="F79" s="23"/>
      <c r="G79"/>
      <c r="I79" s="292"/>
      <c r="J79" s="157">
        <v>0</v>
      </c>
      <c r="K79" s="321"/>
      <c r="L79" s="235" t="s">
        <v>202</v>
      </c>
      <c r="M79" s="207">
        <v>25900</v>
      </c>
      <c r="N79" s="221">
        <v>42244</v>
      </c>
    </row>
    <row r="80" spans="1:15" ht="15.75" x14ac:dyDescent="0.25">
      <c r="A80" s="143"/>
      <c r="B80" s="144"/>
      <c r="C80" s="156"/>
      <c r="D80"/>
      <c r="E80"/>
      <c r="F80" s="23"/>
      <c r="G80"/>
      <c r="I80" s="144"/>
      <c r="J80" s="156"/>
      <c r="K80" s="207"/>
      <c r="L80" s="235" t="s">
        <v>202</v>
      </c>
      <c r="M80" s="207">
        <v>85060</v>
      </c>
      <c r="N80" s="221">
        <v>42245</v>
      </c>
    </row>
    <row r="81" spans="1:14" ht="15.75" x14ac:dyDescent="0.25">
      <c r="A81" s="143"/>
      <c r="B81" s="144"/>
      <c r="C81" s="156"/>
      <c r="D81"/>
      <c r="E81"/>
      <c r="F81" s="23"/>
      <c r="G81"/>
      <c r="I81" s="206"/>
      <c r="J81" s="207"/>
      <c r="K81" s="207"/>
      <c r="L81" s="113"/>
      <c r="M81" s="207">
        <v>0</v>
      </c>
      <c r="N81" s="221"/>
    </row>
    <row r="82" spans="1:14" ht="16.5" thickBot="1" x14ac:dyDescent="0.3">
      <c r="A82" s="143"/>
      <c r="B82" s="144"/>
      <c r="C82" s="156"/>
      <c r="D82"/>
      <c r="E82"/>
      <c r="F82" s="23"/>
      <c r="G82"/>
      <c r="I82" s="379"/>
      <c r="J82" s="380"/>
      <c r="K82" s="380"/>
      <c r="L82" s="235"/>
      <c r="M82" s="380">
        <v>0</v>
      </c>
      <c r="N82" s="381"/>
    </row>
    <row r="83" spans="1:14" ht="18.75" x14ac:dyDescent="0.3">
      <c r="A83"/>
      <c r="B83"/>
      <c r="C83" s="80"/>
      <c r="D83"/>
      <c r="E83"/>
      <c r="F83" s="23"/>
      <c r="G83"/>
      <c r="J83" s="131">
        <f>SUM(J72:J80)</f>
        <v>215500</v>
      </c>
      <c r="K83" s="131"/>
      <c r="L83" s="131"/>
      <c r="M83" s="131">
        <f>SUM(M72:M82)</f>
        <v>215500</v>
      </c>
    </row>
    <row r="84" spans="1:14" x14ac:dyDescent="0.25">
      <c r="A84"/>
      <c r="B84"/>
      <c r="C84"/>
      <c r="D84"/>
      <c r="E84"/>
      <c r="F84" s="23"/>
      <c r="G84"/>
    </row>
    <row r="85" spans="1:14" x14ac:dyDescent="0.25">
      <c r="A85"/>
      <c r="B85"/>
      <c r="C85"/>
      <c r="D85"/>
      <c r="E85"/>
      <c r="F85" s="23"/>
      <c r="G85"/>
    </row>
    <row r="86" spans="1:14" x14ac:dyDescent="0.25">
      <c r="A86"/>
      <c r="B86"/>
      <c r="C86"/>
      <c r="D86"/>
      <c r="E86"/>
      <c r="F86" s="23"/>
      <c r="G86"/>
    </row>
    <row r="87" spans="1:14" x14ac:dyDescent="0.25">
      <c r="A87"/>
      <c r="B87"/>
      <c r="C87"/>
      <c r="D87"/>
      <c r="E87"/>
      <c r="F87" s="23"/>
      <c r="G87"/>
    </row>
    <row r="88" spans="1:14" x14ac:dyDescent="0.25">
      <c r="A88"/>
      <c r="B88"/>
      <c r="C88"/>
      <c r="D88"/>
      <c r="E88"/>
      <c r="F88" s="23"/>
      <c r="G88"/>
    </row>
    <row r="89" spans="1:14" x14ac:dyDescent="0.25">
      <c r="A89"/>
      <c r="B89"/>
      <c r="C89"/>
      <c r="D89"/>
      <c r="E89"/>
      <c r="F89" s="23"/>
      <c r="G89"/>
    </row>
    <row r="90" spans="1:14" x14ac:dyDescent="0.25">
      <c r="A90"/>
      <c r="B90"/>
      <c r="C90"/>
      <c r="D90"/>
      <c r="E90"/>
      <c r="F90" s="23"/>
      <c r="G90"/>
    </row>
    <row r="91" spans="1:14" x14ac:dyDescent="0.25">
      <c r="A91"/>
      <c r="B91"/>
      <c r="C91"/>
      <c r="D91"/>
      <c r="E91"/>
      <c r="F91" s="23"/>
      <c r="G91"/>
    </row>
    <row r="92" spans="1:14" x14ac:dyDescent="0.25">
      <c r="A92"/>
      <c r="B92"/>
      <c r="C92"/>
      <c r="D92"/>
      <c r="E92"/>
      <c r="F92" s="23"/>
      <c r="G92"/>
    </row>
    <row r="95" spans="1:14" x14ac:dyDescent="0.25">
      <c r="A95"/>
      <c r="B95"/>
      <c r="C95"/>
      <c r="D95"/>
      <c r="E95"/>
      <c r="F95" s="23"/>
      <c r="G95"/>
    </row>
    <row r="96" spans="1:14" x14ac:dyDescent="0.25">
      <c r="A96"/>
      <c r="B96"/>
      <c r="C96"/>
      <c r="D96"/>
      <c r="E96"/>
      <c r="F96" s="23"/>
      <c r="G96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  <row r="108" spans="6:6" customFormat="1" x14ac:dyDescent="0.25">
      <c r="F108" s="23"/>
    </row>
    <row r="109" spans="6:6" customFormat="1" x14ac:dyDescent="0.25">
      <c r="F109" s="23"/>
    </row>
    <row r="110" spans="6:6" customFormat="1" x14ac:dyDescent="0.25">
      <c r="F110" s="23"/>
    </row>
    <row r="111" spans="6:6" customFormat="1" x14ac:dyDescent="0.25">
      <c r="F111" s="23"/>
    </row>
    <row r="112" spans="6:6" customFormat="1" x14ac:dyDescent="0.25">
      <c r="F112" s="23"/>
    </row>
    <row r="113" spans="6:6" customFormat="1" x14ac:dyDescent="0.25">
      <c r="F113" s="23"/>
    </row>
    <row r="114" spans="6:6" customFormat="1" x14ac:dyDescent="0.25">
      <c r="F114" s="23"/>
    </row>
    <row r="115" spans="6:6" customFormat="1" x14ac:dyDescent="0.25">
      <c r="F115" s="23"/>
    </row>
    <row r="116" spans="6:6" customFormat="1" x14ac:dyDescent="0.25">
      <c r="F116" s="23"/>
    </row>
    <row r="117" spans="6:6" customFormat="1" x14ac:dyDescent="0.25">
      <c r="F117" s="23"/>
    </row>
    <row r="118" spans="6:6" customFormat="1" x14ac:dyDescent="0.25">
      <c r="F118" s="23"/>
    </row>
    <row r="119" spans="6:6" customFormat="1" x14ac:dyDescent="0.25">
      <c r="F119" s="23"/>
    </row>
    <row r="120" spans="6:6" customFormat="1" x14ac:dyDescent="0.25">
      <c r="F120" s="23"/>
    </row>
  </sheetData>
  <sortState ref="A21:F37">
    <sortCondition ref="B21:B37"/>
  </sortState>
  <mergeCells count="1">
    <mergeCell ref="C3:E3"/>
  </mergeCells>
  <pageMargins left="1.1023622047244095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48"/>
  <sheetViews>
    <sheetView workbookViewId="0">
      <selection activeCell="H47" sqref="H47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</cols>
  <sheetData>
    <row r="1" spans="1:15" ht="23.25" x14ac:dyDescent="0.35">
      <c r="B1" s="37"/>
      <c r="C1" s="448" t="s">
        <v>661</v>
      </c>
      <c r="D1" s="448"/>
      <c r="E1" s="448"/>
      <c r="F1" s="448"/>
      <c r="G1" s="448"/>
      <c r="H1" s="448"/>
      <c r="I1" s="448"/>
      <c r="J1" s="448"/>
      <c r="K1" s="448"/>
      <c r="M1" s="436"/>
      <c r="N1" s="202"/>
    </row>
    <row r="2" spans="1:15" ht="15.75" thickBot="1" x14ac:dyDescent="0.3">
      <c r="B2" s="37"/>
      <c r="C2" s="43"/>
      <c r="E2" s="434"/>
      <c r="F2" s="50"/>
      <c r="I2" s="43"/>
      <c r="J2" s="43"/>
      <c r="M2" s="436"/>
      <c r="N2" s="202"/>
    </row>
    <row r="3" spans="1:15" ht="15.75" thickBot="1" x14ac:dyDescent="0.3">
      <c r="B3" s="37"/>
      <c r="C3" s="44" t="s">
        <v>0</v>
      </c>
      <c r="D3" s="3"/>
      <c r="F3" s="43"/>
      <c r="I3" s="43"/>
      <c r="J3" s="43"/>
      <c r="M3" s="436"/>
      <c r="N3" s="202"/>
    </row>
    <row r="4" spans="1:15" ht="20.25" thickTop="1" thickBot="1" x14ac:dyDescent="0.35">
      <c r="A4" s="96" t="s">
        <v>2</v>
      </c>
      <c r="B4" s="38"/>
      <c r="C4" s="94">
        <v>107249.8</v>
      </c>
      <c r="D4" s="2"/>
      <c r="E4" s="469" t="s">
        <v>14</v>
      </c>
      <c r="F4" s="470"/>
      <c r="I4" s="451" t="s">
        <v>4</v>
      </c>
      <c r="J4" s="452"/>
      <c r="K4" s="452"/>
      <c r="L4" s="452"/>
      <c r="M4" s="69" t="s">
        <v>18</v>
      </c>
      <c r="N4" s="203" t="s">
        <v>264</v>
      </c>
    </row>
    <row r="5" spans="1:15" ht="15.75" thickTop="1" x14ac:dyDescent="0.25">
      <c r="A5" s="21"/>
      <c r="B5" s="39"/>
      <c r="C5" s="45"/>
      <c r="D5" s="22"/>
      <c r="E5" s="26"/>
      <c r="F5" s="51"/>
      <c r="G5" s="23"/>
      <c r="H5" s="24"/>
      <c r="I5" s="60"/>
      <c r="J5" s="87"/>
      <c r="K5" s="34"/>
      <c r="L5" s="34"/>
      <c r="M5" s="67"/>
      <c r="N5" s="75"/>
    </row>
    <row r="6" spans="1:15" x14ac:dyDescent="0.25">
      <c r="A6" s="21"/>
      <c r="B6" s="39"/>
      <c r="C6" s="45"/>
      <c r="D6" s="29"/>
      <c r="E6" s="26"/>
      <c r="F6" s="51"/>
      <c r="G6" s="19"/>
      <c r="H6" s="27"/>
      <c r="I6" s="61"/>
      <c r="J6" s="88"/>
      <c r="K6" s="13" t="s">
        <v>5</v>
      </c>
      <c r="L6" s="20">
        <v>0</v>
      </c>
      <c r="M6" s="67"/>
      <c r="N6" s="75"/>
    </row>
    <row r="7" spans="1:15" x14ac:dyDescent="0.25">
      <c r="A7" s="21"/>
      <c r="B7" s="39"/>
      <c r="C7" s="45"/>
      <c r="D7" s="32"/>
      <c r="E7" s="26"/>
      <c r="F7" s="51"/>
      <c r="G7" s="23"/>
      <c r="H7" s="27"/>
      <c r="I7" s="61"/>
      <c r="J7" s="88"/>
      <c r="K7" s="13" t="s">
        <v>3</v>
      </c>
      <c r="L7" s="20">
        <v>0</v>
      </c>
      <c r="M7" s="67"/>
      <c r="N7" s="75"/>
    </row>
    <row r="8" spans="1:15" x14ac:dyDescent="0.25">
      <c r="A8" s="21"/>
      <c r="B8" s="39"/>
      <c r="C8" s="45"/>
      <c r="D8" s="22"/>
      <c r="E8" s="26"/>
      <c r="F8" s="51"/>
      <c r="G8" s="23"/>
      <c r="H8" s="27"/>
      <c r="I8" s="61"/>
      <c r="J8" s="88"/>
      <c r="K8" s="13" t="s">
        <v>6</v>
      </c>
      <c r="L8" s="20">
        <v>28750</v>
      </c>
      <c r="M8" s="201"/>
      <c r="N8" s="204"/>
    </row>
    <row r="9" spans="1:15" x14ac:dyDescent="0.25">
      <c r="A9" s="21"/>
      <c r="B9" s="39"/>
      <c r="C9" s="45"/>
      <c r="D9" s="22"/>
      <c r="E9" s="26"/>
      <c r="F9" s="51"/>
      <c r="G9" s="23"/>
      <c r="H9" s="27"/>
      <c r="I9" s="61"/>
      <c r="J9" s="88"/>
      <c r="K9" s="13" t="s">
        <v>613</v>
      </c>
      <c r="L9" s="20">
        <v>0</v>
      </c>
      <c r="M9" s="67"/>
      <c r="N9" s="75"/>
    </row>
    <row r="10" spans="1:15" x14ac:dyDescent="0.25">
      <c r="A10" s="21"/>
      <c r="B10" s="39"/>
      <c r="C10" s="45"/>
      <c r="D10" s="32"/>
      <c r="E10" s="26"/>
      <c r="F10" s="51"/>
      <c r="G10" s="23"/>
      <c r="H10" s="27"/>
      <c r="I10" s="61"/>
      <c r="J10" s="88"/>
      <c r="K10" s="13" t="s">
        <v>614</v>
      </c>
      <c r="L10" s="19">
        <v>0</v>
      </c>
      <c r="M10" s="67"/>
      <c r="N10" s="75"/>
    </row>
    <row r="11" spans="1:15" x14ac:dyDescent="0.25">
      <c r="A11" s="21"/>
      <c r="B11" s="39"/>
      <c r="C11" s="45"/>
      <c r="D11" s="32"/>
      <c r="E11" s="26"/>
      <c r="F11" s="51"/>
      <c r="G11" s="23"/>
      <c r="H11" s="27"/>
      <c r="I11" s="62"/>
      <c r="J11" s="88"/>
      <c r="K11" s="13" t="s">
        <v>615</v>
      </c>
      <c r="L11" s="19">
        <v>0</v>
      </c>
      <c r="M11" s="67"/>
      <c r="N11" s="75"/>
    </row>
    <row r="12" spans="1:15" x14ac:dyDescent="0.25">
      <c r="A12" s="21"/>
      <c r="B12" s="39"/>
      <c r="C12" s="45"/>
      <c r="D12" s="32"/>
      <c r="E12" s="26"/>
      <c r="F12" s="51"/>
      <c r="G12" s="23"/>
      <c r="H12" s="27"/>
      <c r="I12" s="62"/>
      <c r="J12" s="88"/>
      <c r="K12" s="13" t="s">
        <v>616</v>
      </c>
      <c r="L12" s="20">
        <v>0</v>
      </c>
      <c r="M12" s="67"/>
      <c r="N12" s="75"/>
    </row>
    <row r="13" spans="1:15" x14ac:dyDescent="0.25">
      <c r="A13" s="21"/>
      <c r="B13" s="39"/>
      <c r="C13" s="45"/>
      <c r="D13" s="32"/>
      <c r="E13" s="26"/>
      <c r="F13" s="51"/>
      <c r="G13" s="23"/>
      <c r="H13" s="27"/>
      <c r="I13" s="62"/>
      <c r="J13" s="88"/>
      <c r="K13" s="13" t="s">
        <v>617</v>
      </c>
      <c r="L13" s="20">
        <v>0</v>
      </c>
      <c r="M13" s="67"/>
      <c r="N13" s="75"/>
    </row>
    <row r="14" spans="1:15" x14ac:dyDescent="0.25">
      <c r="A14" s="21"/>
      <c r="B14" s="39"/>
      <c r="C14" s="45"/>
      <c r="D14" s="29"/>
      <c r="E14" s="26"/>
      <c r="F14" s="51"/>
      <c r="G14" s="23"/>
      <c r="H14" s="27"/>
      <c r="I14" s="62"/>
      <c r="J14" s="88"/>
      <c r="K14" s="35" t="s">
        <v>16</v>
      </c>
      <c r="L14" s="20">
        <v>0</v>
      </c>
      <c r="M14" s="67"/>
      <c r="N14" s="75"/>
      <c r="O14" s="242"/>
    </row>
    <row r="15" spans="1:15" x14ac:dyDescent="0.25">
      <c r="A15" s="21"/>
      <c r="B15" s="39"/>
      <c r="C15" s="45"/>
      <c r="D15" s="29"/>
      <c r="E15" s="26"/>
      <c r="F15" s="51"/>
      <c r="G15" s="23"/>
      <c r="H15" s="27"/>
      <c r="I15" s="62"/>
      <c r="J15" s="88"/>
      <c r="K15" s="28" t="s">
        <v>15</v>
      </c>
      <c r="L15" s="20">
        <v>0</v>
      </c>
      <c r="M15" s="67"/>
      <c r="N15" s="75"/>
    </row>
    <row r="16" spans="1:15" x14ac:dyDescent="0.25">
      <c r="A16" s="21"/>
      <c r="B16" s="39"/>
      <c r="C16" s="45"/>
      <c r="D16" s="29"/>
      <c r="E16" s="26"/>
      <c r="F16" s="51"/>
      <c r="G16" s="23"/>
      <c r="H16" s="27"/>
      <c r="I16" s="62"/>
      <c r="J16" s="88"/>
      <c r="K16" s="73" t="s">
        <v>52</v>
      </c>
      <c r="L16" s="74">
        <v>0</v>
      </c>
      <c r="M16" s="67"/>
      <c r="N16" s="75"/>
    </row>
    <row r="17" spans="1:15" x14ac:dyDescent="0.25">
      <c r="A17" s="21"/>
      <c r="B17" s="39"/>
      <c r="C17" s="45"/>
      <c r="D17" s="29"/>
      <c r="E17" s="26"/>
      <c r="F17" s="51"/>
      <c r="G17" s="23"/>
      <c r="H17" s="27"/>
      <c r="I17" s="62"/>
      <c r="J17" s="88"/>
      <c r="K17" s="28" t="s">
        <v>53</v>
      </c>
      <c r="L17" s="74">
        <v>0</v>
      </c>
      <c r="M17" s="67"/>
      <c r="N17" s="75"/>
    </row>
    <row r="18" spans="1:15" x14ac:dyDescent="0.25">
      <c r="A18" s="21"/>
      <c r="B18" s="39"/>
      <c r="C18" s="45"/>
      <c r="D18" s="22"/>
      <c r="E18" s="26"/>
      <c r="F18" s="51"/>
      <c r="G18" s="23"/>
      <c r="H18" s="27"/>
      <c r="I18" s="62"/>
      <c r="J18" s="89"/>
      <c r="K18" s="28" t="s">
        <v>54</v>
      </c>
      <c r="L18" s="75">
        <v>0</v>
      </c>
      <c r="M18" s="67"/>
      <c r="N18" s="75"/>
    </row>
    <row r="19" spans="1:15" x14ac:dyDescent="0.25">
      <c r="A19" s="21"/>
      <c r="B19" s="39"/>
      <c r="C19" s="45"/>
      <c r="D19" s="29"/>
      <c r="E19" s="26"/>
      <c r="F19" s="51"/>
      <c r="G19" s="23"/>
      <c r="H19" s="27"/>
      <c r="I19" s="62"/>
      <c r="J19" s="88"/>
      <c r="K19" s="28" t="s">
        <v>55</v>
      </c>
      <c r="L19" s="75">
        <v>0</v>
      </c>
      <c r="M19" s="67"/>
      <c r="N19" s="75"/>
    </row>
    <row r="20" spans="1:15" x14ac:dyDescent="0.25">
      <c r="A20" s="21"/>
      <c r="B20" s="39"/>
      <c r="C20" s="45"/>
      <c r="D20" s="22"/>
      <c r="E20" s="26"/>
      <c r="F20" s="51"/>
      <c r="G20" s="23"/>
      <c r="H20" s="27"/>
      <c r="I20" s="62"/>
      <c r="J20" s="90"/>
      <c r="K20" s="314" t="s">
        <v>408</v>
      </c>
      <c r="L20" s="55">
        <v>0</v>
      </c>
      <c r="M20" s="67"/>
      <c r="N20" s="75"/>
    </row>
    <row r="21" spans="1:15" x14ac:dyDescent="0.25">
      <c r="A21" s="21"/>
      <c r="B21" s="39"/>
      <c r="C21" s="45"/>
      <c r="D21" s="22"/>
      <c r="E21" s="26"/>
      <c r="F21" s="51"/>
      <c r="G21" s="23"/>
      <c r="H21" s="27"/>
      <c r="I21" s="62"/>
      <c r="J21" s="88"/>
      <c r="K21" s="25" t="s">
        <v>99</v>
      </c>
      <c r="L21" s="55">
        <v>0</v>
      </c>
      <c r="M21" s="67"/>
      <c r="N21" s="75"/>
    </row>
    <row r="22" spans="1:15" x14ac:dyDescent="0.25">
      <c r="A22" s="21"/>
      <c r="B22" s="39"/>
      <c r="C22" s="45"/>
      <c r="D22" s="22"/>
      <c r="E22" s="26"/>
      <c r="F22" s="51"/>
      <c r="G22" s="23"/>
      <c r="H22" s="27"/>
      <c r="I22" s="62"/>
      <c r="J22" s="90"/>
      <c r="K22" s="392" t="s">
        <v>213</v>
      </c>
      <c r="L22" s="55">
        <v>0</v>
      </c>
      <c r="M22" s="67"/>
      <c r="N22" s="75"/>
    </row>
    <row r="23" spans="1:15" x14ac:dyDescent="0.25">
      <c r="A23" s="21"/>
      <c r="B23" s="39"/>
      <c r="C23" s="45"/>
      <c r="D23" s="22"/>
      <c r="E23" s="26"/>
      <c r="F23" s="51"/>
      <c r="G23" s="23"/>
      <c r="H23" s="27"/>
      <c r="I23" s="62"/>
      <c r="J23" s="88"/>
      <c r="K23" s="420"/>
      <c r="L23" s="55">
        <v>0</v>
      </c>
      <c r="M23" s="67"/>
      <c r="N23" s="75"/>
    </row>
    <row r="24" spans="1:15" x14ac:dyDescent="0.25">
      <c r="A24" s="21"/>
      <c r="B24" s="39"/>
      <c r="C24" s="45"/>
      <c r="D24" s="29"/>
      <c r="E24" s="26"/>
      <c r="F24" s="51"/>
      <c r="G24" s="23"/>
      <c r="H24" s="27"/>
      <c r="I24" s="62"/>
      <c r="J24" s="88"/>
      <c r="K24" s="365" t="s">
        <v>332</v>
      </c>
      <c r="L24" s="55">
        <v>0</v>
      </c>
      <c r="M24" s="67"/>
      <c r="N24" s="75"/>
    </row>
    <row r="25" spans="1:15" x14ac:dyDescent="0.25">
      <c r="A25" s="21"/>
      <c r="B25" s="39"/>
      <c r="C25" s="45"/>
      <c r="D25" s="22"/>
      <c r="E25" s="26"/>
      <c r="F25" s="51"/>
      <c r="G25" s="23"/>
      <c r="H25" s="27"/>
      <c r="I25" s="62"/>
      <c r="J25" s="88"/>
      <c r="K25" s="25"/>
      <c r="L25" s="55"/>
      <c r="M25" s="67"/>
      <c r="N25" s="75"/>
    </row>
    <row r="26" spans="1:15" x14ac:dyDescent="0.25">
      <c r="A26" s="21"/>
      <c r="B26" s="39"/>
      <c r="C26" s="45"/>
      <c r="D26" s="29"/>
      <c r="E26" s="26"/>
      <c r="F26" s="51"/>
      <c r="G26" s="23"/>
      <c r="H26" s="27"/>
      <c r="I26" s="62"/>
      <c r="J26" s="88"/>
      <c r="K26" s="11"/>
      <c r="L26" s="55"/>
      <c r="M26" s="67"/>
      <c r="N26" s="75"/>
    </row>
    <row r="27" spans="1:15" x14ac:dyDescent="0.25">
      <c r="A27" s="21"/>
      <c r="B27" s="39"/>
      <c r="C27" s="45"/>
      <c r="D27" s="29"/>
      <c r="E27" s="26"/>
      <c r="F27" s="51"/>
      <c r="G27" s="23"/>
      <c r="H27" s="27"/>
      <c r="I27" s="62"/>
      <c r="J27" s="88"/>
      <c r="K27" s="11"/>
      <c r="L27" s="55"/>
      <c r="M27" s="201"/>
      <c r="N27" s="204"/>
    </row>
    <row r="28" spans="1:15" x14ac:dyDescent="0.25">
      <c r="A28" s="21"/>
      <c r="B28" s="39"/>
      <c r="C28" s="45"/>
      <c r="D28" s="29"/>
      <c r="E28" s="26"/>
      <c r="F28" s="51"/>
      <c r="G28" s="23"/>
      <c r="H28" s="27"/>
      <c r="I28" s="62"/>
      <c r="J28" s="88"/>
      <c r="K28" s="11"/>
      <c r="L28" s="55"/>
      <c r="M28" s="201"/>
      <c r="N28" s="204"/>
    </row>
    <row r="29" spans="1:15" x14ac:dyDescent="0.25">
      <c r="A29" s="21"/>
      <c r="B29" s="39"/>
      <c r="C29" s="45"/>
      <c r="D29" s="29"/>
      <c r="E29" s="26"/>
      <c r="F29" s="51"/>
      <c r="G29" s="23"/>
      <c r="H29" s="27"/>
      <c r="I29" s="62"/>
      <c r="J29" s="88"/>
      <c r="K29" s="11"/>
      <c r="L29" s="20"/>
      <c r="M29" s="67"/>
      <c r="N29" s="75"/>
      <c r="O29" s="360"/>
    </row>
    <row r="30" spans="1:15" x14ac:dyDescent="0.25">
      <c r="A30" s="21"/>
      <c r="B30" s="39"/>
      <c r="C30" s="45"/>
      <c r="D30" s="22"/>
      <c r="E30" s="26"/>
      <c r="F30" s="51"/>
      <c r="G30" s="23"/>
      <c r="H30" s="27"/>
      <c r="I30" s="62"/>
      <c r="J30" s="88"/>
      <c r="K30" s="11"/>
      <c r="L30" s="20"/>
      <c r="M30" s="201"/>
      <c r="N30" s="204"/>
    </row>
    <row r="31" spans="1:15" x14ac:dyDescent="0.25">
      <c r="A31" s="21"/>
      <c r="B31" s="39"/>
      <c r="C31" s="45"/>
      <c r="D31" s="22"/>
      <c r="E31" s="26"/>
      <c r="F31" s="51"/>
      <c r="G31" s="23"/>
      <c r="H31" s="27"/>
      <c r="I31" s="62"/>
      <c r="J31" s="88"/>
      <c r="K31" s="11"/>
      <c r="L31" s="20"/>
      <c r="M31" s="201"/>
      <c r="N31" s="204"/>
    </row>
    <row r="32" spans="1:15" x14ac:dyDescent="0.25">
      <c r="A32" s="21"/>
      <c r="B32" s="39"/>
      <c r="C32" s="45"/>
      <c r="D32" s="22"/>
      <c r="E32" s="26"/>
      <c r="F32" s="51"/>
      <c r="G32" s="23"/>
      <c r="H32" s="27"/>
      <c r="I32" s="62"/>
      <c r="J32" s="88"/>
      <c r="K32" s="11"/>
      <c r="L32" s="20"/>
      <c r="M32" s="67"/>
      <c r="N32" s="75"/>
    </row>
    <row r="33" spans="1:14" x14ac:dyDescent="0.25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/>
    </row>
    <row r="34" spans="1:14" x14ac:dyDescent="0.25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02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 t="s">
        <v>345</v>
      </c>
      <c r="L35" s="20"/>
      <c r="M35" s="71"/>
      <c r="N35" s="74">
        <v>0</v>
      </c>
    </row>
    <row r="36" spans="1:14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436"/>
      <c r="N36" s="346">
        <v>0</v>
      </c>
    </row>
    <row r="37" spans="1:14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436"/>
      <c r="N37" s="345">
        <f>SUM(N5:N36)</f>
        <v>0</v>
      </c>
    </row>
    <row r="38" spans="1:14" x14ac:dyDescent="0.25">
      <c r="B38" s="42" t="s">
        <v>1</v>
      </c>
      <c r="C38" s="48">
        <f>SUM(C5:C37)</f>
        <v>0</v>
      </c>
      <c r="E38" s="432" t="s">
        <v>1</v>
      </c>
      <c r="F38" s="54">
        <f>SUM(F5:F37)</f>
        <v>0</v>
      </c>
      <c r="H38" s="434" t="s">
        <v>1</v>
      </c>
      <c r="I38" s="58">
        <f>SUM(I5:I37)</f>
        <v>0</v>
      </c>
      <c r="J38" s="58"/>
      <c r="K38" s="17" t="s">
        <v>1</v>
      </c>
      <c r="L38" s="4">
        <f t="shared" ref="L38" si="0">SUM(L5:L37)</f>
        <v>28750</v>
      </c>
      <c r="M38" s="436"/>
      <c r="N38" s="202"/>
    </row>
    <row r="39" spans="1:14" x14ac:dyDescent="0.25">
      <c r="B39" s="37"/>
      <c r="C39" s="43"/>
      <c r="F39" s="43"/>
      <c r="I39" s="43"/>
      <c r="J39" s="43"/>
      <c r="M39" s="436"/>
      <c r="N39" s="202"/>
    </row>
    <row r="40" spans="1:14" ht="15.75" customHeight="1" x14ac:dyDescent="0.25">
      <c r="A40" s="5"/>
      <c r="B40" s="37"/>
      <c r="C40" s="49">
        <v>0</v>
      </c>
      <c r="D40" s="13"/>
      <c r="E40" s="13"/>
      <c r="F40" s="55"/>
      <c r="H40" s="453" t="s">
        <v>7</v>
      </c>
      <c r="I40" s="454"/>
      <c r="J40" s="433"/>
      <c r="K40" s="455">
        <f>I38+L38</f>
        <v>28750</v>
      </c>
      <c r="L40" s="456"/>
      <c r="M40" s="436"/>
      <c r="N40" s="202"/>
    </row>
    <row r="41" spans="1:14" ht="15.75" customHeight="1" x14ac:dyDescent="0.25">
      <c r="B41" s="37"/>
      <c r="C41" s="43"/>
      <c r="D41" s="447" t="s">
        <v>8</v>
      </c>
      <c r="E41" s="447"/>
      <c r="F41" s="56">
        <f>F38-K40</f>
        <v>-28750</v>
      </c>
      <c r="I41" s="65"/>
      <c r="J41" s="65"/>
      <c r="M41" s="436"/>
      <c r="N41" s="202"/>
    </row>
    <row r="42" spans="1:14" x14ac:dyDescent="0.25">
      <c r="B42" s="37"/>
      <c r="C42" s="43"/>
      <c r="D42" s="13"/>
      <c r="E42" s="13" t="s">
        <v>0</v>
      </c>
      <c r="F42" s="56">
        <f>-C38</f>
        <v>0</v>
      </c>
      <c r="I42" s="43"/>
      <c r="J42" s="43"/>
      <c r="M42" s="436"/>
      <c r="N42" s="202"/>
    </row>
    <row r="43" spans="1:14" ht="15.75" thickBot="1" x14ac:dyDescent="0.3">
      <c r="B43" s="37"/>
      <c r="C43" s="43" t="s">
        <v>12</v>
      </c>
      <c r="D43" t="s">
        <v>303</v>
      </c>
      <c r="F43" s="125">
        <v>0</v>
      </c>
      <c r="I43" s="457"/>
      <c r="J43" s="457"/>
      <c r="K43" s="457"/>
      <c r="L43" s="2"/>
      <c r="M43" s="436"/>
      <c r="N43" s="202"/>
    </row>
    <row r="44" spans="1:14" ht="16.5" thickTop="1" x14ac:dyDescent="0.25">
      <c r="B44" s="37"/>
      <c r="C44" s="43"/>
      <c r="E44" s="5" t="s">
        <v>10</v>
      </c>
      <c r="F44" s="58">
        <f>SUM(F41:F43)</f>
        <v>-28750</v>
      </c>
      <c r="I44" s="489" t="s">
        <v>251</v>
      </c>
      <c r="J44" s="489"/>
      <c r="K44" s="474">
        <f>F46</f>
        <v>88123.88</v>
      </c>
      <c r="L44" s="475"/>
      <c r="M44" s="436"/>
      <c r="N44" s="202"/>
    </row>
    <row r="45" spans="1:14" ht="16.5" thickBot="1" x14ac:dyDescent="0.3">
      <c r="B45" s="37"/>
      <c r="C45" s="43"/>
      <c r="D45" s="432" t="s">
        <v>9</v>
      </c>
      <c r="E45" s="432"/>
      <c r="F45" s="366">
        <v>116873.88</v>
      </c>
      <c r="I45" s="483" t="s">
        <v>2</v>
      </c>
      <c r="J45" s="483"/>
      <c r="K45" s="476">
        <v>-107249.8</v>
      </c>
      <c r="L45" s="476"/>
      <c r="M45" s="436"/>
      <c r="N45" s="202"/>
    </row>
    <row r="46" spans="1:14" ht="19.5" thickBot="1" x14ac:dyDescent="0.3">
      <c r="B46" s="37"/>
      <c r="C46" s="43"/>
      <c r="E46" s="6" t="s">
        <v>347</v>
      </c>
      <c r="F46" s="48">
        <f>F45+F44</f>
        <v>88123.88</v>
      </c>
      <c r="J46" s="178"/>
      <c r="K46" s="477">
        <v>0</v>
      </c>
      <c r="L46" s="477"/>
      <c r="M46" s="436"/>
      <c r="N46" s="202"/>
    </row>
    <row r="47" spans="1:14" ht="19.5" thickBot="1" x14ac:dyDescent="0.3">
      <c r="B47" s="37"/>
      <c r="C47" s="43"/>
      <c r="E47" s="5"/>
      <c r="F47" s="56"/>
      <c r="I47" s="487" t="s">
        <v>401</v>
      </c>
      <c r="J47" s="488"/>
      <c r="K47" s="480">
        <f>SUM(K44:L46)</f>
        <v>-19125.919999999998</v>
      </c>
      <c r="L47" s="481"/>
      <c r="M47" s="436"/>
      <c r="N47" s="202"/>
    </row>
    <row r="48" spans="1:14" x14ac:dyDescent="0.25">
      <c r="B48" s="37"/>
      <c r="C48" s="43"/>
      <c r="D48" s="457"/>
      <c r="E48" s="457"/>
      <c r="F48" s="58"/>
      <c r="I48" s="43"/>
      <c r="J48" s="43"/>
      <c r="M48" s="436"/>
      <c r="N48" s="202"/>
    </row>
  </sheetData>
  <mergeCells count="15">
    <mergeCell ref="D48:E48"/>
    <mergeCell ref="I47:J47"/>
    <mergeCell ref="K47:L47"/>
    <mergeCell ref="K46:L46"/>
    <mergeCell ref="I45:J45"/>
    <mergeCell ref="K45:L45"/>
    <mergeCell ref="C1:K1"/>
    <mergeCell ref="E4:F4"/>
    <mergeCell ref="I4:L4"/>
    <mergeCell ref="I44:J44"/>
    <mergeCell ref="K44:L44"/>
    <mergeCell ref="D41:E41"/>
    <mergeCell ref="I43:K43"/>
    <mergeCell ref="H40:I40"/>
    <mergeCell ref="K40:L4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G120"/>
  <sheetViews>
    <sheetView tabSelected="1" workbookViewId="0">
      <selection activeCell="C14" sqref="C1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</cols>
  <sheetData>
    <row r="2" spans="1:7" ht="15.75" thickBot="1" x14ac:dyDescent="0.3"/>
    <row r="3" spans="1:7" ht="16.5" thickBot="1" x14ac:dyDescent="0.3">
      <c r="C3" s="484" t="s">
        <v>240</v>
      </c>
      <c r="D3" s="485"/>
      <c r="E3" s="486"/>
    </row>
    <row r="4" spans="1:7" ht="16.5" thickBot="1" x14ac:dyDescent="0.3">
      <c r="A4" s="247" t="s">
        <v>295</v>
      </c>
      <c r="B4" s="248" t="s">
        <v>296</v>
      </c>
      <c r="C4" s="435" t="s">
        <v>297</v>
      </c>
      <c r="D4" s="435"/>
      <c r="E4" s="435" t="s">
        <v>298</v>
      </c>
      <c r="F4" s="331" t="s">
        <v>299</v>
      </c>
    </row>
    <row r="5" spans="1:7" x14ac:dyDescent="0.25">
      <c r="A5" s="243">
        <v>42248</v>
      </c>
      <c r="B5" s="244" t="s">
        <v>662</v>
      </c>
      <c r="C5" s="245">
        <v>35764.400000000001</v>
      </c>
      <c r="D5" s="104"/>
      <c r="E5" s="245"/>
      <c r="F5" s="391">
        <f t="shared" ref="F5:F39" si="0">C5-E5</f>
        <v>35764.400000000001</v>
      </c>
      <c r="G5" s="105"/>
    </row>
    <row r="6" spans="1:7" x14ac:dyDescent="0.25">
      <c r="A6" s="143">
        <v>42249</v>
      </c>
      <c r="B6" s="144" t="s">
        <v>667</v>
      </c>
      <c r="C6" s="156">
        <v>73465.59</v>
      </c>
      <c r="D6" s="104"/>
      <c r="E6" s="156"/>
      <c r="F6" s="154">
        <f t="shared" si="0"/>
        <v>73465.59</v>
      </c>
      <c r="G6" s="105"/>
    </row>
    <row r="7" spans="1:7" x14ac:dyDescent="0.25">
      <c r="A7" s="143">
        <v>42250</v>
      </c>
      <c r="B7" s="144" t="s">
        <v>668</v>
      </c>
      <c r="C7" s="156">
        <v>66105.47</v>
      </c>
      <c r="D7" s="104"/>
      <c r="E7" s="156"/>
      <c r="F7" s="154">
        <f t="shared" si="0"/>
        <v>66105.47</v>
      </c>
      <c r="G7" s="105"/>
    </row>
    <row r="8" spans="1:7" x14ac:dyDescent="0.25">
      <c r="A8" s="143">
        <v>42252</v>
      </c>
      <c r="B8" s="144" t="s">
        <v>670</v>
      </c>
      <c r="C8" s="156">
        <v>31859.62</v>
      </c>
      <c r="D8" s="104"/>
      <c r="E8" s="156"/>
      <c r="F8" s="155">
        <f t="shared" si="0"/>
        <v>31859.62</v>
      </c>
    </row>
    <row r="9" spans="1:7" x14ac:dyDescent="0.25">
      <c r="A9" s="243">
        <v>42252</v>
      </c>
      <c r="B9" s="244" t="s">
        <v>671</v>
      </c>
      <c r="C9" s="245">
        <v>29334.5</v>
      </c>
      <c r="D9" s="104"/>
      <c r="E9" s="245"/>
      <c r="F9" s="155">
        <f t="shared" si="0"/>
        <v>29334.5</v>
      </c>
    </row>
    <row r="10" spans="1:7" x14ac:dyDescent="0.25">
      <c r="A10" s="143">
        <v>42252</v>
      </c>
      <c r="B10" s="144" t="s">
        <v>672</v>
      </c>
      <c r="C10" s="156">
        <v>31164.25</v>
      </c>
      <c r="D10" s="104"/>
      <c r="E10" s="156"/>
      <c r="F10" s="155">
        <f t="shared" si="0"/>
        <v>31164.25</v>
      </c>
    </row>
    <row r="11" spans="1:7" x14ac:dyDescent="0.25">
      <c r="A11" s="143">
        <v>42253</v>
      </c>
      <c r="B11" s="144" t="s">
        <v>673</v>
      </c>
      <c r="C11" s="156">
        <v>6243.8</v>
      </c>
      <c r="D11" s="104"/>
      <c r="E11" s="156"/>
      <c r="F11" s="155">
        <f t="shared" si="0"/>
        <v>6243.8</v>
      </c>
    </row>
    <row r="12" spans="1:7" x14ac:dyDescent="0.25">
      <c r="A12" s="143">
        <v>42251</v>
      </c>
      <c r="B12" s="144" t="s">
        <v>674</v>
      </c>
      <c r="C12" s="156">
        <v>34329.5</v>
      </c>
      <c r="D12" s="104"/>
      <c r="E12" s="156"/>
      <c r="F12" s="155">
        <f t="shared" si="0"/>
        <v>34329.5</v>
      </c>
    </row>
    <row r="13" spans="1:7" x14ac:dyDescent="0.25">
      <c r="A13" s="143">
        <v>42251</v>
      </c>
      <c r="B13" s="144" t="s">
        <v>675</v>
      </c>
      <c r="C13" s="156">
        <v>60411</v>
      </c>
      <c r="D13" s="104"/>
      <c r="E13" s="156"/>
      <c r="F13" s="155">
        <f t="shared" si="0"/>
        <v>60411</v>
      </c>
    </row>
    <row r="14" spans="1:7" x14ac:dyDescent="0.25">
      <c r="A14" s="143"/>
      <c r="B14" s="144"/>
      <c r="C14" s="156"/>
      <c r="D14" s="104"/>
      <c r="E14" s="156"/>
      <c r="F14" s="155">
        <f t="shared" si="0"/>
        <v>0</v>
      </c>
    </row>
    <row r="15" spans="1:7" x14ac:dyDescent="0.25">
      <c r="A15" s="143"/>
      <c r="B15" s="144"/>
      <c r="C15" s="156"/>
      <c r="D15" s="104"/>
      <c r="E15" s="156"/>
      <c r="F15" s="155">
        <f t="shared" si="0"/>
        <v>0</v>
      </c>
    </row>
    <row r="16" spans="1:7" x14ac:dyDescent="0.25">
      <c r="A16" s="143"/>
      <c r="B16" s="144"/>
      <c r="C16" s="156"/>
      <c r="D16" s="104"/>
      <c r="E16" s="156"/>
      <c r="F16" s="155">
        <f t="shared" si="0"/>
        <v>0</v>
      </c>
    </row>
    <row r="17" spans="1:7" x14ac:dyDescent="0.25">
      <c r="A17" s="143"/>
      <c r="B17" s="144"/>
      <c r="C17" s="156"/>
      <c r="D17" s="104"/>
      <c r="E17" s="156"/>
      <c r="F17" s="155">
        <f t="shared" si="0"/>
        <v>0</v>
      </c>
      <c r="G17" s="105"/>
    </row>
    <row r="18" spans="1:7" x14ac:dyDescent="0.25">
      <c r="A18" s="143"/>
      <c r="B18" s="144"/>
      <c r="C18" s="156"/>
      <c r="D18" s="104"/>
      <c r="E18" s="156"/>
      <c r="F18" s="155">
        <f t="shared" si="0"/>
        <v>0</v>
      </c>
    </row>
    <row r="19" spans="1:7" x14ac:dyDescent="0.25">
      <c r="A19" s="143"/>
      <c r="B19" s="144"/>
      <c r="C19" s="156"/>
      <c r="D19" s="104"/>
      <c r="E19" s="156"/>
      <c r="F19" s="155">
        <f t="shared" si="0"/>
        <v>0</v>
      </c>
    </row>
    <row r="20" spans="1:7" x14ac:dyDescent="0.25">
      <c r="A20" s="143"/>
      <c r="B20" s="144"/>
      <c r="C20" s="156"/>
      <c r="D20" s="104"/>
      <c r="E20" s="156"/>
      <c r="F20" s="155">
        <f t="shared" si="0"/>
        <v>0</v>
      </c>
    </row>
    <row r="21" spans="1:7" x14ac:dyDescent="0.25">
      <c r="A21" s="143"/>
      <c r="B21" s="144"/>
      <c r="C21" s="156"/>
      <c r="D21" s="104"/>
      <c r="E21" s="156"/>
      <c r="F21" s="155">
        <f t="shared" si="0"/>
        <v>0</v>
      </c>
    </row>
    <row r="22" spans="1:7" x14ac:dyDescent="0.25">
      <c r="A22" s="143"/>
      <c r="B22" s="144"/>
      <c r="C22" s="157"/>
      <c r="D22" s="104"/>
      <c r="E22" s="157"/>
      <c r="F22" s="155">
        <f t="shared" si="0"/>
        <v>0</v>
      </c>
    </row>
    <row r="23" spans="1:7" x14ac:dyDescent="0.25">
      <c r="A23" s="143"/>
      <c r="B23" s="144"/>
      <c r="C23" s="130"/>
      <c r="D23" s="104"/>
      <c r="E23" s="130"/>
      <c r="F23" s="155">
        <f t="shared" si="0"/>
        <v>0</v>
      </c>
    </row>
    <row r="24" spans="1:7" x14ac:dyDescent="0.25">
      <c r="A24" s="143"/>
      <c r="B24" s="144"/>
      <c r="C24" s="156"/>
      <c r="D24" s="328"/>
      <c r="E24" s="156"/>
      <c r="F24" s="155">
        <f t="shared" si="0"/>
        <v>0</v>
      </c>
    </row>
    <row r="25" spans="1:7" x14ac:dyDescent="0.25">
      <c r="A25" s="143"/>
      <c r="B25" s="144"/>
      <c r="C25" s="156"/>
      <c r="D25" s="320"/>
      <c r="E25" s="383"/>
      <c r="F25" s="155">
        <f t="shared" si="0"/>
        <v>0</v>
      </c>
    </row>
    <row r="26" spans="1:7" x14ac:dyDescent="0.25">
      <c r="A26" s="143"/>
      <c r="B26" s="144"/>
      <c r="C26" s="156"/>
      <c r="D26" s="104"/>
      <c r="E26" s="156"/>
      <c r="F26" s="155">
        <f t="shared" si="0"/>
        <v>0</v>
      </c>
    </row>
    <row r="27" spans="1:7" x14ac:dyDescent="0.25">
      <c r="A27" s="143"/>
      <c r="B27" s="144"/>
      <c r="C27" s="156"/>
      <c r="D27" s="104"/>
      <c r="E27" s="156"/>
      <c r="F27" s="155">
        <f t="shared" si="0"/>
        <v>0</v>
      </c>
    </row>
    <row r="28" spans="1:7" x14ac:dyDescent="0.25">
      <c r="A28" s="143"/>
      <c r="B28" s="144"/>
      <c r="C28" s="156"/>
      <c r="D28" s="104"/>
      <c r="E28" s="156"/>
      <c r="F28" s="155">
        <f t="shared" si="0"/>
        <v>0</v>
      </c>
    </row>
    <row r="29" spans="1:7" x14ac:dyDescent="0.25">
      <c r="A29" s="143"/>
      <c r="B29" s="144"/>
      <c r="C29" s="156"/>
      <c r="D29" s="104"/>
      <c r="E29" s="156"/>
      <c r="F29" s="155">
        <f t="shared" si="0"/>
        <v>0</v>
      </c>
    </row>
    <row r="30" spans="1:7" x14ac:dyDescent="0.25">
      <c r="A30" s="143"/>
      <c r="B30" s="144"/>
      <c r="C30" s="156"/>
      <c r="D30" s="104"/>
      <c r="E30" s="156"/>
      <c r="F30" s="155">
        <f t="shared" si="0"/>
        <v>0</v>
      </c>
    </row>
    <row r="31" spans="1:7" x14ac:dyDescent="0.25">
      <c r="A31" s="143"/>
      <c r="B31" s="144"/>
      <c r="C31" s="156"/>
      <c r="D31" s="437"/>
      <c r="E31" s="184"/>
      <c r="F31" s="155">
        <f t="shared" si="0"/>
        <v>0</v>
      </c>
    </row>
    <row r="32" spans="1:7" x14ac:dyDescent="0.25">
      <c r="A32" s="143"/>
      <c r="B32" s="144"/>
      <c r="C32" s="156"/>
      <c r="D32" s="320"/>
      <c r="E32" s="318"/>
      <c r="F32" s="155">
        <f t="shared" si="0"/>
        <v>0</v>
      </c>
    </row>
    <row r="33" spans="1:6" x14ac:dyDescent="0.25">
      <c r="A33" s="143"/>
      <c r="B33" s="144"/>
      <c r="C33" s="156"/>
      <c r="D33" s="320"/>
      <c r="E33" s="184"/>
      <c r="F33" s="155">
        <f t="shared" si="0"/>
        <v>0</v>
      </c>
    </row>
    <row r="34" spans="1:6" x14ac:dyDescent="0.25">
      <c r="A34" s="143"/>
      <c r="B34" s="144"/>
      <c r="C34" s="156"/>
      <c r="D34" s="320"/>
      <c r="E34" s="184"/>
      <c r="F34" s="155">
        <f t="shared" si="0"/>
        <v>0</v>
      </c>
    </row>
    <row r="35" spans="1:6" x14ac:dyDescent="0.25">
      <c r="A35" s="143"/>
      <c r="B35" s="144"/>
      <c r="C35" s="156"/>
      <c r="D35" s="320"/>
      <c r="E35" s="184"/>
      <c r="F35" s="155">
        <f t="shared" si="0"/>
        <v>0</v>
      </c>
    </row>
    <row r="36" spans="1:6" x14ac:dyDescent="0.25">
      <c r="A36" s="143"/>
      <c r="B36" s="292"/>
      <c r="C36" s="157"/>
      <c r="D36" s="320"/>
      <c r="E36" s="184"/>
      <c r="F36" s="155">
        <f t="shared" si="0"/>
        <v>0</v>
      </c>
    </row>
    <row r="37" spans="1:6" x14ac:dyDescent="0.25">
      <c r="A37" s="143"/>
      <c r="B37" s="292"/>
      <c r="C37" s="157"/>
      <c r="D37" s="416"/>
      <c r="E37" s="318"/>
      <c r="F37" s="155">
        <f t="shared" si="0"/>
        <v>0</v>
      </c>
    </row>
    <row r="38" spans="1:6" x14ac:dyDescent="0.25">
      <c r="A38" s="143"/>
      <c r="B38" s="293"/>
      <c r="C38" s="207"/>
      <c r="D38" s="440"/>
      <c r="E38" s="384"/>
      <c r="F38" s="207">
        <f t="shared" si="0"/>
        <v>0</v>
      </c>
    </row>
    <row r="39" spans="1:6" x14ac:dyDescent="0.25">
      <c r="A39" s="143"/>
      <c r="B39" s="307"/>
      <c r="C39" s="207"/>
      <c r="D39" s="408"/>
      <c r="E39" s="207"/>
      <c r="F39" s="207">
        <f t="shared" si="0"/>
        <v>0</v>
      </c>
    </row>
    <row r="40" spans="1:6" x14ac:dyDescent="0.25">
      <c r="A40" s="143"/>
      <c r="B40" s="409"/>
      <c r="C40" s="207"/>
      <c r="D40" s="226"/>
      <c r="E40" s="332"/>
      <c r="F40" s="207"/>
    </row>
    <row r="41" spans="1:6" x14ac:dyDescent="0.25">
      <c r="A41" s="406"/>
      <c r="B41" s="291"/>
      <c r="C41" s="150"/>
      <c r="D41" s="159"/>
      <c r="E41" s="150"/>
      <c r="F41" s="207"/>
    </row>
    <row r="42" spans="1:6" x14ac:dyDescent="0.25">
      <c r="A42" s="285"/>
      <c r="B42" s="290"/>
      <c r="C42" s="150"/>
      <c r="D42" s="300"/>
      <c r="E42" s="121"/>
      <c r="F42" s="207"/>
    </row>
    <row r="43" spans="1:6" x14ac:dyDescent="0.25">
      <c r="A43" s="285"/>
      <c r="B43" s="290"/>
      <c r="C43" s="150"/>
      <c r="D43" s="150"/>
      <c r="E43" s="121"/>
      <c r="F43" s="207"/>
    </row>
    <row r="44" spans="1:6" x14ac:dyDescent="0.25">
      <c r="A44" s="285"/>
      <c r="B44" s="290"/>
      <c r="C44" s="150"/>
      <c r="D44" s="150"/>
      <c r="E44" s="121"/>
      <c r="F44" s="207"/>
    </row>
    <row r="45" spans="1:6" x14ac:dyDescent="0.25">
      <c r="A45" s="406"/>
      <c r="B45" s="291"/>
      <c r="C45" s="150"/>
      <c r="D45" s="119"/>
      <c r="E45" s="150"/>
      <c r="F45" s="332"/>
    </row>
    <row r="46" spans="1:6" x14ac:dyDescent="0.25">
      <c r="A46" s="406"/>
      <c r="B46" s="291"/>
      <c r="C46" s="150"/>
      <c r="D46" s="119"/>
      <c r="E46" s="150"/>
      <c r="F46" s="332"/>
    </row>
    <row r="47" spans="1:6" x14ac:dyDescent="0.25">
      <c r="A47" s="406"/>
      <c r="B47" s="291"/>
      <c r="C47" s="150"/>
      <c r="D47" s="119"/>
      <c r="E47" s="150"/>
      <c r="F47" s="332"/>
    </row>
    <row r="48" spans="1:6" x14ac:dyDescent="0.25">
      <c r="A48" s="406"/>
      <c r="B48" s="291"/>
      <c r="C48" s="150"/>
      <c r="D48" s="119"/>
      <c r="E48" s="150"/>
      <c r="F48" s="332"/>
    </row>
    <row r="49" spans="1:6" x14ac:dyDescent="0.25">
      <c r="A49" s="406"/>
      <c r="B49" s="289"/>
      <c r="C49" s="150"/>
      <c r="D49" s="119"/>
      <c r="E49" s="150"/>
      <c r="F49" s="332"/>
    </row>
    <row r="50" spans="1:6" ht="15.7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</row>
    <row r="51" spans="1:6" ht="15.75" thickTop="1" x14ac:dyDescent="0.25">
      <c r="C51" s="58">
        <f>SUM(C5:C50)</f>
        <v>368678.12999999995</v>
      </c>
      <c r="D51" s="58"/>
      <c r="E51" s="58">
        <f>SUM(E5:E50)</f>
        <v>0</v>
      </c>
      <c r="F51" s="242">
        <f>SUM(F5:F50)</f>
        <v>368678.12999999995</v>
      </c>
    </row>
    <row r="52" spans="1:6" x14ac:dyDescent="0.25">
      <c r="A52" s="436"/>
      <c r="B52"/>
      <c r="D52"/>
      <c r="E52" s="43"/>
    </row>
    <row r="53" spans="1:6" x14ac:dyDescent="0.25">
      <c r="A53" s="436"/>
      <c r="B53"/>
      <c r="D53"/>
      <c r="E53" s="43"/>
    </row>
    <row r="54" spans="1:6" x14ac:dyDescent="0.25">
      <c r="A54" s="436"/>
      <c r="B54"/>
      <c r="D54"/>
      <c r="E54" s="43"/>
    </row>
    <row r="55" spans="1:6" x14ac:dyDescent="0.25">
      <c r="A55" s="436"/>
      <c r="B55"/>
      <c r="D55"/>
      <c r="E55" s="43" t="s">
        <v>12</v>
      </c>
    </row>
    <row r="56" spans="1:6" x14ac:dyDescent="0.25">
      <c r="A56" s="436"/>
      <c r="B56"/>
      <c r="D56"/>
      <c r="E56" s="43"/>
    </row>
    <row r="57" spans="1:6" x14ac:dyDescent="0.25">
      <c r="A57" s="436"/>
      <c r="B57"/>
      <c r="D57"/>
      <c r="E57" s="43"/>
    </row>
    <row r="58" spans="1:6" x14ac:dyDescent="0.25">
      <c r="A58" s="436"/>
      <c r="B58"/>
      <c r="D58"/>
      <c r="E58" s="43"/>
    </row>
    <row r="59" spans="1:6" x14ac:dyDescent="0.25">
      <c r="A59" s="436"/>
      <c r="B59"/>
      <c r="D59"/>
      <c r="E59" s="43"/>
    </row>
    <row r="60" spans="1:6" x14ac:dyDescent="0.25">
      <c r="A60" s="436"/>
      <c r="B60"/>
      <c r="D60"/>
      <c r="E60" s="43"/>
    </row>
    <row r="61" spans="1:6" x14ac:dyDescent="0.25">
      <c r="A61" s="436"/>
      <c r="B61"/>
      <c r="D61"/>
      <c r="E61" s="43"/>
    </row>
    <row r="62" spans="1:6" x14ac:dyDescent="0.25">
      <c r="A62" s="436"/>
      <c r="B62"/>
      <c r="D62"/>
      <c r="E62" s="43"/>
    </row>
    <row r="63" spans="1:6" x14ac:dyDescent="0.25">
      <c r="A63" s="436"/>
      <c r="B63"/>
      <c r="D63"/>
      <c r="E63" s="43"/>
    </row>
    <row r="64" spans="1:6" x14ac:dyDescent="0.25">
      <c r="A64" s="243"/>
      <c r="B64" s="244"/>
      <c r="C64" s="245"/>
      <c r="D64"/>
      <c r="E64" s="43"/>
    </row>
    <row r="65" spans="1:7" x14ac:dyDescent="0.25">
      <c r="A65" s="143"/>
      <c r="B65" s="144"/>
      <c r="C65" s="156"/>
    </row>
    <row r="66" spans="1:7" x14ac:dyDescent="0.25">
      <c r="A66" s="143"/>
      <c r="B66" s="144"/>
      <c r="C66" s="156"/>
    </row>
    <row r="67" spans="1:7" x14ac:dyDescent="0.25">
      <c r="A67" s="143"/>
      <c r="B67" s="144"/>
      <c r="C67" s="156"/>
    </row>
    <row r="68" spans="1:7" x14ac:dyDescent="0.25">
      <c r="A68" s="243"/>
      <c r="B68" s="244"/>
      <c r="C68" s="245"/>
    </row>
    <row r="69" spans="1:7" x14ac:dyDescent="0.25">
      <c r="A69" s="143"/>
      <c r="B69" s="144"/>
      <c r="C69" s="156"/>
    </row>
    <row r="70" spans="1:7" x14ac:dyDescent="0.25">
      <c r="A70" s="143"/>
      <c r="B70" s="144"/>
      <c r="C70" s="156"/>
    </row>
    <row r="71" spans="1:7" x14ac:dyDescent="0.25">
      <c r="A71" s="143"/>
      <c r="B71" s="144"/>
      <c r="C71" s="156"/>
    </row>
    <row r="72" spans="1:7" x14ac:dyDescent="0.25">
      <c r="A72" s="143"/>
      <c r="B72" s="144"/>
      <c r="C72" s="156"/>
      <c r="D72"/>
      <c r="E72"/>
      <c r="F72" s="23"/>
      <c r="G72"/>
    </row>
    <row r="73" spans="1:7" x14ac:dyDescent="0.25">
      <c r="A73" s="143"/>
      <c r="B73" s="144"/>
      <c r="C73" s="156"/>
      <c r="D73"/>
      <c r="E73"/>
      <c r="F73" s="23"/>
      <c r="G73"/>
    </row>
    <row r="74" spans="1:7" x14ac:dyDescent="0.25">
      <c r="A74" s="143"/>
      <c r="B74" s="144"/>
      <c r="C74" s="156"/>
      <c r="D74"/>
      <c r="E74"/>
      <c r="F74" s="23"/>
      <c r="G74"/>
    </row>
    <row r="75" spans="1:7" x14ac:dyDescent="0.25">
      <c r="A75" s="143"/>
      <c r="B75" s="144"/>
      <c r="C75" s="156"/>
      <c r="D75"/>
      <c r="E75"/>
      <c r="F75" s="23"/>
      <c r="G75"/>
    </row>
    <row r="76" spans="1:7" x14ac:dyDescent="0.25">
      <c r="A76" s="143"/>
      <c r="B76" s="144"/>
      <c r="C76" s="156"/>
      <c r="D76"/>
      <c r="E76"/>
      <c r="F76" s="23"/>
      <c r="G76"/>
    </row>
    <row r="77" spans="1:7" x14ac:dyDescent="0.25">
      <c r="A77" s="143"/>
      <c r="B77" s="144"/>
      <c r="C77" s="156"/>
      <c r="D77"/>
      <c r="E77"/>
      <c r="F77" s="23"/>
      <c r="G77"/>
    </row>
    <row r="78" spans="1:7" x14ac:dyDescent="0.25">
      <c r="A78" s="143"/>
      <c r="B78" s="144"/>
      <c r="C78" s="156"/>
      <c r="D78"/>
      <c r="E78"/>
      <c r="F78" s="23"/>
      <c r="G78"/>
    </row>
    <row r="79" spans="1:7" x14ac:dyDescent="0.25">
      <c r="A79" s="143"/>
      <c r="B79" s="144"/>
      <c r="C79" s="156"/>
      <c r="D79"/>
      <c r="E79"/>
      <c r="F79" s="23"/>
      <c r="G79"/>
    </row>
    <row r="80" spans="1:7" x14ac:dyDescent="0.25">
      <c r="A80" s="143"/>
      <c r="B80" s="144"/>
      <c r="C80" s="156"/>
      <c r="D80"/>
      <c r="E80"/>
      <c r="F80" s="23"/>
      <c r="G80"/>
    </row>
    <row r="81" spans="1:7" x14ac:dyDescent="0.25">
      <c r="A81" s="143"/>
      <c r="B81" s="144"/>
      <c r="C81" s="156"/>
      <c r="D81"/>
      <c r="E81"/>
      <c r="F81" s="23"/>
      <c r="G81"/>
    </row>
    <row r="82" spans="1:7" x14ac:dyDescent="0.25">
      <c r="A82" s="143"/>
      <c r="B82" s="144"/>
      <c r="C82" s="156"/>
      <c r="D82"/>
      <c r="E82"/>
      <c r="F82" s="23"/>
      <c r="G82"/>
    </row>
    <row r="83" spans="1:7" x14ac:dyDescent="0.25">
      <c r="A83"/>
      <c r="B83"/>
      <c r="C83" s="80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5" spans="1:7" x14ac:dyDescent="0.25">
      <c r="A95"/>
      <c r="B95"/>
      <c r="C95"/>
      <c r="D95"/>
      <c r="E95"/>
      <c r="F95" s="23"/>
      <c r="G95"/>
    </row>
    <row r="96" spans="1:7" x14ac:dyDescent="0.25">
      <c r="A96"/>
      <c r="B96"/>
      <c r="C96"/>
      <c r="D96"/>
      <c r="E96"/>
      <c r="F96" s="23"/>
      <c r="G96"/>
    </row>
    <row r="97" spans="1:7" x14ac:dyDescent="0.25">
      <c r="A97"/>
      <c r="B97"/>
      <c r="C97"/>
      <c r="D97"/>
      <c r="E97"/>
      <c r="F97" s="23"/>
      <c r="G97"/>
    </row>
    <row r="98" spans="1:7" x14ac:dyDescent="0.25">
      <c r="A98"/>
      <c r="B98"/>
      <c r="C98"/>
      <c r="D98"/>
      <c r="E98"/>
      <c r="F98" s="23"/>
      <c r="G98"/>
    </row>
    <row r="99" spans="1:7" x14ac:dyDescent="0.25">
      <c r="A99"/>
      <c r="B99"/>
      <c r="C99"/>
      <c r="D99"/>
      <c r="E99"/>
      <c r="F99" s="23"/>
      <c r="G99"/>
    </row>
    <row r="100" spans="1:7" x14ac:dyDescent="0.25">
      <c r="A100"/>
      <c r="B100"/>
      <c r="C100"/>
      <c r="D100"/>
      <c r="E100"/>
      <c r="F100" s="23"/>
      <c r="G100"/>
    </row>
    <row r="101" spans="1:7" x14ac:dyDescent="0.25">
      <c r="A101"/>
      <c r="B101"/>
      <c r="C101"/>
      <c r="D101"/>
      <c r="E101"/>
      <c r="F101" s="23"/>
      <c r="G101"/>
    </row>
    <row r="102" spans="1:7" x14ac:dyDescent="0.25">
      <c r="A102"/>
      <c r="B102"/>
      <c r="C102"/>
      <c r="D102"/>
      <c r="E102"/>
      <c r="F102" s="23"/>
      <c r="G102"/>
    </row>
    <row r="103" spans="1:7" x14ac:dyDescent="0.25">
      <c r="A103"/>
      <c r="B103"/>
      <c r="C103"/>
      <c r="D103"/>
      <c r="E103"/>
      <c r="F103" s="23"/>
      <c r="G103"/>
    </row>
    <row r="104" spans="1:7" x14ac:dyDescent="0.25">
      <c r="A104"/>
      <c r="B104"/>
      <c r="C104"/>
      <c r="D104"/>
      <c r="E104"/>
      <c r="F104" s="23"/>
      <c r="G104"/>
    </row>
    <row r="105" spans="1:7" x14ac:dyDescent="0.25">
      <c r="A105"/>
      <c r="B105"/>
      <c r="C105"/>
      <c r="D105"/>
      <c r="E105"/>
      <c r="F105" s="23"/>
      <c r="G105"/>
    </row>
    <row r="106" spans="1:7" x14ac:dyDescent="0.25">
      <c r="A106"/>
      <c r="B106"/>
      <c r="C106"/>
      <c r="D106"/>
      <c r="E106"/>
      <c r="F106" s="23"/>
      <c r="G106"/>
    </row>
    <row r="107" spans="1:7" x14ac:dyDescent="0.25">
      <c r="A107"/>
      <c r="B107"/>
      <c r="C107"/>
      <c r="D107"/>
      <c r="E107"/>
      <c r="F107" s="23"/>
      <c r="G107"/>
    </row>
    <row r="108" spans="1:7" x14ac:dyDescent="0.25">
      <c r="A108"/>
      <c r="B108"/>
      <c r="C108"/>
      <c r="D108"/>
      <c r="E108"/>
      <c r="F108" s="23"/>
      <c r="G108"/>
    </row>
    <row r="109" spans="1:7" x14ac:dyDescent="0.25">
      <c r="A109"/>
      <c r="B109"/>
      <c r="C109"/>
      <c r="D109"/>
      <c r="E109"/>
      <c r="F109" s="23"/>
      <c r="G109"/>
    </row>
    <row r="110" spans="1:7" x14ac:dyDescent="0.25">
      <c r="A110"/>
      <c r="B110"/>
      <c r="C110"/>
      <c r="D110"/>
      <c r="E110"/>
      <c r="F110" s="23"/>
      <c r="G110"/>
    </row>
    <row r="111" spans="1:7" x14ac:dyDescent="0.25">
      <c r="A111"/>
      <c r="B111"/>
      <c r="C111"/>
      <c r="D111"/>
      <c r="E111"/>
      <c r="F111" s="23"/>
      <c r="G111"/>
    </row>
    <row r="112" spans="1:7" x14ac:dyDescent="0.25">
      <c r="A112"/>
      <c r="B112"/>
      <c r="C112"/>
      <c r="D112"/>
      <c r="E112"/>
      <c r="F112" s="23"/>
      <c r="G112"/>
    </row>
    <row r="113" spans="1:7" x14ac:dyDescent="0.25">
      <c r="A113"/>
      <c r="B113"/>
      <c r="C113"/>
      <c r="D113"/>
      <c r="E113"/>
      <c r="F113" s="23"/>
      <c r="G113"/>
    </row>
    <row r="114" spans="1:7" x14ac:dyDescent="0.25">
      <c r="A114"/>
      <c r="B114"/>
      <c r="C114"/>
      <c r="D114"/>
      <c r="E114"/>
      <c r="F114" s="23"/>
      <c r="G114"/>
    </row>
    <row r="115" spans="1:7" x14ac:dyDescent="0.25">
      <c r="A115"/>
      <c r="B115"/>
      <c r="C115"/>
      <c r="D115"/>
      <c r="E115"/>
      <c r="F115" s="23"/>
      <c r="G115"/>
    </row>
    <row r="116" spans="1:7" x14ac:dyDescent="0.25">
      <c r="A116"/>
      <c r="B116"/>
      <c r="C116"/>
      <c r="D116"/>
      <c r="E116"/>
      <c r="F116" s="23"/>
      <c r="G116"/>
    </row>
    <row r="117" spans="1:7" x14ac:dyDescent="0.25">
      <c r="A117"/>
      <c r="B117"/>
      <c r="C117"/>
      <c r="D117"/>
      <c r="E117"/>
      <c r="F117" s="23"/>
      <c r="G117"/>
    </row>
    <row r="118" spans="1:7" x14ac:dyDescent="0.25">
      <c r="A118"/>
      <c r="B118"/>
      <c r="C118"/>
      <c r="D118"/>
      <c r="E118"/>
      <c r="F118" s="23"/>
      <c r="G118"/>
    </row>
    <row r="119" spans="1:7" x14ac:dyDescent="0.25">
      <c r="A119"/>
      <c r="B119"/>
      <c r="C119"/>
      <c r="D119"/>
      <c r="E119"/>
      <c r="F119" s="23"/>
      <c r="G119"/>
    </row>
    <row r="120" spans="1:7" x14ac:dyDescent="0.25">
      <c r="A120"/>
      <c r="B120"/>
      <c r="C120"/>
      <c r="D120"/>
      <c r="E120"/>
      <c r="F120" s="23"/>
      <c r="G120"/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448" t="s">
        <v>56</v>
      </c>
      <c r="D1" s="448"/>
      <c r="E1" s="448"/>
      <c r="F1" s="448"/>
      <c r="G1" s="448"/>
      <c r="H1" s="448"/>
      <c r="I1" s="448"/>
      <c r="J1" s="448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449" t="s">
        <v>14</v>
      </c>
      <c r="F4" s="450"/>
      <c r="I4" s="451" t="s">
        <v>4</v>
      </c>
      <c r="J4" s="452"/>
      <c r="K4" s="452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453" t="s">
        <v>7</v>
      </c>
      <c r="I40" s="454"/>
      <c r="J40" s="455">
        <f>I38+K38</f>
        <v>74761.744999999995</v>
      </c>
      <c r="K40" s="456"/>
      <c r="N40" s="43">
        <v>97788.05</v>
      </c>
    </row>
    <row r="41" spans="1:14" ht="15.75" x14ac:dyDescent="0.25">
      <c r="D41" s="447" t="s">
        <v>8</v>
      </c>
      <c r="E41" s="447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457"/>
      <c r="J43" s="457"/>
      <c r="K43" s="2"/>
      <c r="N43" s="43">
        <v>32473.27</v>
      </c>
    </row>
    <row r="44" spans="1:14" ht="16.5" thickBot="1" x14ac:dyDescent="0.3">
      <c r="D44" s="446" t="s">
        <v>9</v>
      </c>
      <c r="E44" s="446"/>
      <c r="F44" s="59">
        <v>232988.59</v>
      </c>
      <c r="I44" s="458"/>
      <c r="J44" s="458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459" t="s">
        <v>13</v>
      </c>
      <c r="J45" s="460"/>
      <c r="K45" s="463">
        <f>F45+K44</f>
        <v>20895.104999999661</v>
      </c>
      <c r="N45" s="43">
        <v>64614.3</v>
      </c>
    </row>
    <row r="46" spans="1:14" ht="15.75" thickBot="1" x14ac:dyDescent="0.3">
      <c r="D46" s="445"/>
      <c r="E46" s="445"/>
      <c r="F46" s="55"/>
      <c r="I46" s="461"/>
      <c r="J46" s="462"/>
      <c r="K46" s="464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D41:E41"/>
    <mergeCell ref="C1:J1"/>
    <mergeCell ref="E4:F4"/>
    <mergeCell ref="I4:K4"/>
    <mergeCell ref="H40:I40"/>
    <mergeCell ref="J40:K40"/>
    <mergeCell ref="I43:J43"/>
    <mergeCell ref="D44:E44"/>
    <mergeCell ref="I44:J44"/>
    <mergeCell ref="I45:J46"/>
    <mergeCell ref="K45:K46"/>
    <mergeCell ref="D46:E46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448" t="s">
        <v>103</v>
      </c>
      <c r="D1" s="448"/>
      <c r="E1" s="448"/>
      <c r="F1" s="448"/>
      <c r="G1" s="448"/>
      <c r="H1" s="448"/>
      <c r="I1" s="448"/>
      <c r="J1" s="448"/>
      <c r="K1" s="448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469" t="s">
        <v>14</v>
      </c>
      <c r="F4" s="470"/>
      <c r="I4" s="451" t="s">
        <v>4</v>
      </c>
      <c r="J4" s="452"/>
      <c r="K4" s="452"/>
      <c r="L4" s="452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465" t="s">
        <v>173</v>
      </c>
      <c r="P17" s="466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467"/>
      <c r="P18" s="468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453" t="s">
        <v>7</v>
      </c>
      <c r="I40" s="454"/>
      <c r="J40" s="86"/>
      <c r="K40" s="455">
        <f>I38+L38</f>
        <v>53434.49</v>
      </c>
      <c r="L40" s="456"/>
      <c r="O40" t="s">
        <v>169</v>
      </c>
      <c r="P40" s="43">
        <v>16673.759999999998</v>
      </c>
    </row>
    <row r="41" spans="1:16" ht="15.75" x14ac:dyDescent="0.25">
      <c r="D41" s="447" t="s">
        <v>8</v>
      </c>
      <c r="E41" s="447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457"/>
      <c r="J43" s="457"/>
      <c r="K43" s="457"/>
      <c r="L43" s="2"/>
      <c r="O43" t="s">
        <v>172</v>
      </c>
      <c r="P43" s="43">
        <v>58093</v>
      </c>
    </row>
    <row r="44" spans="1:16" ht="16.5" thickBot="1" x14ac:dyDescent="0.3">
      <c r="D44" s="446" t="s">
        <v>9</v>
      </c>
      <c r="E44" s="446"/>
      <c r="F44" s="59">
        <v>174723.71</v>
      </c>
      <c r="I44" s="458"/>
      <c r="J44" s="458"/>
      <c r="K44" s="458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459" t="s">
        <v>13</v>
      </c>
      <c r="J45" s="460"/>
      <c r="K45" s="460"/>
      <c r="L45" s="463">
        <f>F45+L44</f>
        <v>-119565.35599999988</v>
      </c>
    </row>
    <row r="46" spans="1:16" ht="15.75" thickBot="1" x14ac:dyDescent="0.3">
      <c r="D46" s="445"/>
      <c r="E46" s="445"/>
      <c r="F46" s="55"/>
      <c r="I46" s="461"/>
      <c r="J46" s="462"/>
      <c r="K46" s="462"/>
      <c r="L46" s="464"/>
    </row>
    <row r="47" spans="1:16" ht="15.75" thickTop="1" x14ac:dyDescent="0.25"/>
  </sheetData>
  <mergeCells count="13">
    <mergeCell ref="O17:P18"/>
    <mergeCell ref="D41:E41"/>
    <mergeCell ref="C1:K1"/>
    <mergeCell ref="E4:F4"/>
    <mergeCell ref="I4:L4"/>
    <mergeCell ref="H40:I40"/>
    <mergeCell ref="K40:L40"/>
    <mergeCell ref="I43:K43"/>
    <mergeCell ref="D44:E44"/>
    <mergeCell ref="I44:K44"/>
    <mergeCell ref="I45:K46"/>
    <mergeCell ref="L45:L46"/>
    <mergeCell ref="D46:E46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98"/>
  <sheetViews>
    <sheetView topLeftCell="A7" workbookViewId="0">
      <selection activeCell="E50" sqref="E50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0"/>
    <col min="16" max="16" width="11.42578125" style="111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3.85546875" style="43" bestFit="1" customWidth="1"/>
    <col min="25" max="25" width="13.85546875" style="43" customWidth="1"/>
    <col min="27" max="27" width="17.42578125" style="58" bestFit="1" customWidth="1"/>
    <col min="28" max="28" width="12.5703125" style="5" bestFit="1" customWidth="1"/>
  </cols>
  <sheetData>
    <row r="1" spans="1:28" ht="23.25" x14ac:dyDescent="0.35">
      <c r="C1" s="448" t="s">
        <v>176</v>
      </c>
      <c r="D1" s="448"/>
      <c r="E1" s="448"/>
      <c r="F1" s="448"/>
      <c r="G1" s="448"/>
      <c r="H1" s="448"/>
      <c r="I1" s="448"/>
      <c r="J1" s="448"/>
      <c r="K1" s="448"/>
    </row>
    <row r="2" spans="1:28" ht="15.75" thickBot="1" x14ac:dyDescent="0.3">
      <c r="E2" s="99"/>
      <c r="F2" s="50"/>
      <c r="W2" s="102" t="s">
        <v>200</v>
      </c>
      <c r="X2" s="103"/>
      <c r="Y2" s="103"/>
      <c r="Z2" s="104"/>
      <c r="AA2" s="103" t="s">
        <v>209</v>
      </c>
      <c r="AB2" s="107"/>
    </row>
    <row r="3" spans="1:28" ht="16.5" thickBot="1" x14ac:dyDescent="0.3">
      <c r="C3" s="44" t="s">
        <v>0</v>
      </c>
      <c r="D3" s="3"/>
      <c r="Q3" s="471" t="s">
        <v>240</v>
      </c>
      <c r="R3" s="472"/>
      <c r="S3" s="473"/>
      <c r="W3" s="102"/>
      <c r="X3" s="103"/>
      <c r="Y3" s="103"/>
      <c r="Z3" s="104"/>
      <c r="AA3" s="103"/>
      <c r="AB3" s="109"/>
    </row>
    <row r="4" spans="1:28" ht="20.25" thickTop="1" thickBot="1" x14ac:dyDescent="0.35">
      <c r="A4" s="96" t="s">
        <v>2</v>
      </c>
      <c r="B4" s="38"/>
      <c r="C4" s="94">
        <v>174723.71</v>
      </c>
      <c r="D4" s="2"/>
      <c r="E4" s="469" t="s">
        <v>14</v>
      </c>
      <c r="F4" s="470"/>
      <c r="I4" s="451" t="s">
        <v>4</v>
      </c>
      <c r="J4" s="452"/>
      <c r="K4" s="452"/>
      <c r="L4" s="452"/>
      <c r="M4" s="69" t="s">
        <v>18</v>
      </c>
      <c r="W4" s="112" t="s">
        <v>201</v>
      </c>
      <c r="X4" s="114"/>
      <c r="Y4" s="114"/>
      <c r="Z4" s="113" t="s">
        <v>202</v>
      </c>
      <c r="AA4" s="114">
        <v>45595.5</v>
      </c>
      <c r="AB4" s="115"/>
    </row>
    <row r="5" spans="1:28" ht="17.2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65"/>
      <c r="L5" s="166"/>
      <c r="M5" s="161"/>
      <c r="N5" s="80"/>
      <c r="O5" s="143">
        <v>42006</v>
      </c>
      <c r="P5" s="144">
        <v>8009</v>
      </c>
      <c r="Q5" s="156">
        <v>58093</v>
      </c>
      <c r="R5" s="104">
        <v>42007</v>
      </c>
      <c r="S5" s="103">
        <v>58093</v>
      </c>
      <c r="T5" s="154">
        <f t="shared" ref="T5:T40" si="0">Q5-S5</f>
        <v>0</v>
      </c>
      <c r="U5" s="105"/>
      <c r="V5" s="106"/>
      <c r="W5" s="116" t="s">
        <v>203</v>
      </c>
      <c r="X5" s="148"/>
      <c r="Y5" s="148"/>
      <c r="Z5" s="117" t="s">
        <v>202</v>
      </c>
      <c r="AA5" s="118">
        <v>2900</v>
      </c>
      <c r="AB5" s="128"/>
    </row>
    <row r="6" spans="1:28" ht="16.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67" t="s">
        <v>5</v>
      </c>
      <c r="L6" s="168">
        <v>771</v>
      </c>
      <c r="M6" s="162" t="s">
        <v>177</v>
      </c>
      <c r="N6" s="80"/>
      <c r="O6" s="143">
        <v>42007</v>
      </c>
      <c r="P6" s="144">
        <v>8054</v>
      </c>
      <c r="Q6" s="156">
        <v>5961.6</v>
      </c>
      <c r="R6" s="104">
        <v>42007</v>
      </c>
      <c r="S6" s="103">
        <v>5961.6</v>
      </c>
      <c r="T6" s="154">
        <f t="shared" si="0"/>
        <v>0</v>
      </c>
      <c r="U6" s="105"/>
      <c r="V6" s="108"/>
      <c r="W6" s="120" t="s">
        <v>203</v>
      </c>
      <c r="X6" s="149"/>
      <c r="Y6" s="149"/>
      <c r="Z6" s="117" t="s">
        <v>202</v>
      </c>
      <c r="AA6" s="118">
        <v>46700</v>
      </c>
      <c r="AB6" s="128"/>
    </row>
    <row r="7" spans="1:28" ht="16.5" thickBot="1" x14ac:dyDescent="0.3">
      <c r="A7" s="21"/>
      <c r="B7" s="39">
        <v>42007</v>
      </c>
      <c r="C7" s="45">
        <v>0</v>
      </c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67" t="s">
        <v>3</v>
      </c>
      <c r="L7" s="168">
        <v>0</v>
      </c>
      <c r="M7" s="162" t="s">
        <v>178</v>
      </c>
      <c r="N7" s="80"/>
      <c r="O7" s="143">
        <v>42008</v>
      </c>
      <c r="P7" s="144">
        <v>8155</v>
      </c>
      <c r="Q7" s="156">
        <v>80254.13</v>
      </c>
      <c r="R7" s="104">
        <v>42011</v>
      </c>
      <c r="S7" s="103">
        <v>80254.13</v>
      </c>
      <c r="T7" s="155">
        <f t="shared" si="0"/>
        <v>0</v>
      </c>
      <c r="U7" s="105"/>
      <c r="V7" s="108"/>
      <c r="W7" s="120" t="s">
        <v>203</v>
      </c>
      <c r="X7" s="149"/>
      <c r="Y7" s="149"/>
      <c r="Z7" s="113" t="s">
        <v>202</v>
      </c>
      <c r="AA7" s="114">
        <v>11206</v>
      </c>
      <c r="AB7" s="128"/>
    </row>
    <row r="8" spans="1:28" ht="16.5" thickBot="1" x14ac:dyDescent="0.3">
      <c r="A8" s="21"/>
      <c r="B8" s="39">
        <v>42008</v>
      </c>
      <c r="C8" s="45">
        <v>0</v>
      </c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67" t="s">
        <v>6</v>
      </c>
      <c r="L8" s="168">
        <v>28750</v>
      </c>
      <c r="M8" s="68" t="s">
        <v>179</v>
      </c>
      <c r="N8" s="80"/>
      <c r="O8" s="143">
        <v>42010</v>
      </c>
      <c r="P8" s="144">
        <v>8302</v>
      </c>
      <c r="Q8" s="156">
        <v>71461.39</v>
      </c>
      <c r="R8" s="104">
        <v>42014</v>
      </c>
      <c r="S8" s="103">
        <v>71461.39</v>
      </c>
      <c r="T8" s="155">
        <f t="shared" si="0"/>
        <v>0</v>
      </c>
      <c r="U8" s="105"/>
      <c r="V8" s="106"/>
      <c r="W8" s="112" t="s">
        <v>204</v>
      </c>
      <c r="X8" s="114"/>
      <c r="Y8" s="114"/>
      <c r="Z8" s="113" t="s">
        <v>202</v>
      </c>
      <c r="AA8" s="118">
        <v>6929</v>
      </c>
      <c r="AB8" s="128"/>
    </row>
    <row r="9" spans="1:28" ht="16.5" thickBot="1" x14ac:dyDescent="0.3">
      <c r="A9" s="21"/>
      <c r="B9" s="39">
        <v>42009</v>
      </c>
      <c r="C9" s="45">
        <v>0</v>
      </c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67" t="s">
        <v>192</v>
      </c>
      <c r="L9" s="168">
        <v>8305.57</v>
      </c>
      <c r="M9" s="162" t="s">
        <v>180</v>
      </c>
      <c r="N9" s="80"/>
      <c r="O9" s="143">
        <v>42011</v>
      </c>
      <c r="P9" s="144">
        <v>8438</v>
      </c>
      <c r="Q9" s="156">
        <v>25006.06</v>
      </c>
      <c r="R9" s="104">
        <v>42014</v>
      </c>
      <c r="S9" s="103">
        <v>25006.06</v>
      </c>
      <c r="T9" s="155">
        <f t="shared" si="0"/>
        <v>0</v>
      </c>
      <c r="W9" s="120" t="s">
        <v>206</v>
      </c>
      <c r="X9" s="149"/>
      <c r="Y9" s="149"/>
      <c r="Z9" s="113" t="s">
        <v>202</v>
      </c>
      <c r="AA9" s="118">
        <v>5839</v>
      </c>
      <c r="AB9" s="128"/>
    </row>
    <row r="10" spans="1:28" ht="16.5" thickBot="1" x14ac:dyDescent="0.3">
      <c r="A10" s="21"/>
      <c r="B10" s="39">
        <v>42010</v>
      </c>
      <c r="C10" s="45">
        <v>0</v>
      </c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67" t="s">
        <v>193</v>
      </c>
      <c r="L10" s="168">
        <v>8043.67</v>
      </c>
      <c r="M10" s="162" t="s">
        <v>181</v>
      </c>
      <c r="N10" s="80"/>
      <c r="O10" s="143">
        <v>42012</v>
      </c>
      <c r="P10" s="144">
        <v>8511</v>
      </c>
      <c r="Q10" s="156">
        <v>8301.5</v>
      </c>
      <c r="R10" s="104">
        <v>42014</v>
      </c>
      <c r="S10" s="103">
        <v>8301.5</v>
      </c>
      <c r="T10" s="155">
        <f t="shared" si="0"/>
        <v>0</v>
      </c>
      <c r="W10" s="120" t="s">
        <v>206</v>
      </c>
      <c r="X10" s="149"/>
      <c r="Y10" s="149"/>
      <c r="Z10" s="113" t="s">
        <v>202</v>
      </c>
      <c r="AA10" s="118">
        <v>27800</v>
      </c>
      <c r="AB10" s="128"/>
    </row>
    <row r="11" spans="1:28" ht="16.5" thickBot="1" x14ac:dyDescent="0.3">
      <c r="A11" s="21"/>
      <c r="B11" s="39">
        <v>42011</v>
      </c>
      <c r="C11" s="45">
        <v>0</v>
      </c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67" t="s">
        <v>194</v>
      </c>
      <c r="L11" s="168">
        <v>7667.48</v>
      </c>
      <c r="M11" s="162" t="s">
        <v>182</v>
      </c>
      <c r="N11" s="80"/>
      <c r="O11" s="143">
        <v>42012</v>
      </c>
      <c r="P11" s="144">
        <v>8513</v>
      </c>
      <c r="Q11" s="156">
        <v>79026.13</v>
      </c>
      <c r="R11" s="104">
        <v>42014</v>
      </c>
      <c r="S11" s="103">
        <v>79026.13</v>
      </c>
      <c r="T11" s="155">
        <f t="shared" si="0"/>
        <v>0</v>
      </c>
      <c r="W11" s="112" t="s">
        <v>207</v>
      </c>
      <c r="X11" s="114"/>
      <c r="Y11" s="114"/>
      <c r="Z11" s="113" t="s">
        <v>202</v>
      </c>
      <c r="AA11" s="118">
        <v>1235</v>
      </c>
      <c r="AB11" s="128"/>
    </row>
    <row r="12" spans="1:28" ht="16.5" thickBot="1" x14ac:dyDescent="0.3">
      <c r="A12" s="21"/>
      <c r="B12" s="39">
        <v>42012</v>
      </c>
      <c r="C12" s="45">
        <v>0</v>
      </c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67" t="s">
        <v>195</v>
      </c>
      <c r="L12" s="168">
        <v>6939</v>
      </c>
      <c r="M12" s="162" t="s">
        <v>183</v>
      </c>
      <c r="N12" s="80"/>
      <c r="O12" s="143">
        <v>42013</v>
      </c>
      <c r="P12" s="144">
        <v>8616</v>
      </c>
      <c r="Q12" s="156">
        <v>5414.4</v>
      </c>
      <c r="R12" s="104">
        <v>42014</v>
      </c>
      <c r="S12" s="103">
        <v>5414.4</v>
      </c>
      <c r="T12" s="155">
        <f t="shared" si="0"/>
        <v>0</v>
      </c>
      <c r="W12" s="120" t="s">
        <v>205</v>
      </c>
      <c r="X12" s="149"/>
      <c r="Y12" s="149"/>
      <c r="Z12" s="113" t="s">
        <v>202</v>
      </c>
      <c r="AA12" s="118">
        <v>9400</v>
      </c>
      <c r="AB12" s="128"/>
    </row>
    <row r="13" spans="1:28" ht="16.5" thickBot="1" x14ac:dyDescent="0.3">
      <c r="A13" s="21"/>
      <c r="B13" s="39">
        <v>42013</v>
      </c>
      <c r="C13" s="45">
        <v>0</v>
      </c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67" t="s">
        <v>255</v>
      </c>
      <c r="L13" s="168">
        <v>7400.86</v>
      </c>
      <c r="M13" s="162" t="s">
        <v>184</v>
      </c>
      <c r="N13" s="80"/>
      <c r="O13" s="143">
        <v>42013</v>
      </c>
      <c r="P13" s="144">
        <v>8654</v>
      </c>
      <c r="Q13" s="156">
        <v>78418.7</v>
      </c>
      <c r="R13" s="104">
        <v>42016</v>
      </c>
      <c r="S13" s="103">
        <v>78418.7</v>
      </c>
      <c r="T13" s="155">
        <f t="shared" si="0"/>
        <v>0</v>
      </c>
      <c r="W13" s="120" t="s">
        <v>205</v>
      </c>
      <c r="X13" s="149"/>
      <c r="Y13" s="149"/>
      <c r="Z13" s="113" t="s">
        <v>202</v>
      </c>
      <c r="AA13" s="118">
        <v>5126</v>
      </c>
      <c r="AB13" s="128"/>
    </row>
    <row r="14" spans="1:28" ht="16.5" thickBot="1" x14ac:dyDescent="0.3">
      <c r="A14" s="21"/>
      <c r="B14" s="39">
        <v>42014</v>
      </c>
      <c r="C14" s="45">
        <v>0</v>
      </c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69" t="s">
        <v>16</v>
      </c>
      <c r="L14" s="168">
        <v>0</v>
      </c>
      <c r="M14" s="162" t="s">
        <v>185</v>
      </c>
      <c r="N14" s="80"/>
      <c r="O14" s="143">
        <v>42014</v>
      </c>
      <c r="P14" s="144">
        <v>8702</v>
      </c>
      <c r="Q14" s="156">
        <v>79831.759999999995</v>
      </c>
      <c r="R14" s="104">
        <v>42016</v>
      </c>
      <c r="S14" s="103">
        <v>79831.759999999995</v>
      </c>
      <c r="T14" s="155">
        <f t="shared" si="0"/>
        <v>0</v>
      </c>
      <c r="W14" s="120" t="s">
        <v>205</v>
      </c>
      <c r="X14" s="149"/>
      <c r="Y14" s="149"/>
      <c r="Z14" s="113" t="s">
        <v>202</v>
      </c>
      <c r="AA14" s="118">
        <v>689</v>
      </c>
      <c r="AB14" s="128"/>
    </row>
    <row r="15" spans="1:28" ht="16.5" thickBot="1" x14ac:dyDescent="0.3">
      <c r="A15" s="21"/>
      <c r="B15" s="39">
        <v>42015</v>
      </c>
      <c r="C15" s="45">
        <v>0</v>
      </c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200" t="s">
        <v>256</v>
      </c>
      <c r="L15" s="168">
        <v>5143</v>
      </c>
      <c r="M15" s="162" t="s">
        <v>186</v>
      </c>
      <c r="N15" s="80"/>
      <c r="O15" s="143">
        <v>42015</v>
      </c>
      <c r="P15" s="144">
        <v>8776</v>
      </c>
      <c r="Q15" s="156">
        <v>2502</v>
      </c>
      <c r="R15" s="104">
        <v>42023</v>
      </c>
      <c r="S15" s="103">
        <v>2502</v>
      </c>
      <c r="T15" s="155">
        <f t="shared" si="0"/>
        <v>0</v>
      </c>
      <c r="W15" s="120" t="s">
        <v>205</v>
      </c>
      <c r="X15" s="149"/>
      <c r="Y15" s="149"/>
      <c r="Z15" s="113" t="s">
        <v>202</v>
      </c>
      <c r="AA15" s="118">
        <v>14000</v>
      </c>
      <c r="AB15" s="128"/>
    </row>
    <row r="16" spans="1:28" ht="16.5" thickBot="1" x14ac:dyDescent="0.3">
      <c r="A16" s="21"/>
      <c r="B16" s="39">
        <v>42016</v>
      </c>
      <c r="C16" s="45">
        <v>0</v>
      </c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70" t="s">
        <v>52</v>
      </c>
      <c r="L16" s="171">
        <v>0</v>
      </c>
      <c r="M16" s="162" t="s">
        <v>187</v>
      </c>
      <c r="N16" s="80"/>
      <c r="O16" s="143">
        <v>42016</v>
      </c>
      <c r="P16" s="144">
        <v>8880</v>
      </c>
      <c r="Q16" s="156">
        <v>1964.5</v>
      </c>
      <c r="R16" s="104">
        <v>42023</v>
      </c>
      <c r="S16" s="103">
        <v>1964.5</v>
      </c>
      <c r="T16" s="155">
        <f t="shared" si="0"/>
        <v>0</v>
      </c>
      <c r="W16" s="112" t="s">
        <v>208</v>
      </c>
      <c r="X16" s="114"/>
      <c r="Y16" s="114"/>
      <c r="Z16" s="113" t="s">
        <v>202</v>
      </c>
      <c r="AA16" s="118">
        <v>4321</v>
      </c>
      <c r="AB16" s="128"/>
    </row>
    <row r="17" spans="1:28" ht="15.75" customHeight="1" thickBot="1" x14ac:dyDescent="0.3">
      <c r="A17" s="21"/>
      <c r="B17" s="39">
        <v>42017</v>
      </c>
      <c r="C17" s="45">
        <v>0</v>
      </c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72" t="s">
        <v>53</v>
      </c>
      <c r="L17" s="171">
        <v>0</v>
      </c>
      <c r="M17" s="162" t="s">
        <v>188</v>
      </c>
      <c r="N17" s="80"/>
      <c r="O17" s="143">
        <v>42017</v>
      </c>
      <c r="P17" s="144">
        <v>8945</v>
      </c>
      <c r="Q17" s="156">
        <v>862</v>
      </c>
      <c r="R17" s="104">
        <v>42023</v>
      </c>
      <c r="S17" s="88">
        <v>862</v>
      </c>
      <c r="T17" s="155">
        <f t="shared" si="0"/>
        <v>0</v>
      </c>
      <c r="W17" s="112" t="s">
        <v>208</v>
      </c>
      <c r="X17" s="114"/>
      <c r="Y17" s="114"/>
      <c r="Z17" s="113" t="s">
        <v>202</v>
      </c>
      <c r="AA17" s="118">
        <v>4300</v>
      </c>
      <c r="AB17" s="128"/>
    </row>
    <row r="18" spans="1:28" ht="15.75" customHeight="1" thickBot="1" x14ac:dyDescent="0.3">
      <c r="A18" s="21"/>
      <c r="B18" s="39">
        <v>42018</v>
      </c>
      <c r="C18" s="45">
        <v>0</v>
      </c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72" t="s">
        <v>54</v>
      </c>
      <c r="L18" s="173">
        <v>0</v>
      </c>
      <c r="M18" s="162" t="s">
        <v>189</v>
      </c>
      <c r="N18" s="80"/>
      <c r="O18" s="143">
        <v>42017</v>
      </c>
      <c r="P18" s="144">
        <v>8973</v>
      </c>
      <c r="Q18" s="156">
        <v>56209.919999999998</v>
      </c>
      <c r="R18" s="104">
        <v>42023</v>
      </c>
      <c r="S18" s="103">
        <v>56209.919999999998</v>
      </c>
      <c r="T18" s="155">
        <f t="shared" si="0"/>
        <v>0</v>
      </c>
      <c r="W18" s="119"/>
      <c r="X18" s="150"/>
      <c r="Y18" s="150"/>
      <c r="Z18" s="119"/>
      <c r="AA18" s="121"/>
      <c r="AB18" s="128"/>
    </row>
    <row r="19" spans="1:28" ht="15.75" thickBot="1" x14ac:dyDescent="0.3">
      <c r="A19" s="21"/>
      <c r="B19" s="39">
        <v>42019</v>
      </c>
      <c r="C19" s="45">
        <v>0</v>
      </c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72" t="s">
        <v>55</v>
      </c>
      <c r="L19" s="173">
        <v>0</v>
      </c>
      <c r="M19" s="162" t="s">
        <v>190</v>
      </c>
      <c r="N19" s="80"/>
      <c r="O19" s="143">
        <v>42018</v>
      </c>
      <c r="P19" s="144">
        <v>9011</v>
      </c>
      <c r="Q19" s="156">
        <v>4635</v>
      </c>
      <c r="R19" s="104">
        <v>42023</v>
      </c>
      <c r="S19" s="103">
        <v>4635</v>
      </c>
      <c r="T19" s="155">
        <f t="shared" si="0"/>
        <v>0</v>
      </c>
    </row>
    <row r="20" spans="1:28" ht="15.75" thickBot="1" x14ac:dyDescent="0.3">
      <c r="A20" s="21"/>
      <c r="B20" s="39">
        <v>42020</v>
      </c>
      <c r="C20" s="45">
        <v>0</v>
      </c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74" t="s">
        <v>68</v>
      </c>
      <c r="L20" s="175">
        <v>615</v>
      </c>
      <c r="M20" s="162" t="s">
        <v>191</v>
      </c>
      <c r="N20" s="80"/>
      <c r="O20" s="143">
        <v>42018</v>
      </c>
      <c r="P20" s="144">
        <v>9066</v>
      </c>
      <c r="Q20" s="156">
        <v>72492.72</v>
      </c>
      <c r="R20" s="104">
        <v>42023</v>
      </c>
      <c r="S20" s="103">
        <v>72492.72</v>
      </c>
      <c r="T20" s="155">
        <f t="shared" si="0"/>
        <v>0</v>
      </c>
    </row>
    <row r="21" spans="1:28" ht="15.75" thickBot="1" x14ac:dyDescent="0.3">
      <c r="A21" s="21"/>
      <c r="B21" s="39">
        <v>42021</v>
      </c>
      <c r="C21" s="45">
        <v>0</v>
      </c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74" t="s">
        <v>99</v>
      </c>
      <c r="L21" s="175">
        <v>0</v>
      </c>
      <c r="M21" s="162" t="s">
        <v>196</v>
      </c>
      <c r="N21" s="80"/>
      <c r="O21" s="143">
        <v>42019</v>
      </c>
      <c r="P21" s="144">
        <v>9138</v>
      </c>
      <c r="Q21" s="156">
        <v>3994</v>
      </c>
      <c r="R21" s="104">
        <v>42023</v>
      </c>
      <c r="S21" s="103">
        <v>3994</v>
      </c>
      <c r="T21" s="155">
        <f t="shared" si="0"/>
        <v>0</v>
      </c>
    </row>
    <row r="22" spans="1:28" ht="15.75" thickBot="1" x14ac:dyDescent="0.3">
      <c r="A22" s="21"/>
      <c r="B22" s="39">
        <v>42022</v>
      </c>
      <c r="C22" s="45">
        <v>0</v>
      </c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76" t="s">
        <v>213</v>
      </c>
      <c r="L22" s="175">
        <v>900</v>
      </c>
      <c r="M22" s="162" t="s">
        <v>197</v>
      </c>
      <c r="N22" s="80"/>
      <c r="O22" s="143">
        <v>42019</v>
      </c>
      <c r="P22" s="144">
        <v>9139</v>
      </c>
      <c r="Q22" s="156">
        <v>55515.56</v>
      </c>
      <c r="R22" s="145" t="s">
        <v>236</v>
      </c>
      <c r="S22" s="103">
        <f>9920+45595.56</f>
        <v>55515.56</v>
      </c>
      <c r="T22" s="155">
        <f t="shared" si="0"/>
        <v>0</v>
      </c>
      <c r="W22" s="102" t="s">
        <v>200</v>
      </c>
      <c r="X22" s="103"/>
      <c r="Y22" s="103"/>
      <c r="Z22" s="104"/>
      <c r="AA22" s="103" t="s">
        <v>220</v>
      </c>
      <c r="AB22" s="107"/>
    </row>
    <row r="23" spans="1:28" ht="15.75" thickBot="1" x14ac:dyDescent="0.3">
      <c r="A23" s="21"/>
      <c r="B23" s="39">
        <v>42023</v>
      </c>
      <c r="C23" s="45">
        <v>540</v>
      </c>
      <c r="D23" s="22" t="s">
        <v>50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67"/>
      <c r="L23" s="175"/>
      <c r="M23" s="162" t="s">
        <v>198</v>
      </c>
      <c r="N23" s="80"/>
      <c r="O23" s="143">
        <v>42020</v>
      </c>
      <c r="P23" s="144">
        <v>9260</v>
      </c>
      <c r="Q23" s="156">
        <v>60805.94</v>
      </c>
      <c r="R23" s="104">
        <v>42027</v>
      </c>
      <c r="S23" s="103">
        <v>60805.94</v>
      </c>
      <c r="T23" s="155">
        <f t="shared" si="0"/>
        <v>0</v>
      </c>
      <c r="W23" s="102"/>
      <c r="X23" s="103"/>
      <c r="Y23" s="103"/>
      <c r="Z23" s="104"/>
      <c r="AA23" s="103"/>
      <c r="AB23" s="109"/>
    </row>
    <row r="24" spans="1:28" ht="16.5" thickBot="1" x14ac:dyDescent="0.3">
      <c r="A24" s="21"/>
      <c r="B24" s="39">
        <v>42024</v>
      </c>
      <c r="C24" s="45">
        <v>0</v>
      </c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67"/>
      <c r="L24" s="175"/>
      <c r="M24" s="162" t="s">
        <v>199</v>
      </c>
      <c r="N24" s="80"/>
      <c r="O24" s="143">
        <v>42020</v>
      </c>
      <c r="P24" s="144">
        <v>9264</v>
      </c>
      <c r="Q24" s="156">
        <v>6929</v>
      </c>
      <c r="R24" s="104">
        <v>42027</v>
      </c>
      <c r="S24" s="103">
        <v>6929</v>
      </c>
      <c r="T24" s="155">
        <f t="shared" si="0"/>
        <v>0</v>
      </c>
      <c r="W24" s="112" t="s">
        <v>212</v>
      </c>
      <c r="X24" s="114"/>
      <c r="Y24" s="114"/>
      <c r="Z24" s="113" t="s">
        <v>202</v>
      </c>
      <c r="AA24" s="130">
        <v>28350</v>
      </c>
      <c r="AB24" s="115"/>
    </row>
    <row r="25" spans="1:28" ht="16.5" thickBot="1" x14ac:dyDescent="0.3">
      <c r="A25" s="21"/>
      <c r="B25" s="39">
        <v>42025</v>
      </c>
      <c r="C25" s="45">
        <v>0</v>
      </c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67"/>
      <c r="L25" s="175"/>
      <c r="M25" s="162" t="s">
        <v>211</v>
      </c>
      <c r="N25" s="80"/>
      <c r="O25" s="143">
        <v>42021</v>
      </c>
      <c r="P25" s="144">
        <v>9370</v>
      </c>
      <c r="Q25" s="156">
        <v>33638.81</v>
      </c>
      <c r="R25" s="104">
        <v>42027</v>
      </c>
      <c r="S25" s="103">
        <v>33638.81</v>
      </c>
      <c r="T25" s="155">
        <f t="shared" si="0"/>
        <v>0</v>
      </c>
      <c r="W25" s="126"/>
      <c r="X25" s="151"/>
      <c r="Y25" s="151"/>
      <c r="Z25" s="127" t="s">
        <v>202</v>
      </c>
      <c r="AA25" s="121">
        <v>4699</v>
      </c>
      <c r="AB25" s="128"/>
    </row>
    <row r="26" spans="1:28" ht="16.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67"/>
      <c r="L26" s="175"/>
      <c r="M26" s="162" t="s">
        <v>214</v>
      </c>
      <c r="N26" s="80"/>
      <c r="O26" s="143">
        <v>42021</v>
      </c>
      <c r="P26" s="144">
        <v>9371</v>
      </c>
      <c r="Q26" s="156">
        <v>1234.8</v>
      </c>
      <c r="R26" s="104">
        <v>42027</v>
      </c>
      <c r="S26" s="103">
        <v>1234.8</v>
      </c>
      <c r="T26" s="155">
        <f t="shared" si="0"/>
        <v>0</v>
      </c>
      <c r="W26" s="112"/>
      <c r="X26" s="114"/>
      <c r="Y26" s="114"/>
      <c r="Z26" s="127" t="s">
        <v>202</v>
      </c>
      <c r="AA26" s="121">
        <v>28106</v>
      </c>
      <c r="AB26" s="128"/>
    </row>
    <row r="27" spans="1:28" ht="16.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67"/>
      <c r="L27" s="175"/>
      <c r="M27" s="81" t="s">
        <v>216</v>
      </c>
      <c r="N27" s="80"/>
      <c r="O27" s="143">
        <v>42022</v>
      </c>
      <c r="P27" s="144">
        <v>9433</v>
      </c>
      <c r="Q27" s="156">
        <v>29215.599999999999</v>
      </c>
      <c r="R27" s="104">
        <v>42027</v>
      </c>
      <c r="S27" s="103">
        <v>29215.599999999999</v>
      </c>
      <c r="T27" s="155">
        <f t="shared" si="0"/>
        <v>0</v>
      </c>
      <c r="W27" s="112"/>
      <c r="X27" s="114"/>
      <c r="Y27" s="114"/>
      <c r="Z27" s="113" t="s">
        <v>202</v>
      </c>
      <c r="AA27" s="130">
        <v>7146</v>
      </c>
      <c r="AB27" s="129">
        <f>AA27+AA26+AA25+AA24</f>
        <v>68301</v>
      </c>
    </row>
    <row r="28" spans="1:28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67"/>
      <c r="L28" s="175"/>
      <c r="M28" s="68" t="s">
        <v>215</v>
      </c>
      <c r="N28" s="80"/>
      <c r="O28" s="143">
        <v>42023</v>
      </c>
      <c r="P28" s="144">
        <v>9530</v>
      </c>
      <c r="Q28" s="156">
        <v>4936.3999999999996</v>
      </c>
      <c r="R28" s="104">
        <v>42032</v>
      </c>
      <c r="S28" s="103">
        <v>4936.3999999999996</v>
      </c>
      <c r="T28" s="155">
        <f t="shared" si="0"/>
        <v>0</v>
      </c>
      <c r="W28" s="112" t="s">
        <v>221</v>
      </c>
      <c r="X28" s="114"/>
      <c r="Y28" s="114"/>
      <c r="Z28" s="113" t="s">
        <v>202</v>
      </c>
      <c r="AA28" s="121">
        <v>4936.3999999999996</v>
      </c>
      <c r="AB28" s="128"/>
    </row>
    <row r="29" spans="1:28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67"/>
      <c r="L29" s="168"/>
      <c r="M29" s="163" t="s">
        <v>218</v>
      </c>
      <c r="N29" s="80"/>
      <c r="O29" s="143">
        <v>42023</v>
      </c>
      <c r="P29" s="144">
        <v>9534</v>
      </c>
      <c r="Q29" s="156">
        <v>76922.080000000002</v>
      </c>
      <c r="R29" s="145" t="s">
        <v>237</v>
      </c>
      <c r="S29" s="103">
        <f>8621+68301.08</f>
        <v>76922.080000000002</v>
      </c>
      <c r="T29" s="155">
        <f t="shared" si="0"/>
        <v>0</v>
      </c>
      <c r="W29" s="112" t="s">
        <v>222</v>
      </c>
      <c r="X29" s="114"/>
      <c r="Y29" s="114"/>
      <c r="Z29" s="113" t="s">
        <v>202</v>
      </c>
      <c r="AA29" s="121">
        <v>1783.6</v>
      </c>
      <c r="AB29" s="128"/>
    </row>
    <row r="30" spans="1:28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67"/>
      <c r="L30" s="168"/>
      <c r="M30" s="68" t="s">
        <v>217</v>
      </c>
      <c r="N30" s="80"/>
      <c r="O30" s="143">
        <v>42025</v>
      </c>
      <c r="P30" s="144">
        <v>9716</v>
      </c>
      <c r="Q30" s="156">
        <v>5962.8</v>
      </c>
      <c r="R30" s="104">
        <v>42032</v>
      </c>
      <c r="S30" s="88">
        <v>5962.8</v>
      </c>
      <c r="T30" s="155">
        <f t="shared" si="0"/>
        <v>0</v>
      </c>
      <c r="W30" s="112"/>
      <c r="X30" s="114"/>
      <c r="Y30" s="114"/>
      <c r="Z30" s="113" t="s">
        <v>202</v>
      </c>
      <c r="AA30" s="121">
        <v>4179</v>
      </c>
      <c r="AB30" s="129">
        <f>AA30+AA29</f>
        <v>5962.6</v>
      </c>
    </row>
    <row r="31" spans="1:28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67"/>
      <c r="L31" s="168"/>
      <c r="M31" s="68" t="s">
        <v>219</v>
      </c>
      <c r="N31" s="80"/>
      <c r="O31" s="143">
        <v>42026</v>
      </c>
      <c r="P31" s="144">
        <v>9777</v>
      </c>
      <c r="Q31" s="156">
        <v>64645.24</v>
      </c>
      <c r="R31" s="146">
        <v>42032</v>
      </c>
      <c r="S31" s="103">
        <v>64645.24</v>
      </c>
      <c r="T31" s="155">
        <f t="shared" si="0"/>
        <v>0</v>
      </c>
      <c r="W31" s="112" t="s">
        <v>223</v>
      </c>
      <c r="X31" s="114"/>
      <c r="Y31" s="114"/>
      <c r="Z31" s="113" t="s">
        <v>202</v>
      </c>
      <c r="AA31" s="121">
        <v>3780</v>
      </c>
      <c r="AB31" s="128"/>
    </row>
    <row r="32" spans="1:28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67"/>
      <c r="L32" s="168"/>
      <c r="M32" s="162" t="s">
        <v>228</v>
      </c>
      <c r="N32" s="80"/>
      <c r="O32" s="143">
        <v>42027</v>
      </c>
      <c r="P32" s="144">
        <v>9916</v>
      </c>
      <c r="Q32" s="156">
        <v>104029.1</v>
      </c>
      <c r="R32" s="104">
        <v>42032</v>
      </c>
      <c r="S32" s="103">
        <v>104029.1</v>
      </c>
      <c r="T32" s="155">
        <f t="shared" si="0"/>
        <v>0</v>
      </c>
      <c r="W32" s="112"/>
      <c r="X32" s="114"/>
      <c r="Y32" s="114"/>
      <c r="Z32" s="113" t="s">
        <v>202</v>
      </c>
      <c r="AA32" s="121">
        <v>5195</v>
      </c>
      <c r="AB32" s="128"/>
    </row>
    <row r="33" spans="1:29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67"/>
      <c r="L33" s="168"/>
      <c r="M33" s="162" t="s">
        <v>233</v>
      </c>
      <c r="N33" s="80"/>
      <c r="O33" s="143">
        <v>42028</v>
      </c>
      <c r="P33" s="144">
        <v>10006</v>
      </c>
      <c r="Q33" s="156">
        <v>63077.8</v>
      </c>
      <c r="R33" s="104">
        <v>42032</v>
      </c>
      <c r="S33" s="88">
        <v>63077.8</v>
      </c>
      <c r="T33" s="155">
        <f t="shared" si="0"/>
        <v>0</v>
      </c>
      <c r="W33" s="112"/>
      <c r="X33" s="114"/>
      <c r="Y33" s="114"/>
      <c r="Z33" s="113" t="s">
        <v>202</v>
      </c>
      <c r="AA33" s="121">
        <v>55670</v>
      </c>
      <c r="AB33" s="129">
        <f>AA33+AA32+AA31</f>
        <v>64645</v>
      </c>
    </row>
    <row r="34" spans="1:29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67"/>
      <c r="L34" s="168"/>
      <c r="M34" s="162" t="s">
        <v>245</v>
      </c>
      <c r="N34" s="80"/>
      <c r="O34" s="143">
        <v>42030</v>
      </c>
      <c r="P34" s="144">
        <v>10118</v>
      </c>
      <c r="Q34" s="157">
        <v>6029.6</v>
      </c>
      <c r="R34" s="104">
        <v>42034</v>
      </c>
      <c r="S34" s="88">
        <v>6029.6</v>
      </c>
      <c r="T34" s="155">
        <f t="shared" si="0"/>
        <v>0</v>
      </c>
      <c r="W34" s="112" t="s">
        <v>224</v>
      </c>
      <c r="X34" s="114"/>
      <c r="Y34" s="114"/>
      <c r="Z34" s="113" t="s">
        <v>202</v>
      </c>
      <c r="AA34" s="121">
        <v>57202</v>
      </c>
      <c r="AB34" s="128"/>
    </row>
    <row r="35" spans="1:29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67"/>
      <c r="L35" s="168"/>
      <c r="M35" s="164" t="s">
        <v>252</v>
      </c>
      <c r="O35" s="143">
        <v>42031</v>
      </c>
      <c r="P35" s="144">
        <v>10207</v>
      </c>
      <c r="Q35" s="156">
        <v>37190.9</v>
      </c>
      <c r="R35" s="145" t="s">
        <v>238</v>
      </c>
      <c r="S35" s="103">
        <f>14546+22644.9</f>
        <v>37190.9</v>
      </c>
      <c r="T35" s="155">
        <f t="shared" si="0"/>
        <v>0</v>
      </c>
      <c r="W35" s="112"/>
      <c r="X35" s="114"/>
      <c r="Y35" s="114"/>
      <c r="Z35" s="113" t="s">
        <v>202</v>
      </c>
      <c r="AA35" s="121">
        <v>4757</v>
      </c>
      <c r="AB35" s="128"/>
    </row>
    <row r="36" spans="1:29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67"/>
      <c r="L36" s="168"/>
      <c r="O36" s="143">
        <v>42032</v>
      </c>
      <c r="P36" s="144">
        <v>10305</v>
      </c>
      <c r="Q36" s="156">
        <v>16659.400000000001</v>
      </c>
      <c r="R36" s="147" t="s">
        <v>239</v>
      </c>
      <c r="S36" s="103">
        <f>5648.9+11010.5</f>
        <v>16659.400000000001</v>
      </c>
      <c r="T36" s="155">
        <f t="shared" si="0"/>
        <v>0</v>
      </c>
      <c r="W36" s="112"/>
      <c r="X36" s="114"/>
      <c r="Y36" s="114"/>
      <c r="Z36" s="113" t="s">
        <v>202</v>
      </c>
      <c r="AA36" s="121">
        <v>42070</v>
      </c>
      <c r="AB36" s="129">
        <f>AA36+AA35+AA34</f>
        <v>104029</v>
      </c>
    </row>
    <row r="37" spans="1:29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43">
        <v>42033</v>
      </c>
      <c r="P37" s="144">
        <v>10380</v>
      </c>
      <c r="Q37" s="156">
        <v>60509.27</v>
      </c>
      <c r="R37" s="183" t="s">
        <v>246</v>
      </c>
      <c r="S37" s="184">
        <f>21950+33619.5+4939.77</f>
        <v>60509.270000000004</v>
      </c>
      <c r="T37" s="155">
        <f t="shared" si="0"/>
        <v>0</v>
      </c>
      <c r="W37" s="112" t="s">
        <v>225</v>
      </c>
      <c r="X37" s="114"/>
      <c r="Y37" s="114"/>
      <c r="Z37" s="113" t="s">
        <v>202</v>
      </c>
      <c r="AA37" s="121">
        <v>10187</v>
      </c>
      <c r="AB37" s="128"/>
    </row>
    <row r="38" spans="1:29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43">
        <v>42034</v>
      </c>
      <c r="P38" s="144">
        <v>10577</v>
      </c>
      <c r="Q38" s="156">
        <v>62948.86</v>
      </c>
      <c r="R38" s="185" t="s">
        <v>254</v>
      </c>
      <c r="S38" s="184">
        <f>19020+37176+6753</f>
        <v>62949</v>
      </c>
      <c r="T38" s="155">
        <f t="shared" si="0"/>
        <v>-0.13999999999941792</v>
      </c>
      <c r="W38" s="119"/>
      <c r="X38" s="150"/>
      <c r="Y38" s="150"/>
      <c r="Z38" s="113" t="s">
        <v>202</v>
      </c>
      <c r="AA38" s="121">
        <v>5367</v>
      </c>
      <c r="AB38" s="128"/>
    </row>
    <row r="39" spans="1:29" ht="15.75" x14ac:dyDescent="0.25">
      <c r="O39" s="143">
        <v>42035</v>
      </c>
      <c r="P39" s="144">
        <v>10655</v>
      </c>
      <c r="Q39" s="156">
        <v>8689.7000000000007</v>
      </c>
      <c r="R39" s="186">
        <v>42039</v>
      </c>
      <c r="S39" s="184">
        <v>8690</v>
      </c>
      <c r="T39" s="155">
        <f t="shared" si="0"/>
        <v>-0.2999999999992724</v>
      </c>
      <c r="W39" s="119"/>
      <c r="X39" s="150"/>
      <c r="Y39" s="150"/>
      <c r="Z39" s="113" t="s">
        <v>202</v>
      </c>
      <c r="AA39" s="121">
        <v>4000</v>
      </c>
      <c r="AB39" s="128"/>
    </row>
    <row r="40" spans="1:29" ht="15.75" x14ac:dyDescent="0.25">
      <c r="A40" s="5"/>
      <c r="C40" s="49"/>
      <c r="D40" s="13"/>
      <c r="E40" s="13"/>
      <c r="F40" s="55"/>
      <c r="H40" s="453" t="s">
        <v>7</v>
      </c>
      <c r="I40" s="454"/>
      <c r="J40" s="98"/>
      <c r="K40" s="455">
        <f>I38+L38</f>
        <v>81575.08</v>
      </c>
      <c r="L40" s="456"/>
      <c r="O40" s="143">
        <v>42035</v>
      </c>
      <c r="P40" s="144">
        <v>10690</v>
      </c>
      <c r="Q40" s="156">
        <v>96350.9</v>
      </c>
      <c r="R40" s="186" t="s">
        <v>271</v>
      </c>
      <c r="S40" s="184">
        <f>35000+4300+5605.5+44300+7145.5</f>
        <v>96351</v>
      </c>
      <c r="T40" s="155">
        <f t="shared" si="0"/>
        <v>-0.10000000000582077</v>
      </c>
      <c r="W40" s="119"/>
      <c r="X40" s="150"/>
      <c r="Y40" s="150"/>
      <c r="Z40" s="113" t="s">
        <v>202</v>
      </c>
      <c r="AA40" s="121">
        <v>37200</v>
      </c>
      <c r="AB40" s="128"/>
    </row>
    <row r="41" spans="1:29" ht="15.75" x14ac:dyDescent="0.25">
      <c r="D41" s="447" t="s">
        <v>8</v>
      </c>
      <c r="E41" s="447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9"/>
      <c r="X41" s="150"/>
      <c r="Y41" s="150"/>
      <c r="Z41" s="113" t="s">
        <v>202</v>
      </c>
      <c r="AA41" s="121">
        <v>4174</v>
      </c>
      <c r="AB41" s="128"/>
    </row>
    <row r="42" spans="1:29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19"/>
      <c r="X42" s="150"/>
      <c r="Y42" s="150"/>
      <c r="Z42" s="113" t="s">
        <v>202</v>
      </c>
      <c r="AA42" s="121">
        <v>2150</v>
      </c>
      <c r="AB42" s="129">
        <f>AA42+AA41+AA40+AA39+AA38+AA37</f>
        <v>63078</v>
      </c>
    </row>
    <row r="43" spans="1:29" ht="16.5" thickBot="1" x14ac:dyDescent="0.3">
      <c r="C43" s="43" t="s">
        <v>12</v>
      </c>
      <c r="E43" s="177" t="s">
        <v>249</v>
      </c>
      <c r="F43" s="57">
        <v>-1429720.57</v>
      </c>
      <c r="I43" s="182" t="s">
        <v>251</v>
      </c>
      <c r="J43" s="474">
        <f>F46</f>
        <v>423444.86999999988</v>
      </c>
      <c r="K43" s="475"/>
      <c r="L43" s="2"/>
      <c r="Q43" s="43">
        <v>0</v>
      </c>
      <c r="S43" s="58">
        <v>0</v>
      </c>
      <c r="T43" s="43">
        <v>0</v>
      </c>
      <c r="W43" s="128" t="s">
        <v>226</v>
      </c>
      <c r="X43" s="121"/>
      <c r="Y43" s="121"/>
      <c r="Z43" s="113" t="s">
        <v>202</v>
      </c>
      <c r="AA43" s="121">
        <v>4796</v>
      </c>
      <c r="AB43" s="128"/>
    </row>
    <row r="44" spans="1:29" ht="17.25" thickTop="1" thickBot="1" x14ac:dyDescent="0.3">
      <c r="E44" s="5" t="s">
        <v>10</v>
      </c>
      <c r="F44" s="58">
        <f>SUM(F41:F43)</f>
        <v>205209.64999999991</v>
      </c>
      <c r="H44" s="458" t="s">
        <v>257</v>
      </c>
      <c r="I44" s="458"/>
      <c r="J44" s="476">
        <v>-174723.71</v>
      </c>
      <c r="K44" s="476"/>
      <c r="L44" s="33"/>
      <c r="O44" s="123"/>
      <c r="P44" s="124"/>
      <c r="Q44" s="57">
        <v>0</v>
      </c>
      <c r="R44" s="57"/>
      <c r="S44" s="125">
        <v>0</v>
      </c>
      <c r="T44" s="57">
        <v>0</v>
      </c>
      <c r="W44" s="119"/>
      <c r="X44" s="150"/>
      <c r="Y44" s="150"/>
      <c r="Z44" s="113" t="s">
        <v>202</v>
      </c>
      <c r="AA44" s="121">
        <v>9750</v>
      </c>
      <c r="AB44" s="129">
        <f>AA44+AA43</f>
        <v>14546</v>
      </c>
    </row>
    <row r="45" spans="1:29" ht="16.5" customHeight="1" thickTop="1" thickBot="1" x14ac:dyDescent="0.35">
      <c r="E45" s="180" t="s">
        <v>9</v>
      </c>
      <c r="F45" s="181">
        <v>218235.22</v>
      </c>
      <c r="I45" s="178"/>
      <c r="J45" s="477">
        <v>0</v>
      </c>
      <c r="K45" s="477"/>
      <c r="L45" s="179"/>
      <c r="Q45" s="58">
        <f>SUM(Q5:Q44)</f>
        <v>1429720.57</v>
      </c>
      <c r="R45" s="58"/>
      <c r="S45" s="58">
        <f>SUM(S5:S44)</f>
        <v>1429721.11</v>
      </c>
      <c r="T45" s="43">
        <f>SUM(T5:T44)</f>
        <v>-0.54000000000451109</v>
      </c>
      <c r="W45" s="119"/>
      <c r="X45" s="150"/>
      <c r="Y45" s="150"/>
      <c r="Z45" s="113" t="s">
        <v>202</v>
      </c>
      <c r="AA45" s="121">
        <v>0</v>
      </c>
      <c r="AB45" s="128"/>
    </row>
    <row r="46" spans="1:29" ht="16.5" customHeight="1" thickBot="1" x14ac:dyDescent="0.35">
      <c r="D46" s="445" t="s">
        <v>250</v>
      </c>
      <c r="E46" s="445"/>
      <c r="F46" s="55">
        <f>F44+F45</f>
        <v>423444.86999999988</v>
      </c>
      <c r="I46" s="178" t="s">
        <v>13</v>
      </c>
      <c r="J46" s="478">
        <f t="shared" ref="J46" si="1">SUM(J43:K45)</f>
        <v>248721.15999999989</v>
      </c>
      <c r="K46" s="479"/>
      <c r="L46" s="179"/>
      <c r="W46" s="119"/>
      <c r="X46" s="150"/>
      <c r="Y46" s="150"/>
      <c r="Z46" s="113" t="s">
        <v>202</v>
      </c>
      <c r="AA46" s="121">
        <v>0</v>
      </c>
      <c r="AB46" s="128"/>
    </row>
    <row r="47" spans="1:29" ht="18.75" x14ac:dyDescent="0.3">
      <c r="E47" s="6"/>
      <c r="F47" s="48"/>
      <c r="AA47" s="131">
        <f>SUM(AA24:AA46)</f>
        <v>325498</v>
      </c>
    </row>
    <row r="48" spans="1:29" x14ac:dyDescent="0.25">
      <c r="AC48" s="5" t="s">
        <v>227</v>
      </c>
    </row>
    <row r="49" spans="17:28" customFormat="1" x14ac:dyDescent="0.25">
      <c r="Q49" s="43"/>
      <c r="S49" s="43"/>
      <c r="T49" s="43"/>
      <c r="X49" s="43"/>
      <c r="Y49" s="43"/>
      <c r="AA49" s="58"/>
      <c r="AB49" s="5"/>
    </row>
    <row r="50" spans="17:28" customFormat="1" x14ac:dyDescent="0.25">
      <c r="Q50" s="43"/>
      <c r="S50" s="43"/>
      <c r="T50" s="43"/>
      <c r="X50" s="43"/>
      <c r="Y50" s="43"/>
      <c r="AA50" s="58"/>
      <c r="AB50" s="5"/>
    </row>
    <row r="51" spans="17:28" customFormat="1" x14ac:dyDescent="0.25">
      <c r="Q51" s="43"/>
      <c r="S51" s="43"/>
      <c r="T51" s="43"/>
      <c r="W51" s="102" t="s">
        <v>200</v>
      </c>
      <c r="X51" s="103"/>
      <c r="Y51" s="103"/>
      <c r="Z51" s="104"/>
      <c r="AA51" s="103" t="s">
        <v>229</v>
      </c>
      <c r="AB51" s="107"/>
    </row>
    <row r="52" spans="17:28" x14ac:dyDescent="0.25">
      <c r="W52" s="102"/>
      <c r="X52" s="103"/>
      <c r="Y52" s="103"/>
      <c r="Z52" s="104"/>
      <c r="AA52" s="103"/>
      <c r="AB52" s="109"/>
    </row>
    <row r="53" spans="17:28" ht="15.75" x14ac:dyDescent="0.25">
      <c r="W53" s="112" t="s">
        <v>226</v>
      </c>
      <c r="X53" s="114">
        <v>22644.9</v>
      </c>
      <c r="Y53" s="114"/>
      <c r="Z53" s="113" t="s">
        <v>202</v>
      </c>
      <c r="AA53" s="114">
        <v>22645</v>
      </c>
      <c r="AB53" s="115" t="s">
        <v>243</v>
      </c>
    </row>
    <row r="54" spans="17:28" ht="15.75" x14ac:dyDescent="0.25">
      <c r="W54" s="126" t="s">
        <v>230</v>
      </c>
      <c r="X54" s="151">
        <v>5550</v>
      </c>
      <c r="Y54" s="151"/>
      <c r="Z54" s="117" t="s">
        <v>202</v>
      </c>
      <c r="AA54" s="118">
        <v>5550</v>
      </c>
      <c r="AB54" s="128" t="s">
        <v>242</v>
      </c>
    </row>
    <row r="55" spans="17:28" customFormat="1" ht="15.75" x14ac:dyDescent="0.25">
      <c r="Q55" s="43"/>
      <c r="S55" s="43"/>
      <c r="T55" s="43"/>
      <c r="W55" s="112" t="s">
        <v>231</v>
      </c>
      <c r="X55" s="114">
        <v>6029.6</v>
      </c>
      <c r="Y55" s="114"/>
      <c r="Z55" s="117" t="s">
        <v>202</v>
      </c>
      <c r="AA55" s="118">
        <v>6029.6</v>
      </c>
      <c r="AB55" s="128"/>
    </row>
    <row r="56" spans="17:28" customFormat="1" ht="15.75" x14ac:dyDescent="0.25">
      <c r="Q56" s="43"/>
      <c r="S56" s="43"/>
      <c r="T56" s="43"/>
      <c r="W56" s="112" t="s">
        <v>230</v>
      </c>
      <c r="X56" s="114">
        <v>99</v>
      </c>
      <c r="Y56" s="114"/>
      <c r="Z56" s="113" t="s">
        <v>202</v>
      </c>
      <c r="AA56" s="114">
        <v>98.9</v>
      </c>
      <c r="AB56" s="128" t="s">
        <v>242</v>
      </c>
    </row>
    <row r="57" spans="17:28" customFormat="1" ht="16.5" thickBot="1" x14ac:dyDescent="0.3">
      <c r="Q57" s="43"/>
      <c r="S57" s="43"/>
      <c r="T57" s="43"/>
      <c r="W57" s="112"/>
      <c r="X57" s="152"/>
      <c r="Y57" s="152"/>
      <c r="Z57" s="132" t="s">
        <v>202</v>
      </c>
      <c r="AA57" s="133">
        <v>0</v>
      </c>
      <c r="AB57" s="128"/>
    </row>
    <row r="58" spans="17:28" customFormat="1" ht="16.5" thickBot="1" x14ac:dyDescent="0.3">
      <c r="Q58" s="43"/>
      <c r="S58" s="43"/>
      <c r="T58" s="43"/>
      <c r="W58" s="138"/>
      <c r="X58" s="153"/>
      <c r="Y58" s="153"/>
      <c r="Z58" s="141" t="s">
        <v>232</v>
      </c>
      <c r="AA58" s="140">
        <f>SUM(AA53:AA57)</f>
        <v>34323.5</v>
      </c>
      <c r="AB58" s="139"/>
    </row>
    <row r="59" spans="17:28" customFormat="1" ht="15.75" x14ac:dyDescent="0.25">
      <c r="Q59" s="43"/>
      <c r="S59" s="43"/>
      <c r="T59" s="43"/>
      <c r="W59" s="134"/>
      <c r="X59" s="153"/>
      <c r="Y59" s="153"/>
      <c r="Z59" s="135"/>
      <c r="AA59" s="136"/>
      <c r="AB59" s="137"/>
    </row>
    <row r="60" spans="17:28" customFormat="1" ht="15.75" x14ac:dyDescent="0.25">
      <c r="Q60" s="43"/>
      <c r="S60" s="43"/>
      <c r="T60" s="43"/>
      <c r="W60" s="134"/>
      <c r="X60" s="153"/>
      <c r="Y60" s="153"/>
      <c r="Z60" s="135"/>
      <c r="AA60" s="136"/>
      <c r="AB60" s="137"/>
    </row>
    <row r="61" spans="17:28" customFormat="1" ht="15.75" x14ac:dyDescent="0.25">
      <c r="Q61" s="43"/>
      <c r="S61" s="43"/>
      <c r="T61" s="43"/>
      <c r="W61" s="134"/>
      <c r="X61" s="153"/>
      <c r="Y61" s="153"/>
      <c r="Z61" s="135"/>
      <c r="AA61" s="136"/>
      <c r="AB61" s="137"/>
    </row>
    <row r="62" spans="17:28" customFormat="1" x14ac:dyDescent="0.25">
      <c r="Q62" s="43"/>
      <c r="S62" s="43"/>
      <c r="T62" s="43"/>
      <c r="W62" s="102" t="s">
        <v>200</v>
      </c>
      <c r="X62" s="103"/>
      <c r="Y62" s="103"/>
      <c r="Z62" s="104"/>
      <c r="AA62" s="142" t="s">
        <v>235</v>
      </c>
      <c r="AB62" s="107"/>
    </row>
    <row r="63" spans="17:28" customFormat="1" x14ac:dyDescent="0.25">
      <c r="Q63" s="43"/>
      <c r="S63" s="43"/>
      <c r="T63" s="43"/>
      <c r="V63" s="13"/>
      <c r="W63" s="102"/>
      <c r="X63" s="103"/>
      <c r="Y63" s="103"/>
      <c r="Z63" s="104"/>
      <c r="AA63" s="103"/>
      <c r="AB63" s="109"/>
    </row>
    <row r="64" spans="17:28" customFormat="1" ht="15.75" x14ac:dyDescent="0.25">
      <c r="Q64" s="43"/>
      <c r="S64" s="43"/>
      <c r="T64" s="43"/>
      <c r="V64" s="13"/>
      <c r="W64" s="112" t="s">
        <v>234</v>
      </c>
      <c r="X64" s="114">
        <v>21950</v>
      </c>
      <c r="Y64" s="114"/>
      <c r="Z64" s="113" t="s">
        <v>202</v>
      </c>
      <c r="AA64" s="114">
        <v>21950</v>
      </c>
      <c r="AB64" s="115" t="s">
        <v>242</v>
      </c>
    </row>
    <row r="65" spans="17:28" customFormat="1" ht="15.75" x14ac:dyDescent="0.25">
      <c r="Q65" s="43"/>
      <c r="S65" s="43"/>
      <c r="T65" s="43"/>
      <c r="V65" s="13"/>
      <c r="W65" s="126" t="s">
        <v>230</v>
      </c>
      <c r="X65" s="151">
        <v>5956.5</v>
      </c>
      <c r="Y65" s="151"/>
      <c r="Z65" s="117" t="s">
        <v>202</v>
      </c>
      <c r="AA65" s="118">
        <v>5956.5</v>
      </c>
      <c r="AB65" s="128" t="s">
        <v>242</v>
      </c>
    </row>
    <row r="66" spans="17:28" customFormat="1" ht="15.75" x14ac:dyDescent="0.25">
      <c r="Q66" s="43"/>
      <c r="S66" s="43"/>
      <c r="T66" s="43"/>
      <c r="W66" s="112" t="s">
        <v>230</v>
      </c>
      <c r="X66" s="114">
        <v>5054</v>
      </c>
      <c r="Y66" s="114"/>
      <c r="Z66" s="117" t="s">
        <v>202</v>
      </c>
      <c r="AA66" s="118">
        <v>5054</v>
      </c>
      <c r="AB66" s="128" t="s">
        <v>244</v>
      </c>
    </row>
    <row r="67" spans="17:28" customFormat="1" ht="15.75" x14ac:dyDescent="0.25">
      <c r="Q67" s="43"/>
      <c r="S67" s="43"/>
      <c r="T67" s="43"/>
      <c r="W67" s="112"/>
      <c r="X67" s="114"/>
      <c r="Y67" s="114"/>
      <c r="Z67" s="113" t="s">
        <v>202</v>
      </c>
      <c r="AA67" s="114">
        <v>0</v>
      </c>
      <c r="AB67" s="128"/>
    </row>
    <row r="68" spans="17:28" customFormat="1" ht="16.5" thickBot="1" x14ac:dyDescent="0.3">
      <c r="Q68" s="43"/>
      <c r="S68" s="43"/>
      <c r="T68" s="43"/>
      <c r="W68" s="112"/>
      <c r="X68" s="152"/>
      <c r="Y68" s="152"/>
      <c r="Z68" s="132" t="s">
        <v>202</v>
      </c>
      <c r="AA68" s="133">
        <v>0</v>
      </c>
      <c r="AB68" s="128"/>
    </row>
    <row r="69" spans="17:28" customFormat="1" ht="16.5" thickBot="1" x14ac:dyDescent="0.3">
      <c r="Q69" s="43"/>
      <c r="S69" s="43"/>
      <c r="T69" s="43"/>
      <c r="W69" s="138"/>
      <c r="X69" s="153"/>
      <c r="Y69" s="153"/>
      <c r="Z69" s="141" t="s">
        <v>232</v>
      </c>
      <c r="AA69" s="140">
        <f>SUM(AA64:AA68)</f>
        <v>32960.5</v>
      </c>
      <c r="AB69" s="139"/>
    </row>
    <row r="70" spans="17:28" customFormat="1" ht="15.75" x14ac:dyDescent="0.25">
      <c r="Q70" s="43"/>
      <c r="S70" s="43"/>
      <c r="T70" s="43"/>
      <c r="W70" s="134"/>
      <c r="X70" s="153"/>
      <c r="Y70" s="153"/>
      <c r="Z70" s="135"/>
      <c r="AA70" s="136"/>
      <c r="AB70" s="137"/>
    </row>
    <row r="71" spans="17:28" customFormat="1" x14ac:dyDescent="0.25">
      <c r="Q71" s="43"/>
      <c r="S71" s="43"/>
      <c r="T71" s="43"/>
      <c r="X71" s="43"/>
      <c r="Y71" s="43"/>
      <c r="AA71" s="58"/>
      <c r="AB71" s="5"/>
    </row>
    <row r="72" spans="17:28" customFormat="1" x14ac:dyDescent="0.25">
      <c r="Q72" s="43"/>
      <c r="S72" s="43"/>
      <c r="T72" s="43"/>
      <c r="X72" s="43"/>
      <c r="Y72" s="43"/>
      <c r="AA72" s="58"/>
      <c r="AB72" s="5"/>
    </row>
    <row r="73" spans="17:28" customFormat="1" x14ac:dyDescent="0.25">
      <c r="Q73" s="43"/>
      <c r="S73" s="43"/>
      <c r="T73" s="43"/>
      <c r="W73" s="102" t="s">
        <v>200</v>
      </c>
      <c r="X73" s="103"/>
      <c r="Y73" s="103"/>
      <c r="Z73" s="104"/>
      <c r="AA73" s="142" t="s">
        <v>247</v>
      </c>
      <c r="AB73" s="107"/>
    </row>
    <row r="74" spans="17:28" customFormat="1" x14ac:dyDescent="0.25">
      <c r="Q74" s="43"/>
      <c r="S74" s="43"/>
      <c r="T74" s="43"/>
      <c r="V74" s="13"/>
      <c r="W74" s="102"/>
      <c r="X74" s="103"/>
      <c r="Y74" s="103"/>
      <c r="Z74" s="104"/>
      <c r="AA74" s="103"/>
      <c r="AB74" s="109"/>
    </row>
    <row r="75" spans="17:28" ht="15.75" x14ac:dyDescent="0.25">
      <c r="W75" s="112" t="s">
        <v>234</v>
      </c>
      <c r="X75" s="114">
        <v>38559.269999999997</v>
      </c>
      <c r="Y75" s="114"/>
      <c r="Z75" s="113" t="s">
        <v>202</v>
      </c>
      <c r="AA75" s="114">
        <v>33619.5</v>
      </c>
      <c r="AB75" s="158">
        <v>42034</v>
      </c>
    </row>
    <row r="76" spans="17:28" ht="15.75" x14ac:dyDescent="0.25">
      <c r="W76" s="126"/>
      <c r="X76" s="151">
        <v>0</v>
      </c>
      <c r="Y76" s="151"/>
      <c r="Z76" s="117" t="s">
        <v>202</v>
      </c>
      <c r="AA76" s="118">
        <v>4939.5</v>
      </c>
      <c r="AB76" s="159">
        <v>42034</v>
      </c>
    </row>
    <row r="77" spans="17:28" ht="15.75" x14ac:dyDescent="0.25">
      <c r="W77" s="112" t="s">
        <v>248</v>
      </c>
      <c r="X77" s="114">
        <v>19020</v>
      </c>
      <c r="Y77" s="114"/>
      <c r="Z77" s="117" t="s">
        <v>202</v>
      </c>
      <c r="AA77" s="118">
        <v>19020</v>
      </c>
      <c r="AB77" s="159">
        <v>42034</v>
      </c>
    </row>
    <row r="78" spans="17:28" ht="15.75" x14ac:dyDescent="0.25">
      <c r="W78" s="112" t="s">
        <v>242</v>
      </c>
      <c r="X78" s="114">
        <v>0</v>
      </c>
      <c r="Y78" s="114"/>
      <c r="Z78" s="113" t="s">
        <v>202</v>
      </c>
      <c r="AA78" s="114">
        <v>0</v>
      </c>
      <c r="AB78" s="159"/>
    </row>
    <row r="79" spans="17:28" ht="16.5" thickBot="1" x14ac:dyDescent="0.3">
      <c r="W79" s="112"/>
      <c r="X79" s="160">
        <v>0</v>
      </c>
      <c r="Y79" s="152"/>
      <c r="Z79" s="132" t="s">
        <v>202</v>
      </c>
      <c r="AA79" s="133">
        <v>0</v>
      </c>
      <c r="AB79" s="159"/>
    </row>
    <row r="80" spans="17:28" ht="17.25" thickTop="1" thickBot="1" x14ac:dyDescent="0.3">
      <c r="W80" s="138"/>
      <c r="X80" s="153">
        <f>SUM(X75:X79)</f>
        <v>57579.27</v>
      </c>
      <c r="Y80" s="153"/>
      <c r="Z80" s="141" t="s">
        <v>232</v>
      </c>
      <c r="AA80" s="140">
        <f>SUM(AA75:AA79)</f>
        <v>57579</v>
      </c>
      <c r="AB80" s="139"/>
    </row>
    <row r="81" spans="23:28" ht="15.75" x14ac:dyDescent="0.25">
      <c r="W81" s="134"/>
      <c r="X81" s="153"/>
      <c r="Y81" s="153"/>
      <c r="Z81" s="135"/>
      <c r="AA81" s="136"/>
      <c r="AB81" s="137"/>
    </row>
    <row r="85" spans="23:28" x14ac:dyDescent="0.25">
      <c r="W85" s="102" t="s">
        <v>200</v>
      </c>
      <c r="X85" s="103"/>
      <c r="Y85" s="103"/>
      <c r="Z85" s="104"/>
      <c r="AA85" s="142" t="s">
        <v>253</v>
      </c>
      <c r="AB85" s="107"/>
    </row>
    <row r="86" spans="23:28" x14ac:dyDescent="0.25">
      <c r="W86" s="102"/>
      <c r="X86" s="103"/>
      <c r="Y86" s="103"/>
      <c r="Z86" s="104"/>
      <c r="AA86" s="103"/>
      <c r="AB86" s="109"/>
    </row>
    <row r="87" spans="23:28" ht="15.75" x14ac:dyDescent="0.25">
      <c r="W87" s="193">
        <v>10577</v>
      </c>
      <c r="X87" s="114">
        <v>43928.86</v>
      </c>
      <c r="Y87" s="114"/>
      <c r="Z87" s="113" t="s">
        <v>202</v>
      </c>
      <c r="AA87" s="114">
        <v>37176</v>
      </c>
      <c r="AB87" s="158">
        <v>42035</v>
      </c>
    </row>
    <row r="88" spans="23:28" ht="15.75" x14ac:dyDescent="0.25">
      <c r="W88" s="194">
        <v>10655</v>
      </c>
      <c r="X88" s="151">
        <v>8689.7000000000007</v>
      </c>
      <c r="Y88" s="151"/>
      <c r="Z88" s="127" t="s">
        <v>202</v>
      </c>
      <c r="AA88" s="118">
        <v>6753</v>
      </c>
      <c r="AB88" s="159">
        <v>42035</v>
      </c>
    </row>
    <row r="89" spans="23:28" ht="15.75" x14ac:dyDescent="0.25">
      <c r="W89" s="193">
        <v>10690</v>
      </c>
      <c r="X89" s="114">
        <v>89205.94</v>
      </c>
      <c r="Y89" s="114" t="s">
        <v>242</v>
      </c>
      <c r="Z89" s="127" t="s">
        <v>202</v>
      </c>
      <c r="AA89" s="118">
        <v>8690</v>
      </c>
      <c r="AB89" s="159">
        <v>42035</v>
      </c>
    </row>
    <row r="90" spans="23:28" ht="15.75" x14ac:dyDescent="0.25">
      <c r="W90" s="193"/>
      <c r="X90" s="114"/>
      <c r="Y90" s="114"/>
      <c r="Z90" s="191">
        <v>27250557</v>
      </c>
      <c r="AA90" s="114">
        <v>35000</v>
      </c>
      <c r="AB90" s="159">
        <v>42035</v>
      </c>
    </row>
    <row r="91" spans="23:28" ht="15.75" x14ac:dyDescent="0.25">
      <c r="W91" s="195"/>
      <c r="X91" s="152">
        <v>0</v>
      </c>
      <c r="Y91" s="152"/>
      <c r="Z91" s="132" t="s">
        <v>202</v>
      </c>
      <c r="AA91" s="133">
        <v>4300</v>
      </c>
      <c r="AB91" s="187">
        <v>42035</v>
      </c>
    </row>
    <row r="92" spans="23:28" ht="15.75" x14ac:dyDescent="0.25">
      <c r="W92" s="196"/>
      <c r="X92" s="150"/>
      <c r="Y92" s="150"/>
      <c r="Z92" s="127">
        <v>2720559</v>
      </c>
      <c r="AA92" s="118">
        <v>5605.5</v>
      </c>
      <c r="AB92" s="199">
        <v>42036</v>
      </c>
    </row>
    <row r="93" spans="23:28" ht="15.75" x14ac:dyDescent="0.25">
      <c r="W93" s="193"/>
      <c r="X93" s="114"/>
      <c r="Y93" s="114"/>
      <c r="Z93" s="191">
        <v>2720558</v>
      </c>
      <c r="AA93" s="118">
        <v>44300</v>
      </c>
      <c r="AB93" s="199">
        <v>42036</v>
      </c>
    </row>
    <row r="94" spans="23:28" x14ac:dyDescent="0.25">
      <c r="W94" s="196"/>
      <c r="X94" s="150"/>
      <c r="Y94" s="150"/>
      <c r="Z94" s="192"/>
      <c r="AA94" s="121"/>
      <c r="AB94" s="128"/>
    </row>
    <row r="95" spans="23:28" x14ac:dyDescent="0.25">
      <c r="W95" s="196"/>
      <c r="X95" s="150"/>
      <c r="Y95" s="150"/>
      <c r="Z95" s="192"/>
      <c r="AA95" s="121"/>
      <c r="AB95" s="128"/>
    </row>
    <row r="96" spans="23:28" x14ac:dyDescent="0.25">
      <c r="W96" s="196"/>
      <c r="X96" s="150"/>
      <c r="Y96" s="150"/>
      <c r="Z96" s="119"/>
      <c r="AA96" s="121"/>
      <c r="AB96" s="128"/>
    </row>
    <row r="97" spans="23:28" ht="16.5" thickBot="1" x14ac:dyDescent="0.3">
      <c r="W97" s="197"/>
      <c r="X97" s="153">
        <f>SUM(X87:X91)</f>
        <v>141824.5</v>
      </c>
      <c r="Y97" s="153"/>
      <c r="Z97" s="188" t="s">
        <v>232</v>
      </c>
      <c r="AA97" s="189">
        <f>SUM(AA87:AA93)</f>
        <v>141824.5</v>
      </c>
      <c r="AB97" s="190"/>
    </row>
    <row r="98" spans="23:28" x14ac:dyDescent="0.25">
      <c r="W98" s="198"/>
    </row>
  </sheetData>
  <sortState ref="O24:T31">
    <sortCondition ref="P24:P31"/>
  </sortState>
  <mergeCells count="13">
    <mergeCell ref="Q3:S3"/>
    <mergeCell ref="J43:K43"/>
    <mergeCell ref="D46:E46"/>
    <mergeCell ref="C1:K1"/>
    <mergeCell ref="E4:F4"/>
    <mergeCell ref="I4:L4"/>
    <mergeCell ref="H40:I40"/>
    <mergeCell ref="K40:L40"/>
    <mergeCell ref="D41:E41"/>
    <mergeCell ref="H44:I44"/>
    <mergeCell ref="J44:K44"/>
    <mergeCell ref="J45:K45"/>
    <mergeCell ref="J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97"/>
  <sheetViews>
    <sheetView topLeftCell="A25" workbookViewId="0">
      <selection activeCell="F51" sqref="F5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448" t="s">
        <v>241</v>
      </c>
      <c r="D1" s="448"/>
      <c r="E1" s="448"/>
      <c r="F1" s="448"/>
      <c r="G1" s="448"/>
      <c r="H1" s="448"/>
      <c r="I1" s="448"/>
      <c r="J1" s="448"/>
      <c r="K1" s="448"/>
    </row>
    <row r="2" spans="1:30" ht="16.5" thickBot="1" x14ac:dyDescent="0.3">
      <c r="E2" s="257"/>
      <c r="F2" s="50"/>
      <c r="Y2" s="104"/>
      <c r="Z2" s="224">
        <v>42047</v>
      </c>
      <c r="AA2" s="215"/>
      <c r="AB2" s="134" t="s">
        <v>200</v>
      </c>
      <c r="AC2" s="88"/>
    </row>
    <row r="3" spans="1:30" ht="16.5" thickBot="1" x14ac:dyDescent="0.3">
      <c r="C3" s="44" t="s">
        <v>0</v>
      </c>
      <c r="D3" s="3"/>
      <c r="R3" s="471" t="s">
        <v>240</v>
      </c>
      <c r="S3" s="472"/>
      <c r="T3" s="473"/>
      <c r="X3" s="102"/>
      <c r="Y3" s="104"/>
      <c r="Z3" s="103"/>
      <c r="AA3" s="103"/>
      <c r="AB3" s="103"/>
      <c r="AC3" s="213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469" t="s">
        <v>14</v>
      </c>
      <c r="F4" s="470"/>
      <c r="I4" s="451" t="s">
        <v>4</v>
      </c>
      <c r="J4" s="452"/>
      <c r="K4" s="452"/>
      <c r="L4" s="452"/>
      <c r="M4" s="69" t="s">
        <v>18</v>
      </c>
      <c r="N4" s="203" t="s">
        <v>264</v>
      </c>
      <c r="Y4" s="193">
        <v>10690</v>
      </c>
      <c r="Z4" s="130">
        <v>7145.5</v>
      </c>
      <c r="AA4" s="130"/>
      <c r="AB4" s="113" t="s">
        <v>202</v>
      </c>
      <c r="AC4" s="270">
        <v>7145.5</v>
      </c>
      <c r="AD4" s="212">
        <v>42038</v>
      </c>
    </row>
    <row r="5" spans="1:30" ht="16.5" thickTop="1" x14ac:dyDescent="0.25">
      <c r="A5" s="21"/>
      <c r="B5" s="39">
        <v>42036</v>
      </c>
      <c r="C5" s="45">
        <v>431.5</v>
      </c>
      <c r="D5" s="22" t="s">
        <v>31</v>
      </c>
      <c r="E5" s="26">
        <v>42036</v>
      </c>
      <c r="F5" s="51">
        <v>50233</v>
      </c>
      <c r="G5" s="23"/>
      <c r="H5" s="24">
        <v>42036</v>
      </c>
      <c r="I5" s="60">
        <v>200</v>
      </c>
      <c r="J5" s="87"/>
      <c r="K5" s="34"/>
      <c r="L5" s="34"/>
      <c r="M5" s="67" t="s">
        <v>262</v>
      </c>
      <c r="N5" s="75">
        <v>49905.5</v>
      </c>
      <c r="O5" s="80"/>
      <c r="P5" s="143">
        <v>42036</v>
      </c>
      <c r="Q5" s="144">
        <v>10771</v>
      </c>
      <c r="R5" s="156">
        <v>10067.719999999999</v>
      </c>
      <c r="S5" s="104">
        <v>42047</v>
      </c>
      <c r="T5" s="103">
        <v>10067.719999999999</v>
      </c>
      <c r="U5" s="154">
        <f t="shared" ref="U5:U47" si="0">R5-T5</f>
        <v>0</v>
      </c>
      <c r="V5" s="105"/>
      <c r="W5" s="106"/>
      <c r="Y5" s="194">
        <v>10771</v>
      </c>
      <c r="Z5" s="207">
        <v>10067.719999999999</v>
      </c>
      <c r="AA5" s="207"/>
      <c r="AB5" s="127" t="s">
        <v>202</v>
      </c>
      <c r="AC5" s="269">
        <v>23088</v>
      </c>
      <c r="AD5" s="212">
        <v>42038</v>
      </c>
    </row>
    <row r="6" spans="1:30" ht="15.75" x14ac:dyDescent="0.25">
      <c r="A6" s="21"/>
      <c r="B6" s="39">
        <v>42037</v>
      </c>
      <c r="C6" s="45">
        <v>0</v>
      </c>
      <c r="D6" s="29"/>
      <c r="E6" s="26">
        <v>42037</v>
      </c>
      <c r="F6" s="51">
        <v>35073</v>
      </c>
      <c r="G6" s="19"/>
      <c r="H6" s="27">
        <v>42037</v>
      </c>
      <c r="I6" s="61">
        <v>81</v>
      </c>
      <c r="J6" s="88"/>
      <c r="K6" s="13" t="s">
        <v>5</v>
      </c>
      <c r="L6" s="20">
        <v>0</v>
      </c>
      <c r="M6" s="67" t="s">
        <v>263</v>
      </c>
      <c r="N6" s="75">
        <v>35535</v>
      </c>
      <c r="O6" s="80"/>
      <c r="P6" s="143">
        <v>42036</v>
      </c>
      <c r="Q6" s="144">
        <v>10774</v>
      </c>
      <c r="R6" s="156">
        <v>3650</v>
      </c>
      <c r="S6" s="104">
        <v>42047</v>
      </c>
      <c r="T6" s="103">
        <v>3650</v>
      </c>
      <c r="U6" s="154">
        <f t="shared" si="0"/>
        <v>0</v>
      </c>
      <c r="V6" s="105"/>
      <c r="W6" s="108"/>
      <c r="Y6" s="193">
        <v>10774</v>
      </c>
      <c r="Z6" s="207">
        <v>3650</v>
      </c>
      <c r="AA6" s="207"/>
      <c r="AB6" s="127" t="s">
        <v>202</v>
      </c>
      <c r="AC6" s="269">
        <v>5301.5</v>
      </c>
      <c r="AD6" s="212">
        <v>42038</v>
      </c>
    </row>
    <row r="7" spans="1:30" ht="15.75" x14ac:dyDescent="0.25">
      <c r="A7" s="21"/>
      <c r="B7" s="39">
        <v>42038</v>
      </c>
      <c r="C7" s="45">
        <v>0</v>
      </c>
      <c r="D7" s="32"/>
      <c r="E7" s="26">
        <v>42038</v>
      </c>
      <c r="F7" s="51">
        <v>36897</v>
      </c>
      <c r="G7" s="23"/>
      <c r="H7" s="27">
        <v>42038</v>
      </c>
      <c r="I7" s="61">
        <v>680</v>
      </c>
      <c r="J7" s="88" t="s">
        <v>266</v>
      </c>
      <c r="K7" s="13" t="s">
        <v>3</v>
      </c>
      <c r="L7" s="20">
        <v>0</v>
      </c>
      <c r="M7" s="67" t="s">
        <v>265</v>
      </c>
      <c r="N7" s="75">
        <v>36362</v>
      </c>
      <c r="O7" s="80"/>
      <c r="P7" s="143">
        <v>42037</v>
      </c>
      <c r="Q7" s="144">
        <v>10839</v>
      </c>
      <c r="R7" s="156">
        <v>9370</v>
      </c>
      <c r="S7" s="104">
        <v>42047</v>
      </c>
      <c r="T7" s="103">
        <v>9370</v>
      </c>
      <c r="U7" s="155">
        <f t="shared" si="0"/>
        <v>0</v>
      </c>
      <c r="V7" s="105"/>
      <c r="W7" s="108"/>
      <c r="Y7" s="193">
        <v>10839</v>
      </c>
      <c r="Z7" s="130">
        <v>9370</v>
      </c>
      <c r="AA7" s="130"/>
      <c r="AB7" s="113" t="s">
        <v>202</v>
      </c>
      <c r="AC7" s="269">
        <v>2512</v>
      </c>
      <c r="AD7" s="212">
        <v>42038</v>
      </c>
    </row>
    <row r="8" spans="1:30" ht="15.75" x14ac:dyDescent="0.25">
      <c r="A8" s="21"/>
      <c r="B8" s="39">
        <v>42039</v>
      </c>
      <c r="C8" s="45">
        <v>0</v>
      </c>
      <c r="D8" s="22"/>
      <c r="E8" s="26">
        <v>42039</v>
      </c>
      <c r="F8" s="51">
        <v>26052.5</v>
      </c>
      <c r="G8" s="23"/>
      <c r="H8" s="27">
        <v>42039</v>
      </c>
      <c r="I8" s="61">
        <v>200</v>
      </c>
      <c r="J8" s="88"/>
      <c r="K8" s="13" t="s">
        <v>6</v>
      </c>
      <c r="L8" s="20">
        <v>28750</v>
      </c>
      <c r="M8" s="201" t="s">
        <v>267</v>
      </c>
      <c r="N8" s="204">
        <v>25600</v>
      </c>
      <c r="O8" s="80"/>
      <c r="P8" s="143">
        <v>42038</v>
      </c>
      <c r="Q8" s="144">
        <v>10928</v>
      </c>
      <c r="R8" s="156">
        <v>7813.3</v>
      </c>
      <c r="S8" s="104">
        <v>42047</v>
      </c>
      <c r="T8" s="103">
        <v>7813.3</v>
      </c>
      <c r="U8" s="155">
        <f t="shared" si="0"/>
        <v>0</v>
      </c>
      <c r="V8" s="105"/>
      <c r="W8" s="106"/>
      <c r="Y8" s="193">
        <v>10928</v>
      </c>
      <c r="Z8" s="207">
        <v>7813.3</v>
      </c>
      <c r="AA8" s="207"/>
      <c r="AB8" s="113" t="s">
        <v>202</v>
      </c>
      <c r="AC8" s="269">
        <v>33850</v>
      </c>
      <c r="AD8" s="212">
        <v>42038</v>
      </c>
    </row>
    <row r="9" spans="1:30" ht="15.75" x14ac:dyDescent="0.25">
      <c r="A9" s="21"/>
      <c r="B9" s="39">
        <v>42040</v>
      </c>
      <c r="C9" s="45">
        <v>0</v>
      </c>
      <c r="D9" s="22"/>
      <c r="E9" s="26">
        <v>42040</v>
      </c>
      <c r="F9" s="51">
        <v>44064</v>
      </c>
      <c r="G9" s="23"/>
      <c r="H9" s="27">
        <v>42040</v>
      </c>
      <c r="I9" s="61">
        <v>200</v>
      </c>
      <c r="J9" s="88"/>
      <c r="K9" s="13" t="s">
        <v>258</v>
      </c>
      <c r="L9" s="20">
        <v>8938.91</v>
      </c>
      <c r="M9" s="67" t="s">
        <v>268</v>
      </c>
      <c r="N9" s="75">
        <v>43781.5</v>
      </c>
      <c r="O9" s="80"/>
      <c r="P9" s="143">
        <v>42039</v>
      </c>
      <c r="Q9" s="144">
        <v>11028</v>
      </c>
      <c r="R9" s="156">
        <v>33865.300000000003</v>
      </c>
      <c r="S9" s="104">
        <v>42047</v>
      </c>
      <c r="T9" s="103">
        <v>33865.300000000003</v>
      </c>
      <c r="U9" s="155">
        <f t="shared" si="0"/>
        <v>0</v>
      </c>
      <c r="Y9" s="193">
        <v>11028</v>
      </c>
      <c r="Z9" s="207">
        <v>33865.300000000003</v>
      </c>
      <c r="AA9" s="207"/>
      <c r="AB9" s="113" t="s">
        <v>202</v>
      </c>
      <c r="AC9" s="269">
        <v>7361.5</v>
      </c>
      <c r="AD9" s="212">
        <v>42041</v>
      </c>
    </row>
    <row r="10" spans="1:30" ht="15.75" x14ac:dyDescent="0.25">
      <c r="A10" s="21"/>
      <c r="B10" s="39">
        <v>42041</v>
      </c>
      <c r="C10" s="45">
        <v>0</v>
      </c>
      <c r="D10" s="32"/>
      <c r="E10" s="26">
        <v>42041</v>
      </c>
      <c r="F10" s="51">
        <v>46417.5</v>
      </c>
      <c r="G10" s="23"/>
      <c r="H10" s="27">
        <v>42041</v>
      </c>
      <c r="I10" s="61">
        <v>200</v>
      </c>
      <c r="J10" s="88"/>
      <c r="K10" s="13" t="s">
        <v>259</v>
      </c>
      <c r="L10" s="20">
        <v>7777.05</v>
      </c>
      <c r="M10" s="67" t="s">
        <v>269</v>
      </c>
      <c r="N10" s="75">
        <v>45966.5</v>
      </c>
      <c r="O10" s="80"/>
      <c r="P10" s="143">
        <v>42040</v>
      </c>
      <c r="Q10" s="205">
        <v>11107</v>
      </c>
      <c r="R10" s="156">
        <v>8643.1</v>
      </c>
      <c r="S10" s="104">
        <v>42047</v>
      </c>
      <c r="T10" s="103">
        <f>5366.5+3276.6</f>
        <v>8643.1</v>
      </c>
      <c r="U10" s="155">
        <f t="shared" si="0"/>
        <v>0</v>
      </c>
      <c r="Y10" s="193">
        <v>11107</v>
      </c>
      <c r="Z10" s="207">
        <v>8643.1</v>
      </c>
      <c r="AA10" s="207"/>
      <c r="AB10" s="113" t="s">
        <v>202</v>
      </c>
      <c r="AC10" s="269">
        <v>5366.5</v>
      </c>
      <c r="AD10" s="212">
        <v>42040</v>
      </c>
    </row>
    <row r="11" spans="1:30" ht="15.75" x14ac:dyDescent="0.25">
      <c r="A11" s="21"/>
      <c r="B11" s="39">
        <v>42042</v>
      </c>
      <c r="C11" s="45">
        <v>0</v>
      </c>
      <c r="D11" s="32"/>
      <c r="E11" s="26">
        <v>42042</v>
      </c>
      <c r="F11" s="51">
        <v>85510.5</v>
      </c>
      <c r="G11" s="23"/>
      <c r="H11" s="27">
        <v>42042</v>
      </c>
      <c r="I11" s="62">
        <v>200</v>
      </c>
      <c r="J11" s="88"/>
      <c r="K11" s="13" t="s">
        <v>260</v>
      </c>
      <c r="L11" s="20">
        <v>7850.81</v>
      </c>
      <c r="M11" s="67" t="s">
        <v>270</v>
      </c>
      <c r="N11" s="75">
        <v>85149.5</v>
      </c>
      <c r="O11" s="80"/>
      <c r="P11" s="143">
        <v>42040</v>
      </c>
      <c r="Q11" s="144">
        <v>11183</v>
      </c>
      <c r="R11" s="156">
        <v>69578.64</v>
      </c>
      <c r="S11" s="104">
        <v>42047</v>
      </c>
      <c r="T11" s="103">
        <f>25600+38400+5448.5+130+0.14</f>
        <v>69578.64</v>
      </c>
      <c r="U11" s="155">
        <f t="shared" si="0"/>
        <v>0</v>
      </c>
      <c r="Y11" s="193">
        <v>11183</v>
      </c>
      <c r="Z11" s="207">
        <v>69578.64</v>
      </c>
      <c r="AA11" s="207"/>
      <c r="AB11" s="113" t="s">
        <v>202</v>
      </c>
      <c r="AC11" s="269">
        <v>25600</v>
      </c>
      <c r="AD11" s="212">
        <v>42039</v>
      </c>
    </row>
    <row r="12" spans="1:30" ht="15.75" x14ac:dyDescent="0.25">
      <c r="A12" s="21"/>
      <c r="B12" s="39">
        <v>42043</v>
      </c>
      <c r="C12" s="45">
        <v>0</v>
      </c>
      <c r="D12" s="32"/>
      <c r="E12" s="26">
        <v>42043</v>
      </c>
      <c r="F12" s="51">
        <v>48077</v>
      </c>
      <c r="G12" s="23"/>
      <c r="H12" s="27">
        <v>42043</v>
      </c>
      <c r="I12" s="62">
        <v>200</v>
      </c>
      <c r="J12" s="88"/>
      <c r="K12" s="13" t="s">
        <v>261</v>
      </c>
      <c r="L12" s="20">
        <v>8038.91</v>
      </c>
      <c r="M12" s="67" t="s">
        <v>272</v>
      </c>
      <c r="N12" s="75">
        <v>48214</v>
      </c>
      <c r="O12" s="80"/>
      <c r="P12" s="143">
        <v>42041</v>
      </c>
      <c r="Q12" s="205">
        <v>11298</v>
      </c>
      <c r="R12" s="156">
        <v>7361.6</v>
      </c>
      <c r="S12" s="104">
        <v>42047</v>
      </c>
      <c r="T12" s="103">
        <v>7361.6</v>
      </c>
      <c r="U12" s="155">
        <f t="shared" si="0"/>
        <v>0</v>
      </c>
      <c r="Y12" s="193">
        <v>11298</v>
      </c>
      <c r="Z12" s="207">
        <v>7361.6</v>
      </c>
      <c r="AA12" s="207"/>
      <c r="AB12" s="113" t="s">
        <v>202</v>
      </c>
      <c r="AC12" s="269">
        <v>38415.5</v>
      </c>
      <c r="AD12" s="212">
        <v>42040</v>
      </c>
    </row>
    <row r="13" spans="1:30" ht="15.75" x14ac:dyDescent="0.25">
      <c r="A13" s="21"/>
      <c r="B13" s="39">
        <v>42044</v>
      </c>
      <c r="C13" s="45">
        <v>0</v>
      </c>
      <c r="D13" s="32"/>
      <c r="E13" s="26">
        <v>42044</v>
      </c>
      <c r="F13" s="51">
        <v>63682</v>
      </c>
      <c r="G13" s="23"/>
      <c r="H13" s="27">
        <v>42044</v>
      </c>
      <c r="I13" s="62">
        <v>200</v>
      </c>
      <c r="J13" s="88"/>
      <c r="K13" s="13" t="s">
        <v>120</v>
      </c>
      <c r="L13" s="20">
        <v>0</v>
      </c>
      <c r="M13" s="67" t="s">
        <v>273</v>
      </c>
      <c r="N13" s="75">
        <v>61907.5</v>
      </c>
      <c r="O13" s="80"/>
      <c r="P13" s="143">
        <v>42041</v>
      </c>
      <c r="Q13" s="144">
        <v>11317</v>
      </c>
      <c r="R13" s="156">
        <v>48049.65</v>
      </c>
      <c r="S13" s="104" t="s">
        <v>279</v>
      </c>
      <c r="T13" s="103">
        <f>29750+12600+5699.5</f>
        <v>48049.5</v>
      </c>
      <c r="U13" s="155">
        <f t="shared" si="0"/>
        <v>0.15000000000145519</v>
      </c>
      <c r="Y13" s="193">
        <v>11317</v>
      </c>
      <c r="Z13" s="207">
        <v>29750</v>
      </c>
      <c r="AA13" s="207"/>
      <c r="AB13" s="113" t="s">
        <v>202</v>
      </c>
      <c r="AC13" s="269">
        <v>29750</v>
      </c>
      <c r="AD13" s="212">
        <v>42041</v>
      </c>
    </row>
    <row r="14" spans="1:30" ht="15.75" x14ac:dyDescent="0.25">
      <c r="A14" s="21"/>
      <c r="B14" s="39">
        <v>42045</v>
      </c>
      <c r="C14" s="45">
        <v>0</v>
      </c>
      <c r="D14" s="29"/>
      <c r="E14" s="26">
        <v>42045</v>
      </c>
      <c r="F14" s="51">
        <v>35650.5</v>
      </c>
      <c r="G14" s="23"/>
      <c r="H14" s="27">
        <v>42045</v>
      </c>
      <c r="I14" s="62">
        <v>200</v>
      </c>
      <c r="J14" s="88"/>
      <c r="K14" s="35" t="s">
        <v>16</v>
      </c>
      <c r="L14" s="20">
        <v>0</v>
      </c>
      <c r="M14" s="67" t="s">
        <v>274</v>
      </c>
      <c r="N14" s="75">
        <v>35614</v>
      </c>
      <c r="O14" s="80"/>
      <c r="P14" s="143">
        <v>42042</v>
      </c>
      <c r="Q14" s="144">
        <v>11399</v>
      </c>
      <c r="R14" s="156">
        <v>85674.76</v>
      </c>
      <c r="S14" s="104">
        <v>42051</v>
      </c>
      <c r="T14" s="103">
        <f>5244.5+13580.5+47200+19650</f>
        <v>85675</v>
      </c>
      <c r="U14" s="155">
        <f t="shared" si="0"/>
        <v>-0.24000000000523869</v>
      </c>
      <c r="Y14" s="193"/>
      <c r="Z14" s="207">
        <v>0</v>
      </c>
      <c r="AA14" s="207"/>
      <c r="AB14" s="113" t="s">
        <v>202</v>
      </c>
      <c r="AC14" s="269">
        <v>3276.5</v>
      </c>
      <c r="AD14" s="212">
        <v>42041</v>
      </c>
    </row>
    <row r="15" spans="1:30" ht="15.75" x14ac:dyDescent="0.25">
      <c r="A15" s="21"/>
      <c r="B15" s="39">
        <v>42046</v>
      </c>
      <c r="C15" s="45">
        <v>0</v>
      </c>
      <c r="D15" s="29"/>
      <c r="E15" s="26">
        <v>42046</v>
      </c>
      <c r="F15" s="51">
        <v>24734</v>
      </c>
      <c r="G15" s="23"/>
      <c r="H15" s="27">
        <v>42046</v>
      </c>
      <c r="I15" s="62">
        <v>200</v>
      </c>
      <c r="J15" s="88"/>
      <c r="K15" s="28" t="s">
        <v>15</v>
      </c>
      <c r="L15" s="20">
        <v>0</v>
      </c>
      <c r="M15" s="67" t="s">
        <v>275</v>
      </c>
      <c r="N15" s="75">
        <v>26031</v>
      </c>
      <c r="O15" s="80"/>
      <c r="P15" s="143">
        <v>42042</v>
      </c>
      <c r="Q15" s="144">
        <v>11414</v>
      </c>
      <c r="R15" s="156">
        <v>5162.8999999999996</v>
      </c>
      <c r="S15" s="145" t="s">
        <v>285</v>
      </c>
      <c r="T15" s="103">
        <f>500+4662.9</f>
        <v>5162.8999999999996</v>
      </c>
      <c r="U15" s="155">
        <f t="shared" si="0"/>
        <v>0</v>
      </c>
      <c r="Y15" s="193"/>
      <c r="Z15" s="207">
        <v>0</v>
      </c>
      <c r="AA15" s="207"/>
      <c r="AB15" s="113" t="s">
        <v>202</v>
      </c>
      <c r="AC15" s="269">
        <v>5448.5</v>
      </c>
      <c r="AD15" s="212">
        <v>42041</v>
      </c>
    </row>
    <row r="16" spans="1:30" ht="15.75" x14ac:dyDescent="0.25">
      <c r="A16" s="21"/>
      <c r="B16" s="39">
        <v>42047</v>
      </c>
      <c r="C16" s="45">
        <v>0</v>
      </c>
      <c r="D16" s="32"/>
      <c r="E16" s="26">
        <v>42047</v>
      </c>
      <c r="F16" s="51">
        <v>37949.5</v>
      </c>
      <c r="G16" s="23"/>
      <c r="H16" s="27">
        <v>42047</v>
      </c>
      <c r="I16" s="62">
        <v>200</v>
      </c>
      <c r="J16" s="88"/>
      <c r="K16" s="73" t="s">
        <v>52</v>
      </c>
      <c r="L16" s="74">
        <v>0</v>
      </c>
      <c r="M16" s="67" t="s">
        <v>276</v>
      </c>
      <c r="N16" s="75">
        <v>36189</v>
      </c>
      <c r="O16" s="80"/>
      <c r="P16" s="143">
        <v>42043</v>
      </c>
      <c r="Q16" s="144">
        <v>11466</v>
      </c>
      <c r="R16" s="156">
        <v>10189</v>
      </c>
      <c r="S16" s="104">
        <v>42051</v>
      </c>
      <c r="T16" s="103">
        <v>10189</v>
      </c>
      <c r="U16" s="155">
        <f t="shared" si="0"/>
        <v>0</v>
      </c>
      <c r="Y16" s="193"/>
      <c r="Z16" s="207">
        <v>0</v>
      </c>
      <c r="AA16" s="207"/>
      <c r="AB16" s="113" t="s">
        <v>202</v>
      </c>
      <c r="AC16" s="269">
        <v>130</v>
      </c>
      <c r="AD16" s="212">
        <v>42041</v>
      </c>
    </row>
    <row r="17" spans="1:30" ht="15.75" x14ac:dyDescent="0.25">
      <c r="A17" s="21"/>
      <c r="B17" s="39">
        <v>42048</v>
      </c>
      <c r="C17" s="45">
        <v>405</v>
      </c>
      <c r="D17" s="29" t="s">
        <v>50</v>
      </c>
      <c r="E17" s="26">
        <v>42048</v>
      </c>
      <c r="F17" s="51">
        <v>57436.5</v>
      </c>
      <c r="G17" s="23"/>
      <c r="H17" s="27">
        <v>42048</v>
      </c>
      <c r="I17" s="62">
        <v>200</v>
      </c>
      <c r="J17" s="88"/>
      <c r="K17" s="28" t="s">
        <v>53</v>
      </c>
      <c r="L17" s="74">
        <v>0</v>
      </c>
      <c r="M17" s="67" t="s">
        <v>277</v>
      </c>
      <c r="N17" s="75">
        <v>57480.5</v>
      </c>
      <c r="O17" s="80"/>
      <c r="P17" s="143">
        <v>42044</v>
      </c>
      <c r="Q17" s="144">
        <v>11567</v>
      </c>
      <c r="R17" s="156">
        <v>4611.8</v>
      </c>
      <c r="S17" s="104">
        <v>42051</v>
      </c>
      <c r="T17" s="88">
        <v>4612</v>
      </c>
      <c r="U17" s="155">
        <f t="shared" si="0"/>
        <v>-0.1999999999998181</v>
      </c>
      <c r="Y17" s="193"/>
      <c r="Z17" s="207">
        <v>0</v>
      </c>
      <c r="AA17" s="207"/>
      <c r="AB17" s="113"/>
      <c r="AC17" s="207">
        <v>0</v>
      </c>
      <c r="AD17" s="206"/>
    </row>
    <row r="18" spans="1:30" ht="15.75" x14ac:dyDescent="0.25">
      <c r="A18" s="21"/>
      <c r="B18" s="39">
        <v>42049</v>
      </c>
      <c r="C18" s="45">
        <v>0</v>
      </c>
      <c r="D18" s="22"/>
      <c r="E18" s="26">
        <v>42049</v>
      </c>
      <c r="F18" s="51">
        <v>75457.5</v>
      </c>
      <c r="G18" s="23"/>
      <c r="H18" s="27">
        <v>42049</v>
      </c>
      <c r="I18" s="62">
        <v>200</v>
      </c>
      <c r="J18" s="89"/>
      <c r="K18" s="28" t="s">
        <v>54</v>
      </c>
      <c r="L18" s="75">
        <v>0</v>
      </c>
      <c r="M18" s="67" t="s">
        <v>278</v>
      </c>
      <c r="N18" s="75">
        <v>75770.5</v>
      </c>
      <c r="O18" s="80"/>
      <c r="P18" s="143">
        <v>42045</v>
      </c>
      <c r="Q18" s="144">
        <v>11619</v>
      </c>
      <c r="R18" s="156">
        <v>55923.08</v>
      </c>
      <c r="S18" s="104">
        <v>42051</v>
      </c>
      <c r="T18" s="103">
        <f>17100+7420+6482+18978.5+5942.5</f>
        <v>55923</v>
      </c>
      <c r="U18" s="155">
        <f t="shared" si="0"/>
        <v>8.000000000174623E-2</v>
      </c>
      <c r="Y18" s="196"/>
      <c r="Z18" s="121">
        <v>0</v>
      </c>
      <c r="AA18" s="121"/>
      <c r="AB18" s="113"/>
      <c r="AC18" s="121">
        <v>0</v>
      </c>
      <c r="AD18" s="119"/>
    </row>
    <row r="19" spans="1:30" ht="18.75" x14ac:dyDescent="0.3">
      <c r="A19" s="21"/>
      <c r="B19" s="39">
        <v>42050</v>
      </c>
      <c r="C19" s="45">
        <v>376</v>
      </c>
      <c r="D19" s="29" t="s">
        <v>280</v>
      </c>
      <c r="E19" s="26">
        <v>42050</v>
      </c>
      <c r="F19" s="51">
        <v>65684.5</v>
      </c>
      <c r="G19" s="23"/>
      <c r="H19" s="27">
        <v>42050</v>
      </c>
      <c r="I19" s="62">
        <v>200</v>
      </c>
      <c r="J19" s="88"/>
      <c r="K19" s="28" t="s">
        <v>55</v>
      </c>
      <c r="L19" s="75">
        <v>0</v>
      </c>
      <c r="M19" s="67" t="s">
        <v>281</v>
      </c>
      <c r="N19" s="75">
        <v>64260</v>
      </c>
      <c r="O19" s="80"/>
      <c r="P19" s="143">
        <v>42045</v>
      </c>
      <c r="Q19" s="144">
        <v>11657</v>
      </c>
      <c r="R19" s="156">
        <v>3172.2</v>
      </c>
      <c r="S19" s="104">
        <v>42051</v>
      </c>
      <c r="T19" s="103">
        <v>3172</v>
      </c>
      <c r="U19" s="155">
        <f t="shared" si="0"/>
        <v>0.1999999999998181</v>
      </c>
      <c r="Z19" s="131">
        <f>SUM(Z4:Z18)</f>
        <v>187245.16</v>
      </c>
      <c r="AA19" s="131"/>
      <c r="AB19" s="131"/>
      <c r="AC19" s="131">
        <f>SUM(AC4:AC18)</f>
        <v>187245.5</v>
      </c>
    </row>
    <row r="20" spans="1:30" ht="15.75" x14ac:dyDescent="0.25">
      <c r="A20" s="21"/>
      <c r="B20" s="39">
        <v>42051</v>
      </c>
      <c r="C20" s="45">
        <v>0</v>
      </c>
      <c r="D20" s="22"/>
      <c r="E20" s="26">
        <v>42051</v>
      </c>
      <c r="F20" s="51">
        <v>32414</v>
      </c>
      <c r="G20" s="23"/>
      <c r="H20" s="27">
        <v>42051</v>
      </c>
      <c r="I20" s="62">
        <v>200</v>
      </c>
      <c r="J20" s="90"/>
      <c r="K20" s="36" t="s">
        <v>68</v>
      </c>
      <c r="L20" s="55">
        <v>616</v>
      </c>
      <c r="M20" s="67" t="s">
        <v>282</v>
      </c>
      <c r="N20" s="75">
        <v>32295.54</v>
      </c>
      <c r="O20" s="80"/>
      <c r="P20" s="143">
        <v>42046</v>
      </c>
      <c r="Q20" s="144">
        <v>11769</v>
      </c>
      <c r="R20" s="156">
        <v>30271.37</v>
      </c>
      <c r="S20" s="104">
        <v>42051</v>
      </c>
      <c r="T20" s="103">
        <v>30271.5</v>
      </c>
      <c r="U20" s="155">
        <f t="shared" si="0"/>
        <v>-0.13000000000101863</v>
      </c>
      <c r="Y20" s="216"/>
      <c r="Z20" s="88"/>
      <c r="AA20" s="88"/>
      <c r="AB20" s="135"/>
      <c r="AC20" s="88"/>
      <c r="AD20" s="28"/>
    </row>
    <row r="21" spans="1:30" x14ac:dyDescent="0.25">
      <c r="A21" s="21"/>
      <c r="B21" s="39">
        <v>42052</v>
      </c>
      <c r="C21" s="45">
        <v>0</v>
      </c>
      <c r="D21" s="22"/>
      <c r="E21" s="26">
        <v>42052</v>
      </c>
      <c r="F21" s="51">
        <v>34985</v>
      </c>
      <c r="G21" s="23"/>
      <c r="H21" s="27">
        <v>42052</v>
      </c>
      <c r="I21" s="62">
        <v>200</v>
      </c>
      <c r="J21" s="88"/>
      <c r="K21" s="25" t="s">
        <v>99</v>
      </c>
      <c r="L21" s="55">
        <v>0</v>
      </c>
      <c r="M21" s="67" t="s">
        <v>283</v>
      </c>
      <c r="N21" s="75">
        <v>35563</v>
      </c>
      <c r="O21" s="80"/>
      <c r="P21" s="143">
        <v>42047</v>
      </c>
      <c r="Q21" s="144">
        <v>11855</v>
      </c>
      <c r="R21" s="156">
        <v>6293.6</v>
      </c>
      <c r="S21" s="104">
        <v>42051</v>
      </c>
      <c r="T21" s="103">
        <v>6293.5</v>
      </c>
      <c r="U21" s="155">
        <f t="shared" si="0"/>
        <v>0.1000000000003638</v>
      </c>
    </row>
    <row r="22" spans="1:30" x14ac:dyDescent="0.25">
      <c r="A22" s="21"/>
      <c r="B22" s="39">
        <v>42053</v>
      </c>
      <c r="C22" s="45">
        <v>0</v>
      </c>
      <c r="D22" s="22"/>
      <c r="E22" s="26">
        <v>42053</v>
      </c>
      <c r="F22" s="51">
        <v>37987.5</v>
      </c>
      <c r="G22" s="23"/>
      <c r="H22" s="27">
        <v>42053</v>
      </c>
      <c r="I22" s="62">
        <v>200</v>
      </c>
      <c r="J22" s="90"/>
      <c r="K22" s="122" t="s">
        <v>213</v>
      </c>
      <c r="L22" s="55">
        <v>900</v>
      </c>
      <c r="M22" s="67" t="s">
        <v>284</v>
      </c>
      <c r="N22" s="75">
        <v>37649</v>
      </c>
      <c r="O22" s="80"/>
      <c r="P22" s="143">
        <v>42047</v>
      </c>
      <c r="Q22" s="144">
        <v>11862</v>
      </c>
      <c r="R22" s="156">
        <v>41482.370000000003</v>
      </c>
      <c r="S22" s="104">
        <v>42051</v>
      </c>
      <c r="T22" s="103">
        <f>24950+4945.5+5606+5981</f>
        <v>41482.5</v>
      </c>
      <c r="U22" s="155">
        <f t="shared" si="0"/>
        <v>-0.12999999999738066</v>
      </c>
    </row>
    <row r="23" spans="1:30" ht="15.75" x14ac:dyDescent="0.25">
      <c r="A23" s="21"/>
      <c r="B23" s="39">
        <v>42054</v>
      </c>
      <c r="C23" s="45">
        <v>0</v>
      </c>
      <c r="D23" s="22"/>
      <c r="E23" s="26">
        <v>42054</v>
      </c>
      <c r="F23" s="51">
        <v>36842.5</v>
      </c>
      <c r="G23" s="23"/>
      <c r="H23" s="27">
        <v>42054</v>
      </c>
      <c r="I23" s="62">
        <v>1000</v>
      </c>
      <c r="J23" s="88"/>
      <c r="K23" s="11"/>
      <c r="L23" s="55"/>
      <c r="M23" s="67" t="s">
        <v>287</v>
      </c>
      <c r="N23" s="75">
        <v>35726</v>
      </c>
      <c r="O23" s="80"/>
      <c r="P23" s="143">
        <v>42048</v>
      </c>
      <c r="Q23" s="144">
        <v>11985</v>
      </c>
      <c r="R23" s="207">
        <v>78416.350000000006</v>
      </c>
      <c r="S23" s="228" t="s">
        <v>286</v>
      </c>
      <c r="T23" s="103">
        <f>12450+65966.35</f>
        <v>78416.350000000006</v>
      </c>
      <c r="U23" s="155">
        <f t="shared" si="0"/>
        <v>0</v>
      </c>
      <c r="Y23" s="104"/>
      <c r="Z23" s="223">
        <v>42051</v>
      </c>
      <c r="AA23" s="215"/>
      <c r="AB23" s="134" t="s">
        <v>200</v>
      </c>
      <c r="AC23" s="88"/>
    </row>
    <row r="24" spans="1:30" x14ac:dyDescent="0.25">
      <c r="A24" s="21"/>
      <c r="B24" s="39">
        <v>42055</v>
      </c>
      <c r="C24" s="45">
        <v>0</v>
      </c>
      <c r="D24" s="29"/>
      <c r="E24" s="26">
        <v>42055</v>
      </c>
      <c r="F24" s="51">
        <v>51955</v>
      </c>
      <c r="G24" s="23"/>
      <c r="H24" s="27">
        <v>42055</v>
      </c>
      <c r="I24" s="62">
        <v>500</v>
      </c>
      <c r="J24" s="88"/>
      <c r="K24" s="11"/>
      <c r="L24" s="55"/>
      <c r="M24" s="67" t="s">
        <v>288</v>
      </c>
      <c r="N24" s="75">
        <v>49700</v>
      </c>
      <c r="O24" s="80"/>
      <c r="P24" s="143">
        <v>42049</v>
      </c>
      <c r="Q24" s="144">
        <v>12073</v>
      </c>
      <c r="R24" s="156">
        <v>2604.3000000000002</v>
      </c>
      <c r="S24" s="104">
        <v>42056</v>
      </c>
      <c r="T24" s="103">
        <v>2604.3000000000002</v>
      </c>
      <c r="U24" s="155">
        <f t="shared" si="0"/>
        <v>0</v>
      </c>
      <c r="Y24" s="104"/>
      <c r="Z24" s="103"/>
      <c r="AA24" s="103"/>
      <c r="AB24" s="103"/>
      <c r="AC24" s="213"/>
    </row>
    <row r="25" spans="1:30" ht="15.75" x14ac:dyDescent="0.25">
      <c r="A25" s="21"/>
      <c r="B25" s="39">
        <v>42056</v>
      </c>
      <c r="C25" s="45">
        <v>0</v>
      </c>
      <c r="D25" s="22"/>
      <c r="E25" s="26">
        <v>42056</v>
      </c>
      <c r="F25" s="51">
        <v>83408</v>
      </c>
      <c r="G25" s="23"/>
      <c r="H25" s="27">
        <v>42056</v>
      </c>
      <c r="I25" s="62">
        <v>248</v>
      </c>
      <c r="J25" s="88"/>
      <c r="K25" s="11"/>
      <c r="L25" s="55"/>
      <c r="M25" s="67" t="s">
        <v>289</v>
      </c>
      <c r="N25" s="75">
        <v>78850</v>
      </c>
      <c r="O25" s="80"/>
      <c r="P25" s="143">
        <v>42050</v>
      </c>
      <c r="Q25" s="144">
        <v>12142</v>
      </c>
      <c r="R25" s="156">
        <v>6584.4</v>
      </c>
      <c r="S25" s="104">
        <v>42056</v>
      </c>
      <c r="T25" s="103">
        <v>6584.4</v>
      </c>
      <c r="U25" s="155">
        <f t="shared" si="0"/>
        <v>0</v>
      </c>
      <c r="Y25" s="193">
        <v>11317</v>
      </c>
      <c r="Z25" s="130">
        <v>18299.650000000001</v>
      </c>
      <c r="AA25" s="130"/>
      <c r="AB25" s="113" t="s">
        <v>202</v>
      </c>
      <c r="AC25" s="270">
        <v>12600</v>
      </c>
      <c r="AD25" s="221">
        <v>42042</v>
      </c>
    </row>
    <row r="26" spans="1:30" ht="15.75" x14ac:dyDescent="0.25">
      <c r="A26" s="21"/>
      <c r="B26" s="39">
        <v>42057</v>
      </c>
      <c r="C26" s="45">
        <v>0</v>
      </c>
      <c r="D26" s="29"/>
      <c r="E26" s="26">
        <v>42057</v>
      </c>
      <c r="F26" s="51">
        <v>60186</v>
      </c>
      <c r="G26" s="23"/>
      <c r="H26" s="27">
        <v>42057</v>
      </c>
      <c r="I26" s="62">
        <v>200</v>
      </c>
      <c r="J26" s="88"/>
      <c r="K26" s="11"/>
      <c r="L26" s="55"/>
      <c r="M26" s="67" t="s">
        <v>290</v>
      </c>
      <c r="N26" s="75">
        <v>62239.5</v>
      </c>
      <c r="O26" s="80"/>
      <c r="P26" s="143">
        <v>42051</v>
      </c>
      <c r="Q26" s="144">
        <v>12227</v>
      </c>
      <c r="R26" s="156">
        <v>10284.9</v>
      </c>
      <c r="S26" s="104">
        <v>42056</v>
      </c>
      <c r="T26" s="103">
        <v>10284.9</v>
      </c>
      <c r="U26" s="155">
        <f t="shared" si="0"/>
        <v>0</v>
      </c>
      <c r="Y26" s="194">
        <v>11399</v>
      </c>
      <c r="Z26" s="207">
        <v>85674.76</v>
      </c>
      <c r="AA26" s="207"/>
      <c r="AB26" s="127" t="s">
        <v>202</v>
      </c>
      <c r="AC26" s="269">
        <v>47200</v>
      </c>
      <c r="AD26" s="221">
        <v>42042</v>
      </c>
    </row>
    <row r="27" spans="1:30" ht="15.75" x14ac:dyDescent="0.25">
      <c r="A27" s="21"/>
      <c r="B27" s="39">
        <v>42058</v>
      </c>
      <c r="C27" s="45">
        <v>0</v>
      </c>
      <c r="D27" s="29"/>
      <c r="E27" s="26">
        <v>42058</v>
      </c>
      <c r="F27" s="51">
        <v>60127</v>
      </c>
      <c r="G27" s="23"/>
      <c r="H27" s="27">
        <v>42058</v>
      </c>
      <c r="I27" s="62">
        <v>365</v>
      </c>
      <c r="J27" s="88"/>
      <c r="K27" s="11"/>
      <c r="L27" s="55"/>
      <c r="M27" s="201" t="s">
        <v>291</v>
      </c>
      <c r="N27" s="204">
        <v>55868.7</v>
      </c>
      <c r="O27" s="80"/>
      <c r="P27" s="143">
        <v>42051</v>
      </c>
      <c r="Q27" s="144">
        <v>12231</v>
      </c>
      <c r="R27" s="156">
        <v>79037.75</v>
      </c>
      <c r="S27" s="104">
        <v>42056</v>
      </c>
      <c r="T27" s="103">
        <v>79037.75</v>
      </c>
      <c r="U27" s="155">
        <f t="shared" si="0"/>
        <v>0</v>
      </c>
      <c r="Y27" s="193">
        <v>11414</v>
      </c>
      <c r="Z27" s="207">
        <v>500</v>
      </c>
      <c r="AA27" s="207" t="s">
        <v>242</v>
      </c>
      <c r="AB27" s="127" t="s">
        <v>202</v>
      </c>
      <c r="AC27" s="269">
        <v>5699.5</v>
      </c>
      <c r="AD27" s="221">
        <v>42042</v>
      </c>
    </row>
    <row r="28" spans="1:30" ht="15.75" x14ac:dyDescent="0.25">
      <c r="A28" s="21"/>
      <c r="B28" s="39">
        <v>42059</v>
      </c>
      <c r="C28" s="45">
        <v>0</v>
      </c>
      <c r="D28" s="29"/>
      <c r="E28" s="26">
        <v>42059</v>
      </c>
      <c r="F28" s="51">
        <v>32386</v>
      </c>
      <c r="G28" s="23"/>
      <c r="H28" s="27">
        <v>42059</v>
      </c>
      <c r="I28" s="62">
        <v>380</v>
      </c>
      <c r="J28" s="88"/>
      <c r="K28" s="11"/>
      <c r="L28" s="55"/>
      <c r="M28" s="201" t="s">
        <v>292</v>
      </c>
      <c r="N28" s="204">
        <v>36150</v>
      </c>
      <c r="O28" s="80"/>
      <c r="P28" s="143">
        <v>42052</v>
      </c>
      <c r="Q28" s="144">
        <v>12360</v>
      </c>
      <c r="R28" s="156">
        <v>52715.48</v>
      </c>
      <c r="S28" s="104">
        <v>42056</v>
      </c>
      <c r="T28" s="103">
        <v>52715.48</v>
      </c>
      <c r="U28" s="155">
        <f t="shared" si="0"/>
        <v>0</v>
      </c>
      <c r="X28" s="134"/>
      <c r="Y28" s="193">
        <v>11466</v>
      </c>
      <c r="Z28" s="130">
        <v>10189</v>
      </c>
      <c r="AA28" s="130"/>
      <c r="AB28" s="113" t="s">
        <v>202</v>
      </c>
      <c r="AC28" s="269">
        <v>19650</v>
      </c>
      <c r="AD28" s="221">
        <v>42044</v>
      </c>
    </row>
    <row r="29" spans="1:30" ht="15.75" x14ac:dyDescent="0.25">
      <c r="A29" s="21"/>
      <c r="B29" s="39">
        <v>42060</v>
      </c>
      <c r="C29" s="45">
        <v>0</v>
      </c>
      <c r="D29" s="29"/>
      <c r="E29" s="26">
        <v>42060</v>
      </c>
      <c r="F29" s="51">
        <v>27388</v>
      </c>
      <c r="G29" s="23"/>
      <c r="H29" s="27">
        <v>42060</v>
      </c>
      <c r="I29" s="62">
        <v>382.5</v>
      </c>
      <c r="J29" s="88"/>
      <c r="K29" s="11"/>
      <c r="L29" s="20"/>
      <c r="M29" s="67" t="s">
        <v>293</v>
      </c>
      <c r="N29" s="75">
        <v>26469.5</v>
      </c>
      <c r="O29" s="80"/>
      <c r="P29" s="143">
        <v>42054</v>
      </c>
      <c r="Q29" s="144">
        <v>12512</v>
      </c>
      <c r="R29" s="156">
        <v>19715.28</v>
      </c>
      <c r="S29" s="104">
        <v>42056</v>
      </c>
      <c r="T29" s="103">
        <v>19715.28</v>
      </c>
      <c r="U29" s="155">
        <f t="shared" si="0"/>
        <v>0</v>
      </c>
      <c r="X29" s="210"/>
      <c r="Y29" s="193">
        <v>11567</v>
      </c>
      <c r="Z29" s="207">
        <v>4611.8</v>
      </c>
      <c r="AA29" s="207"/>
      <c r="AB29" s="113" t="s">
        <v>202</v>
      </c>
      <c r="AC29" s="270">
        <v>13580.5</v>
      </c>
      <c r="AD29" s="221">
        <v>42044</v>
      </c>
    </row>
    <row r="30" spans="1:30" ht="15.75" x14ac:dyDescent="0.25">
      <c r="A30" s="21"/>
      <c r="B30" s="39">
        <v>42061</v>
      </c>
      <c r="C30" s="45">
        <v>0</v>
      </c>
      <c r="D30" s="22"/>
      <c r="E30" s="26">
        <v>42061</v>
      </c>
      <c r="F30" s="51">
        <v>44852</v>
      </c>
      <c r="G30" s="23"/>
      <c r="H30" s="27">
        <v>42061</v>
      </c>
      <c r="I30" s="62">
        <v>200</v>
      </c>
      <c r="J30" s="88"/>
      <c r="K30" s="11"/>
      <c r="L30" s="20"/>
      <c r="M30" s="201" t="s">
        <v>300</v>
      </c>
      <c r="N30" s="204">
        <v>44730</v>
      </c>
      <c r="O30" s="80"/>
      <c r="P30" s="143">
        <v>42054</v>
      </c>
      <c r="Q30" s="144">
        <v>12515</v>
      </c>
      <c r="R30" s="156">
        <v>11273</v>
      </c>
      <c r="S30" s="104" t="s">
        <v>294</v>
      </c>
      <c r="T30" s="88">
        <f>3967.94+7305.06</f>
        <v>11273</v>
      </c>
      <c r="U30" s="155">
        <f t="shared" si="0"/>
        <v>0</v>
      </c>
      <c r="X30" s="134"/>
      <c r="Y30" s="193">
        <v>11619</v>
      </c>
      <c r="Z30" s="207">
        <v>55923.08</v>
      </c>
      <c r="AA30" s="207"/>
      <c r="AB30" s="113" t="s">
        <v>202</v>
      </c>
      <c r="AC30" s="269">
        <v>10189</v>
      </c>
      <c r="AD30" s="221">
        <v>42044</v>
      </c>
    </row>
    <row r="31" spans="1:30" ht="15.75" x14ac:dyDescent="0.25">
      <c r="A31" s="21"/>
      <c r="B31" s="39">
        <v>42062</v>
      </c>
      <c r="C31" s="45">
        <v>0</v>
      </c>
      <c r="D31" s="22"/>
      <c r="E31" s="26">
        <v>42062</v>
      </c>
      <c r="F31" s="51">
        <v>46052</v>
      </c>
      <c r="G31" s="23"/>
      <c r="H31" s="27">
        <v>42062</v>
      </c>
      <c r="I31" s="62">
        <v>200</v>
      </c>
      <c r="J31" s="88"/>
      <c r="K31" s="11"/>
      <c r="L31" s="20"/>
      <c r="M31" s="201" t="s">
        <v>301</v>
      </c>
      <c r="N31" s="204">
        <v>45570</v>
      </c>
      <c r="O31" s="80"/>
      <c r="P31" s="143">
        <v>42054</v>
      </c>
      <c r="Q31" s="144">
        <v>12531</v>
      </c>
      <c r="R31" s="156">
        <v>43841.84</v>
      </c>
      <c r="S31" s="104">
        <v>42063</v>
      </c>
      <c r="T31" s="103">
        <v>43841.84</v>
      </c>
      <c r="U31" s="155">
        <f t="shared" si="0"/>
        <v>0</v>
      </c>
      <c r="X31" s="134"/>
      <c r="Y31" s="193">
        <v>11657</v>
      </c>
      <c r="Z31" s="207">
        <v>3172.2</v>
      </c>
      <c r="AA31" s="207"/>
      <c r="AB31" s="113" t="s">
        <v>202</v>
      </c>
      <c r="AC31" s="269">
        <v>5244.5</v>
      </c>
      <c r="AD31" s="221">
        <v>42044</v>
      </c>
    </row>
    <row r="32" spans="1:30" ht="15.75" x14ac:dyDescent="0.25">
      <c r="A32" s="21"/>
      <c r="B32" s="39">
        <v>42063</v>
      </c>
      <c r="C32" s="45">
        <v>0</v>
      </c>
      <c r="D32" s="22"/>
      <c r="E32" s="26">
        <v>42063</v>
      </c>
      <c r="F32" s="51">
        <v>106386</v>
      </c>
      <c r="G32" s="23"/>
      <c r="H32" s="27">
        <v>42063</v>
      </c>
      <c r="I32" s="62">
        <v>260</v>
      </c>
      <c r="J32" s="88"/>
      <c r="K32" s="11"/>
      <c r="L32" s="20"/>
      <c r="M32" s="67" t="s">
        <v>302</v>
      </c>
      <c r="N32" s="75">
        <v>105655.5</v>
      </c>
      <c r="O32" s="80"/>
      <c r="P32" s="143">
        <v>42055</v>
      </c>
      <c r="Q32" s="144">
        <v>12581</v>
      </c>
      <c r="R32" s="156">
        <v>50545.72</v>
      </c>
      <c r="S32" s="104">
        <v>42063</v>
      </c>
      <c r="T32" s="103">
        <v>50545.72</v>
      </c>
      <c r="U32" s="155">
        <f t="shared" si="0"/>
        <v>0</v>
      </c>
      <c r="X32" s="134"/>
      <c r="Y32" s="193">
        <v>11769</v>
      </c>
      <c r="Z32" s="207">
        <v>30271.37</v>
      </c>
      <c r="AA32" s="207"/>
      <c r="AB32" s="113" t="s">
        <v>202</v>
      </c>
      <c r="AC32" s="269">
        <v>17100</v>
      </c>
      <c r="AD32" s="221">
        <v>42045</v>
      </c>
    </row>
    <row r="33" spans="1:30" ht="16.5" thickBot="1" x14ac:dyDescent="0.3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  <c r="O33" s="80"/>
      <c r="P33" s="143">
        <v>42056</v>
      </c>
      <c r="Q33" s="144">
        <v>12721</v>
      </c>
      <c r="R33" s="156">
        <v>11184.7</v>
      </c>
      <c r="S33" s="104">
        <v>42063</v>
      </c>
      <c r="T33" s="88">
        <v>11184.7</v>
      </c>
      <c r="U33" s="155">
        <f t="shared" si="0"/>
        <v>0</v>
      </c>
      <c r="X33" s="134"/>
      <c r="Y33" s="193">
        <v>11855</v>
      </c>
      <c r="Z33" s="207">
        <v>6293.6</v>
      </c>
      <c r="AA33" s="207"/>
      <c r="AB33" s="113" t="s">
        <v>202</v>
      </c>
      <c r="AC33" s="269">
        <v>7420</v>
      </c>
      <c r="AD33" s="221">
        <v>42047</v>
      </c>
    </row>
    <row r="34" spans="1:30" ht="16.5" thickBot="1" x14ac:dyDescent="0.3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59">
        <f>SUM(N5:N33)</f>
        <v>1374233.24</v>
      </c>
      <c r="O34" s="80"/>
      <c r="P34" s="143">
        <v>42056</v>
      </c>
      <c r="Q34" s="144">
        <v>12770</v>
      </c>
      <c r="R34" s="157">
        <v>7010.4</v>
      </c>
      <c r="S34" s="104">
        <v>42063</v>
      </c>
      <c r="T34" s="88">
        <v>7010.4</v>
      </c>
      <c r="U34" s="155">
        <f t="shared" si="0"/>
        <v>0</v>
      </c>
      <c r="X34" s="134"/>
      <c r="Y34" s="193">
        <v>11862</v>
      </c>
      <c r="Z34" s="207">
        <v>41482.370000000003</v>
      </c>
      <c r="AA34" s="207"/>
      <c r="AB34" s="113" t="s">
        <v>202</v>
      </c>
      <c r="AC34" s="269">
        <v>4612</v>
      </c>
      <c r="AD34" s="221">
        <v>42045</v>
      </c>
    </row>
    <row r="35" spans="1:30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3">
        <v>42056</v>
      </c>
      <c r="Q35" s="144">
        <v>12780</v>
      </c>
      <c r="R35" s="156">
        <v>65691.37</v>
      </c>
      <c r="S35" s="104">
        <v>42063</v>
      </c>
      <c r="T35" s="103">
        <v>65691.37</v>
      </c>
      <c r="U35" s="155">
        <f t="shared" si="0"/>
        <v>0</v>
      </c>
      <c r="X35" s="134"/>
      <c r="Y35" s="193">
        <v>11985</v>
      </c>
      <c r="Z35" s="207">
        <v>12450</v>
      </c>
      <c r="AA35" s="207" t="s">
        <v>242</v>
      </c>
      <c r="AB35" s="113" t="s">
        <v>202</v>
      </c>
      <c r="AC35" s="269">
        <v>6482</v>
      </c>
      <c r="AD35" s="221">
        <v>42045</v>
      </c>
    </row>
    <row r="36" spans="1:30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3">
        <v>42058</v>
      </c>
      <c r="Q36" s="144">
        <v>12884</v>
      </c>
      <c r="R36" s="156">
        <v>32770.199999999997</v>
      </c>
      <c r="S36" s="104">
        <v>42063</v>
      </c>
      <c r="T36" s="103">
        <v>32770.199999999997</v>
      </c>
      <c r="U36" s="155">
        <f t="shared" si="0"/>
        <v>0</v>
      </c>
      <c r="X36" s="134"/>
      <c r="Y36" s="193"/>
      <c r="Z36" s="207"/>
      <c r="AA36" s="207"/>
      <c r="AB36" s="113" t="s">
        <v>202</v>
      </c>
      <c r="AC36" s="269">
        <v>18978.5</v>
      </c>
      <c r="AD36" s="221">
        <v>42046</v>
      </c>
    </row>
    <row r="37" spans="1:30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3">
        <v>42059</v>
      </c>
      <c r="Q37" s="144">
        <v>13052</v>
      </c>
      <c r="R37" s="156">
        <v>7299.6</v>
      </c>
      <c r="S37" s="104">
        <v>42063</v>
      </c>
      <c r="T37" s="103">
        <v>7299.6</v>
      </c>
      <c r="U37" s="155">
        <f t="shared" si="0"/>
        <v>0</v>
      </c>
      <c r="X37" s="134"/>
      <c r="Y37" s="193"/>
      <c r="Z37" s="207">
        <v>0</v>
      </c>
      <c r="AA37" s="207"/>
      <c r="AB37" s="113" t="s">
        <v>202</v>
      </c>
      <c r="AC37" s="269">
        <v>6442.5</v>
      </c>
      <c r="AD37" s="221">
        <v>42046</v>
      </c>
    </row>
    <row r="38" spans="1:30" ht="15.75" x14ac:dyDescent="0.25">
      <c r="B38" s="42" t="s">
        <v>1</v>
      </c>
      <c r="C38" s="48">
        <f>SUM(C5:C37)</f>
        <v>1212.5</v>
      </c>
      <c r="E38" s="255" t="s">
        <v>1</v>
      </c>
      <c r="F38" s="54">
        <f>SUM(F6:F37)</f>
        <v>1337655</v>
      </c>
      <c r="H38" s="257" t="s">
        <v>1</v>
      </c>
      <c r="I38" s="58">
        <f>SUM(I5:I37)</f>
        <v>7696.5</v>
      </c>
      <c r="J38" s="58"/>
      <c r="K38" s="17" t="s">
        <v>1</v>
      </c>
      <c r="L38" s="4">
        <f t="shared" ref="L38" si="1">SUM(L5:L37)</f>
        <v>62871.680000000008</v>
      </c>
      <c r="P38" s="143">
        <v>42059</v>
      </c>
      <c r="Q38" s="144">
        <v>13061</v>
      </c>
      <c r="R38" s="156">
        <v>41006.089999999997</v>
      </c>
      <c r="S38" s="104">
        <v>42063</v>
      </c>
      <c r="T38" s="103">
        <v>41006.089999999997</v>
      </c>
      <c r="U38" s="155">
        <f t="shared" si="0"/>
        <v>0</v>
      </c>
      <c r="X38" s="134"/>
      <c r="Y38" s="193"/>
      <c r="Z38" s="207">
        <v>0</v>
      </c>
      <c r="AA38" s="207"/>
      <c r="AB38" s="113"/>
      <c r="AC38" s="269">
        <v>6293.5</v>
      </c>
      <c r="AD38" s="221">
        <v>42047</v>
      </c>
    </row>
    <row r="39" spans="1:30" ht="15.75" x14ac:dyDescent="0.25">
      <c r="P39" s="143">
        <v>42060</v>
      </c>
      <c r="Q39" s="144">
        <v>13131</v>
      </c>
      <c r="R39" s="156">
        <v>2247.6</v>
      </c>
      <c r="S39" s="104">
        <v>42063</v>
      </c>
      <c r="T39" s="103">
        <v>2247.6</v>
      </c>
      <c r="U39" s="155">
        <f t="shared" si="0"/>
        <v>0</v>
      </c>
      <c r="X39" s="134"/>
      <c r="Y39" s="119"/>
      <c r="Z39" s="121"/>
      <c r="AA39" s="121"/>
      <c r="AB39" s="121"/>
      <c r="AC39" s="269">
        <v>24950</v>
      </c>
      <c r="AD39" s="222">
        <v>42047</v>
      </c>
    </row>
    <row r="40" spans="1:30" ht="15.75" customHeight="1" x14ac:dyDescent="0.25">
      <c r="A40" s="5"/>
      <c r="C40" s="49">
        <v>0</v>
      </c>
      <c r="D40" s="13"/>
      <c r="E40" s="13"/>
      <c r="F40" s="55"/>
      <c r="H40" s="453" t="s">
        <v>7</v>
      </c>
      <c r="I40" s="454"/>
      <c r="J40" s="256"/>
      <c r="K40" s="455">
        <f>I38+L38</f>
        <v>70568.180000000008</v>
      </c>
      <c r="L40" s="456"/>
      <c r="P40" s="143">
        <v>42061</v>
      </c>
      <c r="Q40" s="144">
        <v>13222</v>
      </c>
      <c r="R40" s="156">
        <v>44633.09</v>
      </c>
      <c r="S40" s="276" t="s">
        <v>315</v>
      </c>
      <c r="T40" s="184">
        <f>7849.92+36783.17</f>
        <v>44633.09</v>
      </c>
      <c r="U40" s="241">
        <f t="shared" si="0"/>
        <v>0</v>
      </c>
      <c r="X40" s="134"/>
      <c r="Y40" s="119"/>
      <c r="Z40" s="121"/>
      <c r="AA40" s="121"/>
      <c r="AB40" s="121"/>
      <c r="AC40" s="269">
        <v>4945.5</v>
      </c>
      <c r="AD40" s="222">
        <v>42047</v>
      </c>
    </row>
    <row r="41" spans="1:30" ht="15.75" customHeight="1" x14ac:dyDescent="0.25">
      <c r="D41" s="447" t="s">
        <v>8</v>
      </c>
      <c r="E41" s="447"/>
      <c r="F41" s="56">
        <f>F38-K40</f>
        <v>1267086.82</v>
      </c>
      <c r="I41" s="65"/>
      <c r="J41" s="65"/>
      <c r="P41" s="110">
        <v>42062</v>
      </c>
      <c r="Q41" s="239">
        <v>13373</v>
      </c>
      <c r="R41" s="43">
        <v>7102</v>
      </c>
      <c r="S41" s="278">
        <v>42075</v>
      </c>
      <c r="T41" s="277">
        <v>7102</v>
      </c>
      <c r="U41" s="241">
        <f t="shared" si="0"/>
        <v>0</v>
      </c>
      <c r="X41" s="134"/>
      <c r="Y41" s="196"/>
      <c r="Z41" s="121">
        <v>0</v>
      </c>
      <c r="AA41" s="121"/>
      <c r="AB41" s="113"/>
      <c r="AC41" s="269">
        <v>5606</v>
      </c>
      <c r="AD41" s="222">
        <v>42048</v>
      </c>
    </row>
    <row r="42" spans="1:30" x14ac:dyDescent="0.25">
      <c r="D42" s="13"/>
      <c r="E42" s="13" t="s">
        <v>0</v>
      </c>
      <c r="F42" s="55">
        <f>-C38</f>
        <v>-1212.5</v>
      </c>
      <c r="P42" s="159">
        <v>42062</v>
      </c>
      <c r="Q42" s="240">
        <v>13378</v>
      </c>
      <c r="R42" s="150">
        <v>49134.6</v>
      </c>
      <c r="S42" s="278">
        <v>42075</v>
      </c>
      <c r="T42" s="277">
        <v>49134.6</v>
      </c>
      <c r="U42" s="241">
        <f t="shared" si="0"/>
        <v>0</v>
      </c>
      <c r="X42" s="28"/>
      <c r="Y42" s="119"/>
      <c r="Z42" s="121"/>
      <c r="AA42" s="121"/>
      <c r="AB42" s="121"/>
      <c r="AC42" s="269">
        <v>5981</v>
      </c>
      <c r="AD42" s="222">
        <v>42048</v>
      </c>
    </row>
    <row r="43" spans="1:30" ht="16.5" thickBot="1" x14ac:dyDescent="0.3">
      <c r="C43" s="43" t="s">
        <v>12</v>
      </c>
      <c r="D43" t="s">
        <v>303</v>
      </c>
      <c r="F43" s="57">
        <f>-R49</f>
        <v>-1163445.4399999997</v>
      </c>
      <c r="I43" s="457"/>
      <c r="J43" s="457"/>
      <c r="K43" s="457"/>
      <c r="L43" s="2"/>
      <c r="P43" s="159">
        <v>42062</v>
      </c>
      <c r="Q43" s="240">
        <v>13388</v>
      </c>
      <c r="R43" s="150">
        <v>25798.9</v>
      </c>
      <c r="S43" s="278">
        <v>42075</v>
      </c>
      <c r="T43" s="277">
        <v>25798.9</v>
      </c>
      <c r="U43" s="241">
        <f t="shared" si="0"/>
        <v>0</v>
      </c>
      <c r="X43" s="28"/>
      <c r="Y43" s="113"/>
      <c r="Z43" s="207"/>
      <c r="AA43" s="207"/>
      <c r="AB43" s="207"/>
      <c r="AC43" s="269">
        <v>3172</v>
      </c>
      <c r="AD43" s="221">
        <v>42048</v>
      </c>
    </row>
    <row r="44" spans="1:30" ht="16.5" thickTop="1" x14ac:dyDescent="0.25">
      <c r="E44" s="5" t="s">
        <v>10</v>
      </c>
      <c r="F44" s="58">
        <f>SUM(F41:F43)</f>
        <v>102428.88000000035</v>
      </c>
      <c r="I44"/>
      <c r="J44" s="182" t="s">
        <v>251</v>
      </c>
      <c r="K44" s="474">
        <f>F46</f>
        <v>284330.06000000035</v>
      </c>
      <c r="L44" s="475"/>
      <c r="P44" s="159">
        <v>42063</v>
      </c>
      <c r="Q44" s="240">
        <v>13507</v>
      </c>
      <c r="R44" s="150">
        <v>69503.48</v>
      </c>
      <c r="S44" s="279">
        <v>42075</v>
      </c>
      <c r="T44" s="277">
        <v>69503.48</v>
      </c>
      <c r="U44" s="241">
        <f t="shared" si="0"/>
        <v>0</v>
      </c>
      <c r="X44" s="28"/>
      <c r="Y44" s="113"/>
      <c r="Z44" s="207"/>
      <c r="AA44" s="207"/>
      <c r="AB44" s="207"/>
      <c r="AC44" s="269">
        <v>30271.5</v>
      </c>
      <c r="AD44" s="221">
        <v>42048</v>
      </c>
    </row>
    <row r="45" spans="1:30" ht="17.25" customHeight="1" thickBot="1" x14ac:dyDescent="0.3">
      <c r="D45" s="255" t="s">
        <v>9</v>
      </c>
      <c r="E45" s="255"/>
      <c r="F45" s="59">
        <v>181901.18</v>
      </c>
      <c r="I45" s="483" t="s">
        <v>2</v>
      </c>
      <c r="J45" s="483"/>
      <c r="K45" s="476">
        <v>-218235.22</v>
      </c>
      <c r="L45" s="476"/>
      <c r="P45" s="159">
        <v>42063</v>
      </c>
      <c r="Q45" s="240">
        <v>13512</v>
      </c>
      <c r="R45" s="150">
        <v>3864</v>
      </c>
      <c r="S45" s="279">
        <v>42075</v>
      </c>
      <c r="T45" s="277">
        <v>3864</v>
      </c>
      <c r="U45" s="241">
        <f t="shared" si="0"/>
        <v>0</v>
      </c>
      <c r="X45" s="28"/>
      <c r="Y45" s="113"/>
      <c r="Z45" s="217"/>
      <c r="AA45" s="217"/>
      <c r="AB45" s="217"/>
      <c r="AC45" s="271">
        <v>12450</v>
      </c>
      <c r="AD45" s="221">
        <v>42048</v>
      </c>
    </row>
    <row r="46" spans="1:30" ht="19.5" thickBot="1" x14ac:dyDescent="0.35">
      <c r="E46" s="6" t="s">
        <v>11</v>
      </c>
      <c r="F46" s="48">
        <f>F45+F44</f>
        <v>284330.06000000035</v>
      </c>
      <c r="I46"/>
      <c r="J46" s="178"/>
      <c r="K46" s="477">
        <v>0</v>
      </c>
      <c r="L46" s="477"/>
      <c r="P46" s="159"/>
      <c r="Q46" s="240"/>
      <c r="R46" s="150"/>
      <c r="S46" s="55"/>
      <c r="T46" s="56"/>
      <c r="U46" s="241">
        <f t="shared" si="0"/>
        <v>0</v>
      </c>
      <c r="X46" s="28"/>
      <c r="Z46" s="218">
        <f>SUM(Z25:Z41)</f>
        <v>268867.83</v>
      </c>
      <c r="AA46" s="219"/>
      <c r="AB46" s="219"/>
      <c r="AC46" s="220">
        <f>SUM(AC25:AC45)</f>
        <v>268868</v>
      </c>
    </row>
    <row r="47" spans="1:30" ht="19.5" thickBot="1" x14ac:dyDescent="0.3">
      <c r="D47" s="482"/>
      <c r="E47" s="482"/>
      <c r="I47"/>
      <c r="J47" s="304" t="s">
        <v>13</v>
      </c>
      <c r="K47" s="480">
        <f t="shared" ref="K47" si="2">SUM(K44:L46)</f>
        <v>66094.840000000346</v>
      </c>
      <c r="L47" s="481"/>
      <c r="P47" s="159"/>
      <c r="Q47" s="240"/>
      <c r="R47" s="150"/>
      <c r="S47" s="55"/>
      <c r="T47" s="56"/>
      <c r="U47" s="241">
        <f t="shared" si="0"/>
        <v>0</v>
      </c>
      <c r="X47" s="209"/>
      <c r="Y47" s="135"/>
      <c r="Z47" s="88"/>
      <c r="AA47" s="88"/>
      <c r="AB47" s="88"/>
      <c r="AC47" s="88"/>
      <c r="AD47" s="28"/>
    </row>
    <row r="48" spans="1:30" ht="16.5" thickBot="1" x14ac:dyDescent="0.3">
      <c r="P48" s="123"/>
      <c r="Q48" s="124"/>
      <c r="R48" s="57">
        <v>0</v>
      </c>
      <c r="S48" s="57"/>
      <c r="T48" s="125">
        <v>0</v>
      </c>
      <c r="U48" s="242">
        <v>0</v>
      </c>
      <c r="X48" s="28"/>
      <c r="Y48" s="135"/>
      <c r="Z48" s="88"/>
      <c r="AA48" s="88"/>
      <c r="AB48" s="88"/>
      <c r="AC48" s="88"/>
      <c r="AD48" s="209"/>
    </row>
    <row r="49" spans="2:30" ht="16.5" thickTop="1" x14ac:dyDescent="0.25">
      <c r="B49"/>
      <c r="C49"/>
      <c r="F49"/>
      <c r="I49"/>
      <c r="J49"/>
      <c r="M49"/>
      <c r="N49" s="43"/>
      <c r="R49" s="58">
        <f>SUM(R5:R48)</f>
        <v>1163445.4399999997</v>
      </c>
      <c r="S49" s="58"/>
      <c r="T49" s="58">
        <f>SUM(T5:T48)</f>
        <v>1163445.6099999996</v>
      </c>
      <c r="U49" s="43">
        <f>SUM(U5:U48)</f>
        <v>-0.17000000000007276</v>
      </c>
      <c r="X49" s="28"/>
      <c r="Y49" s="104"/>
      <c r="Z49" s="224">
        <v>42056</v>
      </c>
      <c r="AA49" s="215"/>
      <c r="AB49" s="134" t="s">
        <v>200</v>
      </c>
      <c r="AC49" s="88"/>
    </row>
    <row r="50" spans="2:30" x14ac:dyDescent="0.25">
      <c r="B50"/>
      <c r="C50"/>
      <c r="F50"/>
      <c r="I50"/>
      <c r="J50"/>
      <c r="M50"/>
      <c r="N50" s="43"/>
      <c r="P50"/>
      <c r="Q50"/>
      <c r="S50"/>
      <c r="T50" s="43"/>
      <c r="X50" s="28"/>
      <c r="Y50" s="104"/>
      <c r="Z50" s="103"/>
      <c r="AA50" s="103"/>
      <c r="AB50" s="103"/>
      <c r="AC50" s="213"/>
    </row>
    <row r="51" spans="2:30" ht="15.75" x14ac:dyDescent="0.25">
      <c r="B51"/>
      <c r="C51"/>
      <c r="F51"/>
      <c r="I51"/>
      <c r="J51"/>
      <c r="M51"/>
      <c r="N51" s="43"/>
      <c r="P51"/>
      <c r="Q51"/>
      <c r="S51"/>
      <c r="T51" s="43"/>
      <c r="X51" s="28"/>
      <c r="Y51" s="193">
        <v>11414</v>
      </c>
      <c r="Z51" s="130">
        <v>4662.8999999999996</v>
      </c>
      <c r="AA51" s="130"/>
      <c r="AB51" s="225" t="s">
        <v>202</v>
      </c>
      <c r="AC51" s="270">
        <v>2604</v>
      </c>
      <c r="AD51" s="212">
        <v>42049</v>
      </c>
    </row>
    <row r="52" spans="2:30" ht="15.75" x14ac:dyDescent="0.25">
      <c r="B52"/>
      <c r="C52"/>
      <c r="F52"/>
      <c r="I52"/>
      <c r="J52"/>
      <c r="M52"/>
      <c r="X52" s="13"/>
      <c r="Y52" s="194">
        <v>11985</v>
      </c>
      <c r="Z52" s="207">
        <v>65966.350000000006</v>
      </c>
      <c r="AA52" s="207"/>
      <c r="AB52" s="225" t="s">
        <v>202</v>
      </c>
      <c r="AC52" s="269">
        <v>4957</v>
      </c>
      <c r="AD52" s="212">
        <v>42049</v>
      </c>
    </row>
    <row r="53" spans="2:30" ht="15.75" x14ac:dyDescent="0.25">
      <c r="B53"/>
      <c r="C53"/>
      <c r="F53"/>
      <c r="I53"/>
      <c r="J53"/>
      <c r="M53"/>
      <c r="W53" s="28"/>
      <c r="X53" s="28"/>
      <c r="Y53" s="193">
        <v>12073</v>
      </c>
      <c r="Z53" s="207">
        <v>2604.3000000000002</v>
      </c>
      <c r="AA53" s="207"/>
      <c r="AB53" s="225" t="s">
        <v>202</v>
      </c>
      <c r="AC53" s="269">
        <v>61009.5</v>
      </c>
      <c r="AD53" s="212">
        <v>42049</v>
      </c>
    </row>
    <row r="54" spans="2:30" ht="15.75" x14ac:dyDescent="0.25">
      <c r="B54"/>
      <c r="C54"/>
      <c r="F54"/>
      <c r="I54"/>
      <c r="J54"/>
      <c r="M54"/>
      <c r="W54" s="28"/>
      <c r="X54" s="28"/>
      <c r="Y54" s="193">
        <v>12142</v>
      </c>
      <c r="Z54" s="130">
        <v>6584.4</v>
      </c>
      <c r="AA54" s="130"/>
      <c r="AB54" s="225" t="s">
        <v>202</v>
      </c>
      <c r="AC54" s="269">
        <v>7200</v>
      </c>
      <c r="AD54" s="212">
        <v>42051</v>
      </c>
    </row>
    <row r="55" spans="2:30" ht="15.75" x14ac:dyDescent="0.25">
      <c r="B55"/>
      <c r="C55"/>
      <c r="F55"/>
      <c r="I55"/>
      <c r="J55"/>
      <c r="M55"/>
      <c r="N55" s="43"/>
      <c r="P55"/>
      <c r="Q55"/>
      <c r="S55"/>
      <c r="T55" s="43"/>
      <c r="W55" s="28"/>
      <c r="X55" s="102"/>
      <c r="Y55" s="193">
        <v>12227</v>
      </c>
      <c r="Z55" s="207">
        <v>10284.9</v>
      </c>
      <c r="AA55" s="207"/>
      <c r="AB55" s="225" t="s">
        <v>202</v>
      </c>
      <c r="AC55" s="269">
        <v>59816</v>
      </c>
      <c r="AD55" s="212">
        <v>42051</v>
      </c>
    </row>
    <row r="56" spans="2:30" ht="15.75" x14ac:dyDescent="0.25">
      <c r="B56"/>
      <c r="C56"/>
      <c r="F56"/>
      <c r="I56"/>
      <c r="J56"/>
      <c r="M56"/>
      <c r="N56" s="43"/>
      <c r="P56"/>
      <c r="Q56"/>
      <c r="S56"/>
      <c r="T56" s="43"/>
      <c r="W56" s="28"/>
      <c r="X56" s="102"/>
      <c r="Y56" s="193">
        <v>12231</v>
      </c>
      <c r="Z56" s="207">
        <v>79037.75</v>
      </c>
      <c r="AA56" s="207"/>
      <c r="AB56" s="225" t="s">
        <v>202</v>
      </c>
      <c r="AC56" s="269">
        <v>4444</v>
      </c>
      <c r="AD56" s="212">
        <v>42051</v>
      </c>
    </row>
    <row r="57" spans="2:30" ht="15.75" x14ac:dyDescent="0.25">
      <c r="B57"/>
      <c r="C57"/>
      <c r="F57"/>
      <c r="I57"/>
      <c r="J57"/>
      <c r="M57"/>
      <c r="N57" s="43"/>
      <c r="P57"/>
      <c r="Q57"/>
      <c r="S57"/>
      <c r="T57" s="43"/>
      <c r="W57" s="28"/>
      <c r="X57" s="134"/>
      <c r="Y57" s="193">
        <v>12360</v>
      </c>
      <c r="Z57" s="207">
        <v>52715.48</v>
      </c>
      <c r="AA57" s="207"/>
      <c r="AB57" s="225" t="s">
        <v>202</v>
      </c>
      <c r="AC57" s="272">
        <v>5292.5</v>
      </c>
      <c r="AD57" s="273">
        <v>42051</v>
      </c>
    </row>
    <row r="58" spans="2:30" ht="15.75" x14ac:dyDescent="0.25">
      <c r="B58"/>
      <c r="C58"/>
      <c r="F58"/>
      <c r="I58"/>
      <c r="J58"/>
      <c r="M58"/>
      <c r="N58" s="43"/>
      <c r="P58"/>
      <c r="Q58"/>
      <c r="S58"/>
      <c r="T58" s="43"/>
      <c r="W58" s="28"/>
      <c r="X58" s="210"/>
      <c r="Y58" s="193">
        <v>12512</v>
      </c>
      <c r="Z58" s="207">
        <v>19715.28</v>
      </c>
      <c r="AA58" s="207"/>
      <c r="AB58" s="225" t="s">
        <v>202</v>
      </c>
      <c r="AC58" s="272">
        <v>7000</v>
      </c>
      <c r="AD58" s="273">
        <v>42051</v>
      </c>
    </row>
    <row r="59" spans="2:30" ht="15.75" x14ac:dyDescent="0.25">
      <c r="B59"/>
      <c r="C59"/>
      <c r="F59"/>
      <c r="I59"/>
      <c r="J59"/>
      <c r="M59"/>
      <c r="N59" s="43"/>
      <c r="P59"/>
      <c r="Q59"/>
      <c r="S59"/>
      <c r="T59" s="43"/>
      <c r="W59" s="28"/>
      <c r="X59" s="134"/>
      <c r="Y59" s="193">
        <v>12515</v>
      </c>
      <c r="Z59" s="207">
        <v>3967.94</v>
      </c>
      <c r="AA59" s="207" t="s">
        <v>242</v>
      </c>
      <c r="AB59" s="225" t="s">
        <v>202</v>
      </c>
      <c r="AC59" s="269">
        <v>3134</v>
      </c>
      <c r="AD59" s="212">
        <v>42051</v>
      </c>
    </row>
    <row r="60" spans="2:30" ht="15.75" x14ac:dyDescent="0.25">
      <c r="B60"/>
      <c r="C60"/>
      <c r="F60"/>
      <c r="I60"/>
      <c r="J60"/>
      <c r="M60"/>
      <c r="N60" s="43"/>
      <c r="P60"/>
      <c r="Q60"/>
      <c r="S60"/>
      <c r="T60" s="43"/>
      <c r="W60" s="28"/>
      <c r="X60" s="134"/>
      <c r="Y60" s="193"/>
      <c r="Z60" s="207"/>
      <c r="AA60" s="207"/>
      <c r="AB60" s="225" t="s">
        <v>202</v>
      </c>
      <c r="AC60" s="269">
        <v>6584.4</v>
      </c>
      <c r="AD60" s="212">
        <v>42051</v>
      </c>
    </row>
    <row r="61" spans="2:30" ht="15.75" x14ac:dyDescent="0.25">
      <c r="B61"/>
      <c r="C61"/>
      <c r="F61"/>
      <c r="I61"/>
      <c r="J61"/>
      <c r="M61"/>
      <c r="N61" s="43"/>
      <c r="P61"/>
      <c r="Q61"/>
      <c r="S61"/>
      <c r="T61" s="43"/>
      <c r="W61" s="28"/>
      <c r="X61" s="134"/>
      <c r="Y61" s="193"/>
      <c r="Z61" s="207"/>
      <c r="AA61" s="207"/>
      <c r="AB61" s="225" t="s">
        <v>202</v>
      </c>
      <c r="AC61" s="269">
        <v>10284.9</v>
      </c>
      <c r="AD61" s="212">
        <v>42051</v>
      </c>
    </row>
    <row r="62" spans="2:30" ht="15.75" x14ac:dyDescent="0.25">
      <c r="B62"/>
      <c r="C62"/>
      <c r="F62"/>
      <c r="I62"/>
      <c r="J62"/>
      <c r="M62"/>
      <c r="N62" s="43"/>
      <c r="P62"/>
      <c r="Q62"/>
      <c r="S62"/>
      <c r="T62" s="43"/>
      <c r="W62" s="28"/>
      <c r="X62" s="134"/>
      <c r="Y62" s="193"/>
      <c r="Z62" s="207"/>
      <c r="AA62" s="207"/>
      <c r="AB62" s="225" t="s">
        <v>202</v>
      </c>
      <c r="AC62" s="269">
        <v>4663</v>
      </c>
      <c r="AD62" s="212">
        <v>42052</v>
      </c>
    </row>
    <row r="63" spans="2:30" ht="15.75" x14ac:dyDescent="0.25">
      <c r="B63"/>
      <c r="C63"/>
      <c r="F63"/>
      <c r="I63"/>
      <c r="J63"/>
      <c r="M63"/>
      <c r="N63" s="43"/>
      <c r="P63"/>
      <c r="Q63"/>
      <c r="S63"/>
      <c r="T63" s="43"/>
      <c r="W63" s="28"/>
      <c r="X63" s="134"/>
      <c r="Y63" s="193"/>
      <c r="Z63" s="207"/>
      <c r="AA63" s="207"/>
      <c r="AB63" s="225" t="s">
        <v>202</v>
      </c>
      <c r="AC63" s="269">
        <v>25189</v>
      </c>
      <c r="AD63" s="212">
        <v>42052</v>
      </c>
    </row>
    <row r="64" spans="2:30" ht="15.75" x14ac:dyDescent="0.25">
      <c r="B64"/>
      <c r="C64"/>
      <c r="F64"/>
      <c r="I64"/>
      <c r="J64"/>
      <c r="M64"/>
      <c r="N64" s="43"/>
      <c r="P64"/>
      <c r="Q64"/>
      <c r="S64"/>
      <c r="T64" s="43"/>
      <c r="W64" s="28"/>
      <c r="X64" s="134"/>
      <c r="Y64" s="193"/>
      <c r="Z64" s="207">
        <v>0</v>
      </c>
      <c r="AA64" s="207"/>
      <c r="AB64" s="225" t="s">
        <v>202</v>
      </c>
      <c r="AC64" s="269">
        <v>5711</v>
      </c>
      <c r="AD64" s="212">
        <v>42052</v>
      </c>
    </row>
    <row r="65" spans="2:31" ht="15.75" x14ac:dyDescent="0.25">
      <c r="B65"/>
      <c r="C65"/>
      <c r="F65"/>
      <c r="I65"/>
      <c r="J65"/>
      <c r="M65"/>
      <c r="N65" s="43"/>
      <c r="P65"/>
      <c r="Q65"/>
      <c r="S65"/>
      <c r="T65" s="43"/>
      <c r="W65" s="28"/>
      <c r="X65" s="134"/>
      <c r="Y65" s="119"/>
      <c r="Z65" s="121"/>
      <c r="AA65" s="121"/>
      <c r="AB65" s="225" t="s">
        <v>202</v>
      </c>
      <c r="AC65" s="269">
        <v>15834.5</v>
      </c>
      <c r="AD65" s="227">
        <v>42053</v>
      </c>
    </row>
    <row r="66" spans="2:31" ht="15.75" x14ac:dyDescent="0.25">
      <c r="B66"/>
      <c r="C66"/>
      <c r="F66"/>
      <c r="I66"/>
      <c r="J66"/>
      <c r="M66"/>
      <c r="N66" s="43"/>
      <c r="P66"/>
      <c r="Q66"/>
      <c r="S66"/>
      <c r="T66" s="43"/>
      <c r="W66" s="28"/>
      <c r="X66" s="102"/>
      <c r="Y66" s="119"/>
      <c r="Z66" s="121"/>
      <c r="AA66" s="121"/>
      <c r="AB66" s="225" t="s">
        <v>202</v>
      </c>
      <c r="AC66" s="269">
        <v>16882.5</v>
      </c>
      <c r="AD66" s="227">
        <v>42053</v>
      </c>
    </row>
    <row r="67" spans="2:31" ht="15.75" x14ac:dyDescent="0.25">
      <c r="B67"/>
      <c r="C67"/>
      <c r="F67"/>
      <c r="I67"/>
      <c r="J67"/>
      <c r="M67"/>
      <c r="N67" s="43"/>
      <c r="P67"/>
      <c r="Q67"/>
      <c r="S67"/>
      <c r="T67" s="43"/>
      <c r="W67" s="28"/>
      <c r="X67" s="102"/>
      <c r="Y67" s="226"/>
      <c r="Z67" s="130"/>
      <c r="AA67" s="130"/>
      <c r="AB67" s="225" t="s">
        <v>202</v>
      </c>
      <c r="AC67" s="270">
        <v>4933</v>
      </c>
      <c r="AD67" s="227">
        <v>42053</v>
      </c>
    </row>
    <row r="68" spans="2:31" ht="15.75" x14ac:dyDescent="0.25">
      <c r="B68"/>
      <c r="C68"/>
      <c r="F68"/>
      <c r="I68"/>
      <c r="J68"/>
      <c r="M68"/>
      <c r="N68" s="43"/>
      <c r="P68"/>
      <c r="Q68"/>
      <c r="S68"/>
      <c r="T68" s="43"/>
      <c r="W68" s="28"/>
      <c r="X68" s="134"/>
      <c r="Y68" s="196"/>
      <c r="Z68" s="121">
        <v>0</v>
      </c>
      <c r="AA68" s="121"/>
      <c r="AB68" s="113"/>
      <c r="AC68" s="121">
        <v>0</v>
      </c>
      <c r="AD68" s="119"/>
    </row>
    <row r="69" spans="2:31" ht="18.75" x14ac:dyDescent="0.3">
      <c r="B69"/>
      <c r="C69"/>
      <c r="F69"/>
      <c r="I69"/>
      <c r="J69"/>
      <c r="M69"/>
      <c r="N69" s="43"/>
      <c r="P69"/>
      <c r="Q69"/>
      <c r="S69"/>
      <c r="T69" s="43"/>
      <c r="W69" s="28"/>
      <c r="X69" s="210"/>
      <c r="Z69" s="131">
        <f>SUM(Z51:Z68)</f>
        <v>245539.3</v>
      </c>
      <c r="AA69" s="131"/>
      <c r="AB69" s="131"/>
      <c r="AC69" s="131">
        <f>SUM(AC51:AC68)</f>
        <v>245539.3</v>
      </c>
    </row>
    <row r="70" spans="2:31" ht="15.75" x14ac:dyDescent="0.25">
      <c r="B70"/>
      <c r="C70"/>
      <c r="F70"/>
      <c r="I70"/>
      <c r="J70"/>
      <c r="M70"/>
      <c r="N70" s="43"/>
      <c r="P70"/>
      <c r="Q70"/>
      <c r="S70"/>
      <c r="T70" s="43"/>
      <c r="W70" s="28"/>
      <c r="X70" s="134"/>
      <c r="Y70" s="211"/>
      <c r="Z70" s="208"/>
      <c r="AA70" s="208"/>
      <c r="AB70" s="208"/>
      <c r="AC70" s="88"/>
    </row>
    <row r="71" spans="2:31" ht="15.75" x14ac:dyDescent="0.25">
      <c r="B71"/>
      <c r="C71"/>
      <c r="F71"/>
      <c r="I71"/>
      <c r="J71"/>
      <c r="M71"/>
      <c r="N71" s="43"/>
      <c r="P71"/>
      <c r="Q71"/>
      <c r="S71"/>
      <c r="T71" s="43"/>
      <c r="W71" s="28"/>
      <c r="X71" s="134"/>
      <c r="Y71" s="135"/>
      <c r="Z71" s="153"/>
      <c r="AA71" s="153"/>
      <c r="AB71" s="153"/>
      <c r="AC71" s="88"/>
    </row>
    <row r="72" spans="2:31" ht="15.75" x14ac:dyDescent="0.25">
      <c r="B72"/>
      <c r="C72"/>
      <c r="F72"/>
      <c r="I72"/>
      <c r="J72"/>
      <c r="M72"/>
      <c r="N72" s="43"/>
      <c r="P72"/>
      <c r="Q72"/>
      <c r="S72"/>
      <c r="T72" s="43"/>
      <c r="W72" s="28"/>
      <c r="X72" s="134"/>
      <c r="Y72" s="104"/>
      <c r="Z72" s="224">
        <v>42063</v>
      </c>
      <c r="AA72" s="215"/>
      <c r="AB72" s="134" t="s">
        <v>200</v>
      </c>
      <c r="AC72" s="88"/>
    </row>
    <row r="73" spans="2:31" ht="15.75" x14ac:dyDescent="0.25">
      <c r="B73"/>
      <c r="C73"/>
      <c r="F73"/>
      <c r="I73"/>
      <c r="J73"/>
      <c r="M73"/>
      <c r="N73" s="43"/>
      <c r="P73"/>
      <c r="Q73"/>
      <c r="S73"/>
      <c r="T73" s="43"/>
      <c r="W73" s="28"/>
      <c r="X73" s="134"/>
      <c r="Y73" s="104"/>
      <c r="Z73" s="103"/>
      <c r="AA73" s="103"/>
      <c r="AB73" s="103"/>
      <c r="AC73" s="213"/>
    </row>
    <row r="74" spans="2:31" ht="15.75" x14ac:dyDescent="0.25">
      <c r="B74"/>
      <c r="C74"/>
      <c r="F74"/>
      <c r="I74"/>
      <c r="J74"/>
      <c r="M74"/>
      <c r="N74" s="43"/>
      <c r="P74"/>
      <c r="Q74"/>
      <c r="S74"/>
      <c r="T74" s="43"/>
      <c r="W74" s="28"/>
      <c r="X74" s="134"/>
      <c r="Y74" s="193">
        <v>12515</v>
      </c>
      <c r="Z74" s="130">
        <v>7305.06</v>
      </c>
      <c r="AA74" s="130"/>
      <c r="AB74" s="225" t="s">
        <v>202</v>
      </c>
      <c r="AC74" s="270">
        <v>15500</v>
      </c>
      <c r="AD74" s="212">
        <v>42054</v>
      </c>
      <c r="AE74" s="21">
        <v>42054</v>
      </c>
    </row>
    <row r="75" spans="2:31" ht="15.75" x14ac:dyDescent="0.25">
      <c r="B75"/>
      <c r="C75"/>
      <c r="F75"/>
      <c r="I75"/>
      <c r="J75"/>
      <c r="M75"/>
      <c r="W75" s="28"/>
      <c r="X75" s="28"/>
      <c r="Y75" s="194">
        <v>12531</v>
      </c>
      <c r="Z75" s="207">
        <v>43841.84</v>
      </c>
      <c r="AA75" s="207"/>
      <c r="AB75" s="225" t="s">
        <v>202</v>
      </c>
      <c r="AC75" s="269">
        <v>11273</v>
      </c>
      <c r="AD75" s="212">
        <v>42054</v>
      </c>
      <c r="AE75" s="21">
        <v>42054</v>
      </c>
    </row>
    <row r="76" spans="2:31" ht="15.75" x14ac:dyDescent="0.25">
      <c r="B76"/>
      <c r="C76"/>
      <c r="F76"/>
      <c r="I76"/>
      <c r="J76"/>
      <c r="M76"/>
      <c r="Y76" s="193">
        <v>12581</v>
      </c>
      <c r="Z76" s="207">
        <v>50545.72</v>
      </c>
      <c r="AA76" s="207"/>
      <c r="AB76" s="225" t="s">
        <v>202</v>
      </c>
      <c r="AC76" s="269">
        <v>5071.5</v>
      </c>
      <c r="AD76" s="212">
        <v>42054</v>
      </c>
      <c r="AE76" s="21">
        <v>42054</v>
      </c>
    </row>
    <row r="77" spans="2:31" ht="15.75" x14ac:dyDescent="0.25">
      <c r="B77"/>
      <c r="C77"/>
      <c r="F77"/>
      <c r="I77"/>
      <c r="J77"/>
      <c r="M77"/>
      <c r="Y77" s="193">
        <v>12721</v>
      </c>
      <c r="Z77" s="130">
        <v>11184.7</v>
      </c>
      <c r="AA77" s="130"/>
      <c r="AB77" s="225" t="s">
        <v>202</v>
      </c>
      <c r="AC77" s="269">
        <v>3881.5</v>
      </c>
      <c r="AD77" s="212">
        <v>42054</v>
      </c>
      <c r="AE77" s="21">
        <v>42054</v>
      </c>
    </row>
    <row r="78" spans="2:31" ht="15.75" x14ac:dyDescent="0.25">
      <c r="B78"/>
      <c r="C78"/>
      <c r="F78"/>
      <c r="I78"/>
      <c r="J78"/>
      <c r="M78"/>
      <c r="Y78" s="193">
        <v>12770</v>
      </c>
      <c r="Z78" s="207">
        <v>7010.4</v>
      </c>
      <c r="AA78" s="207"/>
      <c r="AB78" s="225" t="s">
        <v>202</v>
      </c>
      <c r="AC78" s="269">
        <v>26429.5</v>
      </c>
      <c r="AD78" s="212">
        <v>42055</v>
      </c>
      <c r="AE78" s="21">
        <v>42055</v>
      </c>
    </row>
    <row r="79" spans="2:31" ht="15.75" x14ac:dyDescent="0.25">
      <c r="B79"/>
      <c r="C79"/>
      <c r="F79"/>
      <c r="I79"/>
      <c r="J79"/>
      <c r="M79"/>
      <c r="Y79" s="193">
        <v>12780</v>
      </c>
      <c r="Z79" s="207">
        <v>65691.37</v>
      </c>
      <c r="AA79" s="207"/>
      <c r="AB79" s="225" t="s">
        <v>202</v>
      </c>
      <c r="AC79" s="269">
        <v>5187.5</v>
      </c>
      <c r="AD79" s="212">
        <v>42055</v>
      </c>
      <c r="AE79" s="21">
        <v>42055</v>
      </c>
    </row>
    <row r="80" spans="2:31" ht="15.75" x14ac:dyDescent="0.25">
      <c r="B80"/>
      <c r="C80"/>
      <c r="F80"/>
      <c r="I80"/>
      <c r="J80"/>
      <c r="M80"/>
      <c r="Y80" s="193">
        <v>12884</v>
      </c>
      <c r="Z80" s="207">
        <v>32770.199999999997</v>
      </c>
      <c r="AA80" s="207"/>
      <c r="AB80" s="225" t="s">
        <v>202</v>
      </c>
      <c r="AC80" s="269">
        <v>18083</v>
      </c>
      <c r="AD80" s="212">
        <v>42055</v>
      </c>
      <c r="AE80" s="21">
        <v>42055</v>
      </c>
    </row>
    <row r="81" spans="2:31" ht="15.75" x14ac:dyDescent="0.25">
      <c r="B81"/>
      <c r="C81"/>
      <c r="F81"/>
      <c r="I81"/>
      <c r="J81"/>
      <c r="M81"/>
      <c r="N81"/>
      <c r="P81"/>
      <c r="Q81"/>
      <c r="R81"/>
      <c r="S81"/>
      <c r="T81"/>
      <c r="U81"/>
      <c r="Y81" s="193">
        <v>13052</v>
      </c>
      <c r="Z81" s="207">
        <v>7299.6</v>
      </c>
      <c r="AA81" s="207"/>
      <c r="AB81" s="225" t="s">
        <v>202</v>
      </c>
      <c r="AC81" s="269">
        <v>4905.5</v>
      </c>
      <c r="AD81" s="212">
        <v>42056</v>
      </c>
      <c r="AE81" s="21">
        <v>42056</v>
      </c>
    </row>
    <row r="82" spans="2:31" ht="15.75" x14ac:dyDescent="0.25">
      <c r="B82"/>
      <c r="C82"/>
      <c r="F82"/>
      <c r="I82"/>
      <c r="J82"/>
      <c r="M82"/>
      <c r="N82"/>
      <c r="P82"/>
      <c r="Q82"/>
      <c r="R82"/>
      <c r="S82"/>
      <c r="T82"/>
      <c r="U82"/>
      <c r="Y82" s="193">
        <v>13061</v>
      </c>
      <c r="Z82" s="207">
        <v>41006.089999999997</v>
      </c>
      <c r="AA82" s="207"/>
      <c r="AB82" s="225" t="s">
        <v>202</v>
      </c>
      <c r="AC82" s="269">
        <v>11185</v>
      </c>
      <c r="AD82" s="212">
        <v>42056</v>
      </c>
      <c r="AE82" s="21">
        <v>42056</v>
      </c>
    </row>
    <row r="83" spans="2:31" ht="15.75" x14ac:dyDescent="0.25">
      <c r="B83"/>
      <c r="C83"/>
      <c r="F83"/>
      <c r="I83"/>
      <c r="J83"/>
      <c r="M83"/>
      <c r="N83"/>
      <c r="P83"/>
      <c r="Q83"/>
      <c r="R83"/>
      <c r="S83"/>
      <c r="T83"/>
      <c r="U83"/>
      <c r="Y83" s="193">
        <v>13131</v>
      </c>
      <c r="Z83" s="207">
        <v>2247.6</v>
      </c>
      <c r="AA83" s="207"/>
      <c r="AB83" s="225" t="s">
        <v>202</v>
      </c>
      <c r="AC83" s="269">
        <v>7010.5</v>
      </c>
      <c r="AD83" s="212">
        <v>42056</v>
      </c>
      <c r="AE83" s="21">
        <v>42056</v>
      </c>
    </row>
    <row r="84" spans="2:31" ht="15.75" x14ac:dyDescent="0.25">
      <c r="B84"/>
      <c r="C84"/>
      <c r="F84"/>
      <c r="I84"/>
      <c r="J84"/>
      <c r="M84"/>
      <c r="N84"/>
      <c r="P84"/>
      <c r="Q84"/>
      <c r="R84"/>
      <c r="S84"/>
      <c r="T84"/>
      <c r="U84"/>
      <c r="Y84" s="193">
        <v>13222</v>
      </c>
      <c r="Z84" s="207">
        <v>7849.92</v>
      </c>
      <c r="AA84" s="207" t="s">
        <v>242</v>
      </c>
      <c r="AB84" s="225" t="s">
        <v>202</v>
      </c>
      <c r="AC84" s="269">
        <v>24116.5</v>
      </c>
      <c r="AD84" s="212">
        <v>42056</v>
      </c>
      <c r="AE84" s="21">
        <v>42056</v>
      </c>
    </row>
    <row r="85" spans="2:31" ht="15.75" x14ac:dyDescent="0.25">
      <c r="B85"/>
      <c r="C85"/>
      <c r="F85"/>
      <c r="I85"/>
      <c r="J85"/>
      <c r="M85"/>
      <c r="N85"/>
      <c r="P85"/>
      <c r="Q85"/>
      <c r="R85"/>
      <c r="S85"/>
      <c r="T85"/>
      <c r="U85"/>
      <c r="Y85" s="193"/>
      <c r="Z85" s="207"/>
      <c r="AA85" s="207"/>
      <c r="AB85" s="225" t="s">
        <v>202</v>
      </c>
      <c r="AC85" s="269">
        <v>31632.5</v>
      </c>
      <c r="AD85" s="212">
        <v>42056</v>
      </c>
      <c r="AE85" s="21">
        <v>42056</v>
      </c>
    </row>
    <row r="86" spans="2:31" ht="15.75" x14ac:dyDescent="0.25">
      <c r="B86"/>
      <c r="C86"/>
      <c r="F86"/>
      <c r="I86"/>
      <c r="J86"/>
      <c r="M86"/>
      <c r="N86"/>
      <c r="P86"/>
      <c r="Q86"/>
      <c r="R86"/>
      <c r="S86"/>
      <c r="T86"/>
      <c r="U86"/>
      <c r="Y86" s="193"/>
      <c r="Z86" s="207"/>
      <c r="AA86" s="207"/>
      <c r="AB86" s="225" t="s">
        <v>202</v>
      </c>
      <c r="AC86" s="269">
        <v>3850</v>
      </c>
      <c r="AD86" s="212">
        <v>42058</v>
      </c>
      <c r="AE86" s="21">
        <v>42056</v>
      </c>
    </row>
    <row r="87" spans="2:31" ht="15.75" x14ac:dyDescent="0.25">
      <c r="B87"/>
      <c r="C87"/>
      <c r="F87"/>
      <c r="I87"/>
      <c r="J87"/>
      <c r="M87"/>
      <c r="N87"/>
      <c r="P87"/>
      <c r="Q87"/>
      <c r="R87"/>
      <c r="S87"/>
      <c r="T87"/>
      <c r="U87"/>
      <c r="Y87" s="193"/>
      <c r="Z87" s="207">
        <v>0</v>
      </c>
      <c r="AA87" s="207"/>
      <c r="AB87" s="225" t="s">
        <v>202</v>
      </c>
      <c r="AC87" s="269">
        <v>17901</v>
      </c>
      <c r="AD87" s="212">
        <v>42058</v>
      </c>
      <c r="AE87" s="21">
        <v>42057</v>
      </c>
    </row>
    <row r="88" spans="2:31" ht="15.75" x14ac:dyDescent="0.25">
      <c r="B88"/>
      <c r="C88"/>
      <c r="F88"/>
      <c r="I88"/>
      <c r="J88"/>
      <c r="M88"/>
      <c r="N88"/>
      <c r="P88"/>
      <c r="Q88"/>
      <c r="R88"/>
      <c r="S88"/>
      <c r="T88"/>
      <c r="U88"/>
      <c r="Y88" s="119"/>
      <c r="Z88" s="121"/>
      <c r="AA88" s="121"/>
      <c r="AB88" s="225" t="s">
        <v>202</v>
      </c>
      <c r="AC88" s="269">
        <v>7402.5</v>
      </c>
      <c r="AD88" s="227">
        <v>42058</v>
      </c>
      <c r="AE88" s="21">
        <v>42057</v>
      </c>
    </row>
    <row r="89" spans="2:31" ht="15.75" x14ac:dyDescent="0.25">
      <c r="B89"/>
      <c r="C89"/>
      <c r="F89"/>
      <c r="I89"/>
      <c r="J89"/>
      <c r="M89"/>
      <c r="N89"/>
      <c r="P89"/>
      <c r="Q89"/>
      <c r="R89"/>
      <c r="S89"/>
      <c r="T89"/>
      <c r="U89"/>
      <c r="Y89" s="119"/>
      <c r="Z89" s="121"/>
      <c r="AA89" s="121"/>
      <c r="AB89" s="225" t="s">
        <v>202</v>
      </c>
      <c r="AC89" s="269">
        <v>32770</v>
      </c>
      <c r="AD89" s="227">
        <v>42058</v>
      </c>
      <c r="AE89" s="21">
        <v>42058</v>
      </c>
    </row>
    <row r="90" spans="2:31" ht="15.75" x14ac:dyDescent="0.25">
      <c r="B90"/>
      <c r="C90"/>
      <c r="F90"/>
      <c r="I90"/>
      <c r="J90"/>
      <c r="M90"/>
      <c r="N90"/>
      <c r="P90"/>
      <c r="Q90"/>
      <c r="R90"/>
      <c r="S90"/>
      <c r="T90"/>
      <c r="U90"/>
      <c r="Y90" s="229"/>
      <c r="Z90" s="230"/>
      <c r="AA90" s="230"/>
      <c r="AB90" s="231" t="s">
        <v>202</v>
      </c>
      <c r="AC90" s="274">
        <v>19858.5</v>
      </c>
      <c r="AD90" s="232">
        <v>42059</v>
      </c>
      <c r="AE90" s="21">
        <v>42059</v>
      </c>
    </row>
    <row r="91" spans="2:31" ht="15.75" x14ac:dyDescent="0.25">
      <c r="B91"/>
      <c r="C91"/>
      <c r="F91"/>
      <c r="I91"/>
      <c r="J91"/>
      <c r="M91"/>
      <c r="N91"/>
      <c r="P91"/>
      <c r="Q91"/>
      <c r="R91"/>
      <c r="S91"/>
      <c r="T91"/>
      <c r="U91"/>
      <c r="Y91" s="119"/>
      <c r="Z91" s="121"/>
      <c r="AA91" s="121"/>
      <c r="AB91" s="231" t="s">
        <v>202</v>
      </c>
      <c r="AC91" s="269">
        <v>8992</v>
      </c>
      <c r="AD91" s="227">
        <v>42059</v>
      </c>
      <c r="AE91" s="21">
        <v>42059</v>
      </c>
    </row>
    <row r="92" spans="2:31" ht="15.75" x14ac:dyDescent="0.25">
      <c r="B92"/>
      <c r="C92"/>
      <c r="F92"/>
      <c r="I92"/>
      <c r="J92"/>
      <c r="M92"/>
      <c r="N92"/>
      <c r="P92"/>
      <c r="Q92"/>
      <c r="R92"/>
      <c r="S92"/>
      <c r="T92"/>
      <c r="U92"/>
      <c r="Y92" s="119"/>
      <c r="Z92" s="121"/>
      <c r="AA92" s="121"/>
      <c r="AB92" s="231" t="s">
        <v>202</v>
      </c>
      <c r="AC92" s="269">
        <v>7299.5</v>
      </c>
      <c r="AD92" s="227">
        <v>42059</v>
      </c>
      <c r="AE92" s="21">
        <v>42059</v>
      </c>
    </row>
    <row r="93" spans="2:31" ht="15.75" x14ac:dyDescent="0.25">
      <c r="B93"/>
      <c r="C93"/>
      <c r="F93"/>
      <c r="I93"/>
      <c r="J93"/>
      <c r="M93"/>
      <c r="N93"/>
      <c r="P93"/>
      <c r="Q93"/>
      <c r="R93"/>
      <c r="S93"/>
      <c r="T93"/>
      <c r="U93"/>
      <c r="Y93" s="237"/>
      <c r="Z93" s="238"/>
      <c r="AA93" s="238"/>
      <c r="AB93" s="231" t="s">
        <v>202</v>
      </c>
      <c r="AC93" s="271">
        <v>7307.5</v>
      </c>
      <c r="AD93" s="232">
        <v>42060</v>
      </c>
      <c r="AE93" s="21">
        <v>42060</v>
      </c>
    </row>
    <row r="94" spans="2:31" ht="15.75" x14ac:dyDescent="0.25">
      <c r="B94"/>
      <c r="C94"/>
      <c r="F94"/>
      <c r="I94"/>
      <c r="J94"/>
      <c r="M94"/>
      <c r="N94"/>
      <c r="P94"/>
      <c r="Q94"/>
      <c r="R94"/>
      <c r="S94"/>
      <c r="T94"/>
      <c r="U94"/>
      <c r="Y94" s="119"/>
      <c r="Z94" s="121"/>
      <c r="AA94" s="121"/>
      <c r="AB94" s="231" t="s">
        <v>202</v>
      </c>
      <c r="AC94" s="269">
        <v>4848</v>
      </c>
      <c r="AD94" s="227">
        <v>42060</v>
      </c>
      <c r="AE94" s="21">
        <v>42060</v>
      </c>
    </row>
    <row r="95" spans="2:31" ht="15.75" x14ac:dyDescent="0.25">
      <c r="B95"/>
      <c r="C95"/>
      <c r="F95"/>
      <c r="I95"/>
      <c r="J95"/>
      <c r="M95"/>
      <c r="N95"/>
      <c r="P95"/>
      <c r="Q95"/>
      <c r="R95"/>
      <c r="S95"/>
      <c r="T95"/>
      <c r="U95"/>
      <c r="Y95" s="119"/>
      <c r="Z95" s="121"/>
      <c r="AA95" s="121"/>
      <c r="AB95" s="231" t="s">
        <v>202</v>
      </c>
      <c r="AC95" s="269">
        <v>2247.5</v>
      </c>
      <c r="AD95" s="227">
        <v>42060</v>
      </c>
      <c r="AE95" s="21">
        <v>42060</v>
      </c>
    </row>
    <row r="96" spans="2:31" ht="15.75" x14ac:dyDescent="0.25">
      <c r="B96"/>
      <c r="C96"/>
      <c r="F96"/>
      <c r="I96"/>
      <c r="J96"/>
      <c r="M96"/>
      <c r="N96"/>
      <c r="P96"/>
      <c r="Q96"/>
      <c r="R96"/>
      <c r="S96"/>
      <c r="T96"/>
      <c r="U96"/>
      <c r="Y96" s="233"/>
      <c r="Z96" s="234">
        <v>0</v>
      </c>
      <c r="AA96" s="234"/>
      <c r="AB96" s="235"/>
      <c r="AC96" s="234">
        <v>0</v>
      </c>
      <c r="AD96" s="236"/>
    </row>
    <row r="97" spans="2:29" ht="18.75" x14ac:dyDescent="0.3">
      <c r="B97"/>
      <c r="C97"/>
      <c r="F97"/>
      <c r="I97"/>
      <c r="J97"/>
      <c r="M97"/>
      <c r="N97"/>
      <c r="P97"/>
      <c r="Q97"/>
      <c r="R97"/>
      <c r="S97"/>
      <c r="T97"/>
      <c r="U97"/>
      <c r="Z97" s="131">
        <f>SUM(Z74:Z96)</f>
        <v>276752.49999999994</v>
      </c>
      <c r="AA97" s="131"/>
      <c r="AB97" s="131"/>
      <c r="AC97" s="131">
        <f>SUM(AC74:AC96)</f>
        <v>276752.5</v>
      </c>
    </row>
  </sheetData>
  <sortState ref="P5:R20">
    <sortCondition ref="Q5:Q20"/>
  </sortState>
  <mergeCells count="14">
    <mergeCell ref="K47:L47"/>
    <mergeCell ref="D47:E47"/>
    <mergeCell ref="C1:K1"/>
    <mergeCell ref="R3:T3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31496062992125984" right="0.19685039370078741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97"/>
  <sheetViews>
    <sheetView topLeftCell="A22" workbookViewId="0">
      <selection activeCell="F44" sqref="F44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</cols>
  <sheetData>
    <row r="1" spans="1:15" ht="23.25" x14ac:dyDescent="0.35">
      <c r="C1" s="448" t="s">
        <v>304</v>
      </c>
      <c r="D1" s="448"/>
      <c r="E1" s="448"/>
      <c r="F1" s="448"/>
      <c r="G1" s="448"/>
      <c r="H1" s="448"/>
      <c r="I1" s="448"/>
      <c r="J1" s="448"/>
      <c r="K1" s="448"/>
    </row>
    <row r="2" spans="1:15" ht="15.75" thickBot="1" x14ac:dyDescent="0.3">
      <c r="E2" s="257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469" t="s">
        <v>14</v>
      </c>
      <c r="F4" s="470"/>
      <c r="I4" s="451" t="s">
        <v>4</v>
      </c>
      <c r="J4" s="452"/>
      <c r="K4" s="452"/>
      <c r="L4" s="452"/>
      <c r="M4" s="69" t="s">
        <v>18</v>
      </c>
      <c r="N4" s="203" t="s">
        <v>264</v>
      </c>
    </row>
    <row r="5" spans="1:15" ht="15.75" thickTop="1" x14ac:dyDescent="0.25">
      <c r="A5" s="21"/>
      <c r="B5" s="39">
        <v>42064</v>
      </c>
      <c r="C5" s="45">
        <v>0</v>
      </c>
      <c r="D5" s="22"/>
      <c r="E5" s="26">
        <v>42064</v>
      </c>
      <c r="F5" s="51">
        <v>56681</v>
      </c>
      <c r="G5" s="23"/>
      <c r="H5" s="24">
        <v>42064</v>
      </c>
      <c r="I5" s="60">
        <v>200</v>
      </c>
      <c r="J5" s="87"/>
      <c r="K5" s="34"/>
      <c r="L5" s="34"/>
      <c r="M5" s="67" t="s">
        <v>305</v>
      </c>
      <c r="N5" s="75">
        <v>56900</v>
      </c>
      <c r="O5" s="80"/>
    </row>
    <row r="6" spans="1:15" x14ac:dyDescent="0.25">
      <c r="A6" s="21"/>
      <c r="B6" s="39">
        <v>42065</v>
      </c>
      <c r="C6" s="45">
        <v>0</v>
      </c>
      <c r="D6" s="29"/>
      <c r="E6" s="26">
        <v>42065</v>
      </c>
      <c r="F6" s="51">
        <v>45441.5</v>
      </c>
      <c r="G6" s="19"/>
      <c r="H6" s="27">
        <v>42065</v>
      </c>
      <c r="I6" s="61">
        <v>0</v>
      </c>
      <c r="J6" s="88"/>
      <c r="K6" s="13" t="s">
        <v>5</v>
      </c>
      <c r="L6" s="20">
        <v>1095</v>
      </c>
      <c r="M6" s="67" t="s">
        <v>306</v>
      </c>
      <c r="N6" s="75">
        <v>45035</v>
      </c>
      <c r="O6" s="80"/>
    </row>
    <row r="7" spans="1:15" x14ac:dyDescent="0.25">
      <c r="A7" s="21"/>
      <c r="B7" s="39">
        <v>42066</v>
      </c>
      <c r="C7" s="45">
        <v>0</v>
      </c>
      <c r="D7" s="32"/>
      <c r="E7" s="26">
        <v>42066</v>
      </c>
      <c r="F7" s="51">
        <v>31661</v>
      </c>
      <c r="G7" s="23"/>
      <c r="H7" s="27">
        <v>42066</v>
      </c>
      <c r="I7" s="61">
        <v>400</v>
      </c>
      <c r="J7" s="88"/>
      <c r="K7" s="13" t="s">
        <v>3</v>
      </c>
      <c r="L7" s="20">
        <v>11478</v>
      </c>
      <c r="M7" s="67" t="s">
        <v>307</v>
      </c>
      <c r="N7" s="75">
        <v>32160</v>
      </c>
      <c r="O7" s="80"/>
    </row>
    <row r="8" spans="1:15" x14ac:dyDescent="0.25">
      <c r="A8" s="21"/>
      <c r="B8" s="39">
        <v>42067</v>
      </c>
      <c r="C8" s="45">
        <v>0</v>
      </c>
      <c r="D8" s="22"/>
      <c r="E8" s="26">
        <v>42067</v>
      </c>
      <c r="F8" s="51">
        <v>27497.5</v>
      </c>
      <c r="G8" s="23"/>
      <c r="H8" s="27">
        <v>42067</v>
      </c>
      <c r="I8" s="61">
        <v>200</v>
      </c>
      <c r="J8" s="88"/>
      <c r="K8" s="13" t="s">
        <v>6</v>
      </c>
      <c r="L8" s="20">
        <v>28750</v>
      </c>
      <c r="M8" s="201" t="s">
        <v>308</v>
      </c>
      <c r="N8" s="204">
        <v>27409.5</v>
      </c>
      <c r="O8" s="80"/>
    </row>
    <row r="9" spans="1:15" x14ac:dyDescent="0.25">
      <c r="A9" s="21"/>
      <c r="B9" s="39">
        <v>42068</v>
      </c>
      <c r="C9" s="45">
        <v>0</v>
      </c>
      <c r="D9" s="22"/>
      <c r="E9" s="26">
        <v>42068</v>
      </c>
      <c r="F9" s="51">
        <v>49428</v>
      </c>
      <c r="G9" s="23"/>
      <c r="H9" s="27">
        <v>42068</v>
      </c>
      <c r="I9" s="61">
        <v>230</v>
      </c>
      <c r="J9" s="88"/>
      <c r="K9" s="13" t="s">
        <v>316</v>
      </c>
      <c r="L9" s="20">
        <v>6228.25</v>
      </c>
      <c r="M9" s="67" t="s">
        <v>309</v>
      </c>
      <c r="N9" s="75">
        <v>47296.5</v>
      </c>
      <c r="O9" s="80"/>
    </row>
    <row r="10" spans="1:15" x14ac:dyDescent="0.25">
      <c r="A10" s="21"/>
      <c r="B10" s="39">
        <v>42069</v>
      </c>
      <c r="C10" s="45">
        <v>810</v>
      </c>
      <c r="D10" s="32" t="s">
        <v>50</v>
      </c>
      <c r="E10" s="26">
        <v>42069</v>
      </c>
      <c r="F10" s="51">
        <v>55437</v>
      </c>
      <c r="G10" s="23"/>
      <c r="H10" s="27">
        <v>42069</v>
      </c>
      <c r="I10" s="61">
        <v>200</v>
      </c>
      <c r="J10" s="88"/>
      <c r="K10" s="13" t="s">
        <v>317</v>
      </c>
      <c r="L10" s="20">
        <v>7850.81</v>
      </c>
      <c r="M10" s="67" t="s">
        <v>310</v>
      </c>
      <c r="N10" s="75">
        <v>54436</v>
      </c>
      <c r="O10" s="80"/>
    </row>
    <row r="11" spans="1:15" x14ac:dyDescent="0.25">
      <c r="A11" s="21"/>
      <c r="B11" s="39">
        <v>42070</v>
      </c>
      <c r="C11" s="45">
        <v>0</v>
      </c>
      <c r="D11" s="32"/>
      <c r="E11" s="26">
        <v>42070</v>
      </c>
      <c r="F11" s="51">
        <v>76311</v>
      </c>
      <c r="G11" s="23"/>
      <c r="H11" s="27">
        <v>42070</v>
      </c>
      <c r="I11" s="62">
        <v>200</v>
      </c>
      <c r="J11" s="88"/>
      <c r="K11" s="13" t="s">
        <v>318</v>
      </c>
      <c r="L11" s="20">
        <v>7969.87</v>
      </c>
      <c r="M11" s="67" t="s">
        <v>311</v>
      </c>
      <c r="N11" s="75">
        <v>70408</v>
      </c>
      <c r="O11" s="80"/>
    </row>
    <row r="12" spans="1:15" x14ac:dyDescent="0.25">
      <c r="A12" s="21"/>
      <c r="B12" s="39">
        <v>42071</v>
      </c>
      <c r="C12" s="45">
        <v>511.8</v>
      </c>
      <c r="D12" s="32" t="s">
        <v>313</v>
      </c>
      <c r="E12" s="26">
        <v>42071</v>
      </c>
      <c r="F12" s="51">
        <v>60689.5</v>
      </c>
      <c r="G12" s="23"/>
      <c r="H12" s="27">
        <v>42071</v>
      </c>
      <c r="I12" s="62">
        <v>250</v>
      </c>
      <c r="J12" s="88"/>
      <c r="K12" s="13" t="s">
        <v>319</v>
      </c>
      <c r="L12" s="20">
        <f>4967.42+200</f>
        <v>5167.42</v>
      </c>
      <c r="M12" s="67" t="s">
        <v>312</v>
      </c>
      <c r="N12" s="75">
        <v>66230</v>
      </c>
      <c r="O12" s="80"/>
    </row>
    <row r="13" spans="1:15" x14ac:dyDescent="0.25">
      <c r="A13" s="21"/>
      <c r="B13" s="39">
        <v>42072</v>
      </c>
      <c r="C13" s="45">
        <v>0</v>
      </c>
      <c r="D13" s="32"/>
      <c r="E13" s="26">
        <v>42072</v>
      </c>
      <c r="F13" s="51">
        <v>37436.5</v>
      </c>
      <c r="G13" s="23"/>
      <c r="H13" s="27">
        <v>42072</v>
      </c>
      <c r="I13" s="62">
        <v>224</v>
      </c>
      <c r="J13" s="88"/>
      <c r="K13" s="13" t="s">
        <v>344</v>
      </c>
      <c r="L13" s="20">
        <v>0</v>
      </c>
      <c r="M13" s="67" t="s">
        <v>314</v>
      </c>
      <c r="N13" s="75">
        <v>36247.699999999997</v>
      </c>
      <c r="O13" s="80"/>
    </row>
    <row r="14" spans="1:15" x14ac:dyDescent="0.25">
      <c r="A14" s="21"/>
      <c r="B14" s="39">
        <v>42073</v>
      </c>
      <c r="C14" s="45">
        <v>0</v>
      </c>
      <c r="D14" s="29"/>
      <c r="E14" s="26">
        <v>42073</v>
      </c>
      <c r="F14" s="51">
        <v>40372</v>
      </c>
      <c r="G14" s="23"/>
      <c r="H14" s="27">
        <v>42073</v>
      </c>
      <c r="I14" s="62">
        <v>633</v>
      </c>
      <c r="J14" s="88"/>
      <c r="K14" s="35" t="s">
        <v>16</v>
      </c>
      <c r="L14" s="20">
        <v>0</v>
      </c>
      <c r="M14" s="67" t="s">
        <v>322</v>
      </c>
      <c r="N14" s="75">
        <v>37081.5</v>
      </c>
      <c r="O14" s="80"/>
    </row>
    <row r="15" spans="1:15" x14ac:dyDescent="0.25">
      <c r="A15" s="21"/>
      <c r="B15" s="39">
        <v>42074</v>
      </c>
      <c r="C15" s="45">
        <v>0</v>
      </c>
      <c r="D15" s="29"/>
      <c r="E15" s="26">
        <v>42074</v>
      </c>
      <c r="F15" s="51">
        <v>31548</v>
      </c>
      <c r="G15" s="23"/>
      <c r="H15" s="27">
        <v>42074</v>
      </c>
      <c r="I15" s="62">
        <v>200</v>
      </c>
      <c r="J15" s="88"/>
      <c r="K15" s="28" t="s">
        <v>15</v>
      </c>
      <c r="L15" s="20">
        <v>0</v>
      </c>
      <c r="M15" s="67" t="s">
        <v>323</v>
      </c>
      <c r="N15" s="75">
        <v>35070</v>
      </c>
      <c r="O15" s="80"/>
    </row>
    <row r="16" spans="1:15" x14ac:dyDescent="0.25">
      <c r="A16" s="21"/>
      <c r="B16" s="39">
        <v>42075</v>
      </c>
      <c r="C16" s="45">
        <v>0</v>
      </c>
      <c r="D16" s="32"/>
      <c r="E16" s="26">
        <v>42075</v>
      </c>
      <c r="F16" s="51">
        <v>44047</v>
      </c>
      <c r="G16" s="23"/>
      <c r="H16" s="27">
        <v>42075</v>
      </c>
      <c r="I16" s="62">
        <v>200</v>
      </c>
      <c r="J16" s="88"/>
      <c r="K16" s="73" t="s">
        <v>52</v>
      </c>
      <c r="L16" s="74">
        <v>0</v>
      </c>
      <c r="M16" s="67" t="s">
        <v>324</v>
      </c>
      <c r="N16" s="75">
        <v>43860</v>
      </c>
      <c r="O16" s="80"/>
    </row>
    <row r="17" spans="1:15" x14ac:dyDescent="0.25">
      <c r="A17" s="21"/>
      <c r="B17" s="39">
        <v>42076</v>
      </c>
      <c r="C17" s="45">
        <v>0</v>
      </c>
      <c r="D17" s="29"/>
      <c r="E17" s="26">
        <v>42076</v>
      </c>
      <c r="F17" s="51">
        <v>47621</v>
      </c>
      <c r="G17" s="23"/>
      <c r="H17" s="27">
        <v>42076</v>
      </c>
      <c r="I17" s="62">
        <v>200</v>
      </c>
      <c r="J17" s="88"/>
      <c r="K17" s="28" t="s">
        <v>53</v>
      </c>
      <c r="L17" s="74">
        <v>0</v>
      </c>
      <c r="M17" s="67" t="s">
        <v>325</v>
      </c>
      <c r="N17" s="75">
        <v>44670</v>
      </c>
      <c r="O17" s="80"/>
    </row>
    <row r="18" spans="1:15" x14ac:dyDescent="0.25">
      <c r="A18" s="21"/>
      <c r="B18" s="39">
        <v>42077</v>
      </c>
      <c r="C18" s="45">
        <v>0</v>
      </c>
      <c r="D18" s="22"/>
      <c r="E18" s="26">
        <v>42077</v>
      </c>
      <c r="F18" s="51">
        <v>74580.5</v>
      </c>
      <c r="G18" s="23"/>
      <c r="H18" s="27">
        <v>42077</v>
      </c>
      <c r="I18" s="62">
        <v>200</v>
      </c>
      <c r="J18" s="89"/>
      <c r="K18" s="28" t="s">
        <v>54</v>
      </c>
      <c r="L18" s="75">
        <v>0</v>
      </c>
      <c r="M18" s="67" t="s">
        <v>320</v>
      </c>
      <c r="N18" s="75">
        <v>74090</v>
      </c>
      <c r="O18" s="80"/>
    </row>
    <row r="19" spans="1:15" x14ac:dyDescent="0.25">
      <c r="A19" s="21"/>
      <c r="B19" s="39">
        <v>42078</v>
      </c>
      <c r="C19" s="45">
        <v>0</v>
      </c>
      <c r="D19" s="29"/>
      <c r="E19" s="26">
        <v>42078</v>
      </c>
      <c r="F19" s="51">
        <v>68705.5</v>
      </c>
      <c r="G19" s="23"/>
      <c r="H19" s="27">
        <v>42078</v>
      </c>
      <c r="I19" s="62">
        <v>200</v>
      </c>
      <c r="J19" s="88"/>
      <c r="K19" s="28" t="s">
        <v>55</v>
      </c>
      <c r="L19" s="75">
        <v>0</v>
      </c>
      <c r="M19" s="67" t="s">
        <v>321</v>
      </c>
      <c r="N19" s="75">
        <v>71320</v>
      </c>
      <c r="O19" s="80"/>
    </row>
    <row r="20" spans="1:15" x14ac:dyDescent="0.25">
      <c r="A20" s="21"/>
      <c r="B20" s="39">
        <v>42079</v>
      </c>
      <c r="C20" s="45">
        <v>0</v>
      </c>
      <c r="D20" s="22"/>
      <c r="E20" s="26">
        <v>42079</v>
      </c>
      <c r="F20" s="51">
        <v>54477</v>
      </c>
      <c r="G20" s="23"/>
      <c r="H20" s="27">
        <v>42079</v>
      </c>
      <c r="I20" s="62">
        <v>0</v>
      </c>
      <c r="J20" s="90"/>
      <c r="K20" s="36" t="s">
        <v>68</v>
      </c>
      <c r="L20" s="55">
        <v>616</v>
      </c>
      <c r="M20" s="67" t="s">
        <v>326</v>
      </c>
      <c r="N20" s="75">
        <v>53851.5</v>
      </c>
      <c r="O20" s="80"/>
    </row>
    <row r="21" spans="1:15" x14ac:dyDescent="0.25">
      <c r="A21" s="21"/>
      <c r="B21" s="39">
        <v>42080</v>
      </c>
      <c r="C21" s="45">
        <v>0</v>
      </c>
      <c r="D21" s="22"/>
      <c r="E21" s="26">
        <v>42080</v>
      </c>
      <c r="F21" s="51">
        <v>36439</v>
      </c>
      <c r="G21" s="23"/>
      <c r="H21" s="27">
        <v>42080</v>
      </c>
      <c r="I21" s="62">
        <v>400</v>
      </c>
      <c r="J21" s="88"/>
      <c r="K21" s="25" t="s">
        <v>99</v>
      </c>
      <c r="L21" s="55">
        <v>0</v>
      </c>
      <c r="M21" s="67" t="s">
        <v>327</v>
      </c>
      <c r="N21" s="75">
        <v>37000</v>
      </c>
      <c r="O21" s="80"/>
    </row>
    <row r="22" spans="1:15" x14ac:dyDescent="0.25">
      <c r="A22" s="21"/>
      <c r="B22" s="39">
        <v>42081</v>
      </c>
      <c r="C22" s="45">
        <v>0</v>
      </c>
      <c r="D22" s="22"/>
      <c r="E22" s="26">
        <v>42081</v>
      </c>
      <c r="F22" s="51">
        <v>40380.5</v>
      </c>
      <c r="G22" s="23"/>
      <c r="H22" s="27">
        <v>42081</v>
      </c>
      <c r="I22" s="62">
        <v>200</v>
      </c>
      <c r="J22" s="90"/>
      <c r="K22" s="122" t="s">
        <v>213</v>
      </c>
      <c r="L22" s="55">
        <v>900</v>
      </c>
      <c r="M22" s="67" t="s">
        <v>328</v>
      </c>
      <c r="N22" s="75">
        <v>40400</v>
      </c>
      <c r="O22" s="80"/>
    </row>
    <row r="23" spans="1:15" x14ac:dyDescent="0.25">
      <c r="A23" s="21"/>
      <c r="B23" s="39">
        <v>42082</v>
      </c>
      <c r="C23" s="45">
        <v>0</v>
      </c>
      <c r="D23" s="22"/>
      <c r="E23" s="26">
        <v>42082</v>
      </c>
      <c r="F23" s="51">
        <v>43987</v>
      </c>
      <c r="G23" s="23"/>
      <c r="H23" s="27">
        <v>42082</v>
      </c>
      <c r="I23" s="62">
        <v>200</v>
      </c>
      <c r="J23" s="88"/>
      <c r="K23" s="11" t="s">
        <v>332</v>
      </c>
      <c r="L23" s="55">
        <v>800</v>
      </c>
      <c r="M23" s="67" t="s">
        <v>329</v>
      </c>
      <c r="N23" s="75">
        <v>40900</v>
      </c>
      <c r="O23" s="80"/>
    </row>
    <row r="24" spans="1:15" x14ac:dyDescent="0.25">
      <c r="A24" s="21"/>
      <c r="B24" s="39">
        <v>42083</v>
      </c>
      <c r="C24" s="45">
        <v>0</v>
      </c>
      <c r="D24" s="29"/>
      <c r="E24" s="26">
        <v>42083</v>
      </c>
      <c r="F24" s="51">
        <v>36096.5</v>
      </c>
      <c r="G24" s="23"/>
      <c r="H24" s="27">
        <v>42083</v>
      </c>
      <c r="I24" s="62">
        <v>1000</v>
      </c>
      <c r="J24" s="88"/>
      <c r="K24" s="11"/>
      <c r="L24" s="55"/>
      <c r="M24" s="67" t="s">
        <v>330</v>
      </c>
      <c r="N24" s="75">
        <v>34150</v>
      </c>
      <c r="O24" s="80"/>
    </row>
    <row r="25" spans="1:15" x14ac:dyDescent="0.25">
      <c r="A25" s="21"/>
      <c r="B25" s="39">
        <v>42084</v>
      </c>
      <c r="C25" s="45">
        <v>0</v>
      </c>
      <c r="D25" s="22"/>
      <c r="E25" s="26">
        <v>42084</v>
      </c>
      <c r="F25" s="51">
        <v>72502.5</v>
      </c>
      <c r="G25" s="23"/>
      <c r="H25" s="27">
        <v>42084</v>
      </c>
      <c r="I25" s="62">
        <v>200</v>
      </c>
      <c r="J25" s="88"/>
      <c r="K25" s="11"/>
      <c r="L25" s="55"/>
      <c r="M25" s="67" t="s">
        <v>333</v>
      </c>
      <c r="N25" s="75">
        <v>74100</v>
      </c>
      <c r="O25" s="80"/>
    </row>
    <row r="26" spans="1:15" x14ac:dyDescent="0.25">
      <c r="A26" s="21"/>
      <c r="B26" s="39">
        <v>42085</v>
      </c>
      <c r="C26" s="45">
        <v>0</v>
      </c>
      <c r="D26" s="29"/>
      <c r="E26" s="26">
        <v>42085</v>
      </c>
      <c r="F26" s="51">
        <v>59971.5</v>
      </c>
      <c r="G26" s="23"/>
      <c r="H26" s="27">
        <v>42085</v>
      </c>
      <c r="I26" s="62">
        <v>200</v>
      </c>
      <c r="J26" s="88"/>
      <c r="K26" s="11"/>
      <c r="L26" s="55"/>
      <c r="M26" s="67" t="s">
        <v>334</v>
      </c>
      <c r="N26" s="75">
        <v>60000</v>
      </c>
      <c r="O26" s="80"/>
    </row>
    <row r="27" spans="1:15" x14ac:dyDescent="0.25">
      <c r="A27" s="21"/>
      <c r="B27" s="39">
        <v>42086</v>
      </c>
      <c r="C27" s="45">
        <v>0</v>
      </c>
      <c r="D27" s="29"/>
      <c r="E27" s="26">
        <v>42086</v>
      </c>
      <c r="F27" s="51">
        <v>42284</v>
      </c>
      <c r="G27" s="23"/>
      <c r="H27" s="27">
        <v>42086</v>
      </c>
      <c r="I27" s="62">
        <v>200</v>
      </c>
      <c r="J27" s="88"/>
      <c r="K27" s="11"/>
      <c r="L27" s="55"/>
      <c r="M27" s="201" t="s">
        <v>335</v>
      </c>
      <c r="N27" s="204">
        <v>45240.5</v>
      </c>
      <c r="O27" s="80"/>
    </row>
    <row r="28" spans="1:15" x14ac:dyDescent="0.25">
      <c r="A28" s="21"/>
      <c r="B28" s="39">
        <v>42087</v>
      </c>
      <c r="C28" s="45">
        <v>0</v>
      </c>
      <c r="D28" s="29"/>
      <c r="E28" s="26">
        <v>42087</v>
      </c>
      <c r="F28" s="51">
        <v>27168.5</v>
      </c>
      <c r="G28" s="23"/>
      <c r="H28" s="27">
        <v>42087</v>
      </c>
      <c r="I28" s="62">
        <v>200</v>
      </c>
      <c r="J28" s="88"/>
      <c r="K28" s="11"/>
      <c r="L28" s="55"/>
      <c r="M28" s="201" t="s">
        <v>336</v>
      </c>
      <c r="N28" s="204">
        <v>27049.5</v>
      </c>
      <c r="O28" s="80"/>
    </row>
    <row r="29" spans="1:15" x14ac:dyDescent="0.25">
      <c r="A29" s="21"/>
      <c r="B29" s="39">
        <v>42088</v>
      </c>
      <c r="C29" s="45">
        <v>0</v>
      </c>
      <c r="D29" s="29"/>
      <c r="E29" s="26">
        <v>42088</v>
      </c>
      <c r="F29" s="51">
        <v>32500.5</v>
      </c>
      <c r="G29" s="23"/>
      <c r="H29" s="27">
        <v>42088</v>
      </c>
      <c r="I29" s="62">
        <v>200</v>
      </c>
      <c r="J29" s="88"/>
      <c r="K29" s="11"/>
      <c r="L29" s="20"/>
      <c r="M29" s="67" t="s">
        <v>337</v>
      </c>
      <c r="N29" s="75">
        <v>32000.5</v>
      </c>
      <c r="O29" s="80"/>
    </row>
    <row r="30" spans="1:15" x14ac:dyDescent="0.25">
      <c r="A30" s="21"/>
      <c r="B30" s="39">
        <v>42089</v>
      </c>
      <c r="C30" s="45">
        <v>0</v>
      </c>
      <c r="D30" s="22"/>
      <c r="E30" s="26">
        <v>42089</v>
      </c>
      <c r="F30" s="51">
        <v>50346.5</v>
      </c>
      <c r="G30" s="23"/>
      <c r="H30" s="27">
        <v>42089</v>
      </c>
      <c r="I30" s="62">
        <v>1002.2</v>
      </c>
      <c r="J30" s="88"/>
      <c r="K30" s="11"/>
      <c r="L30" s="20"/>
      <c r="M30" s="201" t="s">
        <v>338</v>
      </c>
      <c r="N30" s="204">
        <v>48291.5</v>
      </c>
      <c r="O30" s="80"/>
    </row>
    <row r="31" spans="1:15" x14ac:dyDescent="0.25">
      <c r="A31" s="21"/>
      <c r="B31" s="39">
        <v>42090</v>
      </c>
      <c r="C31" s="45">
        <v>0</v>
      </c>
      <c r="D31" s="22"/>
      <c r="E31" s="26">
        <v>42090</v>
      </c>
      <c r="F31" s="51">
        <v>41857.5</v>
      </c>
      <c r="G31" s="23"/>
      <c r="H31" s="27">
        <v>42090</v>
      </c>
      <c r="I31" s="62">
        <v>200</v>
      </c>
      <c r="J31" s="88"/>
      <c r="K31" s="11"/>
      <c r="L31" s="20"/>
      <c r="M31" s="201" t="s">
        <v>340</v>
      </c>
      <c r="N31" s="204">
        <v>43823.5</v>
      </c>
      <c r="O31" s="80"/>
    </row>
    <row r="32" spans="1:15" x14ac:dyDescent="0.25">
      <c r="A32" s="21"/>
      <c r="B32" s="39">
        <v>42091</v>
      </c>
      <c r="C32" s="45">
        <v>0</v>
      </c>
      <c r="D32" s="22"/>
      <c r="E32" s="26">
        <v>42091</v>
      </c>
      <c r="F32" s="51">
        <v>85236.5</v>
      </c>
      <c r="G32" s="23"/>
      <c r="H32" s="27">
        <v>42091</v>
      </c>
      <c r="I32" s="62">
        <v>200</v>
      </c>
      <c r="J32" s="88"/>
      <c r="K32" s="11"/>
      <c r="L32" s="20"/>
      <c r="M32" s="67" t="s">
        <v>341</v>
      </c>
      <c r="N32" s="75">
        <v>84085</v>
      </c>
      <c r="O32" s="80"/>
    </row>
    <row r="33" spans="1:15" x14ac:dyDescent="0.25">
      <c r="A33" s="21"/>
      <c r="B33" s="39">
        <v>42092</v>
      </c>
      <c r="C33" s="45">
        <v>0</v>
      </c>
      <c r="D33" s="32"/>
      <c r="E33" s="26">
        <v>42092</v>
      </c>
      <c r="F33" s="51">
        <v>54376</v>
      </c>
      <c r="G33" s="23"/>
      <c r="H33" s="27">
        <v>42092</v>
      </c>
      <c r="I33" s="62">
        <v>400</v>
      </c>
      <c r="J33" s="88"/>
      <c r="K33" s="11"/>
      <c r="L33" s="20"/>
      <c r="M33" s="67" t="s">
        <v>342</v>
      </c>
      <c r="N33" s="75">
        <v>53739.9</v>
      </c>
      <c r="O33" s="80"/>
    </row>
    <row r="34" spans="1:15" x14ac:dyDescent="0.25">
      <c r="A34" s="21"/>
      <c r="B34" s="39">
        <v>42093</v>
      </c>
      <c r="C34" s="45">
        <v>0</v>
      </c>
      <c r="D34" s="72"/>
      <c r="E34" s="26">
        <v>42093</v>
      </c>
      <c r="F34" s="51">
        <v>40879.5</v>
      </c>
      <c r="G34" s="23"/>
      <c r="H34" s="27">
        <v>42093</v>
      </c>
      <c r="I34" s="62">
        <v>400</v>
      </c>
      <c r="J34" s="88"/>
      <c r="K34" s="11"/>
      <c r="L34" s="20"/>
      <c r="M34" s="258" t="s">
        <v>343</v>
      </c>
      <c r="N34" s="202">
        <v>40800</v>
      </c>
      <c r="O34" s="80"/>
    </row>
    <row r="35" spans="1:15" ht="15.75" thickBot="1" x14ac:dyDescent="0.3">
      <c r="A35" s="21"/>
      <c r="B35" s="39">
        <v>42094</v>
      </c>
      <c r="C35" s="45">
        <v>0</v>
      </c>
      <c r="D35" s="22"/>
      <c r="E35" s="26">
        <v>42094</v>
      </c>
      <c r="F35" s="51">
        <v>43164</v>
      </c>
      <c r="G35" s="23"/>
      <c r="H35" s="27">
        <v>42094</v>
      </c>
      <c r="I35" s="62">
        <v>200</v>
      </c>
      <c r="J35" s="88"/>
      <c r="K35" s="11" t="s">
        <v>345</v>
      </c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SUM(N5:N34)</f>
        <v>1457646.0999999999</v>
      </c>
    </row>
    <row r="38" spans="1:15" x14ac:dyDescent="0.25">
      <c r="B38" s="42" t="s">
        <v>1</v>
      </c>
      <c r="C38" s="48">
        <f>SUM(C5:C37)</f>
        <v>1321.8</v>
      </c>
      <c r="E38" s="255" t="s">
        <v>1</v>
      </c>
      <c r="F38" s="54">
        <f>SUM(F6:F37)</f>
        <v>1452443</v>
      </c>
      <c r="H38" s="257" t="s">
        <v>1</v>
      </c>
      <c r="I38" s="58">
        <f>SUM(I5:I37)</f>
        <v>8739.2000000000007</v>
      </c>
      <c r="J38" s="58"/>
      <c r="K38" s="17" t="s">
        <v>1</v>
      </c>
      <c r="L38" s="4">
        <f t="shared" ref="L38" si="0">SUM(L5:L37)</f>
        <v>70855.350000000006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53" t="s">
        <v>7</v>
      </c>
      <c r="I40" s="454"/>
      <c r="J40" s="256"/>
      <c r="K40" s="455">
        <f>I38+L38</f>
        <v>79594.55</v>
      </c>
      <c r="L40" s="456"/>
    </row>
    <row r="41" spans="1:15" ht="15.75" customHeight="1" x14ac:dyDescent="0.25">
      <c r="D41" s="447" t="s">
        <v>8</v>
      </c>
      <c r="E41" s="447"/>
      <c r="F41" s="56">
        <f>F38-K40</f>
        <v>1372848.45</v>
      </c>
      <c r="I41" s="65"/>
      <c r="J41" s="65"/>
    </row>
    <row r="42" spans="1:15" x14ac:dyDescent="0.25">
      <c r="D42" s="13"/>
      <c r="E42" s="13" t="s">
        <v>0</v>
      </c>
      <c r="F42" s="55">
        <f>-C38</f>
        <v>-1321.8</v>
      </c>
    </row>
    <row r="43" spans="1:15" ht="15.75" thickBot="1" x14ac:dyDescent="0.3">
      <c r="C43" s="43" t="s">
        <v>12</v>
      </c>
      <c r="D43" t="s">
        <v>303</v>
      </c>
      <c r="F43" s="57">
        <v>-1289618.5900000001</v>
      </c>
      <c r="I43" s="457"/>
      <c r="J43" s="457"/>
      <c r="K43" s="457"/>
      <c r="L43" s="2"/>
    </row>
    <row r="44" spans="1:15" ht="16.5" thickTop="1" x14ac:dyDescent="0.25">
      <c r="E44" s="5" t="s">
        <v>10</v>
      </c>
      <c r="F44" s="58">
        <f>SUM(F41:F43)</f>
        <v>81908.059999999823</v>
      </c>
      <c r="I44"/>
      <c r="J44" s="182" t="s">
        <v>251</v>
      </c>
      <c r="K44" s="474">
        <f>F48</f>
        <v>226327.02999999982</v>
      </c>
      <c r="L44" s="475"/>
    </row>
    <row r="45" spans="1:15" ht="15.75" customHeight="1" thickBot="1" x14ac:dyDescent="0.3">
      <c r="D45" s="301" t="s">
        <v>9</v>
      </c>
      <c r="E45" s="301"/>
      <c r="F45" s="59">
        <v>141644.97</v>
      </c>
      <c r="I45" s="483" t="s">
        <v>2</v>
      </c>
      <c r="J45" s="483"/>
      <c r="K45" s="476">
        <v>-181901.18</v>
      </c>
      <c r="L45" s="476"/>
    </row>
    <row r="46" spans="1:15" ht="15.75" customHeight="1" thickBot="1" x14ac:dyDescent="0.3">
      <c r="E46" s="6" t="s">
        <v>347</v>
      </c>
      <c r="F46" s="48">
        <f>F45+F44</f>
        <v>223553.02999999982</v>
      </c>
      <c r="I46"/>
      <c r="J46" s="178"/>
      <c r="K46" s="477">
        <v>0</v>
      </c>
      <c r="L46" s="477"/>
    </row>
    <row r="47" spans="1:15" ht="19.5" thickBot="1" x14ac:dyDescent="0.3">
      <c r="E47" s="5" t="s">
        <v>346</v>
      </c>
      <c r="F47" s="125">
        <v>2774</v>
      </c>
      <c r="I47"/>
      <c r="J47" s="304" t="s">
        <v>13</v>
      </c>
      <c r="K47" s="480">
        <f t="shared" ref="K47" si="1">SUM(K44:L46)</f>
        <v>44425.849999999831</v>
      </c>
      <c r="L47" s="481"/>
    </row>
    <row r="48" spans="1:15" ht="15.75" thickTop="1" x14ac:dyDescent="0.25">
      <c r="D48" s="457" t="s">
        <v>251</v>
      </c>
      <c r="E48" s="457"/>
      <c r="F48" s="58">
        <f>F47+F46</f>
        <v>226327.02999999982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K47:L47"/>
    <mergeCell ref="D48:E48"/>
    <mergeCell ref="C1:K1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P109"/>
  <sheetViews>
    <sheetView topLeftCell="A40" workbookViewId="0">
      <selection activeCell="E50" sqref="E50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42075</v>
      </c>
      <c r="L2" s="215"/>
      <c r="M2" s="134" t="s">
        <v>200</v>
      </c>
      <c r="N2" s="88"/>
    </row>
    <row r="3" spans="1:16" ht="16.5" thickBot="1" x14ac:dyDescent="0.3">
      <c r="C3" s="484" t="s">
        <v>240</v>
      </c>
      <c r="D3" s="485"/>
      <c r="E3" s="486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253" t="s">
        <v>297</v>
      </c>
      <c r="D4" s="253"/>
      <c r="E4" s="253" t="s">
        <v>298</v>
      </c>
      <c r="F4" s="254" t="s">
        <v>299</v>
      </c>
      <c r="I4" s="43">
        <f>5383.5+39249.5</f>
        <v>44633</v>
      </c>
      <c r="J4" s="265">
        <v>13222</v>
      </c>
      <c r="K4" s="130">
        <v>36783.17</v>
      </c>
      <c r="L4" s="130"/>
      <c r="M4" s="113" t="s">
        <v>202</v>
      </c>
      <c r="N4" s="270">
        <v>5383.5</v>
      </c>
      <c r="O4" s="221">
        <v>42061</v>
      </c>
      <c r="P4" s="21">
        <v>42061</v>
      </c>
    </row>
    <row r="5" spans="1:16" ht="15.75" x14ac:dyDescent="0.25">
      <c r="A5" s="243">
        <v>42064</v>
      </c>
      <c r="B5" s="244">
        <v>13534</v>
      </c>
      <c r="C5" s="245">
        <v>30688.799999999999</v>
      </c>
      <c r="D5" s="104">
        <v>42075</v>
      </c>
      <c r="E5" s="103">
        <v>30688.799999999999</v>
      </c>
      <c r="F5" s="246">
        <f t="shared" ref="F5:F48" si="0">C5-E5</f>
        <v>0</v>
      </c>
      <c r="G5" s="105"/>
      <c r="H5" s="106"/>
      <c r="I5" s="43">
        <v>7102</v>
      </c>
      <c r="J5" s="266">
        <v>13373</v>
      </c>
      <c r="K5" s="207">
        <v>7102</v>
      </c>
      <c r="L5" s="207"/>
      <c r="M5" s="127" t="s">
        <v>202</v>
      </c>
      <c r="N5" s="269">
        <v>39249.5</v>
      </c>
      <c r="O5" s="221">
        <v>42061</v>
      </c>
      <c r="P5" s="21">
        <v>42061</v>
      </c>
    </row>
    <row r="6" spans="1:16" ht="15.75" x14ac:dyDescent="0.25">
      <c r="A6" s="143">
        <v>42065</v>
      </c>
      <c r="B6" s="144">
        <v>13630</v>
      </c>
      <c r="C6" s="156">
        <v>12705</v>
      </c>
      <c r="D6" s="104">
        <v>42075</v>
      </c>
      <c r="E6" s="103">
        <v>12705</v>
      </c>
      <c r="F6" s="154">
        <f t="shared" si="0"/>
        <v>0</v>
      </c>
      <c r="G6" s="105"/>
      <c r="H6" s="108"/>
      <c r="I6" s="43">
        <f>5305.5+40264.5+3564.5</f>
        <v>49134.5</v>
      </c>
      <c r="J6" s="265">
        <v>13378</v>
      </c>
      <c r="K6" s="207">
        <v>49134.6</v>
      </c>
      <c r="L6" s="207"/>
      <c r="M6" s="127" t="s">
        <v>202</v>
      </c>
      <c r="N6" s="269">
        <v>5305.5</v>
      </c>
      <c r="O6" s="221">
        <v>42062</v>
      </c>
      <c r="P6" s="21">
        <v>42062</v>
      </c>
    </row>
    <row r="7" spans="1:16" ht="15.75" x14ac:dyDescent="0.25">
      <c r="A7" s="143">
        <v>42066</v>
      </c>
      <c r="B7" s="144">
        <v>13712</v>
      </c>
      <c r="C7" s="156">
        <v>8287</v>
      </c>
      <c r="D7" s="104">
        <v>42075</v>
      </c>
      <c r="E7" s="103">
        <v>8287</v>
      </c>
      <c r="F7" s="155">
        <f t="shared" si="0"/>
        <v>0</v>
      </c>
      <c r="G7" s="105"/>
      <c r="H7" s="108"/>
      <c r="I7" s="43">
        <f>25799</f>
        <v>25799</v>
      </c>
      <c r="J7" s="265">
        <v>13388</v>
      </c>
      <c r="K7" s="130">
        <v>25798.9</v>
      </c>
      <c r="L7" s="130"/>
      <c r="M7" s="113" t="s">
        <v>202</v>
      </c>
      <c r="N7" s="269">
        <v>40264.5</v>
      </c>
      <c r="O7" s="221">
        <v>42062</v>
      </c>
      <c r="P7" s="21">
        <v>42062</v>
      </c>
    </row>
    <row r="8" spans="1:16" ht="15.75" x14ac:dyDescent="0.25">
      <c r="A8" s="143">
        <v>42066</v>
      </c>
      <c r="B8" s="144">
        <v>13749</v>
      </c>
      <c r="C8" s="156">
        <v>2812.12</v>
      </c>
      <c r="D8" s="104">
        <v>42075</v>
      </c>
      <c r="E8" s="103">
        <v>2812.12</v>
      </c>
      <c r="F8" s="155">
        <f t="shared" si="0"/>
        <v>0</v>
      </c>
      <c r="G8" s="105"/>
      <c r="H8" s="106"/>
      <c r="I8" s="43">
        <f>23500+7122.5+5587.5+29116+4177.5</f>
        <v>69503.5</v>
      </c>
      <c r="J8" s="265">
        <v>13507</v>
      </c>
      <c r="K8" s="207">
        <v>69503.48</v>
      </c>
      <c r="L8" s="207"/>
      <c r="M8" s="113" t="s">
        <v>202</v>
      </c>
      <c r="N8" s="269">
        <v>25799</v>
      </c>
      <c r="O8" s="221">
        <v>42063</v>
      </c>
      <c r="P8" s="21">
        <v>42063</v>
      </c>
    </row>
    <row r="9" spans="1:16" ht="15.75" x14ac:dyDescent="0.25">
      <c r="A9" s="143">
        <v>42066</v>
      </c>
      <c r="B9" s="144">
        <v>13773</v>
      </c>
      <c r="C9" s="156">
        <v>46640</v>
      </c>
      <c r="D9" s="104">
        <v>42075</v>
      </c>
      <c r="E9" s="103">
        <v>46640</v>
      </c>
      <c r="F9" s="155">
        <f t="shared" si="0"/>
        <v>0</v>
      </c>
      <c r="I9" s="43">
        <v>3864</v>
      </c>
      <c r="J9" s="265">
        <v>13512</v>
      </c>
      <c r="K9" s="207">
        <v>3864</v>
      </c>
      <c r="L9" s="207"/>
      <c r="M9" s="113" t="s">
        <v>202</v>
      </c>
      <c r="N9" s="269">
        <v>23500</v>
      </c>
      <c r="O9" s="221">
        <v>42063</v>
      </c>
      <c r="P9" s="21">
        <v>42063</v>
      </c>
    </row>
    <row r="10" spans="1:16" ht="15.75" x14ac:dyDescent="0.25">
      <c r="A10" s="143">
        <v>42067</v>
      </c>
      <c r="B10" s="144">
        <v>13882</v>
      </c>
      <c r="C10" s="156">
        <v>37762</v>
      </c>
      <c r="D10" s="104">
        <v>42075</v>
      </c>
      <c r="E10" s="103">
        <v>37762</v>
      </c>
      <c r="F10" s="155">
        <f t="shared" si="0"/>
        <v>0</v>
      </c>
      <c r="I10" s="43">
        <f>24631+6058</f>
        <v>30689</v>
      </c>
      <c r="J10" s="265">
        <v>13534</v>
      </c>
      <c r="K10" s="207">
        <v>30688.799999999999</v>
      </c>
      <c r="L10" s="207"/>
      <c r="M10" s="113" t="s">
        <v>202</v>
      </c>
      <c r="N10" s="269">
        <v>7122.5</v>
      </c>
      <c r="O10" s="221">
        <v>42063</v>
      </c>
      <c r="P10" s="21">
        <v>42063</v>
      </c>
    </row>
    <row r="11" spans="1:16" ht="15.75" x14ac:dyDescent="0.25">
      <c r="A11" s="143">
        <v>42068</v>
      </c>
      <c r="B11" s="144">
        <v>13937</v>
      </c>
      <c r="C11" s="156">
        <v>81946.62</v>
      </c>
      <c r="D11" s="104">
        <v>42075</v>
      </c>
      <c r="E11" s="103">
        <v>81946.62</v>
      </c>
      <c r="F11" s="155">
        <f t="shared" si="0"/>
        <v>0</v>
      </c>
      <c r="I11" s="43">
        <v>12705</v>
      </c>
      <c r="J11" s="265">
        <v>13630</v>
      </c>
      <c r="K11" s="207">
        <v>12705</v>
      </c>
      <c r="L11" s="207"/>
      <c r="M11" s="113" t="s">
        <v>202</v>
      </c>
      <c r="N11" s="269">
        <v>5587.5</v>
      </c>
      <c r="O11" s="221">
        <v>42063</v>
      </c>
      <c r="P11" s="21">
        <v>42063</v>
      </c>
    </row>
    <row r="12" spans="1:16" ht="15.75" x14ac:dyDescent="0.25">
      <c r="A12" s="143">
        <v>42069</v>
      </c>
      <c r="B12" s="144">
        <v>13980</v>
      </c>
      <c r="C12" s="156">
        <v>5525.8</v>
      </c>
      <c r="D12" s="104">
        <v>42087</v>
      </c>
      <c r="E12" s="103">
        <v>5525.8</v>
      </c>
      <c r="F12" s="155">
        <f t="shared" si="0"/>
        <v>0</v>
      </c>
      <c r="I12" s="43">
        <v>8287</v>
      </c>
      <c r="J12" s="265">
        <v>13712</v>
      </c>
      <c r="K12" s="207">
        <v>8287</v>
      </c>
      <c r="L12" s="207"/>
      <c r="M12" s="113" t="s">
        <v>202</v>
      </c>
      <c r="N12" s="269">
        <v>7102</v>
      </c>
      <c r="O12" s="221">
        <v>42063</v>
      </c>
      <c r="P12" s="21">
        <v>42063</v>
      </c>
    </row>
    <row r="13" spans="1:16" ht="15.75" x14ac:dyDescent="0.25">
      <c r="A13" s="143">
        <v>42069</v>
      </c>
      <c r="B13" s="144">
        <v>14085</v>
      </c>
      <c r="C13" s="156">
        <v>25062.3</v>
      </c>
      <c r="D13" s="104">
        <v>42075</v>
      </c>
      <c r="E13" s="103">
        <v>25062.3</v>
      </c>
      <c r="F13" s="155">
        <f t="shared" si="0"/>
        <v>0</v>
      </c>
      <c r="I13" s="43">
        <v>2812</v>
      </c>
      <c r="J13" s="265">
        <v>13749</v>
      </c>
      <c r="K13" s="207">
        <v>2812.12</v>
      </c>
      <c r="L13" s="207"/>
      <c r="M13" s="113" t="s">
        <v>202</v>
      </c>
      <c r="N13" s="269">
        <v>3564.5</v>
      </c>
      <c r="O13" s="221">
        <v>42063</v>
      </c>
      <c r="P13" s="21">
        <v>42063</v>
      </c>
    </row>
    <row r="14" spans="1:16" ht="15.75" x14ac:dyDescent="0.25">
      <c r="A14" s="143">
        <v>42069</v>
      </c>
      <c r="B14" s="144">
        <v>14086</v>
      </c>
      <c r="C14" s="156">
        <v>972</v>
      </c>
      <c r="D14" s="104">
        <v>42075</v>
      </c>
      <c r="E14" s="103">
        <v>972</v>
      </c>
      <c r="F14" s="155">
        <f t="shared" si="0"/>
        <v>0</v>
      </c>
      <c r="I14" s="43">
        <f>15015.5+6045.5+5646.5+19932.5</f>
        <v>46640</v>
      </c>
      <c r="J14" s="265">
        <v>13773</v>
      </c>
      <c r="K14" s="207">
        <v>46640</v>
      </c>
      <c r="L14" s="207"/>
      <c r="M14" s="113" t="s">
        <v>202</v>
      </c>
      <c r="N14" s="269">
        <v>29116</v>
      </c>
      <c r="O14" s="221">
        <v>42065</v>
      </c>
      <c r="P14" s="21">
        <v>42063</v>
      </c>
    </row>
    <row r="15" spans="1:16" ht="15.75" x14ac:dyDescent="0.25">
      <c r="A15" s="143">
        <v>42070</v>
      </c>
      <c r="B15" s="144">
        <v>14166</v>
      </c>
      <c r="C15" s="156">
        <v>83166</v>
      </c>
      <c r="D15" s="104">
        <v>42075</v>
      </c>
      <c r="E15" s="103">
        <v>83166</v>
      </c>
      <c r="F15" s="155">
        <f t="shared" si="0"/>
        <v>0</v>
      </c>
      <c r="I15" s="43">
        <v>37762</v>
      </c>
      <c r="J15" s="265">
        <v>13882</v>
      </c>
      <c r="K15" s="207">
        <v>37762</v>
      </c>
      <c r="L15" s="207"/>
      <c r="M15" s="113" t="s">
        <v>202</v>
      </c>
      <c r="N15" s="269">
        <v>3864</v>
      </c>
      <c r="O15" s="221">
        <v>42065</v>
      </c>
      <c r="P15" s="21">
        <v>42063</v>
      </c>
    </row>
    <row r="16" spans="1:16" ht="15.75" x14ac:dyDescent="0.25">
      <c r="A16" s="143">
        <v>42071</v>
      </c>
      <c r="B16" s="144">
        <v>14246</v>
      </c>
      <c r="C16" s="156">
        <v>40816.800000000003</v>
      </c>
      <c r="D16" s="145" t="s">
        <v>331</v>
      </c>
      <c r="E16" s="103">
        <f>33161.71+7655.09</f>
        <v>40816.800000000003</v>
      </c>
      <c r="F16" s="155">
        <f t="shared" si="0"/>
        <v>0</v>
      </c>
      <c r="I16" s="43">
        <f>4000+4700+42300+30946.5</f>
        <v>81946.5</v>
      </c>
      <c r="J16" s="265">
        <v>13937</v>
      </c>
      <c r="K16" s="207">
        <v>81946.62</v>
      </c>
      <c r="L16" s="207"/>
      <c r="M16" s="113" t="s">
        <v>202</v>
      </c>
      <c r="N16" s="207">
        <v>4177.5</v>
      </c>
      <c r="O16" s="221">
        <v>42064</v>
      </c>
      <c r="P16" s="21">
        <v>42064</v>
      </c>
    </row>
    <row r="17" spans="1:16" ht="15.75" x14ac:dyDescent="0.25">
      <c r="A17" s="143">
        <v>42072</v>
      </c>
      <c r="B17" s="144">
        <v>14322</v>
      </c>
      <c r="C17" s="156">
        <v>9189.5</v>
      </c>
      <c r="D17" s="104">
        <v>42087</v>
      </c>
      <c r="E17" s="88">
        <v>9189.5</v>
      </c>
      <c r="F17" s="155">
        <f t="shared" si="0"/>
        <v>0</v>
      </c>
      <c r="I17" s="43">
        <v>0</v>
      </c>
      <c r="J17" s="193">
        <v>13980</v>
      </c>
      <c r="K17" s="207">
        <v>0</v>
      </c>
      <c r="L17" s="207"/>
      <c r="M17" s="113" t="s">
        <v>202</v>
      </c>
      <c r="N17" s="207">
        <v>24631</v>
      </c>
      <c r="O17" s="221">
        <v>42065</v>
      </c>
      <c r="P17" s="21">
        <v>42064</v>
      </c>
    </row>
    <row r="18" spans="1:16" ht="15.75" x14ac:dyDescent="0.25">
      <c r="A18" s="143">
        <v>42073</v>
      </c>
      <c r="B18" s="144">
        <v>14422</v>
      </c>
      <c r="C18" s="156">
        <v>10440.5</v>
      </c>
      <c r="D18" s="104">
        <v>42087</v>
      </c>
      <c r="E18" s="103">
        <v>10440.5</v>
      </c>
      <c r="F18" s="155">
        <f t="shared" si="0"/>
        <v>0</v>
      </c>
      <c r="I18" s="43">
        <f>10000+15062.5</f>
        <v>25062.5</v>
      </c>
      <c r="J18" s="267">
        <v>14085</v>
      </c>
      <c r="K18" s="121">
        <v>25062.3</v>
      </c>
      <c r="L18" s="121"/>
      <c r="M18" s="113" t="s">
        <v>202</v>
      </c>
      <c r="N18" s="121">
        <v>6058</v>
      </c>
      <c r="O18" s="222">
        <v>42065</v>
      </c>
      <c r="P18" s="21">
        <v>42064</v>
      </c>
    </row>
    <row r="19" spans="1:16" ht="15.75" x14ac:dyDescent="0.25">
      <c r="A19" s="143">
        <v>42073</v>
      </c>
      <c r="B19" s="144">
        <v>14423</v>
      </c>
      <c r="C19" s="156">
        <v>1446.4</v>
      </c>
      <c r="D19" s="104">
        <v>42087</v>
      </c>
      <c r="E19" s="103">
        <v>1446.4</v>
      </c>
      <c r="F19" s="155">
        <f t="shared" si="0"/>
        <v>0</v>
      </c>
      <c r="I19" s="43">
        <v>972</v>
      </c>
      <c r="J19" s="267">
        <v>14086</v>
      </c>
      <c r="K19" s="121">
        <v>972</v>
      </c>
      <c r="L19" s="121"/>
      <c r="M19" s="113" t="s">
        <v>202</v>
      </c>
      <c r="N19" s="121">
        <v>12705</v>
      </c>
      <c r="O19" s="222">
        <v>42065</v>
      </c>
      <c r="P19" s="21">
        <v>42065</v>
      </c>
    </row>
    <row r="20" spans="1:16" ht="15.75" x14ac:dyDescent="0.25">
      <c r="A20" s="143">
        <v>42074</v>
      </c>
      <c r="B20" s="144">
        <v>14543</v>
      </c>
      <c r="C20" s="156">
        <v>49899.29</v>
      </c>
      <c r="D20" s="104">
        <v>42087</v>
      </c>
      <c r="E20" s="103">
        <v>49899.29</v>
      </c>
      <c r="F20" s="155">
        <f t="shared" si="0"/>
        <v>0</v>
      </c>
      <c r="I20" s="43">
        <f>6000+12230+54000+10936</f>
        <v>83166</v>
      </c>
      <c r="J20" s="268">
        <v>14166</v>
      </c>
      <c r="K20" s="207">
        <v>83166</v>
      </c>
      <c r="L20" s="207"/>
      <c r="M20" s="113" t="s">
        <v>202</v>
      </c>
      <c r="N20" s="207">
        <v>15015.5</v>
      </c>
      <c r="O20" s="221">
        <v>42066</v>
      </c>
      <c r="P20" s="21">
        <v>42066</v>
      </c>
    </row>
    <row r="21" spans="1:16" ht="15.75" x14ac:dyDescent="0.25">
      <c r="A21" s="143">
        <v>42075</v>
      </c>
      <c r="B21" s="144">
        <v>14601</v>
      </c>
      <c r="C21" s="156">
        <v>62772</v>
      </c>
      <c r="D21" s="104">
        <v>42087</v>
      </c>
      <c r="E21" s="103">
        <v>62772</v>
      </c>
      <c r="F21" s="155">
        <f t="shared" si="0"/>
        <v>0</v>
      </c>
      <c r="I21" s="43">
        <f>20000+5311.7</f>
        <v>25311.7</v>
      </c>
      <c r="J21" s="267">
        <v>14246</v>
      </c>
      <c r="K21" s="207">
        <v>33161.71</v>
      </c>
      <c r="L21" s="207"/>
      <c r="M21" s="113" t="s">
        <v>202</v>
      </c>
      <c r="N21" s="207">
        <v>2812</v>
      </c>
      <c r="O21" s="221">
        <v>42066</v>
      </c>
      <c r="P21" s="252">
        <v>42066</v>
      </c>
    </row>
    <row r="22" spans="1:16" ht="16.5" thickBot="1" x14ac:dyDescent="0.3">
      <c r="A22" s="143">
        <v>42075</v>
      </c>
      <c r="B22" s="144">
        <v>14606</v>
      </c>
      <c r="C22" s="156">
        <v>6052</v>
      </c>
      <c r="D22" s="104">
        <v>42087</v>
      </c>
      <c r="E22" s="103">
        <v>6052</v>
      </c>
      <c r="F22" s="155">
        <f t="shared" si="0"/>
        <v>0</v>
      </c>
      <c r="I22" s="275">
        <v>0</v>
      </c>
      <c r="J22" s="262"/>
      <c r="K22" s="207"/>
      <c r="L22" s="207"/>
      <c r="M22" s="113" t="s">
        <v>202</v>
      </c>
      <c r="N22" s="207">
        <v>8287</v>
      </c>
      <c r="O22" s="221">
        <v>42066</v>
      </c>
      <c r="P22" s="252">
        <v>42066</v>
      </c>
    </row>
    <row r="23" spans="1:16" ht="16.5" thickTop="1" x14ac:dyDescent="0.25">
      <c r="A23" s="143">
        <v>42076</v>
      </c>
      <c r="B23" s="144">
        <v>14740</v>
      </c>
      <c r="C23" s="207">
        <v>3427.2</v>
      </c>
      <c r="D23" s="283">
        <v>42087</v>
      </c>
      <c r="E23" s="103">
        <v>3427.2</v>
      </c>
      <c r="F23" s="155">
        <f t="shared" si="0"/>
        <v>0</v>
      </c>
      <c r="I23" s="43">
        <f>SUM(I4:I22)</f>
        <v>555389.69999999995</v>
      </c>
      <c r="J23" s="263"/>
      <c r="K23" s="260"/>
      <c r="L23" s="260"/>
      <c r="M23" s="113" t="s">
        <v>202</v>
      </c>
      <c r="N23" s="207">
        <v>6045.5</v>
      </c>
      <c r="O23" s="221">
        <v>42066</v>
      </c>
      <c r="P23" s="252">
        <v>42066</v>
      </c>
    </row>
    <row r="24" spans="1:16" ht="15.75" x14ac:dyDescent="0.25">
      <c r="A24" s="143">
        <v>42077</v>
      </c>
      <c r="B24" s="144">
        <v>14795</v>
      </c>
      <c r="C24" s="156">
        <v>81096.25</v>
      </c>
      <c r="D24" s="104">
        <v>42087</v>
      </c>
      <c r="E24" s="103">
        <v>81096.25</v>
      </c>
      <c r="F24" s="155">
        <f t="shared" si="0"/>
        <v>0</v>
      </c>
      <c r="J24" s="263"/>
      <c r="K24" s="130"/>
      <c r="L24" s="130"/>
      <c r="M24" s="113" t="s">
        <v>202</v>
      </c>
      <c r="N24" s="214">
        <v>5646.5</v>
      </c>
      <c r="O24" s="221">
        <v>42067</v>
      </c>
      <c r="P24" s="252">
        <v>42067</v>
      </c>
    </row>
    <row r="25" spans="1:16" ht="15.75" x14ac:dyDescent="0.25">
      <c r="A25" s="143">
        <v>42078</v>
      </c>
      <c r="B25" s="144">
        <v>14929</v>
      </c>
      <c r="C25" s="156">
        <v>31178.9</v>
      </c>
      <c r="D25" s="104">
        <v>42087</v>
      </c>
      <c r="E25" s="103">
        <v>31178.9</v>
      </c>
      <c r="F25" s="155">
        <f t="shared" si="0"/>
        <v>0</v>
      </c>
      <c r="J25" s="261"/>
      <c r="K25" s="121"/>
      <c r="L25" s="121"/>
      <c r="M25" s="113" t="s">
        <v>202</v>
      </c>
      <c r="N25" s="121">
        <v>19932.5</v>
      </c>
      <c r="O25" s="222">
        <v>42067</v>
      </c>
      <c r="P25" s="252">
        <v>42067</v>
      </c>
    </row>
    <row r="26" spans="1:16" ht="15.75" x14ac:dyDescent="0.25">
      <c r="A26" s="143">
        <v>42079</v>
      </c>
      <c r="B26" s="144">
        <v>15001</v>
      </c>
      <c r="C26" s="156">
        <v>43925.45</v>
      </c>
      <c r="D26" s="104">
        <v>42087</v>
      </c>
      <c r="E26" s="103">
        <v>43925.45</v>
      </c>
      <c r="F26" s="155">
        <f t="shared" si="0"/>
        <v>0</v>
      </c>
      <c r="J26" s="261"/>
      <c r="K26" s="121"/>
      <c r="L26" s="121"/>
      <c r="M26" s="113" t="s">
        <v>202</v>
      </c>
      <c r="N26" s="121">
        <v>4000</v>
      </c>
      <c r="O26" s="222">
        <v>42068</v>
      </c>
      <c r="P26" s="252">
        <v>42068</v>
      </c>
    </row>
    <row r="27" spans="1:16" ht="15.75" x14ac:dyDescent="0.25">
      <c r="A27" s="143">
        <v>42080</v>
      </c>
      <c r="B27" s="144">
        <v>15086</v>
      </c>
      <c r="C27" s="156">
        <v>9086.6</v>
      </c>
      <c r="D27" s="104">
        <v>42087</v>
      </c>
      <c r="E27" s="103">
        <v>9086.6</v>
      </c>
      <c r="F27" s="155">
        <f t="shared" si="0"/>
        <v>0</v>
      </c>
      <c r="J27" s="264"/>
      <c r="K27" s="207"/>
      <c r="L27" s="207"/>
      <c r="M27" s="113" t="s">
        <v>202</v>
      </c>
      <c r="N27" s="207">
        <v>37762</v>
      </c>
      <c r="O27" s="221">
        <v>42068</v>
      </c>
      <c r="P27" s="252">
        <v>42068</v>
      </c>
    </row>
    <row r="28" spans="1:16" ht="15.75" x14ac:dyDescent="0.25">
      <c r="A28" s="143">
        <v>42080</v>
      </c>
      <c r="B28" s="144">
        <v>15098</v>
      </c>
      <c r="C28" s="156">
        <v>40644.75</v>
      </c>
      <c r="D28" s="104">
        <v>42087</v>
      </c>
      <c r="E28" s="103">
        <v>40644.75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4700</v>
      </c>
      <c r="O28" s="221">
        <v>42069</v>
      </c>
      <c r="P28" s="252">
        <v>42069</v>
      </c>
    </row>
    <row r="29" spans="1:16" ht="15.75" x14ac:dyDescent="0.25">
      <c r="A29" s="143">
        <v>42081</v>
      </c>
      <c r="B29" s="144">
        <v>15198</v>
      </c>
      <c r="C29" s="156">
        <v>7640.4</v>
      </c>
      <c r="D29" s="104">
        <v>42087</v>
      </c>
      <c r="E29" s="103">
        <v>7640.4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14">
        <v>42300</v>
      </c>
      <c r="O29" s="221">
        <v>42069</v>
      </c>
      <c r="P29" s="252">
        <v>42069</v>
      </c>
    </row>
    <row r="30" spans="1:16" ht="15.75" x14ac:dyDescent="0.25">
      <c r="A30" s="143">
        <v>42081</v>
      </c>
      <c r="B30" s="144">
        <v>15257</v>
      </c>
      <c r="C30" s="156">
        <v>47700.75</v>
      </c>
      <c r="D30" s="104">
        <v>42087</v>
      </c>
      <c r="E30" s="88">
        <v>47700.75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07">
        <v>30946.5</v>
      </c>
      <c r="O30" s="221">
        <v>42070</v>
      </c>
      <c r="P30" s="252">
        <v>42070</v>
      </c>
    </row>
    <row r="31" spans="1:16" ht="15.75" x14ac:dyDescent="0.25">
      <c r="A31" s="143">
        <v>42082</v>
      </c>
      <c r="B31" s="144">
        <v>15323</v>
      </c>
      <c r="C31" s="156">
        <v>91808.6</v>
      </c>
      <c r="D31" s="104" t="s">
        <v>339</v>
      </c>
      <c r="E31" s="103">
        <f>60784.12+31024.48</f>
        <v>91808.6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10000</v>
      </c>
      <c r="O31" s="221">
        <v>42070</v>
      </c>
      <c r="P31" s="252">
        <v>42070</v>
      </c>
    </row>
    <row r="32" spans="1:16" ht="15.75" x14ac:dyDescent="0.25">
      <c r="A32" s="143">
        <v>42084</v>
      </c>
      <c r="B32" s="144">
        <v>15531</v>
      </c>
      <c r="C32" s="156">
        <v>35928.5</v>
      </c>
      <c r="D32" s="104">
        <v>42093</v>
      </c>
      <c r="E32" s="103">
        <v>35928.5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15062.5</v>
      </c>
      <c r="O32" s="221">
        <v>42070</v>
      </c>
      <c r="P32" s="252">
        <v>42070</v>
      </c>
    </row>
    <row r="33" spans="1:16" ht="15.75" x14ac:dyDescent="0.25">
      <c r="A33" s="143">
        <v>42084</v>
      </c>
      <c r="B33" s="144">
        <v>15560</v>
      </c>
      <c r="C33" s="156">
        <v>12471.2</v>
      </c>
      <c r="D33" s="104">
        <v>42093</v>
      </c>
      <c r="E33" s="88">
        <v>12471.2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972</v>
      </c>
      <c r="O33" s="221">
        <v>42070</v>
      </c>
      <c r="P33" s="252">
        <v>42070</v>
      </c>
    </row>
    <row r="34" spans="1:16" ht="15.75" x14ac:dyDescent="0.25">
      <c r="A34" s="143">
        <v>42084</v>
      </c>
      <c r="B34" s="144">
        <v>15574</v>
      </c>
      <c r="C34" s="156">
        <v>43860.4</v>
      </c>
      <c r="D34" s="104">
        <v>42093</v>
      </c>
      <c r="E34" s="88">
        <v>43860.4</v>
      </c>
      <c r="F34" s="155">
        <f t="shared" si="0"/>
        <v>0</v>
      </c>
      <c r="I34" s="153"/>
      <c r="J34" s="119"/>
      <c r="K34" s="121"/>
      <c r="L34" s="121"/>
      <c r="M34" s="113" t="s">
        <v>202</v>
      </c>
      <c r="N34" s="121">
        <v>6000</v>
      </c>
      <c r="O34" s="222">
        <v>42072</v>
      </c>
      <c r="P34" s="252">
        <v>42070</v>
      </c>
    </row>
    <row r="35" spans="1:16" ht="15.75" x14ac:dyDescent="0.25">
      <c r="A35" s="143">
        <v>42086</v>
      </c>
      <c r="B35" s="144">
        <v>15658</v>
      </c>
      <c r="C35" s="156">
        <v>7861.4</v>
      </c>
      <c r="D35" s="104">
        <v>42093</v>
      </c>
      <c r="E35" s="103">
        <v>7861.4</v>
      </c>
      <c r="F35" s="155">
        <f t="shared" si="0"/>
        <v>0</v>
      </c>
      <c r="I35" s="153"/>
      <c r="J35" s="119"/>
      <c r="K35" s="121"/>
      <c r="L35" s="121"/>
      <c r="M35" s="113" t="s">
        <v>202</v>
      </c>
      <c r="N35" s="121">
        <v>12230</v>
      </c>
      <c r="O35" s="222">
        <v>42072</v>
      </c>
      <c r="P35" s="252">
        <v>42071</v>
      </c>
    </row>
    <row r="36" spans="1:16" ht="15.75" x14ac:dyDescent="0.25">
      <c r="A36" s="143">
        <v>42086</v>
      </c>
      <c r="B36" s="144">
        <v>15765</v>
      </c>
      <c r="C36" s="156">
        <v>1000</v>
      </c>
      <c r="D36" s="104">
        <v>42093</v>
      </c>
      <c r="E36" s="103">
        <v>1000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54000</v>
      </c>
      <c r="O36" s="221">
        <v>42072</v>
      </c>
      <c r="P36" s="252">
        <v>42071</v>
      </c>
    </row>
    <row r="37" spans="1:16" ht="15.75" x14ac:dyDescent="0.25">
      <c r="A37" s="143">
        <v>42086</v>
      </c>
      <c r="B37" s="292">
        <v>15773</v>
      </c>
      <c r="C37" s="157">
        <v>43308.15</v>
      </c>
      <c r="D37" s="104">
        <v>42093</v>
      </c>
      <c r="E37" s="103">
        <v>43308.15</v>
      </c>
      <c r="F37" s="155">
        <f t="shared" si="0"/>
        <v>0</v>
      </c>
      <c r="I37" s="153"/>
      <c r="J37" s="193"/>
      <c r="K37" s="207"/>
      <c r="L37" s="207"/>
      <c r="M37" s="113" t="s">
        <v>202</v>
      </c>
      <c r="N37" s="207">
        <v>10936</v>
      </c>
      <c r="O37" s="221">
        <v>42072</v>
      </c>
      <c r="P37" s="252">
        <v>42072</v>
      </c>
    </row>
    <row r="38" spans="1:16" ht="15.75" x14ac:dyDescent="0.25">
      <c r="A38" s="143">
        <v>42087</v>
      </c>
      <c r="B38" s="292">
        <v>15849</v>
      </c>
      <c r="C38" s="157">
        <v>6698</v>
      </c>
      <c r="D38" s="298">
        <v>42093</v>
      </c>
      <c r="E38" s="88">
        <v>6698</v>
      </c>
      <c r="F38" s="155">
        <f t="shared" si="0"/>
        <v>0</v>
      </c>
      <c r="I38" s="153"/>
      <c r="J38" s="193"/>
      <c r="K38" s="207"/>
      <c r="L38" s="207"/>
      <c r="M38" s="113" t="s">
        <v>202</v>
      </c>
      <c r="N38" s="207">
        <v>20000</v>
      </c>
      <c r="O38" s="221">
        <v>42072</v>
      </c>
      <c r="P38" s="252">
        <v>42072</v>
      </c>
    </row>
    <row r="39" spans="1:16" ht="15.75" x14ac:dyDescent="0.25">
      <c r="A39" s="143">
        <v>42088</v>
      </c>
      <c r="B39" s="292">
        <v>15933</v>
      </c>
      <c r="C39" s="157">
        <v>53801.83</v>
      </c>
      <c r="D39" s="298">
        <v>42093</v>
      </c>
      <c r="E39" s="88">
        <v>53801.83</v>
      </c>
      <c r="F39" s="155">
        <f t="shared" si="0"/>
        <v>0</v>
      </c>
      <c r="I39" s="153"/>
      <c r="J39" s="206"/>
      <c r="K39" s="207"/>
      <c r="L39" s="207"/>
      <c r="M39" s="113" t="s">
        <v>202</v>
      </c>
      <c r="N39" s="207">
        <v>5311.7</v>
      </c>
      <c r="O39" s="221">
        <v>42072</v>
      </c>
      <c r="P39" s="252">
        <v>42072</v>
      </c>
    </row>
    <row r="40" spans="1:16" ht="15.75" customHeight="1" x14ac:dyDescent="0.25">
      <c r="A40" s="143">
        <v>42089</v>
      </c>
      <c r="B40" s="292">
        <v>16025</v>
      </c>
      <c r="C40" s="157">
        <v>56453.91</v>
      </c>
      <c r="D40" s="316" t="s">
        <v>377</v>
      </c>
      <c r="E40" s="318">
        <f>20609.54+29964.5+5879.87</f>
        <v>56453.91</v>
      </c>
      <c r="F40" s="241">
        <f t="shared" si="0"/>
        <v>0</v>
      </c>
      <c r="I40" s="153"/>
      <c r="J40" s="196"/>
      <c r="K40" s="121">
        <v>0</v>
      </c>
      <c r="L40" s="121"/>
      <c r="M40" s="113"/>
      <c r="N40" s="121">
        <v>0</v>
      </c>
      <c r="O40" s="119"/>
      <c r="P40" s="28"/>
    </row>
    <row r="41" spans="1:16" ht="15.75" customHeight="1" x14ac:dyDescent="0.3">
      <c r="A41" s="294">
        <v>42090</v>
      </c>
      <c r="B41" s="296">
        <v>16091</v>
      </c>
      <c r="C41" s="56">
        <v>48340.9</v>
      </c>
      <c r="D41" s="317">
        <v>42103</v>
      </c>
      <c r="E41" s="318">
        <v>48340.9</v>
      </c>
      <c r="F41" s="241">
        <f t="shared" si="0"/>
        <v>0</v>
      </c>
      <c r="I41" s="153"/>
      <c r="K41" s="131">
        <f>SUM(K4:K40)</f>
        <v>555389.69999999995</v>
      </c>
      <c r="L41" s="131"/>
      <c r="M41" s="131"/>
      <c r="N41" s="131">
        <f>SUM(N4:N40)</f>
        <v>555389.69999999995</v>
      </c>
      <c r="P41" s="28"/>
    </row>
    <row r="42" spans="1:16" x14ac:dyDescent="0.25">
      <c r="A42" s="285">
        <v>42090</v>
      </c>
      <c r="B42" s="240">
        <v>16094</v>
      </c>
      <c r="C42" s="121">
        <v>565</v>
      </c>
      <c r="D42" s="319">
        <v>42103</v>
      </c>
      <c r="E42" s="277">
        <v>565</v>
      </c>
      <c r="F42" s="241">
        <f t="shared" si="0"/>
        <v>0</v>
      </c>
      <c r="I42" s="49"/>
      <c r="J42" s="28"/>
      <c r="K42" s="88"/>
      <c r="L42" s="88"/>
      <c r="M42" s="88"/>
      <c r="N42" s="88"/>
      <c r="O42" s="250"/>
      <c r="P42" s="28"/>
    </row>
    <row r="43" spans="1:16" ht="15.75" x14ac:dyDescent="0.25">
      <c r="A43" s="285">
        <v>42091</v>
      </c>
      <c r="B43" s="240">
        <v>16197</v>
      </c>
      <c r="C43" s="121">
        <v>52754.85</v>
      </c>
      <c r="D43" s="327" t="s">
        <v>378</v>
      </c>
      <c r="E43" s="318">
        <f>51631.5+1123.35</f>
        <v>52754.85</v>
      </c>
      <c r="F43" s="241">
        <f t="shared" si="0"/>
        <v>0</v>
      </c>
      <c r="I43" s="49"/>
      <c r="J43" s="135"/>
      <c r="K43" s="88"/>
      <c r="L43" s="88"/>
      <c r="M43" s="88"/>
      <c r="N43" s="88"/>
      <c r="O43" s="250"/>
      <c r="P43" s="28"/>
    </row>
    <row r="44" spans="1:16" ht="15.75" x14ac:dyDescent="0.25">
      <c r="A44" s="285">
        <v>42091</v>
      </c>
      <c r="B44" s="290">
        <v>16219</v>
      </c>
      <c r="C44" s="121">
        <v>8076.4</v>
      </c>
      <c r="D44" s="319">
        <v>42103</v>
      </c>
      <c r="E44" s="277">
        <v>8076.4</v>
      </c>
      <c r="F44" s="241">
        <f t="shared" si="0"/>
        <v>0</v>
      </c>
      <c r="J44" s="104"/>
      <c r="K44" s="280">
        <v>42087</v>
      </c>
      <c r="L44" s="215"/>
      <c r="M44" s="134" t="s">
        <v>200</v>
      </c>
      <c r="N44" s="88"/>
    </row>
    <row r="45" spans="1:16" ht="16.5" customHeight="1" x14ac:dyDescent="0.25">
      <c r="A45" s="143">
        <v>42094</v>
      </c>
      <c r="B45" s="293">
        <v>16496</v>
      </c>
      <c r="C45" s="130">
        <v>3507.2</v>
      </c>
      <c r="D45" s="320">
        <v>42103</v>
      </c>
      <c r="E45" s="184">
        <v>3507.2</v>
      </c>
      <c r="F45" s="241">
        <f t="shared" si="0"/>
        <v>0</v>
      </c>
      <c r="I45" s="103"/>
      <c r="J45" s="104"/>
      <c r="K45" s="103"/>
      <c r="L45" s="103"/>
      <c r="M45" s="103"/>
      <c r="N45" s="213"/>
    </row>
    <row r="46" spans="1:16" ht="15.75" x14ac:dyDescent="0.25">
      <c r="A46" s="143">
        <v>42094</v>
      </c>
      <c r="B46" s="293">
        <v>16522</v>
      </c>
      <c r="C46" s="130">
        <v>42297.82</v>
      </c>
      <c r="D46" s="320">
        <v>42103</v>
      </c>
      <c r="E46" s="184">
        <v>42297.82</v>
      </c>
      <c r="F46" s="241">
        <f t="shared" si="0"/>
        <v>0</v>
      </c>
      <c r="I46" s="43">
        <v>5526</v>
      </c>
      <c r="J46" s="193">
        <v>13980</v>
      </c>
      <c r="K46" s="130">
        <v>5525.8</v>
      </c>
      <c r="L46" s="130"/>
      <c r="M46" s="113" t="s">
        <v>202</v>
      </c>
      <c r="N46" s="214">
        <v>9189.5</v>
      </c>
      <c r="O46" s="221">
        <v>42073</v>
      </c>
      <c r="P46" s="281">
        <v>42073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3">
        <f>9228.5+6276.5</f>
        <v>15505</v>
      </c>
      <c r="J47" s="194">
        <v>14246</v>
      </c>
      <c r="K47" s="207">
        <v>7655.09</v>
      </c>
      <c r="L47" s="207"/>
      <c r="M47" s="113" t="s">
        <v>202</v>
      </c>
      <c r="N47" s="207">
        <v>10440.5</v>
      </c>
      <c r="O47" s="221">
        <v>42073</v>
      </c>
      <c r="P47" s="281">
        <v>42073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3">
        <f>9189.5</f>
        <v>9189.5</v>
      </c>
      <c r="J48" s="193">
        <v>14322</v>
      </c>
      <c r="K48" s="207">
        <v>9189.5</v>
      </c>
      <c r="L48" s="207"/>
      <c r="M48" s="113" t="s">
        <v>202</v>
      </c>
      <c r="N48" s="207">
        <v>9228.5</v>
      </c>
      <c r="O48" s="221">
        <v>42073</v>
      </c>
      <c r="P48" s="281">
        <v>42073</v>
      </c>
    </row>
    <row r="49" spans="1:16" ht="15.75" x14ac:dyDescent="0.25">
      <c r="A49" s="285"/>
      <c r="B49" s="290"/>
      <c r="C49" s="150"/>
      <c r="D49" s="300"/>
      <c r="E49" s="121"/>
      <c r="F49" s="150"/>
      <c r="I49" s="43">
        <f>10440.5</f>
        <v>10440.5</v>
      </c>
      <c r="J49" s="193">
        <v>14422</v>
      </c>
      <c r="K49" s="130">
        <v>10440.5</v>
      </c>
      <c r="L49" s="130"/>
      <c r="M49" s="113" t="s">
        <v>202</v>
      </c>
      <c r="N49" s="207">
        <v>6276.5</v>
      </c>
      <c r="O49" s="221">
        <v>42073</v>
      </c>
      <c r="P49" s="281">
        <v>42073</v>
      </c>
    </row>
    <row r="50" spans="1:16" ht="15.75" x14ac:dyDescent="0.25">
      <c r="A50" s="286"/>
      <c r="B50" s="291"/>
      <c r="C50" s="150"/>
      <c r="D50" s="159"/>
      <c r="E50" s="150"/>
      <c r="F50" s="150"/>
      <c r="I50" s="43">
        <f>1446.5</f>
        <v>1446.5</v>
      </c>
      <c r="J50" s="193">
        <v>14423</v>
      </c>
      <c r="K50" s="207">
        <v>1446.4</v>
      </c>
      <c r="L50" s="207"/>
      <c r="M50" s="113" t="s">
        <v>202</v>
      </c>
      <c r="N50" s="207">
        <v>1464.5</v>
      </c>
      <c r="O50" s="221">
        <v>42073</v>
      </c>
      <c r="P50" s="281">
        <v>42073</v>
      </c>
    </row>
    <row r="51" spans="1:16" ht="15.75" x14ac:dyDescent="0.25">
      <c r="A51" s="286"/>
      <c r="B51" s="291"/>
      <c r="C51" s="150"/>
      <c r="D51" s="159"/>
      <c r="E51" s="150"/>
      <c r="F51" s="150"/>
      <c r="I51" s="43">
        <f>18+8934+26136+5212+9599</f>
        <v>49899</v>
      </c>
      <c r="J51" s="193">
        <v>14543</v>
      </c>
      <c r="K51" s="207">
        <v>49899.29</v>
      </c>
      <c r="L51" s="207"/>
      <c r="M51" s="113" t="s">
        <v>202</v>
      </c>
      <c r="N51" s="207">
        <v>8934</v>
      </c>
      <c r="O51" s="221">
        <v>42074</v>
      </c>
      <c r="P51" s="281">
        <v>42074</v>
      </c>
    </row>
    <row r="52" spans="1:16" ht="15.75" x14ac:dyDescent="0.25">
      <c r="A52" s="285"/>
      <c r="B52" s="290"/>
      <c r="C52" s="150"/>
      <c r="D52" s="300"/>
      <c r="E52" s="121"/>
      <c r="F52" s="150"/>
      <c r="I52" s="43">
        <f>22997+5199+26726</f>
        <v>54922</v>
      </c>
      <c r="J52" s="193">
        <v>14601</v>
      </c>
      <c r="K52" s="207">
        <v>62772</v>
      </c>
      <c r="L52" s="207"/>
      <c r="M52" s="113" t="s">
        <v>202</v>
      </c>
      <c r="N52" s="207">
        <v>26136</v>
      </c>
      <c r="O52" s="221">
        <v>42074</v>
      </c>
      <c r="P52" s="281">
        <v>42074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3">
        <f>6052</f>
        <v>6052</v>
      </c>
      <c r="J53" s="193">
        <v>14606</v>
      </c>
      <c r="K53" s="207">
        <v>6052</v>
      </c>
      <c r="L53" s="207"/>
      <c r="M53" s="113" t="s">
        <v>202</v>
      </c>
      <c r="N53" s="207">
        <v>5212</v>
      </c>
      <c r="O53" s="221">
        <v>42075</v>
      </c>
      <c r="P53" s="281">
        <v>42075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3">
        <v>3427</v>
      </c>
      <c r="J54" s="193">
        <v>14740</v>
      </c>
      <c r="K54" s="207">
        <v>3427.2</v>
      </c>
      <c r="L54" s="207"/>
      <c r="M54" s="113" t="s">
        <v>202</v>
      </c>
      <c r="N54" s="207">
        <v>6052</v>
      </c>
      <c r="O54" s="221">
        <v>42075</v>
      </c>
      <c r="P54" s="281">
        <v>42075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3">
        <f>14420+5985+53685+7006</f>
        <v>81096</v>
      </c>
      <c r="J55" s="193">
        <v>14795</v>
      </c>
      <c r="K55" s="207">
        <v>81096.25</v>
      </c>
      <c r="L55" s="207"/>
      <c r="M55" s="113" t="s">
        <v>202</v>
      </c>
      <c r="N55" s="207">
        <v>9599</v>
      </c>
      <c r="O55" s="221">
        <v>42075</v>
      </c>
      <c r="P55" s="281">
        <v>42075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3">
        <f>22938.3+8240.5</f>
        <v>31178.799999999999</v>
      </c>
      <c r="J56" s="193">
        <v>14929</v>
      </c>
      <c r="K56" s="207">
        <v>31178.9</v>
      </c>
      <c r="L56" s="207"/>
      <c r="M56" s="113" t="s">
        <v>202</v>
      </c>
      <c r="N56" s="207">
        <v>22997</v>
      </c>
      <c r="O56" s="221">
        <v>42075</v>
      </c>
      <c r="P56" s="281">
        <v>42075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3">
        <v>43925.5</v>
      </c>
      <c r="J57" s="193">
        <v>15001</v>
      </c>
      <c r="K57" s="207">
        <v>43925.45</v>
      </c>
      <c r="L57" s="207"/>
      <c r="M57" s="113" t="s">
        <v>202</v>
      </c>
      <c r="N57" s="207">
        <v>5199</v>
      </c>
      <c r="O57" s="221">
        <v>42076</v>
      </c>
      <c r="P57" s="281">
        <v>42076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3">
        <f>6051.5+3035</f>
        <v>9086.5</v>
      </c>
      <c r="J58" s="193">
        <v>15086</v>
      </c>
      <c r="K58" s="207">
        <v>9086.6</v>
      </c>
      <c r="L58" s="207"/>
      <c r="M58" s="113" t="s">
        <v>202</v>
      </c>
      <c r="N58" s="207">
        <v>26726</v>
      </c>
      <c r="O58" s="221">
        <v>42076</v>
      </c>
      <c r="P58" s="281">
        <v>42076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3">
        <f>22387.5+13167+5090.5</f>
        <v>40645</v>
      </c>
      <c r="J59" s="193">
        <v>15098</v>
      </c>
      <c r="K59" s="207">
        <v>40644.75</v>
      </c>
      <c r="L59" s="207"/>
      <c r="M59" s="113" t="s">
        <v>202</v>
      </c>
      <c r="N59" s="207">
        <v>3427</v>
      </c>
      <c r="O59" s="221">
        <v>42076</v>
      </c>
      <c r="P59" s="281">
        <v>42076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43">
        <f>7640.5</f>
        <v>7640.5</v>
      </c>
      <c r="J60" s="262">
        <v>15198</v>
      </c>
      <c r="K60" s="207">
        <v>7640.4</v>
      </c>
      <c r="L60" s="207"/>
      <c r="M60" s="113" t="s">
        <v>202</v>
      </c>
      <c r="N60" s="207">
        <v>14420</v>
      </c>
      <c r="O60" s="221">
        <v>42080</v>
      </c>
      <c r="P60" s="281">
        <v>42077</v>
      </c>
    </row>
    <row r="61" spans="1:16" ht="16.5" thickTop="1" x14ac:dyDescent="0.25">
      <c r="C61" s="58">
        <f>SUM(C5:C60)</f>
        <v>1289618.5899999999</v>
      </c>
      <c r="D61" s="58"/>
      <c r="E61" s="58">
        <f>SUM(E5:E60)</f>
        <v>1289618.5899999999</v>
      </c>
      <c r="F61" s="43">
        <f>SUM(F5:F60)</f>
        <v>0</v>
      </c>
      <c r="H61" s="28"/>
      <c r="I61" s="43">
        <f>36028.5+5171.5+6501</f>
        <v>47701</v>
      </c>
      <c r="J61" s="262">
        <v>15257</v>
      </c>
      <c r="K61" s="207">
        <v>47700.75</v>
      </c>
      <c r="L61" s="207"/>
      <c r="M61" s="113" t="s">
        <v>202</v>
      </c>
      <c r="N61" s="207">
        <v>5985</v>
      </c>
      <c r="O61" s="221">
        <v>42077</v>
      </c>
      <c r="P61" s="281">
        <v>42077</v>
      </c>
    </row>
    <row r="62" spans="1:16" ht="15.75" x14ac:dyDescent="0.25">
      <c r="A62" s="68"/>
      <c r="B62"/>
      <c r="D62"/>
      <c r="E62" s="43"/>
      <c r="H62" s="28"/>
      <c r="I62" s="43">
        <f>19890.5+7758.5+33135</f>
        <v>60784</v>
      </c>
      <c r="J62" s="282">
        <v>15323</v>
      </c>
      <c r="K62" s="207">
        <v>60784.12</v>
      </c>
      <c r="L62" s="207" t="s">
        <v>242</v>
      </c>
      <c r="M62" s="113" t="s">
        <v>202</v>
      </c>
      <c r="N62" s="207">
        <v>53685</v>
      </c>
      <c r="O62" s="221">
        <v>42077</v>
      </c>
      <c r="P62" s="252">
        <v>42077</v>
      </c>
    </row>
    <row r="63" spans="1:16" ht="15.75" x14ac:dyDescent="0.25">
      <c r="A63" s="68"/>
      <c r="B63"/>
      <c r="D63"/>
      <c r="E63" s="43"/>
      <c r="H63" s="28"/>
      <c r="I63" s="43">
        <v>0</v>
      </c>
      <c r="J63" s="262"/>
      <c r="K63" s="207"/>
      <c r="L63" s="207"/>
      <c r="M63" s="113" t="s">
        <v>202</v>
      </c>
      <c r="N63" s="207">
        <v>71320</v>
      </c>
      <c r="O63" s="221">
        <v>42080</v>
      </c>
      <c r="P63" s="252">
        <v>42078</v>
      </c>
    </row>
    <row r="64" spans="1:16" ht="16.5" thickBot="1" x14ac:dyDescent="0.3">
      <c r="A64" s="68"/>
      <c r="B64"/>
      <c r="D64"/>
      <c r="E64" s="43"/>
      <c r="H64" s="28"/>
      <c r="I64" s="275">
        <f>SUM(I46:I63)</f>
        <v>478464.8</v>
      </c>
      <c r="J64" s="262"/>
      <c r="K64" s="207"/>
      <c r="L64" s="207"/>
      <c r="M64" s="113" t="s">
        <v>202</v>
      </c>
      <c r="N64" s="207">
        <v>43925.5</v>
      </c>
      <c r="O64" s="221">
        <v>42080</v>
      </c>
      <c r="P64" s="252">
        <v>42079</v>
      </c>
    </row>
    <row r="65" spans="1:16" ht="16.5" thickTop="1" x14ac:dyDescent="0.25">
      <c r="A65" s="68"/>
      <c r="B65"/>
      <c r="D65"/>
      <c r="E65" s="43"/>
      <c r="H65" s="28"/>
      <c r="J65" s="263"/>
      <c r="K65" s="260"/>
      <c r="L65" s="260"/>
      <c r="M65" s="113" t="s">
        <v>202</v>
      </c>
      <c r="N65" s="214">
        <v>22387.5</v>
      </c>
      <c r="O65" s="221">
        <v>42080</v>
      </c>
      <c r="P65" s="252">
        <v>42080</v>
      </c>
    </row>
    <row r="66" spans="1:16" ht="15.75" x14ac:dyDescent="0.25">
      <c r="A66" s="68"/>
      <c r="B66"/>
      <c r="D66"/>
      <c r="E66" s="43"/>
      <c r="H66" s="28"/>
      <c r="J66" s="263"/>
      <c r="K66" s="130"/>
      <c r="L66" s="130"/>
      <c r="M66" s="113" t="s">
        <v>202</v>
      </c>
      <c r="N66" s="207">
        <v>6051.5</v>
      </c>
      <c r="O66" s="221">
        <v>42080</v>
      </c>
      <c r="P66" s="252">
        <v>42080</v>
      </c>
    </row>
    <row r="67" spans="1:16" ht="15.75" x14ac:dyDescent="0.25">
      <c r="A67" s="68"/>
      <c r="B67"/>
      <c r="D67"/>
      <c r="E67" s="43"/>
      <c r="H67" s="28"/>
      <c r="J67" s="262"/>
      <c r="K67" s="207"/>
      <c r="L67" s="207"/>
      <c r="M67" s="113" t="s">
        <v>202</v>
      </c>
      <c r="N67" s="207">
        <v>3035</v>
      </c>
      <c r="O67" s="221">
        <v>42080</v>
      </c>
      <c r="P67" s="252">
        <v>42080</v>
      </c>
    </row>
    <row r="68" spans="1:16" ht="15.75" x14ac:dyDescent="0.25">
      <c r="A68" s="68"/>
      <c r="B68"/>
      <c r="D68"/>
      <c r="E68" s="43"/>
      <c r="H68" s="28"/>
      <c r="J68" s="262"/>
      <c r="K68" s="207"/>
      <c r="L68" s="207"/>
      <c r="M68" s="113" t="s">
        <v>202</v>
      </c>
      <c r="N68" s="207">
        <v>5526</v>
      </c>
      <c r="O68" s="221">
        <v>42080</v>
      </c>
      <c r="P68" s="252">
        <v>42080</v>
      </c>
    </row>
    <row r="69" spans="1:16" ht="15.75" x14ac:dyDescent="0.25">
      <c r="A69" s="68"/>
      <c r="B69"/>
      <c r="D69"/>
      <c r="E69" s="43"/>
      <c r="H69" s="28"/>
      <c r="J69" s="264"/>
      <c r="K69" s="207"/>
      <c r="L69" s="207"/>
      <c r="M69" s="113" t="s">
        <v>202</v>
      </c>
      <c r="N69" s="207">
        <v>13167</v>
      </c>
      <c r="O69" s="221">
        <v>42081</v>
      </c>
      <c r="P69" s="252">
        <v>42081</v>
      </c>
    </row>
    <row r="70" spans="1:16" ht="15.75" x14ac:dyDescent="0.25">
      <c r="A70" s="68"/>
      <c r="B70"/>
      <c r="D70"/>
      <c r="E70" s="43"/>
      <c r="H70" s="28"/>
      <c r="I70" s="153"/>
      <c r="J70" s="264"/>
      <c r="K70" s="130"/>
      <c r="L70" s="130"/>
      <c r="M70" s="113" t="s">
        <v>202</v>
      </c>
      <c r="N70" s="214">
        <v>7640.5</v>
      </c>
      <c r="O70" s="221">
        <v>42081</v>
      </c>
      <c r="P70" s="252">
        <v>42081</v>
      </c>
    </row>
    <row r="71" spans="1:16" ht="15.75" x14ac:dyDescent="0.25">
      <c r="A71" s="68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5090.5</v>
      </c>
      <c r="O71" s="221">
        <v>42081</v>
      </c>
      <c r="P71" s="252">
        <v>42081</v>
      </c>
    </row>
    <row r="72" spans="1:16" ht="15.75" x14ac:dyDescent="0.25">
      <c r="A72" s="68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36028.5</v>
      </c>
      <c r="O72" s="221">
        <v>42082</v>
      </c>
      <c r="P72" s="252">
        <v>42082</v>
      </c>
    </row>
    <row r="73" spans="1:16" ht="15.75" x14ac:dyDescent="0.25">
      <c r="A73" s="68"/>
      <c r="B73"/>
      <c r="D73"/>
      <c r="E73" s="43"/>
      <c r="H73" s="28"/>
      <c r="I73" s="153"/>
      <c r="J73" s="193"/>
      <c r="K73" s="207"/>
      <c r="L73" s="207"/>
      <c r="M73" s="113" t="s">
        <v>202</v>
      </c>
      <c r="N73" s="207">
        <v>5171.5</v>
      </c>
      <c r="O73" s="221">
        <v>42082</v>
      </c>
      <c r="P73" s="252">
        <v>42082</v>
      </c>
    </row>
    <row r="74" spans="1:16" ht="15.75" x14ac:dyDescent="0.25">
      <c r="A74" s="68"/>
      <c r="B74"/>
      <c r="D74"/>
      <c r="E74" s="43"/>
      <c r="H74" s="28"/>
      <c r="I74" s="153"/>
      <c r="J74" s="193"/>
      <c r="K74" s="207"/>
      <c r="L74" s="207"/>
      <c r="M74" s="113" t="s">
        <v>202</v>
      </c>
      <c r="N74" s="207">
        <v>6501</v>
      </c>
      <c r="O74" s="221">
        <v>42083</v>
      </c>
      <c r="P74" s="252">
        <v>42083</v>
      </c>
    </row>
    <row r="75" spans="1:16" ht="15.75" x14ac:dyDescent="0.25">
      <c r="H75" s="28"/>
      <c r="I75" s="153"/>
      <c r="J75" s="193"/>
      <c r="K75" s="207"/>
      <c r="L75" s="207"/>
      <c r="M75" s="113" t="s">
        <v>202</v>
      </c>
      <c r="N75" s="207">
        <v>19890.5</v>
      </c>
      <c r="O75" s="221">
        <v>42083</v>
      </c>
      <c r="P75" s="252">
        <v>42083</v>
      </c>
    </row>
    <row r="76" spans="1:16" ht="15.75" x14ac:dyDescent="0.25">
      <c r="I76" s="153"/>
      <c r="J76" s="206"/>
      <c r="K76" s="207"/>
      <c r="L76" s="207"/>
      <c r="M76" s="113" t="s">
        <v>202</v>
      </c>
      <c r="N76" s="207">
        <v>7758.5</v>
      </c>
      <c r="O76" s="221">
        <v>42083</v>
      </c>
      <c r="P76" s="252">
        <v>42083</v>
      </c>
    </row>
    <row r="77" spans="1:16" ht="15.75" x14ac:dyDescent="0.25">
      <c r="I77" s="153"/>
      <c r="J77" s="206"/>
      <c r="K77" s="207"/>
      <c r="L77" s="207"/>
      <c r="M77" s="113" t="s">
        <v>202</v>
      </c>
      <c r="N77" s="207"/>
      <c r="O77" s="221"/>
      <c r="P77" s="252"/>
    </row>
    <row r="78" spans="1:16" ht="15.75" x14ac:dyDescent="0.25">
      <c r="I78" s="153"/>
      <c r="J78" s="193"/>
      <c r="K78" s="207"/>
      <c r="L78" s="207"/>
      <c r="M78" s="113" t="s">
        <v>202</v>
      </c>
      <c r="N78" s="207"/>
      <c r="O78" s="221"/>
      <c r="P78" s="252"/>
    </row>
    <row r="79" spans="1:16" ht="15.75" x14ac:dyDescent="0.25">
      <c r="I79" s="153"/>
      <c r="J79" s="193"/>
      <c r="K79" s="207"/>
      <c r="L79" s="207"/>
      <c r="M79" s="113" t="s">
        <v>202</v>
      </c>
      <c r="N79" s="207"/>
      <c r="O79" s="221"/>
      <c r="P79" s="252"/>
    </row>
    <row r="80" spans="1:16" ht="15.75" x14ac:dyDescent="0.25">
      <c r="I80" s="153"/>
      <c r="J80" s="193"/>
      <c r="K80" s="207"/>
      <c r="L80" s="207"/>
      <c r="M80" s="113"/>
      <c r="N80" s="207"/>
      <c r="O80" s="221"/>
      <c r="P80" s="252"/>
    </row>
    <row r="81" spans="1:16" ht="15.75" x14ac:dyDescent="0.25">
      <c r="A81" s="68"/>
      <c r="B81"/>
      <c r="C81"/>
      <c r="D81"/>
      <c r="E81"/>
      <c r="F81"/>
      <c r="I81" s="153"/>
      <c r="J81" s="206"/>
      <c r="K81" s="207"/>
      <c r="L81" s="207"/>
      <c r="M81" s="113"/>
      <c r="N81" s="207"/>
      <c r="O81" s="221"/>
      <c r="P81" s="252"/>
    </row>
    <row r="82" spans="1:16" ht="15.75" x14ac:dyDescent="0.25">
      <c r="A82" s="68"/>
      <c r="B82"/>
      <c r="C82"/>
      <c r="D82"/>
      <c r="E82"/>
      <c r="F82"/>
      <c r="I82" s="153"/>
      <c r="J82" s="196"/>
      <c r="K82" s="121">
        <v>0</v>
      </c>
      <c r="L82" s="121"/>
      <c r="M82" s="113"/>
      <c r="N82" s="121">
        <v>0</v>
      </c>
      <c r="O82" s="119"/>
      <c r="P82" s="28"/>
    </row>
    <row r="83" spans="1:16" ht="18.75" x14ac:dyDescent="0.3">
      <c r="A83" s="68"/>
      <c r="B83"/>
      <c r="C83"/>
      <c r="D83"/>
      <c r="E83"/>
      <c r="F83"/>
      <c r="I83" s="153"/>
      <c r="K83" s="131">
        <f>SUM(K46:K82)</f>
        <v>478465.00000000006</v>
      </c>
      <c r="L83" s="131"/>
      <c r="M83" s="131"/>
      <c r="N83" s="131">
        <f>SUM(N46:N82)</f>
        <v>478465</v>
      </c>
      <c r="P83" s="28"/>
    </row>
    <row r="84" spans="1:16" ht="15.75" x14ac:dyDescent="0.25">
      <c r="A84" s="68"/>
      <c r="B84"/>
      <c r="C84"/>
      <c r="D84"/>
      <c r="E84"/>
      <c r="F84"/>
      <c r="J84" s="249"/>
      <c r="K84" s="88"/>
      <c r="L84" s="88"/>
      <c r="M84" s="251"/>
      <c r="N84" s="88"/>
      <c r="O84" s="252"/>
      <c r="P84" s="252"/>
    </row>
    <row r="85" spans="1:16" ht="15.75" x14ac:dyDescent="0.25">
      <c r="A85" s="68"/>
      <c r="B85"/>
      <c r="C85"/>
      <c r="D85"/>
      <c r="E85"/>
      <c r="F85"/>
      <c r="J85" s="249"/>
      <c r="K85" s="88"/>
      <c r="L85" s="88"/>
      <c r="M85" s="251"/>
      <c r="N85" s="88"/>
      <c r="O85" s="252"/>
      <c r="P85" s="252"/>
    </row>
    <row r="86" spans="1:16" ht="15.75" x14ac:dyDescent="0.25">
      <c r="A86" s="68"/>
      <c r="B86"/>
      <c r="C86"/>
      <c r="D86"/>
      <c r="E86"/>
      <c r="F86"/>
      <c r="J86" s="104"/>
      <c r="K86" s="288">
        <v>42093</v>
      </c>
      <c r="L86" s="215"/>
      <c r="M86" s="134" t="s">
        <v>200</v>
      </c>
      <c r="N86" s="88"/>
      <c r="P86" s="252"/>
    </row>
    <row r="87" spans="1:16" x14ac:dyDescent="0.25">
      <c r="A87" s="68"/>
      <c r="B87"/>
      <c r="C87"/>
      <c r="D87"/>
      <c r="E87"/>
      <c r="F87"/>
      <c r="I87" s="103"/>
      <c r="J87" s="104"/>
      <c r="K87" s="103"/>
      <c r="L87" s="103"/>
      <c r="M87" s="103"/>
      <c r="N87" s="213"/>
      <c r="P87" s="252"/>
    </row>
    <row r="88" spans="1:16" ht="15.75" x14ac:dyDescent="0.25">
      <c r="A88" s="68"/>
      <c r="B88"/>
      <c r="C88"/>
      <c r="D88"/>
      <c r="E88"/>
      <c r="F88"/>
      <c r="I88" s="43">
        <f>8705+22319</f>
        <v>31024</v>
      </c>
      <c r="J88" s="193">
        <v>15323</v>
      </c>
      <c r="K88" s="130">
        <v>31024.48</v>
      </c>
      <c r="L88" s="130"/>
      <c r="M88" s="113" t="s">
        <v>202</v>
      </c>
      <c r="N88" s="214">
        <v>8705</v>
      </c>
      <c r="O88" s="221">
        <v>42084</v>
      </c>
      <c r="P88" s="252">
        <v>42084</v>
      </c>
    </row>
    <row r="89" spans="1:16" ht="15.75" x14ac:dyDescent="0.25">
      <c r="A89" s="68"/>
      <c r="B89"/>
      <c r="C89"/>
      <c r="D89"/>
      <c r="E89"/>
      <c r="F89"/>
      <c r="I89" s="43">
        <f>30605+5323</f>
        <v>35928</v>
      </c>
      <c r="J89" s="194">
        <v>15531</v>
      </c>
      <c r="K89" s="207">
        <v>35928.5</v>
      </c>
      <c r="L89" s="207"/>
      <c r="M89" s="113" t="s">
        <v>202</v>
      </c>
      <c r="N89" s="207">
        <v>12471</v>
      </c>
      <c r="O89" s="221">
        <v>42084</v>
      </c>
      <c r="P89" s="252">
        <v>42084</v>
      </c>
    </row>
    <row r="90" spans="1:16" ht="15.75" x14ac:dyDescent="0.25">
      <c r="A90" s="68"/>
      <c r="B90"/>
      <c r="C90"/>
      <c r="D90"/>
      <c r="E90"/>
      <c r="F90"/>
      <c r="I90" s="43">
        <v>12471</v>
      </c>
      <c r="J90" s="193">
        <v>15560</v>
      </c>
      <c r="K90" s="207">
        <v>12471.2</v>
      </c>
      <c r="L90" s="207"/>
      <c r="M90" s="113" t="s">
        <v>202</v>
      </c>
      <c r="N90" s="207">
        <v>22319</v>
      </c>
      <c r="O90" s="221">
        <v>42084</v>
      </c>
      <c r="P90" s="252">
        <v>42084</v>
      </c>
    </row>
    <row r="91" spans="1:16" ht="15.75" x14ac:dyDescent="0.25">
      <c r="A91" s="68"/>
      <c r="B91"/>
      <c r="C91"/>
      <c r="D91"/>
      <c r="E91"/>
      <c r="F91"/>
      <c r="I91" s="43">
        <f>37753+6107.5</f>
        <v>43860.5</v>
      </c>
      <c r="J91" s="193">
        <v>15574</v>
      </c>
      <c r="K91" s="130">
        <v>43860.4</v>
      </c>
      <c r="L91" s="130"/>
      <c r="M91" s="113" t="s">
        <v>202</v>
      </c>
      <c r="N91" s="207">
        <v>30605</v>
      </c>
      <c r="O91" s="221">
        <v>42084</v>
      </c>
      <c r="P91" s="252">
        <v>42084</v>
      </c>
    </row>
    <row r="92" spans="1:16" ht="15.75" x14ac:dyDescent="0.25">
      <c r="A92" s="68"/>
      <c r="B92"/>
      <c r="C92"/>
      <c r="D92"/>
      <c r="E92"/>
      <c r="F92"/>
      <c r="I92" s="43">
        <v>7861.5</v>
      </c>
      <c r="J92" s="193">
        <v>15658</v>
      </c>
      <c r="K92" s="207">
        <v>7861.4</v>
      </c>
      <c r="L92" s="207"/>
      <c r="M92" s="113" t="s">
        <v>202</v>
      </c>
      <c r="N92" s="207">
        <v>5323</v>
      </c>
      <c r="O92" s="221">
        <v>42086</v>
      </c>
      <c r="P92" s="252">
        <v>42085</v>
      </c>
    </row>
    <row r="93" spans="1:16" ht="15.75" x14ac:dyDescent="0.25">
      <c r="A93" s="68"/>
      <c r="B93"/>
      <c r="C93"/>
      <c r="D93"/>
      <c r="E93"/>
      <c r="F93"/>
      <c r="I93" s="43">
        <v>1000</v>
      </c>
      <c r="J93" s="193">
        <v>15765</v>
      </c>
      <c r="K93" s="207">
        <v>1000</v>
      </c>
      <c r="L93" s="207"/>
      <c r="M93" s="113" t="s">
        <v>202</v>
      </c>
      <c r="N93" s="207">
        <v>37753</v>
      </c>
      <c r="O93" s="221">
        <v>42086</v>
      </c>
      <c r="P93" s="252">
        <v>42085</v>
      </c>
    </row>
    <row r="94" spans="1:16" ht="15.75" x14ac:dyDescent="0.25">
      <c r="A94" s="68"/>
      <c r="B94"/>
      <c r="C94"/>
      <c r="D94"/>
      <c r="E94"/>
      <c r="F94"/>
      <c r="I94" s="43">
        <f>30500+2650+4279+5880.13</f>
        <v>43309.13</v>
      </c>
      <c r="J94" s="193">
        <v>15773</v>
      </c>
      <c r="K94" s="207">
        <v>43308.15</v>
      </c>
      <c r="L94" s="207"/>
      <c r="M94" s="113" t="s">
        <v>202</v>
      </c>
      <c r="N94" s="207">
        <v>6107.5</v>
      </c>
      <c r="O94" s="221">
        <v>42086</v>
      </c>
      <c r="P94" s="252">
        <v>42085</v>
      </c>
    </row>
    <row r="95" spans="1:16" ht="15.75" x14ac:dyDescent="0.25">
      <c r="A95" s="68"/>
      <c r="B95"/>
      <c r="C95"/>
      <c r="D95"/>
      <c r="E95"/>
      <c r="F95"/>
      <c r="I95" s="43">
        <v>6698</v>
      </c>
      <c r="J95" s="193">
        <v>15849</v>
      </c>
      <c r="K95" s="207">
        <v>6698</v>
      </c>
      <c r="L95" s="207"/>
      <c r="M95" s="113" t="s">
        <v>202</v>
      </c>
      <c r="N95" s="207">
        <v>30500</v>
      </c>
      <c r="O95" s="221">
        <v>42086</v>
      </c>
      <c r="P95" s="252">
        <v>42086</v>
      </c>
    </row>
    <row r="96" spans="1:16" ht="15.75" x14ac:dyDescent="0.25">
      <c r="A96" s="68"/>
      <c r="B96"/>
      <c r="C96"/>
      <c r="D96"/>
      <c r="E96"/>
      <c r="F96"/>
      <c r="I96" s="43">
        <f>5991+26009+21801.83</f>
        <v>53801.83</v>
      </c>
      <c r="J96" s="193">
        <v>15933</v>
      </c>
      <c r="K96" s="207">
        <v>53801.83</v>
      </c>
      <c r="L96" s="207"/>
      <c r="M96" s="113" t="s">
        <v>202</v>
      </c>
      <c r="N96" s="207">
        <v>1000</v>
      </c>
      <c r="O96" s="221">
        <v>42086</v>
      </c>
      <c r="P96" s="252">
        <v>42086</v>
      </c>
    </row>
    <row r="97" spans="1:16" ht="15.75" x14ac:dyDescent="0.25">
      <c r="A97" s="68"/>
      <c r="B97"/>
      <c r="C97"/>
      <c r="D97"/>
      <c r="E97"/>
      <c r="F97"/>
      <c r="I97" s="43">
        <f>20198.17+411.37</f>
        <v>20609.539999999997</v>
      </c>
      <c r="J97" s="193">
        <v>16025</v>
      </c>
      <c r="K97" s="207">
        <v>20609.54</v>
      </c>
      <c r="L97" s="207" t="s">
        <v>242</v>
      </c>
      <c r="M97" s="113" t="s">
        <v>202</v>
      </c>
      <c r="N97" s="207">
        <v>7861.5</v>
      </c>
      <c r="O97" s="221">
        <v>42086</v>
      </c>
      <c r="P97" s="252">
        <v>42086</v>
      </c>
    </row>
    <row r="98" spans="1:16" ht="15.75" x14ac:dyDescent="0.25">
      <c r="A98" s="68"/>
      <c r="B98"/>
      <c r="C98"/>
      <c r="D98"/>
      <c r="E98"/>
      <c r="F98"/>
      <c r="J98" s="193"/>
      <c r="K98" s="207"/>
      <c r="L98" s="207"/>
      <c r="M98" s="113" t="s">
        <v>202</v>
      </c>
      <c r="N98" s="207">
        <v>2650</v>
      </c>
      <c r="O98" s="221">
        <v>42087</v>
      </c>
      <c r="P98" s="252">
        <v>42086</v>
      </c>
    </row>
    <row r="99" spans="1:16" ht="15.75" x14ac:dyDescent="0.25">
      <c r="A99" s="68"/>
      <c r="B99"/>
      <c r="C99"/>
      <c r="D99"/>
      <c r="E99"/>
      <c r="F99"/>
      <c r="J99" s="193"/>
      <c r="K99" s="207"/>
      <c r="L99" s="207"/>
      <c r="M99" s="113" t="s">
        <v>202</v>
      </c>
      <c r="N99" s="207">
        <v>6698</v>
      </c>
      <c r="O99" s="221">
        <v>42087</v>
      </c>
      <c r="P99" s="252">
        <v>42087</v>
      </c>
    </row>
    <row r="100" spans="1:16" ht="15.75" x14ac:dyDescent="0.25">
      <c r="A100" s="68"/>
      <c r="B100"/>
      <c r="C100"/>
      <c r="D100"/>
      <c r="E100"/>
      <c r="F100"/>
      <c r="J100" s="193"/>
      <c r="K100" s="207"/>
      <c r="L100" s="207"/>
      <c r="M100" s="113" t="s">
        <v>202</v>
      </c>
      <c r="N100" s="207">
        <v>4279</v>
      </c>
      <c r="O100" s="221">
        <v>42087</v>
      </c>
      <c r="P100" s="252">
        <v>42087</v>
      </c>
    </row>
    <row r="101" spans="1:16" ht="15.75" x14ac:dyDescent="0.25">
      <c r="J101" s="193"/>
      <c r="K101" s="207"/>
      <c r="L101" s="207"/>
      <c r="M101" s="113" t="s">
        <v>202</v>
      </c>
      <c r="N101" s="207">
        <v>5991</v>
      </c>
      <c r="O101" s="221">
        <v>42088</v>
      </c>
      <c r="P101" s="21">
        <v>42088</v>
      </c>
    </row>
    <row r="102" spans="1:16" ht="15.75" x14ac:dyDescent="0.25">
      <c r="J102" s="262"/>
      <c r="K102" s="207"/>
      <c r="L102" s="207"/>
      <c r="M102" s="113" t="s">
        <v>202</v>
      </c>
      <c r="N102" s="207">
        <v>26009</v>
      </c>
      <c r="O102" s="221">
        <v>42088</v>
      </c>
      <c r="P102" s="21">
        <v>42088</v>
      </c>
    </row>
    <row r="103" spans="1:16" ht="15.75" x14ac:dyDescent="0.25">
      <c r="J103" s="262"/>
      <c r="K103" s="207"/>
      <c r="L103" s="207"/>
      <c r="M103" s="113" t="s">
        <v>202</v>
      </c>
      <c r="N103" s="207">
        <v>6291.5</v>
      </c>
      <c r="O103" s="221">
        <v>42089</v>
      </c>
      <c r="P103" s="21">
        <v>42089</v>
      </c>
    </row>
    <row r="104" spans="1:16" ht="15.75" x14ac:dyDescent="0.25">
      <c r="J104" s="282"/>
      <c r="K104" s="207"/>
      <c r="L104" s="207"/>
      <c r="M104" s="113" t="s">
        <v>202</v>
      </c>
      <c r="N104" s="207">
        <v>20198.169999999998</v>
      </c>
      <c r="O104" s="221">
        <v>42089</v>
      </c>
      <c r="P104" s="21">
        <v>42089</v>
      </c>
    </row>
    <row r="105" spans="1:16" ht="15.75" x14ac:dyDescent="0.25">
      <c r="I105" s="43">
        <v>0</v>
      </c>
      <c r="J105" s="262"/>
      <c r="K105" s="207"/>
      <c r="L105" s="207"/>
      <c r="M105" s="113" t="s">
        <v>202</v>
      </c>
      <c r="N105" s="207">
        <v>21801.83</v>
      </c>
      <c r="O105" s="221">
        <v>42089</v>
      </c>
      <c r="P105" s="21">
        <v>42089</v>
      </c>
    </row>
    <row r="106" spans="1:16" ht="16.5" thickBot="1" x14ac:dyDescent="0.3">
      <c r="I106" s="275">
        <f>SUM(I88:I105)</f>
        <v>256563.50000000003</v>
      </c>
      <c r="J106" s="262"/>
      <c r="K106" s="207"/>
      <c r="L106" s="207"/>
      <c r="M106" s="113" t="s">
        <v>202</v>
      </c>
      <c r="N106" s="207">
        <v>0</v>
      </c>
      <c r="O106" s="221"/>
    </row>
    <row r="107" spans="1:16" ht="16.5" thickTop="1" x14ac:dyDescent="0.25">
      <c r="J107" s="263"/>
      <c r="K107" s="260"/>
      <c r="L107" s="260"/>
      <c r="M107" s="113" t="s">
        <v>202</v>
      </c>
      <c r="N107" s="214">
        <v>0</v>
      </c>
      <c r="O107" s="221"/>
    </row>
    <row r="108" spans="1:16" ht="15.75" x14ac:dyDescent="0.25">
      <c r="I108" s="153"/>
      <c r="J108" s="196"/>
      <c r="K108" s="121">
        <v>0</v>
      </c>
      <c r="L108" s="121"/>
      <c r="M108" s="113"/>
      <c r="N108" s="121">
        <v>0</v>
      </c>
      <c r="O108" s="119"/>
    </row>
    <row r="109" spans="1:16" ht="18.75" x14ac:dyDescent="0.3">
      <c r="I109" s="153"/>
      <c r="K109" s="131">
        <f>SUM(K88:K108)</f>
        <v>256563.49999999997</v>
      </c>
      <c r="L109" s="131"/>
      <c r="M109" s="131"/>
      <c r="N109" s="131">
        <f>SUM(N88:N108)</f>
        <v>256563.5</v>
      </c>
    </row>
  </sheetData>
  <sortState ref="A42:D46">
    <sortCondition ref="B42:B46"/>
  </sortState>
  <mergeCells count="1">
    <mergeCell ref="C3:E3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7"/>
  <sheetViews>
    <sheetView topLeftCell="A27" workbookViewId="0">
      <selection activeCell="F47" sqref="F47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6.28515625" style="43" customWidth="1"/>
    <col min="12" max="12" width="14.85546875" customWidth="1"/>
    <col min="13" max="13" width="22.5703125" style="68" customWidth="1"/>
    <col min="14" max="14" width="16.28515625" style="202" customWidth="1"/>
  </cols>
  <sheetData>
    <row r="1" spans="1:15" ht="23.25" x14ac:dyDescent="0.35">
      <c r="C1" s="448" t="s">
        <v>348</v>
      </c>
      <c r="D1" s="448"/>
      <c r="E1" s="448"/>
      <c r="F1" s="448"/>
      <c r="G1" s="448"/>
      <c r="H1" s="448"/>
      <c r="I1" s="448"/>
      <c r="J1" s="448"/>
      <c r="K1" s="448"/>
    </row>
    <row r="2" spans="1:15" ht="15.75" thickBot="1" x14ac:dyDescent="0.3">
      <c r="E2" s="30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469" t="s">
        <v>14</v>
      </c>
      <c r="F4" s="470"/>
      <c r="I4" s="451" t="s">
        <v>4</v>
      </c>
      <c r="J4" s="452"/>
      <c r="K4" s="452"/>
      <c r="L4" s="452"/>
      <c r="M4" s="69" t="s">
        <v>18</v>
      </c>
      <c r="N4" s="347" t="s">
        <v>264</v>
      </c>
    </row>
    <row r="5" spans="1:15" ht="15.75" thickTop="1" x14ac:dyDescent="0.25">
      <c r="A5" s="21"/>
      <c r="B5" s="39">
        <v>42095</v>
      </c>
      <c r="C5" s="45">
        <v>0</v>
      </c>
      <c r="D5" s="22"/>
      <c r="E5" s="26">
        <v>42095</v>
      </c>
      <c r="F5" s="51">
        <v>20411.5</v>
      </c>
      <c r="G5" s="23"/>
      <c r="H5" s="24">
        <v>42095</v>
      </c>
      <c r="I5" s="60">
        <v>200</v>
      </c>
      <c r="J5" s="87"/>
      <c r="K5" s="34"/>
      <c r="L5" s="34"/>
      <c r="M5" s="67" t="s">
        <v>354</v>
      </c>
      <c r="N5" s="75">
        <v>21050</v>
      </c>
      <c r="O5" s="80"/>
    </row>
    <row r="6" spans="1:15" x14ac:dyDescent="0.25">
      <c r="A6" s="21"/>
      <c r="B6" s="39">
        <v>42096</v>
      </c>
      <c r="C6" s="45">
        <v>405</v>
      </c>
      <c r="D6" s="29" t="s">
        <v>50</v>
      </c>
      <c r="E6" s="26">
        <v>42096</v>
      </c>
      <c r="F6" s="51">
        <v>40536</v>
      </c>
      <c r="G6" s="19"/>
      <c r="H6" s="27">
        <v>42096</v>
      </c>
      <c r="I6" s="61">
        <v>226</v>
      </c>
      <c r="J6" s="88"/>
      <c r="K6" s="13" t="s">
        <v>5</v>
      </c>
      <c r="L6" s="20">
        <v>889</v>
      </c>
      <c r="M6" s="67" t="s">
        <v>355</v>
      </c>
      <c r="N6" s="75">
        <v>39450</v>
      </c>
      <c r="O6" s="80"/>
    </row>
    <row r="7" spans="1:15" x14ac:dyDescent="0.25">
      <c r="A7" s="21"/>
      <c r="B7" s="39">
        <v>42097</v>
      </c>
      <c r="C7" s="91">
        <v>0</v>
      </c>
      <c r="D7" s="309"/>
      <c r="E7" s="310">
        <v>42097</v>
      </c>
      <c r="F7" s="92">
        <v>0</v>
      </c>
      <c r="G7" s="311"/>
      <c r="H7" s="312">
        <v>42097</v>
      </c>
      <c r="I7" s="313">
        <v>0</v>
      </c>
      <c r="J7" s="88"/>
      <c r="K7" s="13" t="s">
        <v>3</v>
      </c>
      <c r="L7" s="20">
        <v>0</v>
      </c>
      <c r="M7" s="67"/>
      <c r="N7" s="75">
        <v>0</v>
      </c>
      <c r="O7" s="80"/>
    </row>
    <row r="8" spans="1:15" x14ac:dyDescent="0.25">
      <c r="A8" s="21"/>
      <c r="B8" s="39">
        <v>42098</v>
      </c>
      <c r="C8" s="45">
        <v>300.95999999999998</v>
      </c>
      <c r="D8" s="22" t="s">
        <v>31</v>
      </c>
      <c r="E8" s="26">
        <v>42098</v>
      </c>
      <c r="F8" s="51">
        <v>61591</v>
      </c>
      <c r="G8" s="23"/>
      <c r="H8" s="27">
        <v>42098</v>
      </c>
      <c r="I8" s="61">
        <v>200</v>
      </c>
      <c r="J8" s="88"/>
      <c r="K8" s="13" t="s">
        <v>6</v>
      </c>
      <c r="L8" s="20">
        <v>28750</v>
      </c>
      <c r="M8" s="201" t="s">
        <v>356</v>
      </c>
      <c r="N8" s="204">
        <v>61900.5</v>
      </c>
      <c r="O8" s="80"/>
    </row>
    <row r="9" spans="1:15" x14ac:dyDescent="0.25">
      <c r="A9" s="21"/>
      <c r="B9" s="39">
        <v>42099</v>
      </c>
      <c r="C9" s="45">
        <v>0</v>
      </c>
      <c r="D9" s="22"/>
      <c r="E9" s="26">
        <v>42099</v>
      </c>
      <c r="F9" s="51">
        <v>52028</v>
      </c>
      <c r="G9" s="23"/>
      <c r="H9" s="27">
        <v>42099</v>
      </c>
      <c r="I9" s="61">
        <v>200</v>
      </c>
      <c r="J9" s="88"/>
      <c r="K9" s="13" t="s">
        <v>349</v>
      </c>
      <c r="L9" s="20">
        <v>7924.62</v>
      </c>
      <c r="M9" s="67" t="s">
        <v>358</v>
      </c>
      <c r="N9" s="75">
        <v>50400</v>
      </c>
      <c r="O9" s="80"/>
    </row>
    <row r="10" spans="1:15" x14ac:dyDescent="0.25">
      <c r="A10" s="21"/>
      <c r="B10" s="39">
        <v>42100</v>
      </c>
      <c r="C10" s="45">
        <v>0</v>
      </c>
      <c r="D10" s="32"/>
      <c r="E10" s="26">
        <v>42100</v>
      </c>
      <c r="F10" s="51">
        <v>53527.5</v>
      </c>
      <c r="G10" s="23"/>
      <c r="H10" s="27">
        <v>42100</v>
      </c>
      <c r="I10" s="61">
        <v>200</v>
      </c>
      <c r="J10" s="88"/>
      <c r="K10" s="13" t="s">
        <v>350</v>
      </c>
      <c r="L10" s="20">
        <v>7662.72</v>
      </c>
      <c r="M10" s="67" t="s">
        <v>359</v>
      </c>
      <c r="N10" s="75">
        <v>52283.5</v>
      </c>
      <c r="O10" s="80"/>
    </row>
    <row r="11" spans="1:15" x14ac:dyDescent="0.25">
      <c r="A11" s="21"/>
      <c r="B11" s="39">
        <v>42101</v>
      </c>
      <c r="C11" s="45">
        <v>0</v>
      </c>
      <c r="D11" s="32"/>
      <c r="E11" s="26">
        <v>42101</v>
      </c>
      <c r="F11" s="51">
        <v>32476.5</v>
      </c>
      <c r="G11" s="23"/>
      <c r="H11" s="27">
        <v>42101</v>
      </c>
      <c r="I11" s="62">
        <v>200</v>
      </c>
      <c r="J11" s="88"/>
      <c r="K11" s="13" t="s">
        <v>351</v>
      </c>
      <c r="L11" s="20">
        <v>8038.91</v>
      </c>
      <c r="M11" s="67" t="s">
        <v>360</v>
      </c>
      <c r="N11" s="75">
        <v>32870</v>
      </c>
      <c r="O11" s="80"/>
    </row>
    <row r="12" spans="1:15" x14ac:dyDescent="0.25">
      <c r="A12" s="21"/>
      <c r="B12" s="39">
        <v>42102</v>
      </c>
      <c r="C12" s="45">
        <v>0</v>
      </c>
      <c r="D12" s="32"/>
      <c r="E12" s="26">
        <v>42102</v>
      </c>
      <c r="F12" s="51">
        <v>28093</v>
      </c>
      <c r="G12" s="23"/>
      <c r="H12" s="27">
        <v>42102</v>
      </c>
      <c r="I12" s="62">
        <v>200</v>
      </c>
      <c r="J12" s="88"/>
      <c r="K12" s="13" t="s">
        <v>352</v>
      </c>
      <c r="L12" s="20">
        <v>7662.72</v>
      </c>
      <c r="M12" s="67" t="s">
        <v>362</v>
      </c>
      <c r="N12" s="75">
        <v>28600</v>
      </c>
      <c r="O12" s="80"/>
    </row>
    <row r="13" spans="1:15" x14ac:dyDescent="0.25">
      <c r="A13" s="21"/>
      <c r="B13" s="39">
        <v>42103</v>
      </c>
      <c r="C13" s="45">
        <v>0</v>
      </c>
      <c r="D13" s="32"/>
      <c r="E13" s="26">
        <v>42103</v>
      </c>
      <c r="F13" s="51">
        <v>40145.5</v>
      </c>
      <c r="G13" s="23"/>
      <c r="H13" s="27">
        <v>42103</v>
      </c>
      <c r="I13" s="62">
        <v>1582</v>
      </c>
      <c r="J13" s="88"/>
      <c r="K13" s="13" t="s">
        <v>353</v>
      </c>
      <c r="L13" s="20">
        <v>8562.7199999999993</v>
      </c>
      <c r="M13" s="67" t="s">
        <v>363</v>
      </c>
      <c r="N13" s="75">
        <v>39590</v>
      </c>
      <c r="O13" s="80"/>
    </row>
    <row r="14" spans="1:15" x14ac:dyDescent="0.25">
      <c r="A14" s="21"/>
      <c r="B14" s="39">
        <v>42104</v>
      </c>
      <c r="C14" s="45">
        <v>0</v>
      </c>
      <c r="D14" s="29"/>
      <c r="E14" s="26">
        <v>42104</v>
      </c>
      <c r="F14" s="51">
        <v>57362.5</v>
      </c>
      <c r="G14" s="23"/>
      <c r="H14" s="27">
        <v>42104</v>
      </c>
      <c r="I14" s="62">
        <v>200</v>
      </c>
      <c r="J14" s="88"/>
      <c r="K14" s="35" t="s">
        <v>16</v>
      </c>
      <c r="L14" s="20">
        <v>0</v>
      </c>
      <c r="M14" s="67" t="s">
        <v>364</v>
      </c>
      <c r="N14" s="75">
        <v>54800</v>
      </c>
      <c r="O14" s="80"/>
    </row>
    <row r="15" spans="1:15" x14ac:dyDescent="0.25">
      <c r="A15" s="21"/>
      <c r="B15" s="39">
        <v>42105</v>
      </c>
      <c r="C15" s="45">
        <v>0</v>
      </c>
      <c r="D15" s="29"/>
      <c r="E15" s="26">
        <v>42105</v>
      </c>
      <c r="F15" s="51">
        <v>58411.5</v>
      </c>
      <c r="G15" s="23"/>
      <c r="H15" s="27">
        <v>42105</v>
      </c>
      <c r="I15" s="62">
        <v>200</v>
      </c>
      <c r="J15" s="88"/>
      <c r="K15" s="28" t="s">
        <v>15</v>
      </c>
      <c r="L15" s="20">
        <v>0</v>
      </c>
      <c r="M15" s="67" t="s">
        <v>365</v>
      </c>
      <c r="N15" s="75">
        <v>58500</v>
      </c>
      <c r="O15" s="80"/>
    </row>
    <row r="16" spans="1:15" x14ac:dyDescent="0.25">
      <c r="A16" s="21"/>
      <c r="B16" s="39">
        <v>42106</v>
      </c>
      <c r="C16" s="45">
        <v>0</v>
      </c>
      <c r="D16" s="32"/>
      <c r="E16" s="26">
        <v>42106</v>
      </c>
      <c r="F16" s="51">
        <v>63296</v>
      </c>
      <c r="G16" s="23"/>
      <c r="H16" s="27">
        <v>42106</v>
      </c>
      <c r="I16" s="62">
        <v>200</v>
      </c>
      <c r="J16" s="88"/>
      <c r="K16" s="73" t="s">
        <v>52</v>
      </c>
      <c r="L16" s="74">
        <v>0</v>
      </c>
      <c r="M16" s="67" t="s">
        <v>366</v>
      </c>
      <c r="N16" s="75">
        <v>62900</v>
      </c>
      <c r="O16" s="80"/>
    </row>
    <row r="17" spans="1:15" x14ac:dyDescent="0.25">
      <c r="A17" s="21"/>
      <c r="B17" s="39">
        <v>42107</v>
      </c>
      <c r="C17" s="45">
        <v>0</v>
      </c>
      <c r="D17" s="29"/>
      <c r="E17" s="26">
        <v>42107</v>
      </c>
      <c r="F17" s="51">
        <v>46229.5</v>
      </c>
      <c r="G17" s="23"/>
      <c r="H17" s="27">
        <v>42107</v>
      </c>
      <c r="I17" s="62">
        <v>230</v>
      </c>
      <c r="J17" s="88"/>
      <c r="K17" s="28" t="s">
        <v>53</v>
      </c>
      <c r="L17" s="74">
        <v>0</v>
      </c>
      <c r="M17" s="67" t="s">
        <v>367</v>
      </c>
      <c r="N17" s="75">
        <v>45686</v>
      </c>
      <c r="O17" s="80"/>
    </row>
    <row r="18" spans="1:15" x14ac:dyDescent="0.25">
      <c r="A18" s="21"/>
      <c r="B18" s="39">
        <v>42108</v>
      </c>
      <c r="C18" s="45">
        <v>0</v>
      </c>
      <c r="D18" s="22"/>
      <c r="E18" s="26">
        <v>42108</v>
      </c>
      <c r="F18" s="51">
        <v>33891</v>
      </c>
      <c r="G18" s="23"/>
      <c r="H18" s="27">
        <v>42108</v>
      </c>
      <c r="I18" s="62">
        <v>200</v>
      </c>
      <c r="J18" s="89"/>
      <c r="K18" s="28" t="s">
        <v>54</v>
      </c>
      <c r="L18" s="75">
        <v>0</v>
      </c>
      <c r="M18" s="67" t="s">
        <v>368</v>
      </c>
      <c r="N18" s="75">
        <v>35250</v>
      </c>
      <c r="O18" s="80"/>
    </row>
    <row r="19" spans="1:15" x14ac:dyDescent="0.25">
      <c r="A19" s="21"/>
      <c r="B19" s="39">
        <v>42109</v>
      </c>
      <c r="C19" s="45">
        <v>0</v>
      </c>
      <c r="D19" s="29"/>
      <c r="E19" s="26">
        <v>42109</v>
      </c>
      <c r="F19" s="51">
        <v>46155.5</v>
      </c>
      <c r="G19" s="23"/>
      <c r="H19" s="27">
        <v>42109</v>
      </c>
      <c r="I19" s="62">
        <v>200</v>
      </c>
      <c r="J19" s="88"/>
      <c r="K19" s="28" t="s">
        <v>55</v>
      </c>
      <c r="L19" s="75">
        <v>0</v>
      </c>
      <c r="M19" s="67" t="s">
        <v>369</v>
      </c>
      <c r="N19" s="75">
        <v>45767</v>
      </c>
      <c r="O19" s="80"/>
    </row>
    <row r="20" spans="1:15" x14ac:dyDescent="0.25">
      <c r="A20" s="21"/>
      <c r="B20" s="39">
        <v>42110</v>
      </c>
      <c r="C20" s="45">
        <v>0</v>
      </c>
      <c r="D20" s="22"/>
      <c r="E20" s="26">
        <v>42110</v>
      </c>
      <c r="F20" s="51">
        <v>52907</v>
      </c>
      <c r="G20" s="23"/>
      <c r="H20" s="27">
        <v>42110</v>
      </c>
      <c r="I20" s="62">
        <v>200</v>
      </c>
      <c r="J20" s="90"/>
      <c r="K20" s="314" t="s">
        <v>357</v>
      </c>
      <c r="L20" s="55">
        <v>616</v>
      </c>
      <c r="M20" s="67" t="s">
        <v>380</v>
      </c>
      <c r="N20" s="75">
        <v>53000</v>
      </c>
      <c r="O20" s="80"/>
    </row>
    <row r="21" spans="1:15" x14ac:dyDescent="0.25">
      <c r="A21" s="21"/>
      <c r="B21" s="39">
        <v>42111</v>
      </c>
      <c r="C21" s="45">
        <v>0</v>
      </c>
      <c r="D21" s="22"/>
      <c r="E21" s="26">
        <v>42111</v>
      </c>
      <c r="F21" s="51">
        <v>50852</v>
      </c>
      <c r="G21" s="23"/>
      <c r="H21" s="27">
        <v>42111</v>
      </c>
      <c r="I21" s="62">
        <v>200</v>
      </c>
      <c r="J21" s="88"/>
      <c r="K21" s="25" t="s">
        <v>99</v>
      </c>
      <c r="L21" s="55">
        <v>0</v>
      </c>
      <c r="M21" s="67" t="s">
        <v>381</v>
      </c>
      <c r="N21" s="75">
        <v>49500</v>
      </c>
      <c r="O21" s="80"/>
    </row>
    <row r="22" spans="1:15" x14ac:dyDescent="0.25">
      <c r="A22" s="21"/>
      <c r="B22" s="39">
        <v>42112</v>
      </c>
      <c r="C22" s="45">
        <v>0</v>
      </c>
      <c r="D22" s="22"/>
      <c r="E22" s="26">
        <v>42112</v>
      </c>
      <c r="F22" s="51">
        <v>62711</v>
      </c>
      <c r="G22" s="23"/>
      <c r="H22" s="27">
        <v>42112</v>
      </c>
      <c r="I22" s="62">
        <v>490</v>
      </c>
      <c r="J22" s="90"/>
      <c r="K22" s="122" t="s">
        <v>213</v>
      </c>
      <c r="L22" s="55">
        <v>900</v>
      </c>
      <c r="M22" s="67" t="s">
        <v>382</v>
      </c>
      <c r="N22" s="75">
        <v>61700</v>
      </c>
      <c r="O22" s="80"/>
    </row>
    <row r="23" spans="1:15" x14ac:dyDescent="0.25">
      <c r="A23" s="21"/>
      <c r="B23" s="39">
        <v>42113</v>
      </c>
      <c r="C23" s="45">
        <v>0</v>
      </c>
      <c r="D23" s="22"/>
      <c r="E23" s="26">
        <v>42113</v>
      </c>
      <c r="F23" s="51">
        <v>68283.5</v>
      </c>
      <c r="G23" s="23"/>
      <c r="H23" s="27">
        <v>42113</v>
      </c>
      <c r="I23" s="62">
        <v>200</v>
      </c>
      <c r="J23" s="88"/>
      <c r="K23" s="11" t="s">
        <v>332</v>
      </c>
      <c r="L23" s="55">
        <v>800</v>
      </c>
      <c r="M23" s="67" t="s">
        <v>383</v>
      </c>
      <c r="N23" s="75">
        <v>68150</v>
      </c>
      <c r="O23" s="80"/>
    </row>
    <row r="24" spans="1:15" x14ac:dyDescent="0.25">
      <c r="A24" s="21"/>
      <c r="B24" s="39">
        <v>42114</v>
      </c>
      <c r="C24" s="45">
        <v>0</v>
      </c>
      <c r="D24" s="29"/>
      <c r="E24" s="26">
        <v>42114</v>
      </c>
      <c r="F24" s="51">
        <v>35623.5</v>
      </c>
      <c r="G24" s="23"/>
      <c r="H24" s="27">
        <v>42114</v>
      </c>
      <c r="I24" s="62">
        <v>232</v>
      </c>
      <c r="J24" s="88"/>
      <c r="K24" s="25">
        <v>42111</v>
      </c>
      <c r="L24" s="55"/>
      <c r="M24" s="67" t="s">
        <v>384</v>
      </c>
      <c r="N24" s="75">
        <v>33900</v>
      </c>
      <c r="O24" s="80"/>
    </row>
    <row r="25" spans="1:15" x14ac:dyDescent="0.25">
      <c r="A25" s="21"/>
      <c r="B25" s="39">
        <v>42115</v>
      </c>
      <c r="C25" s="45">
        <v>0</v>
      </c>
      <c r="D25" s="22"/>
      <c r="E25" s="26">
        <v>42115</v>
      </c>
      <c r="F25" s="51">
        <v>31524</v>
      </c>
      <c r="G25" s="23"/>
      <c r="H25" s="27">
        <v>42115</v>
      </c>
      <c r="I25" s="62">
        <v>200</v>
      </c>
      <c r="J25" s="88"/>
      <c r="K25" s="11"/>
      <c r="L25" s="55"/>
      <c r="M25" s="67" t="s">
        <v>385</v>
      </c>
      <c r="N25" s="75">
        <v>31590</v>
      </c>
      <c r="O25" s="80"/>
    </row>
    <row r="26" spans="1:15" x14ac:dyDescent="0.25">
      <c r="A26" s="21"/>
      <c r="B26" s="39">
        <v>42116</v>
      </c>
      <c r="C26" s="45">
        <v>0</v>
      </c>
      <c r="D26" s="29"/>
      <c r="E26" s="26">
        <v>42116</v>
      </c>
      <c r="F26" s="51">
        <v>36676</v>
      </c>
      <c r="G26" s="23"/>
      <c r="H26" s="27">
        <v>42116</v>
      </c>
      <c r="I26" s="62">
        <v>200</v>
      </c>
      <c r="J26" s="88"/>
      <c r="K26" s="11"/>
      <c r="L26" s="55"/>
      <c r="M26" s="67" t="s">
        <v>386</v>
      </c>
      <c r="N26" s="75">
        <v>38290</v>
      </c>
      <c r="O26" s="80"/>
    </row>
    <row r="27" spans="1:15" x14ac:dyDescent="0.25">
      <c r="A27" s="21"/>
      <c r="B27" s="39">
        <v>42117</v>
      </c>
      <c r="C27" s="45">
        <v>0</v>
      </c>
      <c r="D27" s="29"/>
      <c r="E27" s="26">
        <v>42117</v>
      </c>
      <c r="F27" s="51">
        <v>42331.5</v>
      </c>
      <c r="G27" s="23"/>
      <c r="H27" s="27">
        <v>42117</v>
      </c>
      <c r="I27" s="62">
        <v>200</v>
      </c>
      <c r="J27" s="88"/>
      <c r="K27" s="11"/>
      <c r="L27" s="55"/>
      <c r="M27" s="201" t="s">
        <v>387</v>
      </c>
      <c r="N27" s="204">
        <v>42099.5</v>
      </c>
      <c r="O27" s="80"/>
    </row>
    <row r="28" spans="1:15" x14ac:dyDescent="0.25">
      <c r="A28" s="21"/>
      <c r="B28" s="39">
        <v>42118</v>
      </c>
      <c r="C28" s="45">
        <v>0</v>
      </c>
      <c r="D28" s="29"/>
      <c r="E28" s="26">
        <v>42118</v>
      </c>
      <c r="F28" s="51">
        <v>61135</v>
      </c>
      <c r="G28" s="23"/>
      <c r="H28" s="27">
        <v>42118</v>
      </c>
      <c r="I28" s="62">
        <v>200</v>
      </c>
      <c r="J28" s="88"/>
      <c r="K28" s="11"/>
      <c r="L28" s="55"/>
      <c r="M28" s="201" t="s">
        <v>388</v>
      </c>
      <c r="N28" s="204">
        <v>61650</v>
      </c>
      <c r="O28" s="80"/>
    </row>
    <row r="29" spans="1:15" x14ac:dyDescent="0.25">
      <c r="A29" s="21"/>
      <c r="B29" s="39">
        <v>42119</v>
      </c>
      <c r="C29" s="45">
        <v>3960</v>
      </c>
      <c r="D29" s="29" t="s">
        <v>389</v>
      </c>
      <c r="E29" s="26">
        <v>42119</v>
      </c>
      <c r="F29" s="51">
        <v>79125</v>
      </c>
      <c r="G29" s="23"/>
      <c r="H29" s="27">
        <v>42119</v>
      </c>
      <c r="I29" s="62">
        <v>200</v>
      </c>
      <c r="J29" s="88"/>
      <c r="K29" s="11"/>
      <c r="L29" s="20"/>
      <c r="M29" s="67" t="s">
        <v>390</v>
      </c>
      <c r="N29" s="75">
        <v>74400</v>
      </c>
      <c r="O29" s="80"/>
    </row>
    <row r="30" spans="1:15" x14ac:dyDescent="0.25">
      <c r="A30" s="21"/>
      <c r="B30" s="39">
        <v>42120</v>
      </c>
      <c r="C30" s="45">
        <v>0</v>
      </c>
      <c r="D30" s="22"/>
      <c r="E30" s="26">
        <v>42120</v>
      </c>
      <c r="F30" s="51">
        <v>68920.5</v>
      </c>
      <c r="G30" s="23"/>
      <c r="H30" s="27">
        <v>42120</v>
      </c>
      <c r="I30" s="62">
        <v>200</v>
      </c>
      <c r="J30" s="88"/>
      <c r="K30" s="11"/>
      <c r="L30" s="20"/>
      <c r="M30" s="201" t="s">
        <v>391</v>
      </c>
      <c r="N30" s="204">
        <v>67349.5</v>
      </c>
      <c r="O30" s="80"/>
    </row>
    <row r="31" spans="1:15" x14ac:dyDescent="0.25">
      <c r="A31" s="21"/>
      <c r="B31" s="39">
        <v>42121</v>
      </c>
      <c r="C31" s="45">
        <v>0</v>
      </c>
      <c r="D31" s="22"/>
      <c r="E31" s="26">
        <v>42121</v>
      </c>
      <c r="F31" s="51">
        <v>43995</v>
      </c>
      <c r="G31" s="23"/>
      <c r="H31" s="27">
        <v>42121</v>
      </c>
      <c r="I31" s="62">
        <v>200</v>
      </c>
      <c r="J31" s="88"/>
      <c r="K31" s="11"/>
      <c r="L31" s="20"/>
      <c r="M31" s="201" t="s">
        <v>392</v>
      </c>
      <c r="N31" s="204">
        <v>44010</v>
      </c>
      <c r="O31" s="80"/>
    </row>
    <row r="32" spans="1:15" x14ac:dyDescent="0.25">
      <c r="A32" s="21"/>
      <c r="B32" s="39">
        <v>42122</v>
      </c>
      <c r="C32" s="45">
        <v>0</v>
      </c>
      <c r="D32" s="22"/>
      <c r="E32" s="26">
        <v>42122</v>
      </c>
      <c r="F32" s="51">
        <v>31389</v>
      </c>
      <c r="G32" s="23"/>
      <c r="H32" s="27">
        <v>42122</v>
      </c>
      <c r="I32" s="62">
        <v>200</v>
      </c>
      <c r="J32" s="88"/>
      <c r="K32" s="11"/>
      <c r="L32" s="20"/>
      <c r="M32" s="67" t="s">
        <v>393</v>
      </c>
      <c r="N32" s="75">
        <v>31400</v>
      </c>
      <c r="O32" s="80"/>
    </row>
    <row r="33" spans="1:15" x14ac:dyDescent="0.25">
      <c r="A33" s="21"/>
      <c r="B33" s="39">
        <v>42123</v>
      </c>
      <c r="C33" s="45">
        <v>0</v>
      </c>
      <c r="D33" s="32"/>
      <c r="E33" s="26">
        <v>42123</v>
      </c>
      <c r="F33" s="51">
        <v>39525</v>
      </c>
      <c r="G33" s="23"/>
      <c r="H33" s="27">
        <v>42123</v>
      </c>
      <c r="I33" s="62">
        <v>200</v>
      </c>
      <c r="J33" s="88"/>
      <c r="K33" s="11"/>
      <c r="L33" s="20"/>
      <c r="M33" s="67" t="s">
        <v>394</v>
      </c>
      <c r="N33" s="75">
        <v>39300</v>
      </c>
      <c r="O33" s="80"/>
    </row>
    <row r="34" spans="1:15" x14ac:dyDescent="0.25">
      <c r="A34" s="21"/>
      <c r="B34" s="39">
        <v>42124</v>
      </c>
      <c r="C34" s="45">
        <v>0</v>
      </c>
      <c r="D34" s="72"/>
      <c r="E34" s="26">
        <v>42124</v>
      </c>
      <c r="F34" s="51">
        <v>96064</v>
      </c>
      <c r="G34" s="23"/>
      <c r="H34" s="27">
        <v>42124</v>
      </c>
      <c r="I34" s="62">
        <v>200</v>
      </c>
      <c r="J34" s="88"/>
      <c r="K34" s="11"/>
      <c r="L34" s="20"/>
      <c r="M34" s="258" t="s">
        <v>398</v>
      </c>
      <c r="N34" s="202">
        <v>93850</v>
      </c>
      <c r="O34" s="80"/>
    </row>
    <row r="35" spans="1:15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SUM(N5:N34)</f>
        <v>1419236</v>
      </c>
    </row>
    <row r="38" spans="1:15" x14ac:dyDescent="0.25">
      <c r="B38" s="42" t="s">
        <v>1</v>
      </c>
      <c r="C38" s="48">
        <f>SUM(C5:C37)</f>
        <v>4665.96</v>
      </c>
      <c r="E38" s="301" t="s">
        <v>1</v>
      </c>
      <c r="F38" s="54">
        <f>SUM(F5:F37)</f>
        <v>1435217</v>
      </c>
      <c r="H38" s="303" t="s">
        <v>1</v>
      </c>
      <c r="I38" s="58">
        <f>SUM(I5:I37)</f>
        <v>7560</v>
      </c>
      <c r="J38" s="58"/>
      <c r="K38" s="17" t="s">
        <v>1</v>
      </c>
      <c r="L38" s="4">
        <f t="shared" ref="L38" si="0">SUM(L5:L37)</f>
        <v>71806.69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453" t="s">
        <v>7</v>
      </c>
      <c r="I40" s="454"/>
      <c r="J40" s="302"/>
      <c r="K40" s="455">
        <f>I38+L38</f>
        <v>79366.69</v>
      </c>
      <c r="L40" s="456"/>
    </row>
    <row r="41" spans="1:15" ht="15.75" customHeight="1" x14ac:dyDescent="0.25">
      <c r="D41" s="447" t="s">
        <v>8</v>
      </c>
      <c r="E41" s="447"/>
      <c r="F41" s="56">
        <f>F38-K40</f>
        <v>1355850.31</v>
      </c>
      <c r="I41" s="65"/>
      <c r="J41" s="65"/>
    </row>
    <row r="42" spans="1:15" x14ac:dyDescent="0.25">
      <c r="D42" s="13"/>
      <c r="E42" s="13" t="s">
        <v>0</v>
      </c>
      <c r="F42" s="55">
        <f>-C38</f>
        <v>-4665.96</v>
      </c>
    </row>
    <row r="43" spans="1:15" ht="15.75" thickBot="1" x14ac:dyDescent="0.3">
      <c r="C43" s="43" t="s">
        <v>12</v>
      </c>
      <c r="D43" t="s">
        <v>303</v>
      </c>
      <c r="F43" s="57">
        <v>-1331717.32</v>
      </c>
      <c r="I43" s="457"/>
      <c r="J43" s="457"/>
      <c r="K43" s="457"/>
      <c r="L43" s="2"/>
    </row>
    <row r="44" spans="1:15" ht="16.5" thickTop="1" x14ac:dyDescent="0.25">
      <c r="E44" s="5" t="s">
        <v>10</v>
      </c>
      <c r="F44" s="58">
        <f>SUM(F41:F43)</f>
        <v>19467.030000000028</v>
      </c>
      <c r="I44"/>
      <c r="J44" s="344" t="s">
        <v>251</v>
      </c>
      <c r="K44" s="474">
        <f>F48</f>
        <v>169383.28000000003</v>
      </c>
      <c r="L44" s="475"/>
    </row>
    <row r="45" spans="1:15" ht="15.75" customHeight="1" thickBot="1" x14ac:dyDescent="0.3">
      <c r="D45" s="301" t="s">
        <v>9</v>
      </c>
      <c r="E45" s="301"/>
      <c r="F45" s="59">
        <v>149916.25</v>
      </c>
      <c r="I45" s="483" t="s">
        <v>2</v>
      </c>
      <c r="J45" s="483"/>
      <c r="K45" s="476">
        <v>-181901.18</v>
      </c>
      <c r="L45" s="476"/>
    </row>
    <row r="46" spans="1:15" ht="15.75" customHeight="1" thickBot="1" x14ac:dyDescent="0.3">
      <c r="E46" s="6" t="s">
        <v>347</v>
      </c>
      <c r="F46" s="48">
        <f>F45+F44</f>
        <v>169383.28000000003</v>
      </c>
      <c r="I46"/>
      <c r="J46" s="178"/>
      <c r="K46" s="477">
        <v>0</v>
      </c>
      <c r="L46" s="477"/>
    </row>
    <row r="47" spans="1:15" ht="19.5" thickBot="1" x14ac:dyDescent="0.3">
      <c r="E47" s="5"/>
      <c r="F47" s="125">
        <v>0</v>
      </c>
      <c r="I47" s="487" t="s">
        <v>401</v>
      </c>
      <c r="J47" s="488"/>
      <c r="K47" s="480">
        <f t="shared" ref="K47" si="1">SUM(K44:L46)</f>
        <v>-12517.899999999965</v>
      </c>
      <c r="L47" s="481"/>
    </row>
    <row r="48" spans="1:15" ht="15.75" thickTop="1" x14ac:dyDescent="0.25">
      <c r="D48" s="457" t="s">
        <v>251</v>
      </c>
      <c r="E48" s="457"/>
      <c r="F48" s="58">
        <f>F47+F46</f>
        <v>169383.28000000003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8:E48"/>
    <mergeCell ref="I43:K43"/>
    <mergeCell ref="K44:L44"/>
    <mergeCell ref="I45:J45"/>
    <mergeCell ref="K45:L45"/>
    <mergeCell ref="K46:L46"/>
    <mergeCell ref="K47:L47"/>
    <mergeCell ref="I47:J47"/>
    <mergeCell ref="D41:E41"/>
    <mergeCell ref="C1:K1"/>
    <mergeCell ref="E4:F4"/>
    <mergeCell ref="I4:L4"/>
    <mergeCell ref="H40:I40"/>
    <mergeCell ref="K40:L40"/>
  </mergeCells>
  <pageMargins left="0.31496062992125984" right="0.11811023622047245" top="0.15748031496062992" bottom="0.19685039370078741" header="0.31496062992125984" footer="0.31496062992125984"/>
  <pageSetup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128"/>
  <sheetViews>
    <sheetView topLeftCell="A48" workbookViewId="0">
      <selection activeCell="D39" sqref="D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42103</v>
      </c>
      <c r="L2" s="215"/>
      <c r="M2" s="134" t="s">
        <v>200</v>
      </c>
      <c r="N2" s="88"/>
    </row>
    <row r="3" spans="1:16" ht="16.5" thickBot="1" x14ac:dyDescent="0.3">
      <c r="C3" s="484" t="s">
        <v>240</v>
      </c>
      <c r="D3" s="485"/>
      <c r="E3" s="486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40" t="s">
        <v>297</v>
      </c>
      <c r="D4" s="340"/>
      <c r="E4" s="340" t="s">
        <v>298</v>
      </c>
      <c r="F4" s="341" t="s">
        <v>299</v>
      </c>
      <c r="I4" s="242">
        <v>29964.5</v>
      </c>
      <c r="J4" s="193">
        <v>16025</v>
      </c>
      <c r="K4" s="130">
        <v>29964.5</v>
      </c>
      <c r="L4" s="130" t="s">
        <v>361</v>
      </c>
      <c r="M4" s="113" t="s">
        <v>202</v>
      </c>
      <c r="N4" s="214">
        <v>29964.5</v>
      </c>
      <c r="O4" s="221">
        <v>42090</v>
      </c>
      <c r="P4" s="21">
        <v>42090</v>
      </c>
    </row>
    <row r="5" spans="1:16" ht="15.75" x14ac:dyDescent="0.25">
      <c r="A5" s="243">
        <v>42096</v>
      </c>
      <c r="B5" s="244">
        <v>16668</v>
      </c>
      <c r="C5" s="245">
        <v>87045.74</v>
      </c>
      <c r="D5" s="104">
        <v>42103</v>
      </c>
      <c r="E5" s="103">
        <v>87045.74</v>
      </c>
      <c r="F5" s="246">
        <f t="shared" ref="F5:F48" si="0">C5-E5</f>
        <v>0</v>
      </c>
      <c r="G5" s="105"/>
      <c r="H5" s="106"/>
      <c r="I5" s="315">
        <f>2000+7344+3950+35047</f>
        <v>48341</v>
      </c>
      <c r="J5" s="194">
        <v>16091</v>
      </c>
      <c r="K5" s="207">
        <v>48340.9</v>
      </c>
      <c r="L5" s="207"/>
      <c r="M5" s="113" t="s">
        <v>202</v>
      </c>
      <c r="N5" s="207">
        <v>565</v>
      </c>
      <c r="O5" s="221">
        <v>42090</v>
      </c>
      <c r="P5" s="21">
        <v>42090</v>
      </c>
    </row>
    <row r="6" spans="1:16" ht="15.75" x14ac:dyDescent="0.25">
      <c r="A6" s="143">
        <v>42098</v>
      </c>
      <c r="B6" s="144">
        <v>16782</v>
      </c>
      <c r="C6" s="156">
        <v>48339.199999999997</v>
      </c>
      <c r="D6" s="104">
        <v>42103</v>
      </c>
      <c r="E6" s="103">
        <v>48339.199999999997</v>
      </c>
      <c r="F6" s="154">
        <f t="shared" si="0"/>
        <v>0</v>
      </c>
      <c r="G6" s="105"/>
      <c r="H6" s="108"/>
      <c r="I6" s="315">
        <v>565</v>
      </c>
      <c r="J6" s="193">
        <v>16094</v>
      </c>
      <c r="K6" s="207">
        <v>565</v>
      </c>
      <c r="L6" s="207"/>
      <c r="M6" s="113" t="s">
        <v>202</v>
      </c>
      <c r="N6" s="207">
        <v>2000</v>
      </c>
      <c r="O6" s="221">
        <v>42090</v>
      </c>
      <c r="P6" s="21">
        <v>42090</v>
      </c>
    </row>
    <row r="7" spans="1:16" ht="15.75" x14ac:dyDescent="0.25">
      <c r="A7" s="143">
        <v>42100</v>
      </c>
      <c r="B7" s="144">
        <v>16959</v>
      </c>
      <c r="C7" s="156">
        <v>43005.14</v>
      </c>
      <c r="D7" s="328" t="s">
        <v>379</v>
      </c>
      <c r="E7" s="103">
        <f>42283.5+721.64</f>
        <v>43005.14</v>
      </c>
      <c r="F7" s="155">
        <f t="shared" si="0"/>
        <v>0</v>
      </c>
      <c r="G7" s="105"/>
      <c r="H7" s="108"/>
      <c r="I7" s="242">
        <f>16360+5178+12000+13000+2500+2593.5</f>
        <v>51631.5</v>
      </c>
      <c r="J7" s="193">
        <v>16197</v>
      </c>
      <c r="K7" s="130">
        <v>51631.5</v>
      </c>
      <c r="L7" s="130" t="s">
        <v>242</v>
      </c>
      <c r="M7" s="113" t="s">
        <v>202</v>
      </c>
      <c r="N7" s="207">
        <v>7344</v>
      </c>
      <c r="O7" s="221">
        <v>42090</v>
      </c>
      <c r="P7" s="21">
        <v>42090</v>
      </c>
    </row>
    <row r="8" spans="1:16" ht="15.75" x14ac:dyDescent="0.25">
      <c r="A8" s="143">
        <v>42101</v>
      </c>
      <c r="B8" s="144">
        <v>17088</v>
      </c>
      <c r="C8" s="156">
        <v>18142.400000000001</v>
      </c>
      <c r="D8" s="104">
        <v>42103</v>
      </c>
      <c r="E8" s="103">
        <v>18142.400000000001</v>
      </c>
      <c r="F8" s="155">
        <f t="shared" si="0"/>
        <v>0</v>
      </c>
      <c r="G8" s="105"/>
      <c r="H8" s="106"/>
      <c r="I8" s="315">
        <v>8076.4</v>
      </c>
      <c r="J8" s="193">
        <v>16219</v>
      </c>
      <c r="K8" s="207">
        <v>8076.4</v>
      </c>
      <c r="L8" s="207"/>
      <c r="M8" s="113" t="s">
        <v>202</v>
      </c>
      <c r="N8" s="207">
        <v>3950</v>
      </c>
      <c r="O8" s="221">
        <v>42091</v>
      </c>
      <c r="P8" s="21">
        <v>42090</v>
      </c>
    </row>
    <row r="9" spans="1:16" ht="15.75" x14ac:dyDescent="0.25">
      <c r="A9" s="143">
        <v>42102</v>
      </c>
      <c r="B9" s="144">
        <v>17131</v>
      </c>
      <c r="C9" s="156">
        <v>34822.720000000001</v>
      </c>
      <c r="D9" s="328" t="s">
        <v>379</v>
      </c>
      <c r="E9" s="103">
        <f>14727.5+20095.22</f>
        <v>34822.720000000001</v>
      </c>
      <c r="F9" s="155">
        <f t="shared" si="0"/>
        <v>0</v>
      </c>
      <c r="I9" s="315">
        <f>6365+28535+1498+5900</f>
        <v>42298</v>
      </c>
      <c r="J9" s="193">
        <v>16522</v>
      </c>
      <c r="K9" s="207">
        <v>42297.82</v>
      </c>
      <c r="L9" s="207"/>
      <c r="M9" s="113" t="s">
        <v>202</v>
      </c>
      <c r="N9" s="207">
        <v>16360</v>
      </c>
      <c r="O9" s="221">
        <v>42093</v>
      </c>
      <c r="P9" s="21">
        <v>42091</v>
      </c>
    </row>
    <row r="10" spans="1:16" ht="15.75" x14ac:dyDescent="0.25">
      <c r="A10" s="143">
        <v>42103</v>
      </c>
      <c r="B10" s="144">
        <v>17292</v>
      </c>
      <c r="C10" s="156">
        <v>1835</v>
      </c>
      <c r="D10" s="104">
        <v>42114</v>
      </c>
      <c r="E10" s="103">
        <v>1835</v>
      </c>
      <c r="F10" s="155">
        <f t="shared" si="0"/>
        <v>0</v>
      </c>
      <c r="I10" s="315">
        <v>3507</v>
      </c>
      <c r="J10" s="193">
        <v>16496</v>
      </c>
      <c r="K10" s="207">
        <v>3507.2</v>
      </c>
      <c r="L10" s="207"/>
      <c r="M10" s="113" t="s">
        <v>202</v>
      </c>
      <c r="N10" s="207">
        <v>5178</v>
      </c>
      <c r="O10" s="221">
        <v>42091</v>
      </c>
      <c r="P10" s="21">
        <v>42091</v>
      </c>
    </row>
    <row r="11" spans="1:16" ht="15.75" x14ac:dyDescent="0.25">
      <c r="A11" s="143">
        <v>42105</v>
      </c>
      <c r="B11" s="144">
        <v>17303</v>
      </c>
      <c r="C11" s="156">
        <v>55500.800000000003</v>
      </c>
      <c r="D11" s="104">
        <v>42114</v>
      </c>
      <c r="E11" s="103">
        <v>55500.800000000003</v>
      </c>
      <c r="F11" s="155">
        <f t="shared" si="0"/>
        <v>0</v>
      </c>
      <c r="I11" s="315">
        <f>14686+6364+39450+5980.5+20565</f>
        <v>87045.5</v>
      </c>
      <c r="J11" s="193">
        <v>16668</v>
      </c>
      <c r="K11" s="207">
        <v>87045.74</v>
      </c>
      <c r="L11" s="207"/>
      <c r="M11" s="113" t="s">
        <v>202</v>
      </c>
      <c r="N11" s="207">
        <v>12000</v>
      </c>
      <c r="O11" s="221">
        <v>42091</v>
      </c>
      <c r="P11" s="21">
        <v>42091</v>
      </c>
    </row>
    <row r="12" spans="1:16" ht="15.75" x14ac:dyDescent="0.25">
      <c r="A12" s="143">
        <v>42104</v>
      </c>
      <c r="B12" s="325">
        <v>17425</v>
      </c>
      <c r="C12" s="326">
        <v>51412.6</v>
      </c>
      <c r="D12" s="104">
        <v>42114</v>
      </c>
      <c r="E12" s="103">
        <v>51412.6</v>
      </c>
      <c r="F12" s="155">
        <f t="shared" si="0"/>
        <v>0</v>
      </c>
      <c r="I12" s="315">
        <f>35053.5+5471.5+7814</f>
        <v>48339</v>
      </c>
      <c r="J12" s="193">
        <v>16782</v>
      </c>
      <c r="K12" s="207">
        <v>48339.199999999997</v>
      </c>
      <c r="L12" s="207"/>
      <c r="M12" s="113" t="s">
        <v>202</v>
      </c>
      <c r="N12" s="207">
        <v>13000</v>
      </c>
      <c r="O12" s="221">
        <v>42091</v>
      </c>
      <c r="P12" s="21">
        <v>42091</v>
      </c>
    </row>
    <row r="13" spans="1:16" ht="15.75" x14ac:dyDescent="0.25">
      <c r="A13" s="143">
        <v>42105</v>
      </c>
      <c r="B13" s="144">
        <v>17493</v>
      </c>
      <c r="C13" s="156">
        <v>22642.2</v>
      </c>
      <c r="D13" s="276" t="s">
        <v>399</v>
      </c>
      <c r="E13" s="103">
        <f>20829.6+1812.6</f>
        <v>22642.199999999997</v>
      </c>
      <c r="F13" s="155">
        <f t="shared" si="0"/>
        <v>0</v>
      </c>
      <c r="G13" s="343" t="s">
        <v>400</v>
      </c>
      <c r="I13" s="242">
        <f>6283.5+36000</f>
        <v>42283.5</v>
      </c>
      <c r="J13" s="193">
        <v>16959</v>
      </c>
      <c r="K13" s="207">
        <v>42283.5</v>
      </c>
      <c r="L13" s="207" t="s">
        <v>242</v>
      </c>
      <c r="M13" s="113" t="s">
        <v>202</v>
      </c>
      <c r="N13" s="207">
        <v>2500</v>
      </c>
      <c r="O13" s="221">
        <v>42091</v>
      </c>
      <c r="P13" s="21">
        <v>42091</v>
      </c>
    </row>
    <row r="14" spans="1:16" ht="15.75" x14ac:dyDescent="0.25">
      <c r="A14" s="143">
        <v>42105</v>
      </c>
      <c r="B14" s="144">
        <v>17558</v>
      </c>
      <c r="C14" s="156">
        <v>21323.3</v>
      </c>
      <c r="D14" s="104">
        <v>42114</v>
      </c>
      <c r="E14" s="103">
        <v>21323.3</v>
      </c>
      <c r="F14" s="155">
        <f t="shared" si="0"/>
        <v>0</v>
      </c>
      <c r="I14" s="315">
        <v>18142.5</v>
      </c>
      <c r="J14" s="193">
        <v>17088</v>
      </c>
      <c r="K14" s="207">
        <v>18142.400000000001</v>
      </c>
      <c r="L14" s="207"/>
      <c r="M14" s="113" t="s">
        <v>202</v>
      </c>
      <c r="N14" s="207">
        <v>35047</v>
      </c>
      <c r="O14" s="221">
        <v>42091</v>
      </c>
      <c r="P14" s="21">
        <v>42091</v>
      </c>
    </row>
    <row r="15" spans="1:16" ht="15.75" x14ac:dyDescent="0.25">
      <c r="A15" s="143">
        <v>42105</v>
      </c>
      <c r="B15" s="144">
        <v>17562</v>
      </c>
      <c r="C15" s="156">
        <v>64147.23</v>
      </c>
      <c r="D15" s="104">
        <v>42114</v>
      </c>
      <c r="E15" s="103">
        <v>64147.23</v>
      </c>
      <c r="F15" s="155">
        <f t="shared" si="0"/>
        <v>0</v>
      </c>
      <c r="I15" s="315" t="s">
        <v>12</v>
      </c>
      <c r="J15" s="193">
        <v>17131</v>
      </c>
      <c r="K15" s="207">
        <v>14727.5</v>
      </c>
      <c r="L15" s="207" t="s">
        <v>242</v>
      </c>
      <c r="M15" s="113" t="s">
        <v>202</v>
      </c>
      <c r="N15" s="207">
        <v>2593.5</v>
      </c>
      <c r="O15" s="221">
        <v>42093</v>
      </c>
      <c r="P15" s="21">
        <v>42092</v>
      </c>
    </row>
    <row r="16" spans="1:16" ht="15.75" x14ac:dyDescent="0.25">
      <c r="A16" s="143">
        <v>42106</v>
      </c>
      <c r="B16" s="144">
        <v>17645</v>
      </c>
      <c r="C16" s="156">
        <v>51347.1</v>
      </c>
      <c r="D16" s="104">
        <v>42114</v>
      </c>
      <c r="E16" s="103">
        <v>51347.1</v>
      </c>
      <c r="F16" s="155">
        <f t="shared" si="0"/>
        <v>0</v>
      </c>
      <c r="I16" s="242">
        <v>0</v>
      </c>
      <c r="J16" s="193"/>
      <c r="K16" s="207"/>
      <c r="L16" s="207"/>
      <c r="M16" s="113" t="s">
        <v>202</v>
      </c>
      <c r="N16" s="207">
        <v>8076.4</v>
      </c>
      <c r="O16" s="221">
        <v>42093</v>
      </c>
      <c r="P16" s="21">
        <v>42092</v>
      </c>
    </row>
    <row r="17" spans="1:16" ht="15.75" x14ac:dyDescent="0.25">
      <c r="A17" s="143">
        <v>42107</v>
      </c>
      <c r="B17" s="144">
        <v>17724</v>
      </c>
      <c r="C17" s="156">
        <v>34876.9</v>
      </c>
      <c r="D17" s="276" t="s">
        <v>399</v>
      </c>
      <c r="E17" s="88">
        <f>15093.84+19783.06</f>
        <v>34876.9</v>
      </c>
      <c r="F17" s="155">
        <f t="shared" si="0"/>
        <v>0</v>
      </c>
      <c r="I17" s="242">
        <f>SUM(I4:I16)</f>
        <v>380193.9</v>
      </c>
      <c r="J17" s="193"/>
      <c r="K17" s="207"/>
      <c r="L17" s="207"/>
      <c r="M17" s="113" t="s">
        <v>202</v>
      </c>
      <c r="N17" s="207">
        <v>6365</v>
      </c>
      <c r="O17" s="221">
        <v>42093</v>
      </c>
      <c r="P17" s="21">
        <v>42093</v>
      </c>
    </row>
    <row r="18" spans="1:16" ht="15.75" x14ac:dyDescent="0.25">
      <c r="A18" s="143">
        <v>42108</v>
      </c>
      <c r="B18" s="144">
        <v>17836</v>
      </c>
      <c r="C18" s="156">
        <v>4078.2</v>
      </c>
      <c r="D18" s="104">
        <v>42114</v>
      </c>
      <c r="E18" s="103">
        <v>4078.2</v>
      </c>
      <c r="F18" s="155">
        <f t="shared" si="0"/>
        <v>0</v>
      </c>
      <c r="I18" s="242"/>
      <c r="J18" s="262"/>
      <c r="K18" s="207"/>
      <c r="L18" s="207"/>
      <c r="M18" s="113" t="s">
        <v>202</v>
      </c>
      <c r="N18" s="207">
        <v>28535</v>
      </c>
      <c r="O18" s="222">
        <v>42093</v>
      </c>
      <c r="P18" s="21">
        <v>42093</v>
      </c>
    </row>
    <row r="19" spans="1:16" ht="15.75" x14ac:dyDescent="0.25">
      <c r="A19" s="143">
        <v>42108</v>
      </c>
      <c r="B19" s="144">
        <v>17860</v>
      </c>
      <c r="C19" s="156">
        <v>43380.3</v>
      </c>
      <c r="D19" s="104">
        <v>42114</v>
      </c>
      <c r="E19" s="103">
        <v>43380.3</v>
      </c>
      <c r="F19" s="155">
        <f t="shared" si="0"/>
        <v>0</v>
      </c>
      <c r="I19" s="242"/>
      <c r="J19" s="262"/>
      <c r="K19" s="207"/>
      <c r="L19" s="207"/>
      <c r="M19" s="113" t="s">
        <v>202</v>
      </c>
      <c r="N19" s="207">
        <v>5900</v>
      </c>
      <c r="O19" s="222">
        <v>42094</v>
      </c>
      <c r="P19" s="21">
        <v>42093</v>
      </c>
    </row>
    <row r="20" spans="1:16" ht="15.75" x14ac:dyDescent="0.25">
      <c r="A20" s="143">
        <v>42109</v>
      </c>
      <c r="B20" s="144">
        <v>17948</v>
      </c>
      <c r="C20" s="156">
        <v>10767.3</v>
      </c>
      <c r="D20" s="104">
        <v>42114</v>
      </c>
      <c r="E20" s="103">
        <v>10767.3</v>
      </c>
      <c r="F20" s="155">
        <f t="shared" si="0"/>
        <v>0</v>
      </c>
      <c r="I20" s="242"/>
      <c r="J20" s="282"/>
      <c r="K20" s="207"/>
      <c r="L20" s="207"/>
      <c r="M20" s="113" t="s">
        <v>202</v>
      </c>
      <c r="N20" s="207">
        <v>1498</v>
      </c>
      <c r="O20" s="222">
        <v>42094</v>
      </c>
      <c r="P20" s="21">
        <v>42094</v>
      </c>
    </row>
    <row r="21" spans="1:16" ht="15.75" x14ac:dyDescent="0.25">
      <c r="A21" s="143">
        <v>42110</v>
      </c>
      <c r="B21" s="144">
        <v>17997</v>
      </c>
      <c r="C21" s="156">
        <v>47428.67</v>
      </c>
      <c r="D21" s="320">
        <v>42126</v>
      </c>
      <c r="E21" s="156">
        <v>47428.67</v>
      </c>
      <c r="F21" s="155">
        <f t="shared" si="0"/>
        <v>0</v>
      </c>
      <c r="I21" s="242"/>
      <c r="J21" s="262"/>
      <c r="K21" s="207"/>
      <c r="L21" s="207"/>
      <c r="M21" s="113" t="s">
        <v>202</v>
      </c>
      <c r="N21" s="207">
        <v>3507</v>
      </c>
      <c r="O21" s="221">
        <v>42094</v>
      </c>
      <c r="P21" s="21">
        <v>42094</v>
      </c>
    </row>
    <row r="22" spans="1:16" ht="16.5" thickBot="1" x14ac:dyDescent="0.3">
      <c r="A22" s="143">
        <v>42111</v>
      </c>
      <c r="B22" s="144">
        <v>18162</v>
      </c>
      <c r="C22" s="156">
        <v>63583.4</v>
      </c>
      <c r="D22" s="320">
        <v>42126</v>
      </c>
      <c r="E22" s="156">
        <v>63583.4</v>
      </c>
      <c r="F22" s="155">
        <f t="shared" si="0"/>
        <v>0</v>
      </c>
      <c r="I22" s="308"/>
      <c r="J22" s="262"/>
      <c r="K22" s="207"/>
      <c r="L22" s="207"/>
      <c r="M22" s="113" t="s">
        <v>202</v>
      </c>
      <c r="N22" s="207">
        <v>14686</v>
      </c>
      <c r="O22" s="221">
        <v>42095</v>
      </c>
      <c r="P22" s="252">
        <v>42095</v>
      </c>
    </row>
    <row r="23" spans="1:16" ht="16.5" thickTop="1" x14ac:dyDescent="0.25">
      <c r="A23" s="143">
        <v>42112</v>
      </c>
      <c r="B23" s="144">
        <v>18293</v>
      </c>
      <c r="C23" s="207">
        <v>55922.400000000001</v>
      </c>
      <c r="D23" s="320">
        <v>42126</v>
      </c>
      <c r="E23" s="207">
        <v>55922.400000000001</v>
      </c>
      <c r="F23" s="155">
        <f t="shared" si="0"/>
        <v>0</v>
      </c>
      <c r="I23" s="242"/>
      <c r="J23" s="263"/>
      <c r="K23" s="260"/>
      <c r="L23" s="260"/>
      <c r="M23" s="113" t="s">
        <v>202</v>
      </c>
      <c r="N23" s="207">
        <v>6364</v>
      </c>
      <c r="O23" s="221">
        <v>42095</v>
      </c>
      <c r="P23" s="252">
        <v>42095</v>
      </c>
    </row>
    <row r="24" spans="1:16" ht="15.75" x14ac:dyDescent="0.25">
      <c r="A24" s="143">
        <v>42113</v>
      </c>
      <c r="B24" s="144">
        <v>18337</v>
      </c>
      <c r="C24" s="156">
        <v>22575.56</v>
      </c>
      <c r="D24" s="320">
        <v>42126</v>
      </c>
      <c r="E24" s="156">
        <v>22575.56</v>
      </c>
      <c r="F24" s="155">
        <f t="shared" si="0"/>
        <v>0</v>
      </c>
      <c r="I24" s="242"/>
      <c r="J24" s="263"/>
      <c r="K24" s="130"/>
      <c r="L24" s="130"/>
      <c r="M24" s="191">
        <v>2720565</v>
      </c>
      <c r="N24" s="207">
        <v>39450</v>
      </c>
      <c r="O24" s="221">
        <v>42096</v>
      </c>
      <c r="P24" s="252">
        <v>42096</v>
      </c>
    </row>
    <row r="25" spans="1:16" ht="15.75" x14ac:dyDescent="0.25">
      <c r="A25" s="143">
        <v>42114</v>
      </c>
      <c r="B25" s="144">
        <v>18448</v>
      </c>
      <c r="C25" s="156">
        <v>21185.5</v>
      </c>
      <c r="D25" s="320">
        <v>42126</v>
      </c>
      <c r="E25" s="156">
        <v>21185.5</v>
      </c>
      <c r="F25" s="155">
        <f t="shared" si="0"/>
        <v>0</v>
      </c>
      <c r="I25" s="242"/>
      <c r="J25" s="262"/>
      <c r="K25" s="207"/>
      <c r="L25" s="207"/>
      <c r="M25" s="113" t="s">
        <v>202</v>
      </c>
      <c r="N25" s="214">
        <v>5980.5</v>
      </c>
      <c r="O25" s="221">
        <v>42098</v>
      </c>
      <c r="P25" s="252">
        <v>42098</v>
      </c>
    </row>
    <row r="26" spans="1:16" ht="15.75" x14ac:dyDescent="0.25">
      <c r="A26" s="143">
        <v>42115</v>
      </c>
      <c r="B26" s="144">
        <v>18556</v>
      </c>
      <c r="C26" s="156">
        <v>3756.8</v>
      </c>
      <c r="D26" s="320">
        <v>42126</v>
      </c>
      <c r="E26" s="156">
        <v>3756.8</v>
      </c>
      <c r="F26" s="155">
        <f t="shared" si="0"/>
        <v>0</v>
      </c>
      <c r="I26" s="242"/>
      <c r="J26" s="262"/>
      <c r="K26" s="207"/>
      <c r="L26" s="207"/>
      <c r="M26" s="113" t="s">
        <v>202</v>
      </c>
      <c r="N26" s="207">
        <v>35053.5</v>
      </c>
      <c r="O26" s="222">
        <v>42098</v>
      </c>
      <c r="P26" s="252">
        <v>42098</v>
      </c>
    </row>
    <row r="27" spans="1:16" ht="15.75" x14ac:dyDescent="0.25">
      <c r="A27" s="143">
        <v>42115</v>
      </c>
      <c r="B27" s="144">
        <v>18609</v>
      </c>
      <c r="C27" s="156">
        <v>55759.4</v>
      </c>
      <c r="D27" s="320">
        <v>42126</v>
      </c>
      <c r="E27" s="156">
        <v>55759.4</v>
      </c>
      <c r="F27" s="155">
        <f t="shared" si="0"/>
        <v>0</v>
      </c>
      <c r="I27" s="242"/>
      <c r="J27" s="264"/>
      <c r="K27" s="207"/>
      <c r="L27" s="207"/>
      <c r="M27" s="113" t="s">
        <v>202</v>
      </c>
      <c r="N27" s="207">
        <v>20565</v>
      </c>
      <c r="O27" s="222">
        <v>42098</v>
      </c>
      <c r="P27" s="252">
        <v>42098</v>
      </c>
    </row>
    <row r="28" spans="1:16" ht="15.75" x14ac:dyDescent="0.25">
      <c r="A28" s="143">
        <v>42116</v>
      </c>
      <c r="B28" s="144">
        <v>18687</v>
      </c>
      <c r="C28" s="156">
        <v>6453.9</v>
      </c>
      <c r="D28" s="320">
        <v>42126</v>
      </c>
      <c r="E28" s="156">
        <v>6453.9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5471.5</v>
      </c>
      <c r="O28" s="221">
        <v>42100</v>
      </c>
      <c r="P28" s="252">
        <v>42099</v>
      </c>
    </row>
    <row r="29" spans="1:16" ht="15.75" x14ac:dyDescent="0.25">
      <c r="A29" s="143">
        <v>42116</v>
      </c>
      <c r="B29" s="144">
        <v>18688</v>
      </c>
      <c r="C29" s="156">
        <v>24740.1</v>
      </c>
      <c r="D29" s="320">
        <v>42126</v>
      </c>
      <c r="E29" s="156">
        <v>24740.1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07">
        <v>7814</v>
      </c>
      <c r="O29" s="221">
        <v>42100</v>
      </c>
      <c r="P29" s="252">
        <v>42099</v>
      </c>
    </row>
    <row r="30" spans="1:16" ht="15.75" x14ac:dyDescent="0.25">
      <c r="A30" s="143">
        <v>42117</v>
      </c>
      <c r="B30" s="144">
        <v>18754</v>
      </c>
      <c r="C30" s="156">
        <v>87301.5</v>
      </c>
      <c r="D30" s="320">
        <v>42126</v>
      </c>
      <c r="E30" s="156">
        <v>87301.5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6283.5</v>
      </c>
      <c r="O30" s="221">
        <v>42100</v>
      </c>
      <c r="P30" s="252">
        <v>42100</v>
      </c>
    </row>
    <row r="31" spans="1:16" ht="15.75" x14ac:dyDescent="0.25">
      <c r="A31" s="143">
        <v>42118</v>
      </c>
      <c r="B31" s="144">
        <v>18943</v>
      </c>
      <c r="C31" s="156">
        <v>13911.88</v>
      </c>
      <c r="D31" s="320">
        <v>42126</v>
      </c>
      <c r="E31" s="156">
        <v>13911.88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36000</v>
      </c>
      <c r="O31" s="221">
        <v>42100</v>
      </c>
      <c r="P31" s="252">
        <v>42100</v>
      </c>
    </row>
    <row r="32" spans="1:16" ht="15.75" x14ac:dyDescent="0.25">
      <c r="A32" s="143">
        <v>42118</v>
      </c>
      <c r="B32" s="144">
        <v>18951</v>
      </c>
      <c r="C32" s="156">
        <v>22506.12</v>
      </c>
      <c r="D32" s="320">
        <v>42126</v>
      </c>
      <c r="E32" s="156">
        <v>22506.12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8121.5</v>
      </c>
      <c r="O32" s="221">
        <v>42101</v>
      </c>
      <c r="P32" s="252">
        <v>42101</v>
      </c>
    </row>
    <row r="33" spans="1:16" ht="15.75" x14ac:dyDescent="0.25">
      <c r="A33" s="143">
        <v>42119</v>
      </c>
      <c r="B33" s="144">
        <v>19030</v>
      </c>
      <c r="C33" s="156">
        <v>10343.799999999999</v>
      </c>
      <c r="D33" s="320">
        <v>42126</v>
      </c>
      <c r="E33" s="156">
        <v>10343.799999999999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18142.5</v>
      </c>
      <c r="O33" s="221">
        <v>42101</v>
      </c>
      <c r="P33" s="252">
        <v>42101</v>
      </c>
    </row>
    <row r="34" spans="1:16" ht="15.75" x14ac:dyDescent="0.25">
      <c r="A34" s="143">
        <v>42119</v>
      </c>
      <c r="B34" s="144">
        <v>19032</v>
      </c>
      <c r="C34" s="156">
        <v>89228.52</v>
      </c>
      <c r="D34" s="320">
        <v>42126</v>
      </c>
      <c r="E34" s="156">
        <v>89228.52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6606</v>
      </c>
      <c r="O34" s="221">
        <v>42101</v>
      </c>
      <c r="P34" s="252">
        <v>42101</v>
      </c>
    </row>
    <row r="35" spans="1:16" ht="15.75" x14ac:dyDescent="0.25">
      <c r="A35" s="143">
        <v>42121</v>
      </c>
      <c r="B35" s="144">
        <v>19213</v>
      </c>
      <c r="C35" s="156">
        <v>32688.560000000001</v>
      </c>
      <c r="D35" s="320">
        <v>42126</v>
      </c>
      <c r="E35" s="156">
        <v>32688.560000000001</v>
      </c>
      <c r="F35" s="155">
        <f t="shared" si="0"/>
        <v>0</v>
      </c>
      <c r="I35" s="153"/>
      <c r="J35" s="206"/>
      <c r="K35" s="207"/>
      <c r="L35" s="207"/>
      <c r="M35" s="113"/>
      <c r="N35" s="207">
        <v>0</v>
      </c>
      <c r="O35" s="222"/>
      <c r="P35" s="252"/>
    </row>
    <row r="36" spans="1:16" ht="15.75" x14ac:dyDescent="0.25">
      <c r="A36" s="143">
        <v>42122</v>
      </c>
      <c r="B36" s="144">
        <v>19302</v>
      </c>
      <c r="C36" s="156">
        <v>42464.5</v>
      </c>
      <c r="D36" s="320">
        <v>42126</v>
      </c>
      <c r="E36" s="156">
        <v>42464.5</v>
      </c>
      <c r="F36" s="155">
        <f t="shared" si="0"/>
        <v>0</v>
      </c>
      <c r="I36" s="153"/>
      <c r="J36" s="193"/>
      <c r="K36" s="207"/>
      <c r="L36" s="207"/>
      <c r="M36" s="113"/>
      <c r="N36" s="207">
        <v>0</v>
      </c>
      <c r="O36" s="221"/>
      <c r="P36" s="252"/>
    </row>
    <row r="37" spans="1:16" ht="15.75" x14ac:dyDescent="0.25">
      <c r="A37" s="143">
        <v>42123</v>
      </c>
      <c r="B37" s="292">
        <v>19455</v>
      </c>
      <c r="C37" s="157">
        <v>54450.1</v>
      </c>
      <c r="D37" s="276" t="s">
        <v>424</v>
      </c>
      <c r="E37" s="157">
        <f>29849.49+24600.61</f>
        <v>54450.100000000006</v>
      </c>
      <c r="F37" s="155">
        <f t="shared" si="0"/>
        <v>0</v>
      </c>
      <c r="I37" s="153"/>
      <c r="J37" s="196"/>
      <c r="K37" s="121">
        <v>0</v>
      </c>
      <c r="L37" s="121"/>
      <c r="M37" s="113"/>
      <c r="N37" s="121">
        <v>0</v>
      </c>
      <c r="O37" s="119"/>
      <c r="P37" s="252"/>
    </row>
    <row r="38" spans="1:16" ht="18.75" x14ac:dyDescent="0.3">
      <c r="A38" s="143">
        <v>42124</v>
      </c>
      <c r="B38" s="292">
        <v>19536</v>
      </c>
      <c r="C38" s="157">
        <v>84750.48</v>
      </c>
      <c r="D38" s="298">
        <v>42140</v>
      </c>
      <c r="E38" s="88">
        <v>84750.48</v>
      </c>
      <c r="F38" s="155">
        <f t="shared" si="0"/>
        <v>0</v>
      </c>
      <c r="I38" s="153"/>
      <c r="K38" s="131">
        <f>SUM(K4:K37)</f>
        <v>394921.66000000003</v>
      </c>
      <c r="L38" s="131"/>
      <c r="M38" s="131"/>
      <c r="N38" s="131">
        <f>SUM(N4:N37)</f>
        <v>394921.4</v>
      </c>
      <c r="P38" s="252"/>
    </row>
    <row r="39" spans="1:16" ht="15.75" x14ac:dyDescent="0.25">
      <c r="A39" s="143"/>
      <c r="B39" s="292"/>
      <c r="C39" s="157"/>
      <c r="D39" s="298"/>
      <c r="E39" s="88"/>
      <c r="F39" s="155">
        <f t="shared" si="0"/>
        <v>0</v>
      </c>
      <c r="I39" s="153"/>
      <c r="J39" s="28"/>
      <c r="K39" s="88"/>
      <c r="L39" s="88"/>
      <c r="M39" s="135"/>
      <c r="N39" s="88"/>
      <c r="O39" s="250"/>
      <c r="P39" s="252"/>
    </row>
    <row r="40" spans="1:16" ht="15.75" customHeight="1" x14ac:dyDescent="0.25">
      <c r="A40" s="143"/>
      <c r="B40" s="292"/>
      <c r="C40" s="157"/>
      <c r="D40" s="298"/>
      <c r="E40" s="88"/>
      <c r="F40" s="241">
        <f t="shared" si="0"/>
        <v>0</v>
      </c>
      <c r="I40" s="153"/>
      <c r="J40" s="13"/>
      <c r="K40" s="56"/>
      <c r="L40" s="56"/>
      <c r="M40" s="56"/>
      <c r="N40" s="56"/>
      <c r="O40" s="13"/>
      <c r="P40" s="28"/>
    </row>
    <row r="41" spans="1:16" ht="15.75" customHeight="1" x14ac:dyDescent="0.25">
      <c r="A41" s="305"/>
      <c r="B41" s="306"/>
      <c r="C41" s="88"/>
      <c r="D41" s="299"/>
      <c r="E41" s="88"/>
      <c r="F41" s="241">
        <f t="shared" si="0"/>
        <v>0</v>
      </c>
      <c r="I41" s="153"/>
      <c r="P41" s="28"/>
    </row>
    <row r="42" spans="1:16" ht="15.75" x14ac:dyDescent="0.25">
      <c r="A42" s="143"/>
      <c r="B42" s="307"/>
      <c r="C42" s="207"/>
      <c r="D42" s="299"/>
      <c r="E42" s="88"/>
      <c r="F42" s="241">
        <f t="shared" si="0"/>
        <v>0</v>
      </c>
      <c r="I42" s="49"/>
      <c r="J42" s="104"/>
      <c r="K42" s="288">
        <v>42114</v>
      </c>
      <c r="L42" s="215"/>
      <c r="M42" s="134" t="s">
        <v>200</v>
      </c>
      <c r="N42" s="88"/>
    </row>
    <row r="43" spans="1:16" x14ac:dyDescent="0.25">
      <c r="A43" s="143"/>
      <c r="B43" s="307"/>
      <c r="C43" s="207"/>
      <c r="D43" s="299"/>
      <c r="E43" s="88"/>
      <c r="F43" s="241">
        <f t="shared" si="0"/>
        <v>0</v>
      </c>
      <c r="I43" s="49"/>
      <c r="J43" s="104"/>
      <c r="K43" s="103"/>
      <c r="L43" s="103"/>
      <c r="M43" s="103"/>
      <c r="N43" s="213"/>
    </row>
    <row r="44" spans="1:16" ht="15.75" x14ac:dyDescent="0.25">
      <c r="A44" s="143"/>
      <c r="B44" s="282"/>
      <c r="C44" s="207"/>
      <c r="D44" s="299"/>
      <c r="E44" s="88"/>
      <c r="F44" s="241">
        <f t="shared" si="0"/>
        <v>0</v>
      </c>
      <c r="I44" s="49">
        <v>5880</v>
      </c>
      <c r="J44" s="193">
        <v>16025</v>
      </c>
      <c r="K44" s="130">
        <v>5879.87</v>
      </c>
      <c r="L44" s="130"/>
      <c r="M44" s="113" t="s">
        <v>202</v>
      </c>
      <c r="N44" s="214">
        <v>721.5</v>
      </c>
      <c r="O44" s="221">
        <v>42103</v>
      </c>
      <c r="P44" s="21">
        <v>42100</v>
      </c>
    </row>
    <row r="45" spans="1:16" ht="16.5" customHeight="1" x14ac:dyDescent="0.25">
      <c r="A45" s="143"/>
      <c r="B45" s="293"/>
      <c r="C45" s="130"/>
      <c r="D45" s="104"/>
      <c r="E45" s="103"/>
      <c r="F45" s="241">
        <f t="shared" si="0"/>
        <v>0</v>
      </c>
      <c r="I45" s="103">
        <v>1123.3499999999999</v>
      </c>
      <c r="J45" s="194">
        <v>16197</v>
      </c>
      <c r="K45" s="207">
        <v>1123.3499999999999</v>
      </c>
      <c r="L45" s="207"/>
      <c r="M45" s="113" t="s">
        <v>202</v>
      </c>
      <c r="N45" s="207">
        <v>13083</v>
      </c>
      <c r="O45" s="221">
        <v>42102</v>
      </c>
      <c r="P45" s="21">
        <v>42102</v>
      </c>
    </row>
    <row r="46" spans="1:16" ht="15.75" x14ac:dyDescent="0.25">
      <c r="A46" s="143"/>
      <c r="B46" s="293"/>
      <c r="C46" s="130"/>
      <c r="D46" s="104"/>
      <c r="E46" s="103"/>
      <c r="F46" s="241">
        <f t="shared" si="0"/>
        <v>0</v>
      </c>
      <c r="I46" s="49">
        <v>721.5</v>
      </c>
      <c r="J46" s="193">
        <v>16959</v>
      </c>
      <c r="K46" s="207">
        <v>721.64</v>
      </c>
      <c r="L46" s="207"/>
      <c r="M46" s="113" t="s">
        <v>202</v>
      </c>
      <c r="N46" s="207">
        <v>7012.5</v>
      </c>
      <c r="O46" s="221">
        <v>42102</v>
      </c>
      <c r="P46" s="21">
        <v>42102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9">
        <f>13083+7012.5</f>
        <v>20095.5</v>
      </c>
      <c r="J47" s="193">
        <v>17131</v>
      </c>
      <c r="K47" s="130">
        <v>20095.22</v>
      </c>
      <c r="L47" s="130"/>
      <c r="M47" s="113" t="s">
        <v>202</v>
      </c>
      <c r="N47" s="207">
        <v>5880</v>
      </c>
      <c r="O47" s="221">
        <v>42103</v>
      </c>
      <c r="P47" s="21">
        <v>42103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9">
        <v>1835</v>
      </c>
      <c r="J48" s="193">
        <v>17292</v>
      </c>
      <c r="K48" s="130">
        <v>1835</v>
      </c>
      <c r="L48" s="130"/>
      <c r="M48" s="113" t="s">
        <v>202</v>
      </c>
      <c r="N48" s="207">
        <v>25569.5</v>
      </c>
      <c r="O48" s="221">
        <v>42103</v>
      </c>
      <c r="P48" s="21">
        <v>42103</v>
      </c>
    </row>
    <row r="49" spans="1:16" ht="15.75" x14ac:dyDescent="0.25">
      <c r="A49" s="285"/>
      <c r="B49" s="290"/>
      <c r="C49" s="150"/>
      <c r="D49" s="300"/>
      <c r="E49" s="121"/>
      <c r="F49" s="150"/>
      <c r="I49" s="49">
        <f>25569.5+6305.5+18347+5279</f>
        <v>55501</v>
      </c>
      <c r="J49" s="193">
        <v>17303</v>
      </c>
      <c r="K49" s="207">
        <v>55500.800000000003</v>
      </c>
      <c r="L49" s="207"/>
      <c r="M49" s="113" t="s">
        <v>202</v>
      </c>
      <c r="N49" s="207">
        <v>1835</v>
      </c>
      <c r="O49" s="221">
        <v>42103</v>
      </c>
      <c r="P49" s="21">
        <v>42103</v>
      </c>
    </row>
    <row r="50" spans="1:16" ht="15.75" x14ac:dyDescent="0.25">
      <c r="A50" s="286"/>
      <c r="B50" s="291"/>
      <c r="C50" s="150"/>
      <c r="D50" s="159"/>
      <c r="E50" s="150"/>
      <c r="F50" s="150"/>
      <c r="I50" s="49">
        <f>3101.5+5651.5+11485.5+31174</f>
        <v>51412.5</v>
      </c>
      <c r="J50" s="193">
        <v>17425</v>
      </c>
      <c r="K50" s="207">
        <v>51412.6</v>
      </c>
      <c r="L50" s="324" t="s">
        <v>375</v>
      </c>
      <c r="M50" s="113" t="s">
        <v>202</v>
      </c>
      <c r="N50" s="207">
        <v>6305.5</v>
      </c>
      <c r="O50" s="221">
        <v>42103</v>
      </c>
      <c r="P50" s="21">
        <v>42103</v>
      </c>
    </row>
    <row r="51" spans="1:16" ht="15.75" x14ac:dyDescent="0.25">
      <c r="A51" s="286"/>
      <c r="B51" s="291"/>
      <c r="C51" s="150"/>
      <c r="D51" s="159"/>
      <c r="E51" s="150"/>
      <c r="F51" s="150"/>
      <c r="I51" s="49">
        <v>20829.5</v>
      </c>
      <c r="J51" s="193">
        <v>17493</v>
      </c>
      <c r="K51" s="322">
        <v>20829.599999999999</v>
      </c>
      <c r="L51" s="321" t="s">
        <v>374</v>
      </c>
      <c r="M51" s="113" t="s">
        <v>202</v>
      </c>
      <c r="N51" s="323">
        <v>31174</v>
      </c>
      <c r="O51" s="221">
        <v>42104</v>
      </c>
      <c r="P51" s="21">
        <v>42104</v>
      </c>
    </row>
    <row r="52" spans="1:16" ht="15.75" x14ac:dyDescent="0.25">
      <c r="A52" s="285"/>
      <c r="B52" s="290"/>
      <c r="C52" s="150"/>
      <c r="D52" s="300"/>
      <c r="E52" s="121"/>
      <c r="F52" s="150"/>
      <c r="I52" s="49">
        <f>20533.5+790</f>
        <v>21323.5</v>
      </c>
      <c r="J52" s="193">
        <v>17558</v>
      </c>
      <c r="K52" s="207">
        <v>21323.3</v>
      </c>
      <c r="L52" s="207"/>
      <c r="M52" s="113" t="s">
        <v>202</v>
      </c>
      <c r="N52" s="207">
        <v>18347</v>
      </c>
      <c r="O52" s="221">
        <v>42104</v>
      </c>
      <c r="P52" s="21">
        <v>42104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9">
        <f>6453+55657+2037</f>
        <v>64147</v>
      </c>
      <c r="J53" s="193">
        <v>17562</v>
      </c>
      <c r="K53" s="207">
        <v>64147.23</v>
      </c>
      <c r="L53" s="207"/>
      <c r="M53" s="113" t="s">
        <v>202</v>
      </c>
      <c r="N53" s="207">
        <v>5279</v>
      </c>
      <c r="O53" s="221">
        <v>42104</v>
      </c>
      <c r="P53" s="21">
        <v>42104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9">
        <f>29000+8000+6649+7698</f>
        <v>51347</v>
      </c>
      <c r="J54" s="193">
        <v>17645</v>
      </c>
      <c r="K54" s="207">
        <v>51347.1</v>
      </c>
      <c r="L54" s="207"/>
      <c r="M54" s="113" t="s">
        <v>202</v>
      </c>
      <c r="N54" s="207">
        <v>20829.5</v>
      </c>
      <c r="O54" s="221">
        <v>42105</v>
      </c>
      <c r="P54" s="21">
        <v>42105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9">
        <f>15093.5</f>
        <v>15093.5</v>
      </c>
      <c r="J55" s="193">
        <v>17724</v>
      </c>
      <c r="K55" s="207">
        <v>15093.84</v>
      </c>
      <c r="L55" s="207" t="s">
        <v>376</v>
      </c>
      <c r="M55" s="113" t="s">
        <v>202</v>
      </c>
      <c r="N55" s="207">
        <v>20533.5</v>
      </c>
      <c r="O55" s="221">
        <v>42105</v>
      </c>
      <c r="P55" s="21">
        <v>42105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9">
        <v>4078</v>
      </c>
      <c r="J56" s="193">
        <v>17836</v>
      </c>
      <c r="K56" s="207">
        <v>4078.2</v>
      </c>
      <c r="L56" s="207"/>
      <c r="M56" s="113" t="s">
        <v>202</v>
      </c>
      <c r="N56" s="323">
        <v>11485.5</v>
      </c>
      <c r="O56" s="221">
        <v>42105</v>
      </c>
      <c r="P56" s="21">
        <v>42105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9">
        <f>16511.5+6962.5+5403.5+14503</f>
        <v>43380.5</v>
      </c>
      <c r="J57" s="193">
        <v>17860</v>
      </c>
      <c r="K57" s="207">
        <v>43380.3</v>
      </c>
      <c r="L57" s="207"/>
      <c r="M57" s="113" t="s">
        <v>202</v>
      </c>
      <c r="N57" s="323">
        <v>5651.5</v>
      </c>
      <c r="O57" s="221">
        <v>42105</v>
      </c>
      <c r="P57" s="21">
        <v>42105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9">
        <v>10767.5</v>
      </c>
      <c r="J58" s="193">
        <v>17948</v>
      </c>
      <c r="K58" s="207">
        <v>10767.3</v>
      </c>
      <c r="L58" s="207"/>
      <c r="M58" s="113" t="s">
        <v>202</v>
      </c>
      <c r="N58" s="207">
        <v>790</v>
      </c>
      <c r="O58" s="222">
        <v>42107</v>
      </c>
      <c r="P58" s="21">
        <v>42106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9">
        <v>0</v>
      </c>
      <c r="J59" s="262"/>
      <c r="K59" s="207"/>
      <c r="L59" s="207"/>
      <c r="M59" s="113" t="s">
        <v>202</v>
      </c>
      <c r="N59" s="207">
        <v>6453</v>
      </c>
      <c r="O59" s="222">
        <v>42107</v>
      </c>
      <c r="P59" s="21">
        <v>42106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88">
        <f>SUM(I44:I59)</f>
        <v>367535.35</v>
      </c>
      <c r="J60" s="282"/>
      <c r="K60" s="207"/>
      <c r="L60" s="207"/>
      <c r="M60" s="113" t="s">
        <v>202</v>
      </c>
      <c r="N60" s="207">
        <v>55657</v>
      </c>
      <c r="O60" s="222">
        <v>42107</v>
      </c>
      <c r="P60" s="21">
        <v>42106</v>
      </c>
    </row>
    <row r="61" spans="1:16" ht="16.5" thickTop="1" x14ac:dyDescent="0.25">
      <c r="C61" s="58">
        <f>SUM(C5:C60)</f>
        <v>1331717.3200000003</v>
      </c>
      <c r="D61" s="58"/>
      <c r="E61" s="58">
        <f>SUM(E5:E60)</f>
        <v>1331717.3200000003</v>
      </c>
      <c r="F61" s="43">
        <f>SUM(F5:F60)</f>
        <v>0</v>
      </c>
      <c r="H61" s="28"/>
      <c r="I61" s="49"/>
      <c r="J61" s="262"/>
      <c r="K61" s="207"/>
      <c r="L61" s="207"/>
      <c r="M61" s="113" t="s">
        <v>202</v>
      </c>
      <c r="N61" s="207">
        <v>2037</v>
      </c>
      <c r="O61" s="221">
        <v>42107</v>
      </c>
      <c r="P61" s="21">
        <v>42107</v>
      </c>
    </row>
    <row r="62" spans="1:16" ht="15.75" x14ac:dyDescent="0.25">
      <c r="A62" s="342"/>
      <c r="B62"/>
      <c r="D62"/>
      <c r="E62" s="43"/>
      <c r="H62" s="28"/>
      <c r="I62" s="49"/>
      <c r="J62" s="262"/>
      <c r="K62" s="207"/>
      <c r="L62" s="207"/>
      <c r="M62" s="113" t="s">
        <v>202</v>
      </c>
      <c r="N62" s="207">
        <v>29000</v>
      </c>
      <c r="O62" s="221">
        <v>42107</v>
      </c>
      <c r="P62" s="252">
        <v>42107</v>
      </c>
    </row>
    <row r="63" spans="1:16" ht="15.75" x14ac:dyDescent="0.25">
      <c r="A63" s="342"/>
      <c r="B63"/>
      <c r="D63"/>
      <c r="E63" s="43"/>
      <c r="H63" s="28"/>
      <c r="I63" s="49"/>
      <c r="J63" s="263"/>
      <c r="K63" s="260"/>
      <c r="L63" s="260"/>
      <c r="M63" s="113" t="s">
        <v>202</v>
      </c>
      <c r="N63" s="207">
        <v>8000</v>
      </c>
      <c r="O63" s="221">
        <v>42109</v>
      </c>
      <c r="P63" s="252">
        <v>42107</v>
      </c>
    </row>
    <row r="64" spans="1:16" ht="15.75" x14ac:dyDescent="0.25">
      <c r="A64" s="342"/>
      <c r="B64"/>
      <c r="D64"/>
      <c r="E64" s="43"/>
      <c r="H64" s="28"/>
      <c r="I64" s="49"/>
      <c r="J64" s="263"/>
      <c r="K64" s="130"/>
      <c r="L64" s="130"/>
      <c r="M64" s="191" t="s">
        <v>202</v>
      </c>
      <c r="N64" s="207">
        <v>6649</v>
      </c>
      <c r="O64" s="221">
        <v>42107</v>
      </c>
      <c r="P64" s="252">
        <v>42107</v>
      </c>
    </row>
    <row r="65" spans="1:16" ht="15.75" x14ac:dyDescent="0.25">
      <c r="A65" s="342"/>
      <c r="B65"/>
      <c r="D65"/>
      <c r="E65" s="43"/>
      <c r="H65" s="28"/>
      <c r="I65" s="49"/>
      <c r="J65" s="262"/>
      <c r="K65" s="207"/>
      <c r="L65" s="207"/>
      <c r="M65" s="113" t="s">
        <v>202</v>
      </c>
      <c r="N65" s="214">
        <v>16511.5</v>
      </c>
      <c r="O65" s="221">
        <v>42108</v>
      </c>
      <c r="P65" s="252">
        <v>42108</v>
      </c>
    </row>
    <row r="66" spans="1:16" ht="15.75" x14ac:dyDescent="0.25">
      <c r="A66" s="342"/>
      <c r="B66"/>
      <c r="D66"/>
      <c r="E66" s="43"/>
      <c r="H66" s="28"/>
      <c r="I66" s="49"/>
      <c r="J66" s="262"/>
      <c r="K66" s="207"/>
      <c r="L66" s="207"/>
      <c r="M66" s="113" t="s">
        <v>202</v>
      </c>
      <c r="N66" s="207">
        <v>7698</v>
      </c>
      <c r="O66" s="222">
        <v>42108</v>
      </c>
      <c r="P66" s="252">
        <v>42108</v>
      </c>
    </row>
    <row r="67" spans="1:16" ht="15.75" x14ac:dyDescent="0.25">
      <c r="A67" s="342"/>
      <c r="B67"/>
      <c r="D67"/>
      <c r="E67" s="43"/>
      <c r="H67" s="28"/>
      <c r="I67" s="49"/>
      <c r="J67" s="264"/>
      <c r="K67" s="207"/>
      <c r="L67" s="207"/>
      <c r="M67" s="113" t="s">
        <v>202</v>
      </c>
      <c r="N67" s="207">
        <v>4078</v>
      </c>
      <c r="O67" s="222">
        <v>42108</v>
      </c>
      <c r="P67" s="252">
        <v>42108</v>
      </c>
    </row>
    <row r="68" spans="1:16" ht="15.75" x14ac:dyDescent="0.25">
      <c r="A68" s="342"/>
      <c r="B68"/>
      <c r="D68"/>
      <c r="E68" s="43"/>
      <c r="H68" s="28"/>
      <c r="I68" s="49"/>
      <c r="J68" s="264"/>
      <c r="K68" s="130"/>
      <c r="L68" s="130"/>
      <c r="M68" s="113" t="s">
        <v>202</v>
      </c>
      <c r="N68" s="207">
        <v>6962.5</v>
      </c>
      <c r="O68" s="221">
        <v>42108</v>
      </c>
      <c r="P68" s="252">
        <v>42108</v>
      </c>
    </row>
    <row r="69" spans="1:16" ht="15.75" x14ac:dyDescent="0.25">
      <c r="A69" s="342"/>
      <c r="B69"/>
      <c r="D69"/>
      <c r="E69" s="43"/>
      <c r="H69" s="28"/>
      <c r="I69" s="49"/>
      <c r="J69" s="193"/>
      <c r="K69" s="207"/>
      <c r="L69" s="207"/>
      <c r="M69" s="113" t="s">
        <v>202</v>
      </c>
      <c r="N69" s="207">
        <v>5403.5</v>
      </c>
      <c r="O69" s="221">
        <v>42109</v>
      </c>
      <c r="P69" s="252">
        <v>42109</v>
      </c>
    </row>
    <row r="70" spans="1:16" ht="15.75" x14ac:dyDescent="0.25">
      <c r="A70" s="342"/>
      <c r="B70"/>
      <c r="D70"/>
      <c r="E70" s="43"/>
      <c r="H70" s="28"/>
      <c r="I70" s="153"/>
      <c r="J70" s="193"/>
      <c r="K70" s="207"/>
      <c r="L70" s="207"/>
      <c r="M70" s="113" t="s">
        <v>202</v>
      </c>
      <c r="N70" s="214">
        <v>10767.5</v>
      </c>
      <c r="O70" s="221">
        <v>42109</v>
      </c>
      <c r="P70" s="252">
        <v>42109</v>
      </c>
    </row>
    <row r="71" spans="1:16" ht="15.75" x14ac:dyDescent="0.25">
      <c r="A71" s="342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14503</v>
      </c>
      <c r="O71" s="221">
        <v>42109</v>
      </c>
      <c r="P71" s="252">
        <v>42109</v>
      </c>
    </row>
    <row r="72" spans="1:16" ht="15.75" x14ac:dyDescent="0.25">
      <c r="A72" s="342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15093.5</v>
      </c>
      <c r="O72" s="221">
        <v>42109</v>
      </c>
      <c r="P72" s="252">
        <v>42109</v>
      </c>
    </row>
    <row r="73" spans="1:16" ht="15.75" x14ac:dyDescent="0.25">
      <c r="A73" s="342"/>
      <c r="B73"/>
      <c r="D73"/>
      <c r="E73" s="43"/>
      <c r="H73" s="28"/>
      <c r="I73" s="153"/>
      <c r="J73" s="193"/>
      <c r="K73" s="207"/>
      <c r="L73" s="207"/>
      <c r="M73" s="113" t="s">
        <v>372</v>
      </c>
      <c r="N73" s="207">
        <v>1123.3499999999999</v>
      </c>
      <c r="O73" s="221" t="s">
        <v>373</v>
      </c>
      <c r="P73" s="252"/>
    </row>
    <row r="74" spans="1:16" ht="15.75" x14ac:dyDescent="0.25">
      <c r="A74" s="342"/>
      <c r="B74"/>
      <c r="D74"/>
      <c r="E74" s="43"/>
      <c r="H74" s="28"/>
      <c r="I74" s="153"/>
      <c r="J74" s="206"/>
      <c r="K74" s="207"/>
      <c r="L74" s="207"/>
      <c r="M74" s="113" t="s">
        <v>370</v>
      </c>
      <c r="N74" s="207">
        <v>3101.5</v>
      </c>
      <c r="O74" s="221" t="s">
        <v>371</v>
      </c>
      <c r="P74" s="252"/>
    </row>
    <row r="75" spans="1:16" ht="15.75" x14ac:dyDescent="0.25">
      <c r="H75" s="28"/>
      <c r="I75" s="153"/>
      <c r="J75" s="206"/>
      <c r="K75" s="207"/>
      <c r="L75" s="207"/>
      <c r="M75" s="113"/>
      <c r="N75" s="207">
        <v>0</v>
      </c>
      <c r="O75" s="222"/>
      <c r="P75" s="252"/>
    </row>
    <row r="76" spans="1:16" ht="15.75" x14ac:dyDescent="0.25">
      <c r="I76" s="153"/>
      <c r="J76" s="193"/>
      <c r="K76" s="207"/>
      <c r="L76" s="207"/>
      <c r="M76" s="113"/>
      <c r="N76" s="207">
        <v>0</v>
      </c>
      <c r="O76" s="221"/>
      <c r="P76" s="252"/>
    </row>
    <row r="77" spans="1:16" ht="15.75" x14ac:dyDescent="0.25">
      <c r="I77" s="153"/>
      <c r="J77" s="196"/>
      <c r="K77" s="121">
        <v>0</v>
      </c>
      <c r="L77" s="121"/>
      <c r="M77" s="113"/>
      <c r="N77" s="121">
        <v>0</v>
      </c>
      <c r="O77" s="119"/>
      <c r="P77" s="252"/>
    </row>
    <row r="78" spans="1:16" ht="18.75" x14ac:dyDescent="0.3">
      <c r="I78" s="153"/>
      <c r="K78" s="131">
        <f>SUM(K44:K77)</f>
        <v>367535.35000000003</v>
      </c>
      <c r="L78" s="131"/>
      <c r="M78" s="131"/>
      <c r="N78" s="131">
        <f>SUM(N44:N77)</f>
        <v>367535.35</v>
      </c>
      <c r="P78" s="252"/>
    </row>
    <row r="79" spans="1:16" ht="15.75" x14ac:dyDescent="0.25">
      <c r="I79" s="153"/>
      <c r="J79" s="28"/>
      <c r="K79" s="88"/>
      <c r="L79" s="88"/>
      <c r="M79" s="135"/>
      <c r="N79" s="88"/>
      <c r="O79" s="250"/>
      <c r="P79" s="252"/>
    </row>
    <row r="80" spans="1:16" ht="15.75" x14ac:dyDescent="0.25">
      <c r="I80" s="153"/>
      <c r="J80" s="249"/>
      <c r="K80" s="88"/>
      <c r="L80" s="88"/>
      <c r="M80" s="135"/>
      <c r="N80" s="88"/>
      <c r="O80" s="250"/>
      <c r="P80" s="252"/>
    </row>
    <row r="81" spans="1:16" ht="15.75" x14ac:dyDescent="0.25">
      <c r="A81" s="342"/>
      <c r="B81"/>
      <c r="C81"/>
      <c r="D81"/>
      <c r="E81"/>
      <c r="F81"/>
      <c r="I81" s="49"/>
      <c r="J81" s="104"/>
      <c r="K81" s="333">
        <v>42126</v>
      </c>
      <c r="L81" s="215"/>
      <c r="M81" s="134" t="s">
        <v>200</v>
      </c>
      <c r="N81" s="88"/>
    </row>
    <row r="82" spans="1:16" x14ac:dyDescent="0.25">
      <c r="A82" s="342"/>
      <c r="B82"/>
      <c r="C82"/>
      <c r="D82"/>
      <c r="E82"/>
      <c r="F82"/>
      <c r="I82" s="49"/>
      <c r="J82" s="104"/>
      <c r="K82" s="103"/>
      <c r="L82" s="103"/>
      <c r="M82" s="103"/>
      <c r="N82" s="213"/>
    </row>
    <row r="83" spans="1:16" ht="34.5" x14ac:dyDescent="0.25">
      <c r="A83" s="342"/>
      <c r="B83"/>
      <c r="C83"/>
      <c r="D83"/>
      <c r="E83"/>
      <c r="F83"/>
      <c r="I83" s="49"/>
      <c r="J83" s="193">
        <v>17493</v>
      </c>
      <c r="K83" s="130">
        <v>1812.6</v>
      </c>
      <c r="L83" s="335" t="s">
        <v>395</v>
      </c>
      <c r="M83" s="113" t="s">
        <v>202</v>
      </c>
      <c r="N83" s="214">
        <v>33216.5</v>
      </c>
      <c r="O83" s="221">
        <v>42110</v>
      </c>
      <c r="P83" s="281"/>
    </row>
    <row r="84" spans="1:16" ht="15.75" x14ac:dyDescent="0.25">
      <c r="A84" s="342"/>
      <c r="B84"/>
      <c r="C84"/>
      <c r="D84"/>
      <c r="E84"/>
      <c r="F84"/>
      <c r="I84" s="103">
        <f>5186.5+14597</f>
        <v>19783.5</v>
      </c>
      <c r="J84" s="194">
        <v>17724</v>
      </c>
      <c r="K84" s="207">
        <v>19783.400000000001</v>
      </c>
      <c r="L84" s="207"/>
      <c r="M84" s="113" t="s">
        <v>202</v>
      </c>
      <c r="N84" s="207">
        <v>14597</v>
      </c>
      <c r="O84" s="221">
        <v>42110</v>
      </c>
      <c r="P84" s="281"/>
    </row>
    <row r="85" spans="1:16" ht="15.75" x14ac:dyDescent="0.25">
      <c r="A85" s="342"/>
      <c r="B85"/>
      <c r="C85"/>
      <c r="D85"/>
      <c r="E85"/>
      <c r="F85"/>
      <c r="I85" s="49">
        <f>4893.5+9318.5+33216.5</f>
        <v>47428.5</v>
      </c>
      <c r="J85" s="144">
        <v>17997</v>
      </c>
      <c r="K85" s="156">
        <v>47428.67</v>
      </c>
      <c r="L85" s="207"/>
      <c r="M85" s="113" t="s">
        <v>202</v>
      </c>
      <c r="N85" s="207">
        <v>5186.5</v>
      </c>
      <c r="O85" s="221">
        <v>42110</v>
      </c>
      <c r="P85" s="281"/>
    </row>
    <row r="86" spans="1:16" ht="15.75" x14ac:dyDescent="0.25">
      <c r="A86" s="342"/>
      <c r="B86"/>
      <c r="C86"/>
      <c r="D86"/>
      <c r="E86"/>
      <c r="F86"/>
      <c r="I86" s="49">
        <f>5245.5+23050+35288</f>
        <v>63583.5</v>
      </c>
      <c r="J86" s="144">
        <v>18162</v>
      </c>
      <c r="K86" s="156">
        <v>63583.4</v>
      </c>
      <c r="L86" s="130"/>
      <c r="M86" s="113" t="s">
        <v>202</v>
      </c>
      <c r="N86" s="207">
        <v>9318.5</v>
      </c>
      <c r="O86" s="221">
        <v>42111</v>
      </c>
      <c r="P86" s="281"/>
    </row>
    <row r="87" spans="1:16" ht="15.75" x14ac:dyDescent="0.25">
      <c r="A87" s="342"/>
      <c r="B87"/>
      <c r="C87"/>
      <c r="D87"/>
      <c r="E87"/>
      <c r="F87"/>
      <c r="I87" s="49">
        <f>16251.5+6266.5+33404.5</f>
        <v>55922.5</v>
      </c>
      <c r="J87" s="144">
        <v>18293</v>
      </c>
      <c r="K87" s="207">
        <v>55922.400000000001</v>
      </c>
      <c r="L87" s="130"/>
      <c r="M87" s="113" t="s">
        <v>202</v>
      </c>
      <c r="N87" s="207">
        <v>35288</v>
      </c>
      <c r="O87" s="221">
        <v>42111</v>
      </c>
      <c r="P87" s="281"/>
    </row>
    <row r="88" spans="1:16" ht="15.75" x14ac:dyDescent="0.25">
      <c r="A88" s="342"/>
      <c r="B88"/>
      <c r="C88"/>
      <c r="D88"/>
      <c r="E88"/>
      <c r="F88"/>
      <c r="I88" s="49">
        <v>22575.5</v>
      </c>
      <c r="J88" s="144">
        <v>18337</v>
      </c>
      <c r="K88" s="156">
        <v>22575.56</v>
      </c>
      <c r="L88" s="207"/>
      <c r="M88" s="113" t="s">
        <v>202</v>
      </c>
      <c r="N88" s="207">
        <v>4893.5</v>
      </c>
      <c r="O88" s="221">
        <v>42111</v>
      </c>
      <c r="P88" s="281"/>
    </row>
    <row r="89" spans="1:16" ht="15.75" x14ac:dyDescent="0.25">
      <c r="A89" s="342"/>
      <c r="B89"/>
      <c r="C89"/>
      <c r="D89"/>
      <c r="E89"/>
      <c r="F89"/>
      <c r="I89" s="49">
        <v>21185.5</v>
      </c>
      <c r="J89" s="144">
        <v>18448</v>
      </c>
      <c r="K89" s="156">
        <v>21185.5</v>
      </c>
      <c r="L89" s="334"/>
      <c r="M89" s="113" t="s">
        <v>202</v>
      </c>
      <c r="N89" s="207">
        <v>33404.5</v>
      </c>
      <c r="O89" s="221">
        <v>42112</v>
      </c>
      <c r="P89" s="281"/>
    </row>
    <row r="90" spans="1:16" ht="15.75" x14ac:dyDescent="0.25">
      <c r="A90" s="342"/>
      <c r="B90"/>
      <c r="C90"/>
      <c r="D90"/>
      <c r="E90"/>
      <c r="F90"/>
      <c r="I90" s="49">
        <v>3757</v>
      </c>
      <c r="J90" s="144">
        <v>18556</v>
      </c>
      <c r="K90" s="156">
        <v>3756.8</v>
      </c>
      <c r="L90" s="321"/>
      <c r="M90" s="113" t="s">
        <v>202</v>
      </c>
      <c r="N90" s="207">
        <v>23050</v>
      </c>
      <c r="O90" s="221">
        <v>42112</v>
      </c>
      <c r="P90" s="281"/>
    </row>
    <row r="91" spans="1:16" ht="15.75" x14ac:dyDescent="0.25">
      <c r="A91" s="342"/>
      <c r="B91"/>
      <c r="C91"/>
      <c r="D91"/>
      <c r="E91"/>
      <c r="F91"/>
      <c r="I91" s="49">
        <f>20235+7691+7691.5+20141.5</f>
        <v>55759</v>
      </c>
      <c r="J91" s="144">
        <v>18609</v>
      </c>
      <c r="K91" s="156">
        <v>55759.4</v>
      </c>
      <c r="L91" s="207"/>
      <c r="M91" s="113" t="s">
        <v>202</v>
      </c>
      <c r="N91" s="207">
        <v>5245.5</v>
      </c>
      <c r="O91" s="221">
        <v>42112</v>
      </c>
      <c r="P91" s="281"/>
    </row>
    <row r="92" spans="1:16" ht="15.75" x14ac:dyDescent="0.25">
      <c r="A92" s="342"/>
      <c r="B92"/>
      <c r="C92"/>
      <c r="D92"/>
      <c r="E92"/>
      <c r="F92"/>
      <c r="I92" s="49">
        <v>6454</v>
      </c>
      <c r="J92" s="144">
        <v>18687</v>
      </c>
      <c r="K92" s="156">
        <v>6453.9</v>
      </c>
      <c r="L92" s="207"/>
      <c r="M92" s="113" t="s">
        <v>202</v>
      </c>
      <c r="N92" s="207">
        <v>6266.5</v>
      </c>
      <c r="O92" s="221">
        <v>42114</v>
      </c>
      <c r="P92" s="281">
        <v>42113</v>
      </c>
    </row>
    <row r="93" spans="1:16" ht="15.75" x14ac:dyDescent="0.25">
      <c r="A93" s="342"/>
      <c r="B93"/>
      <c r="C93"/>
      <c r="D93"/>
      <c r="E93"/>
      <c r="F93"/>
      <c r="I93" s="49">
        <f>15218.5+5611.5+3910</f>
        <v>24740</v>
      </c>
      <c r="J93" s="144">
        <v>18688</v>
      </c>
      <c r="K93" s="156">
        <v>24740.1</v>
      </c>
      <c r="L93" s="207"/>
      <c r="M93" s="113" t="s">
        <v>202</v>
      </c>
      <c r="N93" s="207">
        <v>22575.5</v>
      </c>
      <c r="O93" s="221">
        <v>42114</v>
      </c>
      <c r="P93" s="281">
        <v>42113</v>
      </c>
    </row>
    <row r="94" spans="1:16" ht="15.75" x14ac:dyDescent="0.25">
      <c r="A94" s="342"/>
      <c r="B94"/>
      <c r="C94"/>
      <c r="D94"/>
      <c r="E94"/>
      <c r="F94"/>
      <c r="I94" s="49">
        <f>4381+5643+56007+21270</f>
        <v>87301</v>
      </c>
      <c r="J94" s="144">
        <v>18754</v>
      </c>
      <c r="K94" s="156">
        <v>87301.5</v>
      </c>
      <c r="L94" s="207"/>
      <c r="M94" s="113" t="s">
        <v>202</v>
      </c>
      <c r="N94" s="207">
        <v>16251.5</v>
      </c>
      <c r="O94" s="221">
        <v>42114</v>
      </c>
      <c r="P94" s="281">
        <v>42113</v>
      </c>
    </row>
    <row r="95" spans="1:16" ht="15.75" x14ac:dyDescent="0.25">
      <c r="A95" s="342"/>
      <c r="B95"/>
      <c r="C95"/>
      <c r="D95"/>
      <c r="E95"/>
      <c r="F95"/>
      <c r="I95" s="49">
        <v>13912</v>
      </c>
      <c r="J95" s="144">
        <v>18943</v>
      </c>
      <c r="K95" s="156">
        <v>13911.88</v>
      </c>
      <c r="L95" s="207"/>
      <c r="M95" s="113" t="s">
        <v>202</v>
      </c>
      <c r="N95" s="207">
        <v>21185.5</v>
      </c>
      <c r="O95" s="221">
        <v>42114</v>
      </c>
      <c r="P95" s="281"/>
    </row>
    <row r="96" spans="1:16" ht="15.75" x14ac:dyDescent="0.25">
      <c r="A96" s="342"/>
      <c r="B96"/>
      <c r="C96"/>
      <c r="D96"/>
      <c r="E96"/>
      <c r="F96"/>
      <c r="I96" s="49">
        <f>17578+4928</f>
        <v>22506</v>
      </c>
      <c r="J96" s="144">
        <v>18951</v>
      </c>
      <c r="K96" s="156">
        <v>22506.12</v>
      </c>
      <c r="L96" s="207"/>
      <c r="M96" s="113" t="s">
        <v>202</v>
      </c>
      <c r="N96" s="207">
        <v>1614.5</v>
      </c>
      <c r="O96" s="221">
        <v>42114</v>
      </c>
      <c r="P96" s="281"/>
    </row>
    <row r="97" spans="1:16" ht="15.75" x14ac:dyDescent="0.25">
      <c r="A97" s="342"/>
      <c r="B97"/>
      <c r="C97"/>
      <c r="D97"/>
      <c r="E97"/>
      <c r="F97"/>
      <c r="I97" s="49">
        <v>10344</v>
      </c>
      <c r="J97" s="144">
        <v>19030</v>
      </c>
      <c r="K97" s="156">
        <v>10343.799999999999</v>
      </c>
      <c r="L97" s="207"/>
      <c r="M97" s="113" t="s">
        <v>202</v>
      </c>
      <c r="N97" s="207">
        <v>20141.5</v>
      </c>
      <c r="O97" s="221">
        <v>42115</v>
      </c>
      <c r="P97" s="281"/>
    </row>
    <row r="98" spans="1:16" ht="15.75" x14ac:dyDescent="0.25">
      <c r="A98" s="342"/>
      <c r="B98"/>
      <c r="C98"/>
      <c r="D98"/>
      <c r="E98"/>
      <c r="F98"/>
      <c r="I98" s="49">
        <f>60478.5+5493+10201+13056</f>
        <v>89228.5</v>
      </c>
      <c r="J98" s="144">
        <v>19032</v>
      </c>
      <c r="K98" s="156">
        <v>89228.52</v>
      </c>
      <c r="L98" s="207"/>
      <c r="M98" s="113" t="s">
        <v>202</v>
      </c>
      <c r="N98" s="207">
        <v>7691.5</v>
      </c>
      <c r="O98" s="221">
        <v>42115</v>
      </c>
      <c r="P98" s="281"/>
    </row>
    <row r="99" spans="1:16" ht="15.75" x14ac:dyDescent="0.25">
      <c r="A99" s="342"/>
      <c r="B99"/>
      <c r="C99"/>
      <c r="D99"/>
      <c r="E99"/>
      <c r="F99"/>
      <c r="I99" s="88">
        <f>6680.5+2008+24000</f>
        <v>32688.5</v>
      </c>
      <c r="J99" s="144">
        <v>19213</v>
      </c>
      <c r="K99" s="156">
        <v>32688.560000000001</v>
      </c>
      <c r="L99" s="207"/>
      <c r="M99" s="113" t="s">
        <v>202</v>
      </c>
      <c r="N99" s="207">
        <v>3757</v>
      </c>
      <c r="O99" s="221">
        <v>42115</v>
      </c>
      <c r="P99" s="281"/>
    </row>
    <row r="100" spans="1:16" ht="15.75" x14ac:dyDescent="0.25">
      <c r="A100" s="342"/>
      <c r="B100"/>
      <c r="C100"/>
      <c r="D100"/>
      <c r="E100"/>
      <c r="F100"/>
      <c r="I100" s="49">
        <f>4810+6254.5+6465.5+24934.5</f>
        <v>42464.5</v>
      </c>
      <c r="J100" s="144">
        <v>19302</v>
      </c>
      <c r="K100" s="156">
        <v>42464.5</v>
      </c>
      <c r="L100" s="207"/>
      <c r="M100" s="113" t="s">
        <v>202</v>
      </c>
      <c r="N100" s="207">
        <v>6454</v>
      </c>
      <c r="O100" s="221">
        <v>42116</v>
      </c>
      <c r="P100" s="281"/>
    </row>
    <row r="101" spans="1:16" ht="15.75" x14ac:dyDescent="0.25">
      <c r="I101" s="49">
        <f>28235.5+1614.5</f>
        <v>29850</v>
      </c>
      <c r="J101" s="292">
        <v>19455</v>
      </c>
      <c r="K101" s="157">
        <v>29849.49</v>
      </c>
      <c r="L101" s="207"/>
      <c r="M101" s="113" t="s">
        <v>202</v>
      </c>
      <c r="N101" s="207">
        <v>7691</v>
      </c>
      <c r="O101" s="221">
        <v>42116</v>
      </c>
      <c r="P101" s="252"/>
    </row>
    <row r="102" spans="1:16" ht="15.75" x14ac:dyDescent="0.25">
      <c r="I102" s="49">
        <v>0</v>
      </c>
      <c r="J102" s="292"/>
      <c r="K102" s="157"/>
      <c r="L102" s="260"/>
      <c r="M102" s="113" t="s">
        <v>202</v>
      </c>
      <c r="N102" s="207">
        <v>20235</v>
      </c>
      <c r="O102" s="221">
        <v>42116</v>
      </c>
      <c r="P102" s="252"/>
    </row>
    <row r="103" spans="1:16" ht="15.75" x14ac:dyDescent="0.25">
      <c r="I103" s="88">
        <f>SUM(I84:I102)</f>
        <v>649483.5</v>
      </c>
      <c r="J103" s="263"/>
      <c r="K103" s="130"/>
      <c r="L103" s="130"/>
      <c r="M103" s="113" t="s">
        <v>202</v>
      </c>
      <c r="N103" s="207">
        <v>3910</v>
      </c>
      <c r="O103" s="221">
        <v>42116</v>
      </c>
      <c r="P103" s="252"/>
    </row>
    <row r="104" spans="1:16" ht="15.75" x14ac:dyDescent="0.25">
      <c r="I104" s="49"/>
      <c r="J104" s="262"/>
      <c r="K104" s="207"/>
      <c r="L104" s="207"/>
      <c r="M104" s="113" t="s">
        <v>202</v>
      </c>
      <c r="N104" s="214">
        <v>21270</v>
      </c>
      <c r="O104" s="221">
        <v>42117</v>
      </c>
      <c r="P104" s="252"/>
    </row>
    <row r="105" spans="1:16" ht="15.75" x14ac:dyDescent="0.25">
      <c r="I105" s="49"/>
      <c r="J105" s="262"/>
      <c r="K105" s="207"/>
      <c r="L105" s="207"/>
      <c r="M105" s="113" t="s">
        <v>202</v>
      </c>
      <c r="N105" s="207">
        <v>5611.5</v>
      </c>
      <c r="O105" s="221">
        <v>42117</v>
      </c>
      <c r="P105" s="252"/>
    </row>
    <row r="106" spans="1:16" ht="15.75" x14ac:dyDescent="0.25">
      <c r="I106" s="49"/>
      <c r="J106" s="264"/>
      <c r="K106" s="207"/>
      <c r="L106" s="207"/>
      <c r="M106" s="113" t="s">
        <v>202</v>
      </c>
      <c r="N106" s="207">
        <v>15218.5</v>
      </c>
      <c r="O106" s="221">
        <v>42117</v>
      </c>
      <c r="P106" s="252"/>
    </row>
    <row r="107" spans="1:16" ht="15.75" x14ac:dyDescent="0.25">
      <c r="I107" s="49"/>
      <c r="J107" s="264"/>
      <c r="K107" s="130"/>
      <c r="L107" s="130"/>
      <c r="M107" s="113" t="s">
        <v>202</v>
      </c>
      <c r="N107" s="207">
        <v>56007</v>
      </c>
      <c r="O107" s="221">
        <v>42118</v>
      </c>
      <c r="P107" s="252"/>
    </row>
    <row r="108" spans="1:16" ht="15.75" x14ac:dyDescent="0.25">
      <c r="I108" s="49"/>
      <c r="J108" s="193"/>
      <c r="K108" s="207"/>
      <c r="L108" s="207"/>
      <c r="M108" s="113" t="s">
        <v>202</v>
      </c>
      <c r="N108" s="207">
        <v>5643</v>
      </c>
      <c r="O108" s="221">
        <v>42118</v>
      </c>
      <c r="P108" s="252"/>
    </row>
    <row r="109" spans="1:16" ht="15.75" x14ac:dyDescent="0.25">
      <c r="I109" s="153"/>
      <c r="J109" s="193"/>
      <c r="K109" s="207"/>
      <c r="L109" s="207"/>
      <c r="M109" s="113" t="s">
        <v>202</v>
      </c>
      <c r="N109" s="214">
        <v>4381</v>
      </c>
      <c r="O109" s="221">
        <v>42119</v>
      </c>
      <c r="P109" s="252"/>
    </row>
    <row r="110" spans="1:16" ht="15.75" x14ac:dyDescent="0.25">
      <c r="I110" s="208"/>
      <c r="J110" s="193"/>
      <c r="K110" s="207"/>
      <c r="L110" s="207"/>
      <c r="M110" s="113" t="s">
        <v>202</v>
      </c>
      <c r="N110" s="207">
        <v>10344</v>
      </c>
      <c r="O110" s="221">
        <v>42119</v>
      </c>
      <c r="P110" s="252"/>
    </row>
    <row r="111" spans="1:16" ht="15.75" x14ac:dyDescent="0.25">
      <c r="I111" s="153"/>
      <c r="J111" s="193"/>
      <c r="K111" s="207"/>
      <c r="L111" s="207"/>
      <c r="M111" s="113" t="s">
        <v>202</v>
      </c>
      <c r="N111" s="207">
        <v>13912</v>
      </c>
      <c r="O111" s="221">
        <v>42119</v>
      </c>
      <c r="P111" s="252"/>
    </row>
    <row r="112" spans="1:16" ht="15.75" x14ac:dyDescent="0.25">
      <c r="I112" s="153"/>
      <c r="J112" s="193"/>
      <c r="K112" s="207"/>
      <c r="L112" s="207"/>
      <c r="M112" s="113" t="s">
        <v>202</v>
      </c>
      <c r="N112" s="207">
        <v>13056</v>
      </c>
      <c r="O112" s="221">
        <v>42119</v>
      </c>
      <c r="P112" s="252"/>
    </row>
    <row r="113" spans="9:16" ht="15.75" x14ac:dyDescent="0.25">
      <c r="I113" s="153"/>
      <c r="J113" s="206"/>
      <c r="K113" s="207"/>
      <c r="L113" s="207"/>
      <c r="M113" s="113" t="s">
        <v>202</v>
      </c>
      <c r="N113" s="207">
        <v>10201</v>
      </c>
      <c r="O113" s="221">
        <v>42119</v>
      </c>
      <c r="P113" s="252"/>
    </row>
    <row r="114" spans="9:16" ht="15.75" x14ac:dyDescent="0.25">
      <c r="I114" s="153"/>
      <c r="J114" s="206"/>
      <c r="K114" s="207"/>
      <c r="L114" s="207"/>
      <c r="M114" s="113" t="s">
        <v>202</v>
      </c>
      <c r="N114" s="207">
        <v>4928</v>
      </c>
      <c r="O114" s="222">
        <v>42119</v>
      </c>
      <c r="P114" s="252"/>
    </row>
    <row r="115" spans="9:16" ht="15.75" x14ac:dyDescent="0.25">
      <c r="I115" s="153"/>
      <c r="J115" s="193"/>
      <c r="K115" s="207"/>
      <c r="L115" s="207"/>
      <c r="M115" s="113" t="s">
        <v>202</v>
      </c>
      <c r="N115" s="207">
        <v>17578</v>
      </c>
      <c r="O115" s="221">
        <v>42119</v>
      </c>
      <c r="P115" s="252"/>
    </row>
    <row r="116" spans="9:16" ht="15.75" x14ac:dyDescent="0.25">
      <c r="I116" s="153"/>
      <c r="J116" s="119"/>
      <c r="K116" s="121"/>
      <c r="L116" s="121"/>
      <c r="M116" s="113" t="s">
        <v>202</v>
      </c>
      <c r="N116" s="121">
        <v>5493</v>
      </c>
      <c r="O116" s="222">
        <v>42121</v>
      </c>
      <c r="P116" s="252">
        <v>42120</v>
      </c>
    </row>
    <row r="117" spans="9:16" ht="15.75" x14ac:dyDescent="0.25">
      <c r="I117" s="153"/>
      <c r="J117" s="119"/>
      <c r="K117" s="121"/>
      <c r="L117" s="121"/>
      <c r="M117" s="113" t="s">
        <v>202</v>
      </c>
      <c r="N117" s="121">
        <v>60478.5</v>
      </c>
      <c r="O117" s="222">
        <v>42121</v>
      </c>
      <c r="P117" s="252">
        <v>42120</v>
      </c>
    </row>
    <row r="118" spans="9:16" ht="15.75" x14ac:dyDescent="0.25">
      <c r="J118" s="119"/>
      <c r="K118" s="121"/>
      <c r="L118" s="121"/>
      <c r="M118" s="113" t="s">
        <v>202</v>
      </c>
      <c r="N118" s="121">
        <v>24000</v>
      </c>
      <c r="O118" s="222">
        <v>42121</v>
      </c>
    </row>
    <row r="119" spans="9:16" ht="15.75" x14ac:dyDescent="0.25">
      <c r="J119" s="119"/>
      <c r="K119" s="121"/>
      <c r="L119" s="121"/>
      <c r="M119" s="113" t="s">
        <v>202</v>
      </c>
      <c r="N119" s="121">
        <v>2008</v>
      </c>
      <c r="O119" s="222">
        <v>42121</v>
      </c>
    </row>
    <row r="120" spans="9:16" ht="15.75" x14ac:dyDescent="0.25">
      <c r="J120" s="119"/>
      <c r="K120" s="121"/>
      <c r="L120" s="121"/>
      <c r="M120" s="113" t="s">
        <v>202</v>
      </c>
      <c r="N120" s="121">
        <v>6680.5</v>
      </c>
      <c r="O120" s="222">
        <v>42121</v>
      </c>
    </row>
    <row r="121" spans="9:16" ht="15.75" x14ac:dyDescent="0.25">
      <c r="J121" s="119"/>
      <c r="K121" s="121"/>
      <c r="L121" s="121"/>
      <c r="M121" s="113" t="s">
        <v>202</v>
      </c>
      <c r="N121" s="121">
        <v>24934.5</v>
      </c>
      <c r="O121" s="222">
        <v>42122</v>
      </c>
    </row>
    <row r="122" spans="9:16" ht="15.75" x14ac:dyDescent="0.25">
      <c r="J122" s="119"/>
      <c r="K122" s="121"/>
      <c r="L122" s="121"/>
      <c r="M122" s="113" t="s">
        <v>202</v>
      </c>
      <c r="N122" s="121">
        <v>6465.5</v>
      </c>
      <c r="O122" s="222">
        <v>42122</v>
      </c>
    </row>
    <row r="123" spans="9:16" ht="15.75" x14ac:dyDescent="0.25">
      <c r="J123" s="119"/>
      <c r="K123" s="121"/>
      <c r="L123" s="121"/>
      <c r="M123" s="113" t="s">
        <v>202</v>
      </c>
      <c r="N123" s="121">
        <v>28235.5</v>
      </c>
      <c r="O123" s="222">
        <v>42123</v>
      </c>
    </row>
    <row r="124" spans="9:16" ht="15.75" x14ac:dyDescent="0.25">
      <c r="J124" s="119"/>
      <c r="K124" s="121"/>
      <c r="L124" s="121"/>
      <c r="M124" s="113" t="s">
        <v>202</v>
      </c>
      <c r="N124" s="121">
        <v>6254.5</v>
      </c>
      <c r="O124" s="222">
        <v>42123</v>
      </c>
    </row>
    <row r="125" spans="9:16" ht="15.75" x14ac:dyDescent="0.25">
      <c r="J125" s="196"/>
      <c r="K125" s="121">
        <v>0</v>
      </c>
      <c r="L125" s="121"/>
      <c r="M125" s="113" t="s">
        <v>202</v>
      </c>
      <c r="N125" s="121">
        <v>4810</v>
      </c>
      <c r="O125" s="222">
        <v>42123</v>
      </c>
    </row>
    <row r="126" spans="9:16" ht="17.25" x14ac:dyDescent="0.4">
      <c r="J126" s="119"/>
      <c r="K126" s="121"/>
      <c r="L126" s="338" t="s">
        <v>397</v>
      </c>
      <c r="M126" s="339"/>
      <c r="N126" s="121">
        <v>1812.6</v>
      </c>
      <c r="O126" s="128" t="s">
        <v>396</v>
      </c>
    </row>
    <row r="127" spans="9:16" ht="15.75" thickBot="1" x14ac:dyDescent="0.3">
      <c r="J127" s="336"/>
      <c r="K127" s="337"/>
      <c r="L127" s="337"/>
      <c r="M127" s="337"/>
      <c r="N127" s="337"/>
      <c r="O127" s="336"/>
    </row>
    <row r="128" spans="9:16" ht="18.75" x14ac:dyDescent="0.3">
      <c r="K128" s="131">
        <f>SUM(K83:K125)</f>
        <v>651296.1</v>
      </c>
      <c r="L128" s="131"/>
      <c r="M128" s="131"/>
      <c r="N128" s="131">
        <f>SUM(N83:N126)</f>
        <v>651296.1</v>
      </c>
    </row>
  </sheetData>
  <sortState ref="A10:D22">
    <sortCondition ref="B10:B22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OCTUBRE 2014 </vt:lpstr>
      <vt:lpstr>NOVIEMBRE 2014</vt:lpstr>
      <vt:lpstr>DICIEMBRE  2014</vt:lpstr>
      <vt:lpstr>ENERO 2015</vt:lpstr>
      <vt:lpstr>FEBRERO 2015</vt:lpstr>
      <vt:lpstr>MARZO 2015</vt:lpstr>
      <vt:lpstr>Remisiones MARZO 2015</vt:lpstr>
      <vt:lpstr>ABRIL   2015</vt:lpstr>
      <vt:lpstr>Remisiones  ABRIL  2015</vt:lpstr>
      <vt:lpstr>M A Y O    2015</vt:lpstr>
      <vt:lpstr>REMISIONES MAYO 2015</vt:lpstr>
      <vt:lpstr> J U N I O    2015  </vt:lpstr>
      <vt:lpstr>REMISIONES  J U N IO 2015</vt:lpstr>
      <vt:lpstr>J u  l i o      2015</vt:lpstr>
      <vt:lpstr>Remisiones Julio 2015</vt:lpstr>
      <vt:lpstr>A G O S TO  2015</vt:lpstr>
      <vt:lpstr>REMISIONES Ago 2015</vt:lpstr>
      <vt:lpstr>SEPTIEMBRE  2 0 1  5</vt:lpstr>
      <vt:lpstr>REMISIONES SEPT 2015</vt:lpstr>
      <vt:lpstr>Hoja2</vt:lpstr>
      <vt:lpstr>Hoja3</vt:lpstr>
      <vt:lpstr>Hoja4</vt:lpstr>
      <vt:lpstr>Hoja6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2015-09-04T14:09:43Z</cp:lastPrinted>
  <dcterms:created xsi:type="dcterms:W3CDTF">2009-02-04T18:28:43Z</dcterms:created>
  <dcterms:modified xsi:type="dcterms:W3CDTF">2015-09-07T16:35:26Z</dcterms:modified>
</cp:coreProperties>
</file>