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80" windowWidth="14040" windowHeight="6795" firstSheet="16" activeTab="19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A G O S TO  2015" sheetId="21" r:id="rId16"/>
    <sheet name="REMISIONES Ago 2015" sheetId="22" r:id="rId17"/>
    <sheet name="SEPTIEMBRE  2 0 1  5" sheetId="23" r:id="rId18"/>
    <sheet name="REMISIONES SEPT 2015" sheetId="24" r:id="rId19"/>
    <sheet name="Hoja4" sheetId="27" r:id="rId20"/>
    <sheet name="Hoja6" sheetId="28" r:id="rId21"/>
    <sheet name="Hoja9" sheetId="29" r:id="rId22"/>
  </sheets>
  <externalReferences>
    <externalReference r:id="rId23"/>
  </externalReferences>
  <calcPr calcId="144525"/>
</workbook>
</file>

<file path=xl/calcChain.xml><?xml version="1.0" encoding="utf-8"?>
<calcChain xmlns="http://schemas.openxmlformats.org/spreadsheetml/2006/main">
  <c r="E45" i="24" l="1"/>
  <c r="E35" i="24" l="1"/>
  <c r="R6" i="24"/>
  <c r="R9" i="24"/>
  <c r="R11" i="24"/>
  <c r="R10" i="24"/>
  <c r="R7" i="24"/>
  <c r="R5" i="24"/>
  <c r="R4" i="24"/>
  <c r="R16" i="24"/>
  <c r="R3" i="24"/>
  <c r="R2" i="24"/>
  <c r="T16" i="24"/>
  <c r="W16" i="24"/>
  <c r="F40" i="24"/>
  <c r="F41" i="24"/>
  <c r="F42" i="24"/>
  <c r="F43" i="24"/>
  <c r="F44" i="24"/>
  <c r="F45" i="24"/>
  <c r="F46" i="24"/>
  <c r="F47" i="24"/>
  <c r="F48" i="24"/>
  <c r="I38" i="23" l="1"/>
  <c r="F38" i="23"/>
  <c r="C38" i="23"/>
  <c r="F42" i="23" s="1"/>
  <c r="N15" i="23"/>
  <c r="N37" i="23" s="1"/>
  <c r="L9" i="23"/>
  <c r="L38" i="23" s="1"/>
  <c r="K40" i="23" l="1"/>
  <c r="F41" i="23" s="1"/>
  <c r="F44" i="23" s="1"/>
  <c r="F46" i="23" s="1"/>
  <c r="K44" i="23" s="1"/>
  <c r="K47" i="23" s="1"/>
  <c r="E27" i="24"/>
  <c r="I53" i="24"/>
  <c r="I51" i="24"/>
  <c r="I52" i="24"/>
  <c r="I49" i="24"/>
  <c r="I50" i="24"/>
  <c r="I47" i="24"/>
  <c r="I48" i="24"/>
  <c r="I56" i="24"/>
  <c r="N59" i="24"/>
  <c r="K59" i="24"/>
  <c r="I35" i="24" l="1"/>
  <c r="I36" i="24"/>
  <c r="I34" i="24"/>
  <c r="I31" i="24"/>
  <c r="I32" i="24"/>
  <c r="I33" i="24"/>
  <c r="I30" i="24"/>
  <c r="I29" i="24"/>
  <c r="I28" i="24"/>
  <c r="I26" i="24"/>
  <c r="I27" i="24"/>
  <c r="I25" i="24"/>
  <c r="H40" i="24"/>
  <c r="I24" i="24"/>
  <c r="I39" i="24"/>
  <c r="E16" i="24" l="1"/>
  <c r="N42" i="24"/>
  <c r="K42" i="24"/>
  <c r="AE15" i="23" l="1"/>
  <c r="AW52" i="23" l="1"/>
  <c r="E35" i="22" l="1"/>
  <c r="I16" i="24"/>
  <c r="I18" i="24"/>
  <c r="I14" i="24"/>
  <c r="I13" i="24"/>
  <c r="I11" i="24"/>
  <c r="I15" i="24"/>
  <c r="I12" i="24"/>
  <c r="I9" i="24"/>
  <c r="I10" i="24"/>
  <c r="I8" i="24"/>
  <c r="I7" i="24"/>
  <c r="I6" i="24"/>
  <c r="I5" i="24"/>
  <c r="I3" i="24"/>
  <c r="I20" i="24" s="1"/>
  <c r="I4" i="24"/>
  <c r="K20" i="24"/>
  <c r="N20" i="24"/>
  <c r="Z38" i="23" l="1"/>
  <c r="W38" i="23"/>
  <c r="T38" i="23"/>
  <c r="W42" i="23" s="1"/>
  <c r="AE37" i="23"/>
  <c r="AC9" i="23"/>
  <c r="AC38" i="23" s="1"/>
  <c r="AB40" i="23" l="1"/>
  <c r="W41" i="23" l="1"/>
  <c r="W44" i="23" s="1"/>
  <c r="W46" i="23" s="1"/>
  <c r="AB44" i="23" s="1"/>
  <c r="AB47" i="23" s="1"/>
  <c r="AT9" i="23"/>
  <c r="L12" i="21"/>
  <c r="L13" i="21" l="1"/>
  <c r="C51" i="24" l="1"/>
  <c r="F39" i="24"/>
  <c r="F38" i="24"/>
  <c r="F37" i="24"/>
  <c r="F36" i="24"/>
  <c r="F35" i="24"/>
  <c r="F34" i="24"/>
  <c r="F33" i="24"/>
  <c r="F32" i="24"/>
  <c r="F31" i="24"/>
  <c r="F27" i="24"/>
  <c r="F30" i="24"/>
  <c r="F29" i="24"/>
  <c r="F28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E51" i="24"/>
  <c r="F12" i="24"/>
  <c r="F11" i="24"/>
  <c r="F10" i="24"/>
  <c r="F9" i="24"/>
  <c r="F8" i="24"/>
  <c r="F7" i="24"/>
  <c r="F6" i="24"/>
  <c r="F5" i="24"/>
  <c r="AQ38" i="23"/>
  <c r="AN38" i="23"/>
  <c r="AK38" i="23"/>
  <c r="AN42" i="23" s="1"/>
  <c r="AV37" i="23"/>
  <c r="AT38" i="23"/>
  <c r="F13" i="24" l="1"/>
  <c r="F51" i="24" s="1"/>
  <c r="AS40" i="23"/>
  <c r="AN41" i="23" s="1"/>
  <c r="AN44" i="23" s="1"/>
  <c r="AN46" i="23" s="1"/>
  <c r="AS44" i="23" s="1"/>
  <c r="AS47" i="23" s="1"/>
  <c r="E31" i="22"/>
  <c r="H74" i="22" l="1"/>
  <c r="H75" i="22"/>
  <c r="H78" i="22"/>
  <c r="H76" i="22"/>
  <c r="H73" i="22"/>
  <c r="M83" i="22" l="1"/>
  <c r="J83" i="22"/>
  <c r="I38" i="21" l="1"/>
  <c r="F38" i="21"/>
  <c r="C38" i="21"/>
  <c r="F42" i="21" s="1"/>
  <c r="N37" i="21"/>
  <c r="L11" i="21"/>
  <c r="L38" i="21" s="1"/>
  <c r="K40" i="21" l="1"/>
  <c r="F41" i="21" s="1"/>
  <c r="F44" i="21" s="1"/>
  <c r="F46" i="21" s="1"/>
  <c r="K44" i="21" s="1"/>
  <c r="K47" i="21" s="1"/>
  <c r="AP38" i="21"/>
  <c r="AM38" i="21"/>
  <c r="AJ38" i="21"/>
  <c r="AM42" i="21" s="1"/>
  <c r="AU37" i="21"/>
  <c r="AS11" i="21"/>
  <c r="AS38" i="21" s="1"/>
  <c r="Z38" i="21"/>
  <c r="W38" i="21"/>
  <c r="T38" i="21"/>
  <c r="W42" i="21" s="1"/>
  <c r="AE37" i="21"/>
  <c r="AC12" i="21"/>
  <c r="AC11" i="21"/>
  <c r="AC38" i="21" s="1"/>
  <c r="AR40" i="21" l="1"/>
  <c r="AM41" i="21" s="1"/>
  <c r="AM44" i="21" s="1"/>
  <c r="AM46" i="21" s="1"/>
  <c r="AR44" i="21" s="1"/>
  <c r="AR47" i="21" s="1"/>
  <c r="AB40" i="21"/>
  <c r="W41" i="21" s="1"/>
  <c r="W44" i="21" s="1"/>
  <c r="W46" i="21" s="1"/>
  <c r="AB44" i="21" s="1"/>
  <c r="AB47" i="21" s="1"/>
  <c r="E24" i="22"/>
  <c r="T12" i="22"/>
  <c r="W12" i="22"/>
  <c r="E13" i="22" l="1"/>
  <c r="H61" i="22"/>
  <c r="H60" i="22"/>
  <c r="H59" i="22"/>
  <c r="H58" i="22"/>
  <c r="H56" i="22"/>
  <c r="H57" i="22"/>
  <c r="H55" i="22"/>
  <c r="H54" i="22"/>
  <c r="H53" i="22"/>
  <c r="H52" i="22"/>
  <c r="H50" i="22"/>
  <c r="M67" i="22"/>
  <c r="J67" i="22"/>
  <c r="F38" i="20" l="1"/>
  <c r="F41" i="20"/>
  <c r="F42" i="20"/>
  <c r="F43" i="20"/>
  <c r="F44" i="20"/>
  <c r="E36" i="20"/>
  <c r="H12" i="22"/>
  <c r="H15" i="22" l="1"/>
  <c r="H14" i="22"/>
  <c r="H13" i="22"/>
  <c r="H9" i="22"/>
  <c r="H7" i="22"/>
  <c r="H11" i="22"/>
  <c r="H10" i="22"/>
  <c r="H8" i="22"/>
  <c r="H5" i="22"/>
  <c r="H4" i="22"/>
  <c r="H6" i="22"/>
  <c r="H3" i="22"/>
  <c r="H17" i="22" s="1"/>
  <c r="M45" i="22"/>
  <c r="J45" i="22"/>
  <c r="C51" i="22" l="1"/>
  <c r="F39" i="22"/>
  <c r="F38" i="22"/>
  <c r="F37" i="22"/>
  <c r="F36" i="22"/>
  <c r="F35" i="22"/>
  <c r="F34" i="22"/>
  <c r="F32" i="22"/>
  <c r="F25" i="22"/>
  <c r="F33" i="22"/>
  <c r="F31" i="22"/>
  <c r="F30" i="22"/>
  <c r="F29" i="22"/>
  <c r="F28" i="22"/>
  <c r="F27" i="22"/>
  <c r="F26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E51" i="22"/>
  <c r="F5" i="22"/>
  <c r="BK38" i="21"/>
  <c r="BH38" i="21"/>
  <c r="BJ40" i="21" s="1"/>
  <c r="BE38" i="21"/>
  <c r="BE41" i="21" s="1"/>
  <c r="BB38" i="21"/>
  <c r="BE42" i="21" s="1"/>
  <c r="BM37" i="21"/>
  <c r="F6" i="22" l="1"/>
  <c r="F51" i="22" s="1"/>
  <c r="BE44" i="21"/>
  <c r="BE46" i="21" s="1"/>
  <c r="BJ44" i="21" s="1"/>
  <c r="BJ47" i="21" s="1"/>
  <c r="F39" i="20"/>
  <c r="E27" i="20" l="1"/>
  <c r="J137" i="20" l="1"/>
  <c r="J136" i="20"/>
  <c r="J134" i="20"/>
  <c r="J135" i="20"/>
  <c r="J132" i="20"/>
  <c r="J133" i="20"/>
  <c r="J131" i="20"/>
  <c r="J130" i="20"/>
  <c r="J128" i="20"/>
  <c r="O151" i="20" l="1"/>
  <c r="L151" i="20"/>
  <c r="E17" i="20" l="1"/>
  <c r="J101" i="20"/>
  <c r="J102" i="20"/>
  <c r="J100" i="20"/>
  <c r="J99" i="20"/>
  <c r="J97" i="20"/>
  <c r="J98" i="20"/>
  <c r="J96" i="20"/>
  <c r="J95" i="20"/>
  <c r="J94" i="20"/>
  <c r="J93" i="20"/>
  <c r="J92" i="20"/>
  <c r="J104" i="20" s="1"/>
  <c r="O123" i="20"/>
  <c r="L123" i="20"/>
  <c r="E6" i="20" l="1"/>
  <c r="J56" i="20"/>
  <c r="J57" i="20"/>
  <c r="J55" i="20"/>
  <c r="J54" i="20"/>
  <c r="J53" i="20" l="1"/>
  <c r="J52" i="20"/>
  <c r="J51" i="20"/>
  <c r="J50" i="20"/>
  <c r="J49" i="20"/>
  <c r="J48" i="20"/>
  <c r="J47" i="20"/>
  <c r="J46" i="20"/>
  <c r="J60" i="20" s="1"/>
  <c r="O87" i="20"/>
  <c r="L87" i="20" l="1"/>
  <c r="F17" i="20" l="1"/>
  <c r="L38" i="19" l="1"/>
  <c r="I38" i="19"/>
  <c r="K40" i="19" s="1"/>
  <c r="F38" i="19"/>
  <c r="F41" i="19" s="1"/>
  <c r="C38" i="19"/>
  <c r="F42" i="19" s="1"/>
  <c r="N37" i="19"/>
  <c r="F44" i="19" l="1"/>
  <c r="F46" i="19" s="1"/>
  <c r="K44" i="19" s="1"/>
  <c r="K47" i="19" s="1"/>
  <c r="E32" i="18"/>
  <c r="J19" i="20"/>
  <c r="J18" i="20"/>
  <c r="J15" i="20"/>
  <c r="J11" i="20"/>
  <c r="J12" i="20"/>
  <c r="J8" i="20"/>
  <c r="J9" i="20"/>
  <c r="J7" i="20"/>
  <c r="J6" i="20"/>
  <c r="J5" i="20"/>
  <c r="J4" i="20"/>
  <c r="J21" i="20" s="1"/>
  <c r="O39" i="20"/>
  <c r="C51" i="20" l="1"/>
  <c r="F40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1" i="20"/>
  <c r="F24" i="20"/>
  <c r="F20" i="20"/>
  <c r="F19" i="20"/>
  <c r="F18" i="20"/>
  <c r="F16" i="20"/>
  <c r="E51" i="20"/>
  <c r="F14" i="20"/>
  <c r="F13" i="20"/>
  <c r="F12" i="20"/>
  <c r="F5" i="20"/>
  <c r="F11" i="20"/>
  <c r="F10" i="20"/>
  <c r="F9" i="20"/>
  <c r="F8" i="20"/>
  <c r="F7" i="20"/>
  <c r="F6" i="20"/>
  <c r="AB38" i="19"/>
  <c r="Y38" i="19"/>
  <c r="AA40" i="19" s="1"/>
  <c r="V38" i="19"/>
  <c r="V41" i="19" s="1"/>
  <c r="S38" i="19"/>
  <c r="V42" i="19" s="1"/>
  <c r="AD37" i="19"/>
  <c r="F15" i="20" l="1"/>
  <c r="F51" i="20" s="1"/>
  <c r="V44" i="19"/>
  <c r="V46" i="19" s="1"/>
  <c r="AA44" i="19" s="1"/>
  <c r="AA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I60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<sst xmlns="http://schemas.openxmlformats.org/spreadsheetml/2006/main" count="2579" uniqueCount="755">
  <si>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</si>
  <si>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</si>
  <si>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</si>
  <si>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</si>
  <si>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</si>
  <si>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</si>
  <si>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</si>
  <si>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</si>
  <si>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</si>
  <si>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</si>
  <si>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</si>
  <si>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</si>
  <si>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</si>
  <si>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</si>
  <si>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</si>
  <si>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</si>
  <si>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</si>
  <si>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</si>
  <si>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</si>
  <si>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</si>
  <si>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</si>
  <si>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</si>
  <si>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</si>
  <si>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</si>
  <si>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</si>
  <si>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</si>
  <si>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</si>
  <si>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</si>
  <si>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</si>
  <si>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</si>
  <si>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</si>
  <si>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</si>
  <si>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</si>
  <si>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</si>
  <si>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</si>
  <si>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</si>
  <si>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</si>
  <si>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</si>
  <si>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</si>
  <si>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</si>
  <si>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</si>
  <si>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</si>
  <si>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</si>
  <si>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</si>
  <si>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</si>
  <si>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</si>
  <si>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</si>
  <si>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</si>
  <si>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</si>
  <si>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</si>
  <si>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</si>
  <si>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</si>
  <si>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</si>
  <si>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</si>
  <si>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</si>
  <si>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</si>
  <si>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</si>
  <si>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</si>
  <si>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</si>
  <si>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</si>
  <si>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</si>
  <si>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</si>
  <si>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</si>
  <si>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</si>
  <si>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</si>
  <si>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</si>
  <si>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</si>
  <si>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</si>
  <si>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</si>
  <si>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</si>
  <si>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</si>
  <si>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</si>
  <si>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</si>
  <si>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</si>
  <si>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</si>
  <si>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</si>
  <si>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</si>
  <si>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</si>
  <si>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</si>
  <si>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</si>
  <si>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</si>
  <si>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</si>
  <si>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</si>
  <si>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</si>
  <si>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</si>
  <si>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</si>
  <si>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</si>
  <si>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</si>
  <si>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</si>
  <si>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</si>
  <si>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</si>
  <si>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</si>
  <si>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</si>
  <si>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</si>
  <si>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</si>
  <si>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</si>
  <si>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</si>
  <si>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</si>
  <si>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</si>
  <si>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</si>
  <si>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</si>
  <si>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</si>
  <si>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</si>
  <si>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</si>
  <si>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</si>
  <si>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</si>
  <si>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</si>
  <si>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</si>
  <si>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</si>
  <si>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</si>
  <si>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</si>
  <si>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</si>
  <si>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</si>
  <si>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</si>
  <si>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</si>
  <si>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</si>
  <si>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</si>
  <si>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</si>
  <si>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</si>
  <si>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</si>
  <si>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</si>
  <si>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</si>
  <si>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</si>
  <si>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</si>
  <si>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</si>
  <si>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</si>
  <si>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</si>
  <si>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</si>
  <si>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</si>
  <si>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</si>
  <si>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</si>
  <si>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</si>
  <si>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</si>
  <si>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</si>
  <si>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</si>
  <si>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</si>
  <si>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</si>
  <si>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</si>
  <si>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</si>
  <si>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</si>
  <si>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</si>
  <si>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</si>
  <si>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</si>
  <si>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</si>
  <si>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</si>
  <si>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</si>
  <si>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</si>
  <si>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</si>
  <si>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</si>
  <si>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</si>
  <si>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</si>
  <si>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</si>
  <si>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</si>
  <si>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</si>
  <si>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</si>
  <si>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</si>
  <si>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</si>
  <si>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</si>
  <si>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</si>
  <si>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</si>
  <si>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</si>
  <si>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</si>
  <si>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</si>
  <si>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</si>
  <si>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</si>
  <si>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</si>
  <si>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</si>
  <si>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</si>
  <si>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</si>
  <si>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</si>
  <si>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</si>
  <si>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</si>
  <si>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</si>
  <si>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</si>
  <si>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</si>
  <si>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</si>
  <si>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</si>
  <si>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</si>
  <si>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</si>
  <si>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</si>
  <si>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</si>
  <si>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</si>
  <si>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</si>
  <si>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</si>
  <si>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</si>
  <si>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</si>
  <si>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</si>
  <si>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</si>
  <si>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</si>
  <si>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</si>
  <si>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</si>
  <si>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</si>
  <si>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</si>
  <si>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</si>
  <si>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</si>
  <si>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</si>
  <si>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</si>
  <si>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</si>
  <si>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</si>
  <si>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</si>
  <si>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</si>
  <si>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</si>
  <si>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</si>
  <si>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</si>
  <si>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</si>
  <si>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</si>
  <si>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</si>
  <si>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</si>
  <si>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</si>
  <si>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</si>
  <si>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</si>
  <si>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</si>
  <si>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</si>
  <si>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</si>
  <si>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</si>
  <si>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</si>
  <si>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</si>
  <si>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</si>
  <si>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</si>
  <si>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</si>
  <si>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</si>
  <si>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</si>
  <si>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</si>
  <si>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</si>
  <si>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</si>
  <si>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</si>
  <si>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</si>
  <si>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</si>
  <si>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</si>
  <si>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</si>
  <si>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</si>
  <si>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</si>
  <si>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</si>
  <si>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</si>
  <si>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</si>
  <si>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</si>
  <si>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</si>
  <si>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</si>
  <si>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</si>
  <si>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</si>
  <si>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</si>
  <si>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</si>
  <si>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</si>
  <si>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</si>
  <si>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</si>
  <si>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</si>
  <si>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</si>
  <si>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</si>
  <si>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</si>
  <si>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</si>
  <si>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</si>
  <si>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</si>
  <si>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</si>
  <si>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</si>
  <si>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</si>
  <si>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</si>
  <si>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</si>
  <si>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</si>
  <si>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</si>
  <si>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</si>
  <si>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</si>
  <si>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</si>
  <si>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</si>
  <si>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</si>
  <si>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</si>
  <si>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</si>
  <si>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</si>
  <si>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</si>
  <si>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</si>
  <si>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</si>
  <si>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</si>
  <si>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</si>
  <si>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</si>
  <si>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</si>
  <si>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</si>
  <si>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</si>
  <si>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</si>
  <si>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</si>
  <si>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</si>
  <si>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</si>
  <si>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</si>
  <si>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</si>
  <si>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</si>
  <si>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</si>
  <si>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</si>
  <si>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</si>
  <si>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</si>
  <si>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</si>
  <si>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</si>
  <si>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</si>
  <si>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</si>
  <si>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</si>
  <si>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</si>
  <si>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</si>
  <si>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</si>
  <si>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</si>
  <si>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</si>
  <si>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</si>
  <si>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</si>
  <si>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</si>
  <si>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</si>
  <si>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</si>
  <si>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</si>
  <si>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</si>
  <si>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</si>
  <si>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</si>
  <si>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</si>
  <si>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</si>
  <si>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</si>
  <si>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</si>
  <si>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</si>
  <si>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</si>
  <si>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</si>
  <si>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</si>
  <si>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</si>
  <si>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</si>
  <si>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</si>
  <si>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</si>
  <si>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</si>
  <si>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</si>
  <si>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</si>
  <si>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</si>
  <si>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</si>
  <si>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</si>
  <si>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</si>
  <si>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</si>
  <si>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</si>
  <si>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</si>
  <si>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</si>
  <si>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</si>
  <si>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</si>
  <si>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</si>
  <si>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</si>
  <si>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</si>
  <si>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</si>
  <si>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</si>
  <si>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</si>
  <si>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</si>
  <si>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</si>
  <si>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</si>
  <si>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</si>
  <si>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</si>
  <si>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</si>
  <si>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</si>
  <si>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</si>
  <si>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</si>
  <si>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</si>
  <si>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</si>
  <si>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</si>
  <si>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</si>
  <si>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</si>
  <si>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</si>
  <si>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</si>
  <si>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</si>
  <si>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</si>
  <si>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</si>
  <si>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</si>
  <si>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</si>
  <si>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</si>
  <si>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</si>
  <si>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</si>
  <si>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</si>
  <si>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</si>
  <si>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</si>
  <si>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</si>
  <si>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</si>
  <si>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</si>
  <si>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</si>
  <si>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</si>
  <si>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</si>
  <si>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</si>
  <si>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</si>
  <si>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</si>
  <si>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</si>
  <si>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</si>
  <si>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</si>
  <si>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</si>
  <si>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</si>
  <si>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</si>
  <si>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</si>
  <si>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</si>
  <si>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</si>
  <si>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</si>
  <si>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</si>
  <si>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</si>
  <si>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</si>
  <si>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</si>
  <si>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</si>
  <si>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</si>
  <si>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</si>
  <si>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</si>
  <si>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</si>
  <si>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</si>
  <si>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</si>
  <si>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</si>
  <si>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</si>
  <si>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</si>
  <si>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</si>
  <si>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</si>
  <si>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</si>
  <si>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</si>
  <si>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</si>
  <si>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</si>
  <si>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</si>
  <si>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</si>
  <si>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</si>
  <si>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</si>
  <si>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</si>
  <si>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</si>
  <si>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</si>
  <si>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</si>
  <si>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</si>
  <si>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</si>
  <si>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</si>
  <si>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</si>
  <si>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</si>
  <si>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</si>
  <si>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</si>
  <si>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</si>
  <si>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</si>
  <si>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</si>
  <si>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</si>
  <si>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</si>
  <si>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</si>
  <si>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</si>
  <si>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</si>
  <si>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</si>
  <si>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</si>
  <si>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</si>
  <si>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</si>
  <si>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</si>
  <si>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</si>
  <si>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</si>
  <si>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</si>
  <si>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</si>
  <si>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</si>
  <si>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</si>
  <si>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</si>
  <si>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</si>
  <si>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</si>
  <si>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</si>
  <si>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</si>
  <si>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</si>
  <si>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</si>
  <si>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</si>
  <si>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</si>
  <si>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</si>
  <si>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</si>
  <si>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</si>
  <si>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</si>
  <si>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</si>
  <si>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</si>
  <si>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</si>
  <si>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</si>
  <si>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</si>
  <si>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</si>
  <si>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</si>
  <si>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</si>
  <si>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</si>
  <si>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</si>
  <si>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</si>
  <si>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</si>
  <si>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</si>
  <si>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</si>
  <si>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</si>
  <si>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</si>
  <si>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</si>
  <si>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</si>
  <si>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</si>
  <si>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</si>
  <si>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</si>
  <si>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</si>
  <si>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</si>
  <si>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</si>
  <si>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</si>
  <si>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</si>
  <si>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</si>
  <si>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</si>
  <si>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</si>
  <si>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</si>
  <si>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</si>
  <si>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</si>
  <si>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</si>
  <si>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</si>
  <si>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</si>
  <si>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</si>
  <si>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</si>
  <si>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</si>
  <si>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</si>
  <si>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</si>
  <si>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</si>
  <si>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</si>
  <si>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</si>
  <si>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</si>
  <si>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</si>
  <si>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</si>
  <si>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</si>
  <si>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</si>
  <si>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</si>
  <si>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</si>
  <si>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</si>
  <si>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</si>
  <si>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</si>
  <si>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</si>
  <si>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</si>
  <si>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</si>
  <si>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</si>
  <si>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</si>
  <si>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</si>
  <si>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</si>
  <si>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</si>
  <si>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</si>
  <si>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</si>
  <si>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1563 A</t>
  </si>
  <si>
    <t>1678 A</t>
  </si>
  <si>
    <t>1826 A</t>
  </si>
  <si>
    <t>1989 A</t>
  </si>
  <si>
    <t>2016 A</t>
  </si>
  <si>
    <t>Tripas</t>
  </si>
  <si>
    <t># 66928---# 66968</t>
  </si>
  <si>
    <t># 66969---# 66716</t>
  </si>
  <si>
    <t># 67017---# 67077</t>
  </si>
  <si>
    <t>#  67078---# 67150</t>
  </si>
  <si>
    <t>NOMINA 27</t>
  </si>
  <si>
    <t>NOMINA 28</t>
  </si>
  <si>
    <t>NOMINA 29</t>
  </si>
  <si>
    <t>NOMINA 30</t>
  </si>
  <si>
    <t>NOMINA  31</t>
  </si>
  <si>
    <t># 67151---# 67212</t>
  </si>
  <si>
    <t># 67213---# 67261</t>
  </si>
  <si>
    <t>0922 A</t>
  </si>
  <si>
    <t># 67262---# 67304</t>
  </si>
  <si>
    <t># 67305---# 67355</t>
  </si>
  <si>
    <t># 67356---# 67427</t>
  </si>
  <si>
    <t># 67428---# 67488</t>
  </si>
  <si>
    <t># 67489---# 67565</t>
  </si>
  <si>
    <t>May-Jun 12-jul</t>
  </si>
  <si>
    <t># 67566---# 67646</t>
  </si>
  <si>
    <t>2107 A</t>
  </si>
  <si>
    <t>2207 A</t>
  </si>
  <si>
    <t>2284 A</t>
  </si>
  <si>
    <t>2365 A</t>
  </si>
  <si>
    <t>2491 A</t>
  </si>
  <si>
    <t>04-Jul--16-Jul</t>
  </si>
  <si>
    <t>2419 A</t>
  </si>
  <si>
    <t>2507 A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</si>
  <si>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</si>
  <si>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</si>
  <si>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</si>
  <si>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</si>
  <si>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</si>
  <si>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</si>
  <si>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# 68000---# 68056</t>
  </si>
  <si>
    <t># 68057---# 68100</t>
  </si>
  <si>
    <t>2668 A</t>
  </si>
  <si>
    <t>2732 A</t>
  </si>
  <si>
    <t>2760 A</t>
  </si>
  <si>
    <t>2863 A</t>
  </si>
  <si>
    <t>2973 A</t>
  </si>
  <si>
    <t>16-Jul--22-Jul</t>
  </si>
  <si>
    <t># 66969---# 67016</t>
  </si>
  <si>
    <t>3211 A</t>
  </si>
  <si>
    <t>3323 A</t>
  </si>
  <si>
    <t>3469 A</t>
  </si>
  <si>
    <t>3489 A</t>
  </si>
  <si>
    <t>3499 A</t>
  </si>
  <si>
    <t>3580 A</t>
  </si>
  <si>
    <t>3648 A</t>
  </si>
  <si>
    <t>3662 A</t>
  </si>
  <si>
    <t>3858 A</t>
  </si>
  <si>
    <t>4021 A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</si>
  <si>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</si>
  <si>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</si>
  <si>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</si>
  <si>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</si>
  <si>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</si>
  <si>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</si>
  <si>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</si>
  <si>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</si>
  <si>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2863 a</t>
  </si>
  <si>
    <t xml:space="preserve">22-Jul --31-Jul </t>
  </si>
  <si>
    <t>3960 A</t>
  </si>
  <si>
    <t>3957 A</t>
  </si>
  <si>
    <t xml:space="preserve">BALANCE       DE  AGOSTO        2015     HERRADURA </t>
  </si>
  <si>
    <t>4226 A</t>
  </si>
  <si>
    <t>4247 A</t>
  </si>
  <si>
    <t>4323 A</t>
  </si>
  <si>
    <t>4396 A</t>
  </si>
  <si>
    <t>4581 A</t>
  </si>
  <si>
    <t>4678 A</t>
  </si>
  <si>
    <t>4758 A</t>
  </si>
  <si>
    <t>4900 A</t>
  </si>
  <si>
    <t>5053 A</t>
  </si>
  <si>
    <t>5135 A</t>
  </si>
  <si>
    <t>5201 A</t>
  </si>
  <si>
    <t># 68523---# 68566</t>
  </si>
  <si>
    <t># 38567---# 68616</t>
  </si>
  <si>
    <t># 68617---# 68686</t>
  </si>
  <si>
    <t>5330 A</t>
  </si>
  <si>
    <t># 68687---# 68753</t>
  </si>
  <si>
    <t># 68754---# 68821</t>
  </si>
  <si>
    <t># 68822---# 68870</t>
  </si>
  <si>
    <t># 68871---# 68909</t>
  </si>
  <si>
    <t># 68910---# 68943</t>
  </si>
  <si>
    <t># 68944---# 68985</t>
  </si>
  <si>
    <t>TOCINO--TRIPAS</t>
  </si>
  <si>
    <t># 68986---# 69049</t>
  </si>
  <si>
    <t># 69050---# 69104</t>
  </si>
  <si>
    <t># 69105---# 69155</t>
  </si>
  <si>
    <t># 69156--# 69215</t>
  </si>
  <si>
    <t>31-Jul --12-Ago</t>
  </si>
  <si>
    <t>5396 A</t>
  </si>
  <si>
    <t>GANACIA</t>
  </si>
  <si>
    <t>NOMINA 31</t>
  </si>
  <si>
    <t>NOMINA 32</t>
  </si>
  <si>
    <t>NOMINA 33</t>
  </si>
  <si>
    <t>NOMINA 34</t>
  </si>
  <si>
    <t>NOMINA  35</t>
  </si>
  <si>
    <t>5469 A</t>
  </si>
  <si>
    <t>5712 A</t>
  </si>
  <si>
    <t>5818 A</t>
  </si>
  <si>
    <t>5926 A</t>
  </si>
  <si>
    <t>6060 A</t>
  </si>
  <si>
    <t>6220 A</t>
  </si>
  <si>
    <t>6343 A</t>
  </si>
  <si>
    <t>#69216---# 69256</t>
  </si>
  <si>
    <t># 69256---# 69302</t>
  </si>
  <si>
    <t># 69303---# 69344</t>
  </si>
  <si>
    <t># 69345---# 69410</t>
  </si>
  <si>
    <t># 69411---# 69465</t>
  </si>
  <si>
    <t># 69466---# 69527</t>
  </si>
  <si>
    <t># 69528---# 69570</t>
  </si>
  <si>
    <t># 69571---# 69615</t>
  </si>
  <si>
    <t># 69616---# 69659</t>
  </si>
  <si>
    <t># 69660---# 69700</t>
  </si>
  <si>
    <t xml:space="preserve">12-Ago --21-Ago </t>
  </si>
  <si>
    <t>6517 A</t>
  </si>
  <si>
    <t>6601 A</t>
  </si>
  <si>
    <t>6602 A</t>
  </si>
  <si>
    <t>6677 A</t>
  </si>
  <si>
    <t>6723 A</t>
  </si>
  <si>
    <t># 69701---# 69764</t>
  </si>
  <si>
    <t># 69765---# 69841</t>
  </si>
  <si>
    <t># 69842---# 69903</t>
  </si>
  <si>
    <t># 69904---# 69940</t>
  </si>
  <si>
    <t>6862 A</t>
  </si>
  <si>
    <t>21-Ago --27-Ago</t>
  </si>
  <si>
    <t>7099 A</t>
  </si>
  <si>
    <t>6358 A</t>
  </si>
  <si>
    <t>7005 A</t>
  </si>
  <si>
    <t>7220 A</t>
  </si>
  <si>
    <t>7331 A</t>
  </si>
  <si>
    <t>7392 A</t>
  </si>
  <si>
    <t>7403 A</t>
  </si>
  <si>
    <t># 69941---# 69980</t>
  </si>
  <si>
    <t># 69981---# 70019</t>
  </si>
  <si>
    <t># 70020---# 70058</t>
  </si>
  <si>
    <t># 70059---# 70113</t>
  </si>
  <si>
    <t># 70114---# 70190</t>
  </si>
  <si>
    <t>7475 A</t>
  </si>
  <si>
    <t xml:space="preserve">27-Ago --01-Sep </t>
  </si>
  <si>
    <t xml:space="preserve">BALANCE       DE  SEPTIEMBRE         2015     HERRADURA </t>
  </si>
  <si>
    <t>7647 A</t>
  </si>
  <si>
    <t># 70191--# 70244</t>
  </si>
  <si>
    <t>morralla</t>
  </si>
  <si>
    <t># 70245---# 70290</t>
  </si>
  <si>
    <t>FONDO DE CAJA  $  1,000.00</t>
  </si>
  <si>
    <t>7827 A</t>
  </si>
  <si>
    <t>7908 A</t>
  </si>
  <si>
    <t>8210-A</t>
  </si>
  <si>
    <t>8211 A</t>
  </si>
  <si>
    <t>8212 A</t>
  </si>
  <si>
    <t>8277 A</t>
  </si>
  <si>
    <t>7999 A</t>
  </si>
  <si>
    <t>8096 A</t>
  </si>
  <si>
    <t>8400 A</t>
  </si>
  <si>
    <t>8443 A</t>
  </si>
  <si>
    <t>8482 A</t>
  </si>
  <si>
    <t>8672 A</t>
  </si>
  <si>
    <t># 70291---# 70326</t>
  </si>
  <si>
    <t># 70327---# 70365</t>
  </si>
  <si>
    <t>NOMINA 36</t>
  </si>
  <si>
    <t>NOMINA 37</t>
  </si>
  <si>
    <t>NOMINA 38</t>
  </si>
  <si>
    <t>NOMINA 39</t>
  </si>
  <si>
    <t>NOMINA  40</t>
  </si>
  <si>
    <t># 70366---# 70398</t>
  </si>
  <si>
    <t># 70409---# 70472</t>
  </si>
  <si>
    <t># 70473---# 70550</t>
  </si>
  <si>
    <t># 70551--- # 70615</t>
  </si>
  <si>
    <t># 70616---# 70664</t>
  </si>
  <si>
    <t># 70665---# 70706</t>
  </si>
  <si>
    <t xml:space="preserve">01-Sep ---11-Sep </t>
  </si>
  <si>
    <t># 70751---# 70815</t>
  </si>
  <si>
    <t>8758 A</t>
  </si>
  <si>
    <t>8883 A</t>
  </si>
  <si>
    <t>8903 A</t>
  </si>
  <si>
    <t>9022 A</t>
  </si>
  <si>
    <t>9291 A</t>
  </si>
  <si>
    <t>9292 A</t>
  </si>
  <si>
    <t>9378 A</t>
  </si>
  <si>
    <t>9420 A</t>
  </si>
  <si>
    <t>9434 A</t>
  </si>
  <si>
    <t># 70707---# 70750</t>
  </si>
  <si>
    <t># 70816---# 70869</t>
  </si>
  <si>
    <t># 70870---# 70948</t>
  </si>
  <si>
    <t># 70949---# 71025</t>
  </si>
  <si>
    <t>chorizo--central</t>
  </si>
  <si>
    <t># 71026---# 71077</t>
  </si>
  <si>
    <t># 71078---# 71173</t>
  </si>
  <si>
    <t># 71174---# 71222</t>
  </si>
  <si>
    <t># 71223---# 71270</t>
  </si>
  <si>
    <t>9710 A</t>
  </si>
  <si>
    <t>11-Sep---19-Sep</t>
  </si>
  <si>
    <t>9738 A</t>
  </si>
  <si>
    <t>9819 A</t>
  </si>
  <si>
    <t>9562 A</t>
  </si>
  <si>
    <t>9848 A</t>
  </si>
  <si>
    <t>9870 A</t>
  </si>
  <si>
    <t>9957 A</t>
  </si>
  <si>
    <t>10153 A</t>
  </si>
  <si>
    <t>10166 A</t>
  </si>
  <si>
    <t># 71271---# 71337</t>
  </si>
  <si>
    <t># 71338---# 71405</t>
  </si>
  <si>
    <t># 71406---# 71467</t>
  </si>
  <si>
    <t># 71468---# 71509</t>
  </si>
  <si>
    <t># 71510---# 71550</t>
  </si>
  <si>
    <t xml:space="preserve">19-Sep --24-Sep </t>
  </si>
  <si>
    <t>10262 A</t>
  </si>
  <si>
    <t>10367 A</t>
  </si>
  <si>
    <t>10420 A</t>
  </si>
  <si>
    <t>10542 A</t>
  </si>
  <si>
    <t>10421 A</t>
  </si>
  <si>
    <t>10651 A</t>
  </si>
  <si>
    <t>10658 A</t>
  </si>
  <si>
    <t>10661 A</t>
  </si>
  <si>
    <t>10764 A</t>
  </si>
  <si>
    <t>10830 A</t>
  </si>
  <si>
    <t>10843 A</t>
  </si>
  <si>
    <t># 71551---# 71592</t>
  </si>
  <si>
    <t># 71593---# 71642</t>
  </si>
  <si>
    <t>Camara de  com</t>
  </si>
  <si>
    <t># 71643---71710</t>
  </si>
  <si>
    <t># 71711---# 71784</t>
  </si>
  <si>
    <t>9957 a</t>
  </si>
  <si>
    <t xml:space="preserve">24-Sep --29-Sep </t>
  </si>
  <si>
    <t>10955 A</t>
  </si>
  <si>
    <t>11033 A</t>
  </si>
  <si>
    <t xml:space="preserve">29-Sep --03-Oct </t>
  </si>
  <si>
    <t>LUZ 03-Sep</t>
  </si>
  <si>
    <t xml:space="preserve">LUZ 03-Sep </t>
  </si>
  <si>
    <t># 71785---# 71842</t>
  </si>
  <si>
    <t># 71843---# 71890</t>
  </si>
  <si>
    <t># 71891---# 71938</t>
  </si>
  <si>
    <t># 71940---# 71988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</si>
</sst>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1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3" fillId="0" borderId="60" xfId="1" applyFont="1" applyFill="1" applyBorder="1"/>
    <xf numFmtId="0" fontId="25" fillId="0" borderId="15" xfId="0" applyFont="1" applyBorder="1"/>
    <xf numFmtId="0" fontId="37" fillId="0" borderId="25" xfId="0" applyFont="1" applyFill="1" applyBorder="1" applyAlignment="1">
      <alignment horizontal="center"/>
    </xf>
    <xf numFmtId="0" fontId="21" fillId="0" borderId="42" xfId="0" applyFont="1" applyFill="1" applyBorder="1"/>
    <xf numFmtId="14" fontId="1" fillId="0" borderId="42" xfId="0" applyNumberFormat="1" applyFont="1" applyFill="1" applyBorder="1"/>
    <xf numFmtId="0" fontId="21" fillId="0" borderId="42" xfId="0" applyFont="1" applyFill="1" applyBorder="1" applyAlignment="1">
      <alignment horizontal="left"/>
    </xf>
    <xf numFmtId="18" fontId="29" fillId="0" borderId="25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/>
    <xf numFmtId="165" fontId="21" fillId="14" borderId="0" xfId="1" applyNumberFormat="1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2" xfId="0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65" fontId="1" fillId="0" borderId="42" xfId="1" applyNumberFormat="1" applyFont="1" applyFill="1" applyBorder="1"/>
    <xf numFmtId="0" fontId="29" fillId="0" borderId="42" xfId="0" applyFont="1" applyFill="1" applyBorder="1" applyAlignment="1">
      <alignment horizontal="center"/>
    </xf>
    <xf numFmtId="44" fontId="33" fillId="0" borderId="57" xfId="1" applyFont="1" applyFill="1" applyBorder="1" applyAlignment="1">
      <alignment horizontal="center" wrapText="1"/>
    </xf>
    <xf numFmtId="44" fontId="23" fillId="0" borderId="57" xfId="1" applyFont="1" applyFill="1" applyBorder="1"/>
    <xf numFmtId="165" fontId="0" fillId="0" borderId="57" xfId="0" applyNumberFormat="1" applyFill="1" applyBorder="1"/>
    <xf numFmtId="165" fontId="1" fillId="0" borderId="24" xfId="0" applyNumberFormat="1" applyFont="1" applyFill="1" applyBorder="1"/>
    <xf numFmtId="44" fontId="21" fillId="0" borderId="24" xfId="1" applyFont="1" applyFill="1" applyBorder="1"/>
    <xf numFmtId="44" fontId="23" fillId="0" borderId="24" xfId="1" applyFont="1" applyFill="1" applyBorder="1"/>
    <xf numFmtId="165" fontId="3" fillId="0" borderId="0" xfId="1" applyNumberFormat="1" applyFont="1" applyFill="1"/>
    <xf numFmtId="165" fontId="3" fillId="0" borderId="42" xfId="1" applyNumberFormat="1" applyFont="1" applyBorder="1"/>
    <xf numFmtId="44" fontId="3" fillId="0" borderId="42" xfId="1" applyFont="1" applyBorder="1"/>
    <xf numFmtId="165" fontId="3" fillId="0" borderId="42" xfId="0" applyNumberFormat="1" applyFont="1" applyBorder="1"/>
    <xf numFmtId="16" fontId="25" fillId="0" borderId="15" xfId="0" applyNumberFormat="1" applyFont="1" applyBorder="1"/>
    <xf numFmtId="165" fontId="21" fillId="15" borderId="0" xfId="1" applyNumberFormat="1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44" fontId="17" fillId="0" borderId="43" xfId="1" applyFont="1" applyFill="1" applyBorder="1"/>
    <xf numFmtId="165" fontId="19" fillId="0" borderId="66" xfId="0" applyNumberFormat="1" applyFont="1" applyFill="1" applyBorder="1"/>
    <xf numFmtId="165" fontId="0" fillId="0" borderId="43" xfId="0" applyNumberFormat="1" applyFill="1" applyBorder="1"/>
    <xf numFmtId="44" fontId="20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27" fillId="0" borderId="0" xfId="0" applyNumberFormat="1" applyFont="1" applyFill="1" applyBorder="1"/>
    <xf numFmtId="44" fontId="1" fillId="15" borderId="0" xfId="1" applyFont="1" applyFill="1"/>
    <xf numFmtId="0" fontId="1" fillId="15" borderId="0" xfId="0" applyFont="1" applyFill="1"/>
    <xf numFmtId="44" fontId="13" fillId="15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44" fontId="1" fillId="0" borderId="48" xfId="1" applyFont="1" applyFill="1" applyBorder="1"/>
    <xf numFmtId="165" fontId="19" fillId="0" borderId="48" xfId="0" applyNumberFormat="1" applyFont="1" applyFill="1" applyBorder="1"/>
    <xf numFmtId="165" fontId="0" fillId="0" borderId="48" xfId="0" applyNumberFormat="1" applyFill="1" applyBorder="1"/>
    <xf numFmtId="0" fontId="22" fillId="0" borderId="48" xfId="0" applyFont="1" applyFill="1" applyBorder="1" applyAlignment="1">
      <alignment horizontal="center"/>
    </xf>
    <xf numFmtId="44" fontId="21" fillId="0" borderId="48" xfId="1" applyFont="1" applyFill="1" applyBorder="1"/>
    <xf numFmtId="44" fontId="1" fillId="0" borderId="57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Border="1"/>
    <xf numFmtId="44" fontId="0" fillId="0" borderId="0" xfId="0" applyNumberFormat="1" applyFill="1" applyBorder="1"/>
    <xf numFmtId="0" fontId="29" fillId="0" borderId="43" xfId="0" applyFont="1" applyBorder="1" applyAlignment="1">
      <alignment horizontal="center"/>
    </xf>
    <xf numFmtId="44" fontId="20" fillId="0" borderId="43" xfId="1" applyFont="1" applyFill="1" applyBorder="1"/>
    <xf numFmtId="0" fontId="22" fillId="0" borderId="24" xfId="0" applyFont="1" applyFill="1" applyBorder="1" applyAlignment="1">
      <alignment horizontal="center"/>
    </xf>
    <xf numFmtId="44" fontId="1" fillId="0" borderId="24" xfId="1" applyFont="1" applyFill="1" applyBorder="1"/>
    <xf numFmtId="165" fontId="19" fillId="0" borderId="24" xfId="0" applyNumberFormat="1" applyFont="1" applyFill="1" applyBorder="1"/>
    <xf numFmtId="165" fontId="0" fillId="0" borderId="24" xfId="0" applyNumberFormat="1" applyFill="1" applyBorder="1"/>
    <xf numFmtId="165" fontId="11" fillId="0" borderId="0" xfId="0" applyNumberFormat="1" applyFont="1" applyFill="1" applyBorder="1"/>
    <xf numFmtId="165" fontId="1" fillId="0" borderId="25" xfId="0" applyNumberFormat="1" applyFont="1" applyBorder="1"/>
    <xf numFmtId="0" fontId="1" fillId="15" borderId="0" xfId="0" applyFont="1" applyFill="1" applyBorder="1"/>
    <xf numFmtId="164" fontId="1" fillId="0" borderId="0" xfId="0" applyNumberFormat="1" applyFont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586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43</xdr:row>
      <xdr:rowOff>47625</xdr:rowOff>
    </xdr:from>
    <xdr:to>
      <xdr:col>41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30870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471" t="s">
        <v>17</v>
      </c>
      <c r="D1" s="471"/>
      <c r="E1" s="471"/>
      <c r="F1" s="471"/>
      <c r="G1" s="471"/>
      <c r="H1" s="471"/>
      <c r="I1" s="471"/>
      <c r="J1" s="471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472" t="s">
        <v>14</v>
      </c>
      <c r="F4" s="473"/>
      <c r="I4" s="474" t="s">
        <v>4</v>
      </c>
      <c r="J4" s="475"/>
      <c r="K4" s="475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478">
        <f>I38+K38</f>
        <v>110987.84</v>
      </c>
      <c r="K40" s="479"/>
    </row>
    <row r="41" spans="1:12" ht="15.75" x14ac:dyDescent="0.25">
      <c r="D41" s="470" t="s">
        <v>8</v>
      </c>
      <c r="E41" s="470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480"/>
      <c r="J43" s="480"/>
      <c r="K43" s="2"/>
    </row>
    <row r="44" spans="1:12" ht="16.5" thickBot="1" x14ac:dyDescent="0.3">
      <c r="D44" s="469" t="s">
        <v>9</v>
      </c>
      <c r="E44" s="469"/>
      <c r="F44" s="59">
        <v>199262.3</v>
      </c>
      <c r="I44" s="481"/>
      <c r="J44" s="481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482" t="s">
        <v>13</v>
      </c>
      <c r="J45" s="483"/>
      <c r="K45" s="486">
        <f>F45+K44</f>
        <v>-229991.74999999983</v>
      </c>
    </row>
    <row r="46" spans="1:12" ht="15.75" thickBot="1" x14ac:dyDescent="0.3">
      <c r="D46" s="468"/>
      <c r="E46" s="468"/>
      <c r="F46" s="55"/>
      <c r="I46" s="484"/>
      <c r="J46" s="485"/>
      <c r="K46" s="487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471" t="s">
        <v>402</v>
      </c>
      <c r="D1" s="471"/>
      <c r="E1" s="471"/>
      <c r="F1" s="471"/>
      <c r="G1" s="471"/>
      <c r="H1" s="471"/>
      <c r="I1" s="471"/>
      <c r="J1" s="471"/>
      <c r="K1" s="471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362"/>
      <c r="K40" s="478">
        <f>I38+L38</f>
        <v>73406.490000000005</v>
      </c>
      <c r="L40" s="479"/>
    </row>
    <row r="41" spans="1:15" ht="15.75" customHeight="1" x14ac:dyDescent="0.25">
      <c r="D41" s="470" t="s">
        <v>8</v>
      </c>
      <c r="E41" s="470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480"/>
      <c r="J43" s="480"/>
      <c r="K43" s="480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497">
        <f>F46</f>
        <v>193184.67999999993</v>
      </c>
      <c r="L44" s="498"/>
    </row>
    <row r="45" spans="1:15" ht="15.75" customHeight="1" thickBot="1" x14ac:dyDescent="0.3">
      <c r="D45" s="361" t="s">
        <v>9</v>
      </c>
      <c r="E45" s="361"/>
      <c r="F45" s="366">
        <v>125131.74</v>
      </c>
      <c r="I45" s="506" t="s">
        <v>2</v>
      </c>
      <c r="J45" s="506"/>
      <c r="K45" s="499">
        <v>-149916.25</v>
      </c>
      <c r="L45" s="499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500">
        <v>0</v>
      </c>
      <c r="L46" s="500"/>
    </row>
    <row r="47" spans="1:15" ht="19.5" thickBot="1" x14ac:dyDescent="0.3">
      <c r="E47" s="5"/>
      <c r="F47" s="56"/>
      <c r="I47" s="510" t="s">
        <v>13</v>
      </c>
      <c r="J47" s="511"/>
      <c r="K47" s="503">
        <f>SUM(K44:L46)</f>
        <v>43268.429999999935</v>
      </c>
      <c r="L47" s="504"/>
    </row>
    <row r="48" spans="1:15" x14ac:dyDescent="0.25">
      <c r="D48" s="480"/>
      <c r="E48" s="480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507" t="s">
        <v>240</v>
      </c>
      <c r="D3" s="508"/>
      <c r="E3" s="509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6" workbookViewId="0">
      <selection activeCell="F36" sqref="F3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471" t="s">
        <v>451</v>
      </c>
      <c r="D1" s="471"/>
      <c r="E1" s="471"/>
      <c r="F1" s="471"/>
      <c r="G1" s="471"/>
      <c r="H1" s="471"/>
      <c r="I1" s="471"/>
      <c r="J1" s="471"/>
      <c r="K1" s="471"/>
      <c r="M1" s="371"/>
      <c r="N1" s="202"/>
      <c r="O1" s="202"/>
      <c r="P1" s="202"/>
      <c r="S1" s="471" t="s">
        <v>451</v>
      </c>
      <c r="T1" s="471"/>
      <c r="U1" s="471"/>
      <c r="V1" s="471"/>
      <c r="W1" s="471"/>
      <c r="X1" s="471"/>
      <c r="Y1" s="471"/>
      <c r="Z1" s="471"/>
      <c r="AA1" s="471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492" t="s">
        <v>14</v>
      </c>
      <c r="V4" s="493"/>
      <c r="Y4" s="474" t="s">
        <v>4</v>
      </c>
      <c r="Z4" s="475"/>
      <c r="AA4" s="475"/>
      <c r="AB4" s="475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497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498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499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500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501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502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503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504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476" t="s">
        <v>7</v>
      </c>
      <c r="I40" s="477"/>
      <c r="J40" s="369"/>
      <c r="K40" s="478">
        <f>I38+L38</f>
        <v>74422.790000000008</v>
      </c>
      <c r="L40" s="479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476" t="s">
        <v>7</v>
      </c>
      <c r="Y40" s="477"/>
      <c r="Z40" s="362"/>
      <c r="AA40" s="478">
        <f>Y38+AB38</f>
        <v>55705.680000000008</v>
      </c>
      <c r="AB40" s="479"/>
    </row>
    <row r="41" spans="1:31" ht="15.75" customHeight="1" x14ac:dyDescent="0.25">
      <c r="B41" s="37"/>
      <c r="C41" s="43"/>
      <c r="D41" s="470" t="s">
        <v>8</v>
      </c>
      <c r="E41" s="470"/>
      <c r="F41" s="56">
        <f>F38-K40</f>
        <v>1655347.21</v>
      </c>
      <c r="I41" s="65"/>
      <c r="J41" s="65"/>
      <c r="M41" s="371"/>
      <c r="N41" s="202"/>
      <c r="O41" s="202"/>
      <c r="P41" s="202"/>
      <c r="T41" s="470" t="s">
        <v>8</v>
      </c>
      <c r="U41" s="470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480"/>
      <c r="J43" s="480"/>
      <c r="K43" s="480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480"/>
      <c r="Z43" s="480"/>
      <c r="AA43" s="480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512" t="s">
        <v>251</v>
      </c>
      <c r="J44" s="512"/>
      <c r="K44" s="497">
        <f>F46</f>
        <v>183039.44999999995</v>
      </c>
      <c r="L44" s="498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512" t="s">
        <v>251</v>
      </c>
      <c r="Z44" s="512"/>
      <c r="AA44" s="497">
        <f>V46</f>
        <v>150420.62999999992</v>
      </c>
      <c r="AB44" s="498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506" t="s">
        <v>2</v>
      </c>
      <c r="J45" s="506"/>
      <c r="K45" s="499">
        <v>-125131.74</v>
      </c>
      <c r="L45" s="499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506" t="s">
        <v>2</v>
      </c>
      <c r="Z45" s="506"/>
      <c r="AA45" s="499">
        <v>-125131.74</v>
      </c>
      <c r="AB45" s="499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500">
        <v>0</v>
      </c>
      <c r="L46" s="500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500">
        <v>0</v>
      </c>
      <c r="AB46" s="500"/>
    </row>
    <row r="47" spans="1:31" ht="19.5" thickBot="1" x14ac:dyDescent="0.3">
      <c r="B47" s="37"/>
      <c r="C47" s="43"/>
      <c r="E47" s="5"/>
      <c r="F47" s="56"/>
      <c r="I47" s="510" t="s">
        <v>468</v>
      </c>
      <c r="J47" s="511"/>
      <c r="K47" s="503">
        <f>SUM(K44:L46)</f>
        <v>57907.709999999948</v>
      </c>
      <c r="L47" s="504"/>
      <c r="M47" s="371"/>
      <c r="N47" s="202"/>
      <c r="O47" s="202"/>
      <c r="P47" s="202"/>
      <c r="U47" s="5"/>
      <c r="V47" s="56"/>
      <c r="Y47" s="510" t="s">
        <v>468</v>
      </c>
      <c r="Z47" s="511"/>
      <c r="AA47" s="503">
        <f>SUM(AA44:AB46)</f>
        <v>25288.889999999912</v>
      </c>
      <c r="AB47" s="504"/>
    </row>
    <row r="48" spans="1:31" x14ac:dyDescent="0.25">
      <c r="B48" s="37"/>
      <c r="C48" s="43"/>
      <c r="D48" s="480"/>
      <c r="E48" s="480"/>
      <c r="F48" s="58"/>
      <c r="I48" s="43"/>
      <c r="J48" s="43"/>
      <c r="M48" s="371"/>
      <c r="N48" s="202"/>
      <c r="O48" s="202"/>
      <c r="P48" s="202"/>
      <c r="T48" s="480"/>
      <c r="U48" s="480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106"/>
  <sheetViews>
    <sheetView topLeftCell="A49" workbookViewId="0">
      <selection activeCell="F74" sqref="F7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507" t="s">
        <v>240</v>
      </c>
      <c r="D3" s="508"/>
      <c r="E3" s="509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507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2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2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2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2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3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3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3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3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4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4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4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5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5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86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143"/>
      <c r="B64" s="393"/>
      <c r="C64" s="393"/>
      <c r="D64" s="394"/>
      <c r="E64" s="156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143"/>
      <c r="B65" s="393"/>
      <c r="C65" s="393"/>
      <c r="D65" s="395"/>
      <c r="E65" s="156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143"/>
      <c r="B66" s="393"/>
      <c r="C66" s="393"/>
      <c r="D66" s="395"/>
      <c r="E66" s="156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143"/>
      <c r="B67" s="393"/>
      <c r="C67" s="393"/>
      <c r="D67" s="395"/>
      <c r="E67" s="156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143"/>
      <c r="B68" s="393"/>
      <c r="C68" s="393"/>
      <c r="D68" s="395"/>
      <c r="E68" s="156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143"/>
      <c r="B69" s="393"/>
      <c r="C69" s="393"/>
      <c r="D69" s="395"/>
      <c r="E69" s="156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143"/>
      <c r="B70" s="393"/>
      <c r="C70" s="393"/>
      <c r="D70" s="394"/>
      <c r="E70" s="156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143"/>
      <c r="B71" s="393"/>
      <c r="C71" s="393"/>
      <c r="D71" s="396"/>
      <c r="E71" s="156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143"/>
      <c r="B72" s="393"/>
      <c r="C72" s="393"/>
      <c r="D72" s="394"/>
      <c r="E72" s="156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143"/>
      <c r="B73" s="393"/>
      <c r="C73" s="393"/>
      <c r="D73" s="394"/>
      <c r="E73" s="156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143"/>
      <c r="B74" s="393"/>
      <c r="C74" s="393"/>
      <c r="D74" s="394"/>
      <c r="E74" s="156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A75" s="143"/>
      <c r="B75" s="393"/>
      <c r="C75" s="393"/>
      <c r="D75" s="394"/>
      <c r="E75" s="156"/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A76" s="143"/>
      <c r="B76" s="393"/>
      <c r="C76" s="393"/>
      <c r="D76" s="394"/>
      <c r="E76" s="156"/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A77" s="143"/>
      <c r="B77" s="393"/>
      <c r="C77" s="393"/>
      <c r="D77" s="394"/>
      <c r="E77" s="156"/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143"/>
      <c r="B78" s="393"/>
      <c r="C78" s="393"/>
      <c r="D78" s="394"/>
      <c r="E78" s="156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143"/>
      <c r="B79" s="393"/>
      <c r="C79" s="393"/>
      <c r="D79" s="394"/>
      <c r="E79" s="156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A80" s="143"/>
      <c r="B80" s="393"/>
      <c r="C80" s="393"/>
      <c r="D80" s="394"/>
      <c r="E80" s="156"/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A81" s="143"/>
      <c r="B81" s="393"/>
      <c r="C81" s="393"/>
      <c r="D81" s="394"/>
      <c r="E81" s="156"/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A82" s="143"/>
      <c r="B82" s="393"/>
      <c r="C82" s="393"/>
      <c r="D82" s="394"/>
      <c r="E82" s="156"/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 s="143"/>
      <c r="B83" s="393"/>
      <c r="C83" s="393"/>
      <c r="D83" s="394"/>
      <c r="E83" s="156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 s="143"/>
      <c r="B84" s="393"/>
      <c r="C84" s="393"/>
      <c r="D84" s="394"/>
      <c r="E84" s="156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 s="143"/>
      <c r="B85" s="393"/>
      <c r="C85" s="393"/>
      <c r="D85" s="394"/>
      <c r="E85" s="156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 s="143"/>
      <c r="B86" s="393"/>
      <c r="C86" s="393"/>
      <c r="D86" s="394"/>
      <c r="E86" s="15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 s="143"/>
      <c r="B87" s="393"/>
      <c r="C87" s="393"/>
      <c r="D87" s="394"/>
      <c r="E87" s="156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 s="143"/>
      <c r="B88" s="393"/>
      <c r="C88" s="393"/>
      <c r="D88" s="394"/>
      <c r="E88" s="156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 s="143"/>
      <c r="B89" s="393"/>
      <c r="C89" s="393"/>
      <c r="D89" s="394"/>
      <c r="E89" s="156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 s="143"/>
      <c r="B90" s="393"/>
      <c r="C90" s="393"/>
      <c r="D90" s="396"/>
      <c r="E90" s="156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 s="143"/>
      <c r="B91" s="393"/>
      <c r="C91" s="393"/>
      <c r="D91" s="394"/>
      <c r="E91" s="156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 s="143"/>
      <c r="B92" s="393"/>
      <c r="C92" s="393"/>
      <c r="D92" s="394"/>
      <c r="E92" s="156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 s="143"/>
      <c r="B93" s="397"/>
      <c r="C93" s="397"/>
      <c r="D93" s="398"/>
      <c r="E93" s="157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 s="143"/>
      <c r="B94" s="292"/>
      <c r="C94" s="292"/>
      <c r="D94" s="398"/>
      <c r="E94" s="157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 s="143"/>
      <c r="B95" s="292"/>
      <c r="C95" s="292"/>
      <c r="D95" s="394"/>
      <c r="E95" s="156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A96" s="143"/>
      <c r="B96" s="292"/>
      <c r="C96" s="292"/>
      <c r="D96" s="394"/>
      <c r="E96" s="156"/>
      <c r="L96" s="131">
        <f>SUM(L55:L94)</f>
        <v>635250.5</v>
      </c>
      <c r="M96" s="131"/>
      <c r="N96" s="131"/>
      <c r="O96" s="131">
        <f>SUM(O55:O95)</f>
        <v>635250.5</v>
      </c>
    </row>
    <row r="97" spans="1:5" x14ac:dyDescent="0.25">
      <c r="A97" s="143"/>
      <c r="B97" s="292"/>
      <c r="C97" s="292"/>
      <c r="D97" s="394"/>
      <c r="E97" s="156"/>
    </row>
    <row r="98" spans="1:5" x14ac:dyDescent="0.25">
      <c r="A98" s="143"/>
      <c r="B98" s="397"/>
      <c r="C98" s="397"/>
      <c r="D98" s="394"/>
      <c r="E98" s="156"/>
    </row>
    <row r="99" spans="1:5" x14ac:dyDescent="0.25">
      <c r="A99" s="143"/>
      <c r="B99" s="292"/>
      <c r="C99" s="292"/>
      <c r="D99" s="394"/>
      <c r="E99" s="156"/>
    </row>
    <row r="100" spans="1:5" x14ac:dyDescent="0.25">
      <c r="A100" s="143"/>
      <c r="B100" s="397"/>
      <c r="C100" s="397"/>
      <c r="D100" s="394"/>
      <c r="E100" s="156"/>
    </row>
    <row r="101" spans="1:5" x14ac:dyDescent="0.25">
      <c r="A101" s="143"/>
      <c r="B101" s="397"/>
      <c r="C101" s="397"/>
      <c r="D101" s="394"/>
      <c r="E101" s="156"/>
    </row>
    <row r="102" spans="1:5" x14ac:dyDescent="0.25">
      <c r="A102" s="143"/>
      <c r="B102" s="397"/>
      <c r="C102" s="397"/>
      <c r="D102" s="396"/>
      <c r="E102" s="156"/>
    </row>
    <row r="103" spans="1:5" x14ac:dyDescent="0.25">
      <c r="A103" s="143"/>
      <c r="B103" s="292"/>
      <c r="C103" s="292"/>
      <c r="D103" s="394"/>
      <c r="E103" s="156"/>
    </row>
    <row r="104" spans="1:5" x14ac:dyDescent="0.25">
      <c r="A104" s="143"/>
      <c r="B104" s="292"/>
      <c r="C104" s="292"/>
      <c r="D104" s="396"/>
      <c r="E104" s="156"/>
    </row>
    <row r="105" spans="1:5" x14ac:dyDescent="0.25">
      <c r="A105" s="143"/>
      <c r="B105" s="292"/>
      <c r="C105" s="292"/>
      <c r="D105" s="394"/>
      <c r="E105" s="156"/>
    </row>
    <row r="106" spans="1:5" x14ac:dyDescent="0.25">
      <c r="A106" s="143"/>
      <c r="B106" s="397"/>
      <c r="C106" s="397"/>
      <c r="D106" s="394"/>
      <c r="E106" s="156"/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48"/>
  <sheetViews>
    <sheetView workbookViewId="0">
      <selection activeCell="J27" sqref="J2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4.7109375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0" ht="23.25" x14ac:dyDescent="0.35">
      <c r="B1" s="37"/>
      <c r="C1" s="471" t="s">
        <v>496</v>
      </c>
      <c r="D1" s="471"/>
      <c r="E1" s="471"/>
      <c r="F1" s="471"/>
      <c r="G1" s="471"/>
      <c r="H1" s="471"/>
      <c r="I1" s="471"/>
      <c r="J1" s="471"/>
      <c r="K1" s="471"/>
      <c r="M1" s="390"/>
      <c r="N1" s="202"/>
      <c r="R1" s="37"/>
      <c r="S1" s="471" t="s">
        <v>496</v>
      </c>
      <c r="T1" s="471"/>
      <c r="U1" s="471"/>
      <c r="V1" s="471"/>
      <c r="W1" s="471"/>
      <c r="X1" s="471"/>
      <c r="Y1" s="471"/>
      <c r="Z1" s="471"/>
      <c r="AA1" s="471"/>
      <c r="AC1" s="377"/>
      <c r="AD1" s="202"/>
    </row>
    <row r="2" spans="1:30" ht="15.75" thickBot="1" x14ac:dyDescent="0.3">
      <c r="B2" s="37"/>
      <c r="C2" s="43"/>
      <c r="E2" s="389"/>
      <c r="F2" s="50"/>
      <c r="I2" s="43"/>
      <c r="J2" s="43"/>
      <c r="M2" s="390"/>
      <c r="N2" s="202"/>
      <c r="R2" s="37"/>
      <c r="S2" s="43"/>
      <c r="U2" s="375"/>
      <c r="V2" s="50"/>
      <c r="Y2" s="43"/>
      <c r="Z2" s="43"/>
      <c r="AC2" s="377"/>
      <c r="AD2" s="202"/>
    </row>
    <row r="3" spans="1:30" ht="15.75" thickBot="1" x14ac:dyDescent="0.3">
      <c r="B3" s="37"/>
      <c r="C3" s="44" t="s">
        <v>0</v>
      </c>
      <c r="D3" s="3"/>
      <c r="F3" s="43"/>
      <c r="I3" s="43"/>
      <c r="J3" s="43"/>
      <c r="M3" s="390"/>
      <c r="N3" s="202"/>
      <c r="R3" s="37"/>
      <c r="S3" s="44" t="s">
        <v>0</v>
      </c>
      <c r="T3" s="3"/>
      <c r="V3" s="43"/>
      <c r="Y3" s="43"/>
      <c r="Z3" s="43"/>
      <c r="AC3" s="377"/>
      <c r="AD3" s="202"/>
    </row>
    <row r="4" spans="1:30" ht="20.25" thickTop="1" thickBot="1" x14ac:dyDescent="0.35">
      <c r="A4" s="96" t="s">
        <v>2</v>
      </c>
      <c r="B4" s="38"/>
      <c r="C4" s="94">
        <v>112018.27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  <c r="Q4" s="96" t="s">
        <v>2</v>
      </c>
      <c r="R4" s="38"/>
      <c r="S4" s="94">
        <v>112018.27</v>
      </c>
      <c r="T4" s="2"/>
      <c r="U4" s="492" t="s">
        <v>14</v>
      </c>
      <c r="V4" s="493"/>
      <c r="Y4" s="474" t="s">
        <v>4</v>
      </c>
      <c r="Z4" s="475"/>
      <c r="AA4" s="475"/>
      <c r="AB4" s="475"/>
      <c r="AC4" s="69" t="s">
        <v>18</v>
      </c>
      <c r="AD4" s="203" t="s">
        <v>264</v>
      </c>
    </row>
    <row r="5" spans="1:30" ht="15.75" thickTop="1" x14ac:dyDescent="0.25">
      <c r="A5" s="21"/>
      <c r="B5" s="39">
        <v>42186</v>
      </c>
      <c r="C5" s="45">
        <v>900</v>
      </c>
      <c r="D5" s="22" t="s">
        <v>518</v>
      </c>
      <c r="E5" s="26">
        <v>42186</v>
      </c>
      <c r="F5" s="51">
        <v>30663.5</v>
      </c>
      <c r="G5" s="23"/>
      <c r="H5" s="24">
        <v>42186</v>
      </c>
      <c r="I5" s="60">
        <v>200</v>
      </c>
      <c r="J5" s="87"/>
      <c r="K5" s="34"/>
      <c r="L5" s="34"/>
      <c r="M5" s="67" t="s">
        <v>519</v>
      </c>
      <c r="N5" s="75">
        <v>29180</v>
      </c>
      <c r="Q5" s="21"/>
      <c r="R5" s="39">
        <v>42186</v>
      </c>
      <c r="S5" s="45">
        <v>900</v>
      </c>
      <c r="T5" s="22" t="s">
        <v>518</v>
      </c>
      <c r="U5" s="26">
        <v>42186</v>
      </c>
      <c r="V5" s="51">
        <v>30663.5</v>
      </c>
      <c r="W5" s="23"/>
      <c r="X5" s="24">
        <v>42186</v>
      </c>
      <c r="Y5" s="60">
        <v>200</v>
      </c>
      <c r="Z5" s="87"/>
      <c r="AA5" s="34"/>
      <c r="AB5" s="34"/>
      <c r="AC5" s="67" t="s">
        <v>519</v>
      </c>
      <c r="AD5" s="75">
        <v>29180</v>
      </c>
    </row>
    <row r="6" spans="1:30" x14ac:dyDescent="0.25">
      <c r="A6" s="21"/>
      <c r="B6" s="39">
        <v>42187</v>
      </c>
      <c r="C6" s="45">
        <v>0</v>
      </c>
      <c r="D6" s="29"/>
      <c r="E6" s="26">
        <v>42187</v>
      </c>
      <c r="F6" s="51">
        <v>48789.5</v>
      </c>
      <c r="G6" s="19"/>
      <c r="H6" s="27">
        <v>42187</v>
      </c>
      <c r="I6" s="61">
        <v>200</v>
      </c>
      <c r="J6" s="88"/>
      <c r="K6" s="13" t="s">
        <v>5</v>
      </c>
      <c r="L6" s="20">
        <v>614</v>
      </c>
      <c r="M6" s="67" t="s">
        <v>560</v>
      </c>
      <c r="N6" s="75">
        <v>49700</v>
      </c>
      <c r="Q6" s="21"/>
      <c r="R6" s="39">
        <v>42187</v>
      </c>
      <c r="S6" s="45">
        <v>0</v>
      </c>
      <c r="T6" s="29"/>
      <c r="U6" s="26">
        <v>42187</v>
      </c>
      <c r="V6" s="51">
        <v>48789.5</v>
      </c>
      <c r="W6" s="19"/>
      <c r="X6" s="27">
        <v>42187</v>
      </c>
      <c r="Y6" s="61">
        <v>200</v>
      </c>
      <c r="Z6" s="88"/>
      <c r="AA6" s="13" t="s">
        <v>5</v>
      </c>
      <c r="AB6" s="20">
        <v>614</v>
      </c>
      <c r="AC6" s="67" t="s">
        <v>520</v>
      </c>
      <c r="AD6" s="75">
        <v>49700</v>
      </c>
    </row>
    <row r="7" spans="1:30" x14ac:dyDescent="0.25">
      <c r="A7" s="21"/>
      <c r="B7" s="39">
        <v>42188</v>
      </c>
      <c r="C7" s="45">
        <v>0</v>
      </c>
      <c r="D7" s="32"/>
      <c r="E7" s="26">
        <v>42188</v>
      </c>
      <c r="F7" s="51">
        <v>64461.5</v>
      </c>
      <c r="G7" s="23"/>
      <c r="H7" s="27">
        <v>42188</v>
      </c>
      <c r="I7" s="61">
        <v>200</v>
      </c>
      <c r="J7" s="88"/>
      <c r="K7" s="13" t="s">
        <v>3</v>
      </c>
      <c r="L7" s="20">
        <v>12626</v>
      </c>
      <c r="M7" s="67" t="s">
        <v>521</v>
      </c>
      <c r="N7" s="75">
        <v>66250</v>
      </c>
      <c r="Q7" s="21"/>
      <c r="R7" s="39">
        <v>42188</v>
      </c>
      <c r="S7" s="45">
        <v>0</v>
      </c>
      <c r="T7" s="32"/>
      <c r="U7" s="26">
        <v>42188</v>
      </c>
      <c r="V7" s="51">
        <v>64461.5</v>
      </c>
      <c r="W7" s="23"/>
      <c r="X7" s="27">
        <v>42188</v>
      </c>
      <c r="Y7" s="61">
        <v>200</v>
      </c>
      <c r="Z7" s="88"/>
      <c r="AA7" s="13" t="s">
        <v>3</v>
      </c>
      <c r="AB7" s="20">
        <v>12626</v>
      </c>
      <c r="AC7" s="67" t="s">
        <v>521</v>
      </c>
      <c r="AD7" s="75">
        <v>66250</v>
      </c>
    </row>
    <row r="8" spans="1:30" x14ac:dyDescent="0.25">
      <c r="A8" s="21"/>
      <c r="B8" s="39">
        <v>42189</v>
      </c>
      <c r="C8" s="45">
        <v>0</v>
      </c>
      <c r="D8" s="22"/>
      <c r="E8" s="26">
        <v>42189</v>
      </c>
      <c r="F8" s="51">
        <v>83074</v>
      </c>
      <c r="G8" s="23"/>
      <c r="H8" s="27">
        <v>42189</v>
      </c>
      <c r="I8" s="61">
        <v>200</v>
      </c>
      <c r="J8" s="88"/>
      <c r="K8" s="13" t="s">
        <v>6</v>
      </c>
      <c r="L8" s="20">
        <v>28750</v>
      </c>
      <c r="M8" s="201" t="s">
        <v>522</v>
      </c>
      <c r="N8" s="204">
        <v>77250</v>
      </c>
      <c r="Q8" s="21"/>
      <c r="R8" s="39">
        <v>42189</v>
      </c>
      <c r="S8" s="45">
        <v>0</v>
      </c>
      <c r="T8" s="22"/>
      <c r="U8" s="26">
        <v>42189</v>
      </c>
      <c r="V8" s="51">
        <v>83074</v>
      </c>
      <c r="W8" s="23"/>
      <c r="X8" s="27">
        <v>42189</v>
      </c>
      <c r="Y8" s="61">
        <v>200</v>
      </c>
      <c r="Z8" s="88"/>
      <c r="AA8" s="13" t="s">
        <v>6</v>
      </c>
      <c r="AB8" s="20">
        <v>28750</v>
      </c>
      <c r="AC8" s="201" t="s">
        <v>522</v>
      </c>
      <c r="AD8" s="204">
        <v>77250</v>
      </c>
    </row>
    <row r="9" spans="1:30" x14ac:dyDescent="0.25">
      <c r="A9" s="21"/>
      <c r="B9" s="39">
        <v>42190</v>
      </c>
      <c r="C9" s="45">
        <v>0</v>
      </c>
      <c r="D9" s="22"/>
      <c r="E9" s="26">
        <v>42190</v>
      </c>
      <c r="F9" s="51">
        <v>68483</v>
      </c>
      <c r="G9" s="23"/>
      <c r="H9" s="27">
        <v>42190</v>
      </c>
      <c r="I9" s="61">
        <v>200</v>
      </c>
      <c r="J9" s="88"/>
      <c r="K9" s="13" t="s">
        <v>523</v>
      </c>
      <c r="L9" s="20">
        <v>8038.91</v>
      </c>
      <c r="M9" s="67" t="s">
        <v>528</v>
      </c>
      <c r="N9" s="75">
        <v>72250</v>
      </c>
      <c r="Q9" s="21"/>
      <c r="R9" s="39">
        <v>42190</v>
      </c>
      <c r="S9" s="45">
        <v>0</v>
      </c>
      <c r="T9" s="22"/>
      <c r="U9" s="26">
        <v>42190</v>
      </c>
      <c r="V9" s="51">
        <v>68483</v>
      </c>
      <c r="W9" s="23"/>
      <c r="X9" s="27">
        <v>42190</v>
      </c>
      <c r="Y9" s="61">
        <v>200</v>
      </c>
      <c r="Z9" s="88"/>
      <c r="AA9" s="13" t="s">
        <v>523</v>
      </c>
      <c r="AB9" s="20">
        <v>8038.91</v>
      </c>
      <c r="AC9" s="67" t="s">
        <v>528</v>
      </c>
      <c r="AD9" s="75">
        <v>72250</v>
      </c>
    </row>
    <row r="10" spans="1:30" x14ac:dyDescent="0.25">
      <c r="A10" s="21"/>
      <c r="B10" s="39">
        <v>42191</v>
      </c>
      <c r="C10" s="45">
        <v>0</v>
      </c>
      <c r="D10" s="32"/>
      <c r="E10" s="26">
        <v>42191</v>
      </c>
      <c r="F10" s="51">
        <v>61395.5</v>
      </c>
      <c r="G10" s="23"/>
      <c r="H10" s="27">
        <v>42191</v>
      </c>
      <c r="I10" s="61">
        <v>200</v>
      </c>
      <c r="J10" s="88"/>
      <c r="K10" s="13" t="s">
        <v>524</v>
      </c>
      <c r="L10" s="19">
        <v>6434.83</v>
      </c>
      <c r="M10" s="67" t="s">
        <v>529</v>
      </c>
      <c r="N10" s="75">
        <v>60000</v>
      </c>
      <c r="Q10" s="21"/>
      <c r="R10" s="39">
        <v>42191</v>
      </c>
      <c r="S10" s="45">
        <v>0</v>
      </c>
      <c r="T10" s="32"/>
      <c r="U10" s="26">
        <v>42191</v>
      </c>
      <c r="V10" s="51">
        <v>61395.5</v>
      </c>
      <c r="W10" s="23"/>
      <c r="X10" s="27">
        <v>42191</v>
      </c>
      <c r="Y10" s="61">
        <v>200</v>
      </c>
      <c r="Z10" s="88"/>
      <c r="AA10" s="13" t="s">
        <v>524</v>
      </c>
      <c r="AB10" s="20">
        <v>0</v>
      </c>
      <c r="AC10" s="67" t="s">
        <v>529</v>
      </c>
      <c r="AD10" s="75">
        <v>60000</v>
      </c>
    </row>
    <row r="11" spans="1:30" x14ac:dyDescent="0.25">
      <c r="A11" s="21"/>
      <c r="B11" s="39">
        <v>42192</v>
      </c>
      <c r="C11" s="45">
        <v>0</v>
      </c>
      <c r="D11" s="32"/>
      <c r="E11" s="26">
        <v>42192</v>
      </c>
      <c r="F11" s="51">
        <v>41930.5</v>
      </c>
      <c r="G11" s="23"/>
      <c r="H11" s="27">
        <v>42192</v>
      </c>
      <c r="I11" s="62">
        <v>200</v>
      </c>
      <c r="J11" s="88"/>
      <c r="K11" s="13" t="s">
        <v>525</v>
      </c>
      <c r="L11" s="19">
        <v>4705.51</v>
      </c>
      <c r="M11" s="67" t="s">
        <v>531</v>
      </c>
      <c r="N11" s="75">
        <v>42000</v>
      </c>
      <c r="Q11" s="21"/>
      <c r="R11" s="39">
        <v>42192</v>
      </c>
      <c r="S11" s="45">
        <v>0</v>
      </c>
      <c r="T11" s="32"/>
      <c r="U11" s="26">
        <v>42192</v>
      </c>
      <c r="V11" s="51"/>
      <c r="W11" s="23"/>
      <c r="X11" s="27">
        <v>42192</v>
      </c>
      <c r="Y11" s="62"/>
      <c r="Z11" s="88"/>
      <c r="AA11" s="13" t="s">
        <v>525</v>
      </c>
      <c r="AB11" s="20">
        <v>0</v>
      </c>
      <c r="AC11" s="67"/>
      <c r="AD11" s="75"/>
    </row>
    <row r="12" spans="1:30" x14ac:dyDescent="0.25">
      <c r="A12" s="21"/>
      <c r="B12" s="39">
        <v>42193</v>
      </c>
      <c r="C12" s="45">
        <v>0</v>
      </c>
      <c r="D12" s="32"/>
      <c r="E12" s="26">
        <v>42193</v>
      </c>
      <c r="F12" s="51">
        <v>36935.5</v>
      </c>
      <c r="G12" s="23"/>
      <c r="H12" s="27">
        <v>42193</v>
      </c>
      <c r="I12" s="62">
        <v>200</v>
      </c>
      <c r="J12" s="88"/>
      <c r="K12" s="13" t="s">
        <v>526</v>
      </c>
      <c r="L12" s="20">
        <v>6309.58</v>
      </c>
      <c r="M12" s="67" t="s">
        <v>532</v>
      </c>
      <c r="N12" s="75">
        <v>38500</v>
      </c>
      <c r="Q12" s="21"/>
      <c r="R12" s="39">
        <v>42193</v>
      </c>
      <c r="S12" s="45">
        <v>0</v>
      </c>
      <c r="T12" s="32"/>
      <c r="U12" s="26">
        <v>42193</v>
      </c>
      <c r="V12" s="51"/>
      <c r="W12" s="23"/>
      <c r="X12" s="27">
        <v>42193</v>
      </c>
      <c r="Y12" s="62"/>
      <c r="Z12" s="88"/>
      <c r="AA12" s="13" t="s">
        <v>526</v>
      </c>
      <c r="AB12" s="20">
        <v>0</v>
      </c>
      <c r="AC12" s="67"/>
      <c r="AD12" s="75"/>
    </row>
    <row r="13" spans="1:30" x14ac:dyDescent="0.25">
      <c r="A13" s="21"/>
      <c r="B13" s="39">
        <v>42194</v>
      </c>
      <c r="C13" s="45">
        <v>0</v>
      </c>
      <c r="D13" s="32"/>
      <c r="E13" s="26">
        <v>42194</v>
      </c>
      <c r="F13" s="51">
        <v>59053</v>
      </c>
      <c r="G13" s="23"/>
      <c r="H13" s="27">
        <v>42194</v>
      </c>
      <c r="I13" s="62">
        <v>200</v>
      </c>
      <c r="J13" s="88"/>
      <c r="K13" s="13" t="s">
        <v>527</v>
      </c>
      <c r="L13" s="20">
        <v>0</v>
      </c>
      <c r="M13" s="67" t="s">
        <v>533</v>
      </c>
      <c r="N13" s="75">
        <v>58300</v>
      </c>
      <c r="Q13" s="21"/>
      <c r="R13" s="39">
        <v>42194</v>
      </c>
      <c r="S13" s="45">
        <v>0</v>
      </c>
      <c r="T13" s="32"/>
      <c r="U13" s="26">
        <v>42194</v>
      </c>
      <c r="V13" s="51"/>
      <c r="W13" s="23"/>
      <c r="X13" s="27">
        <v>42194</v>
      </c>
      <c r="Y13" s="62"/>
      <c r="Z13" s="88"/>
      <c r="AA13" s="13" t="s">
        <v>527</v>
      </c>
      <c r="AB13" s="20">
        <v>0</v>
      </c>
      <c r="AC13" s="67"/>
      <c r="AD13" s="75"/>
    </row>
    <row r="14" spans="1:30" x14ac:dyDescent="0.25">
      <c r="A14" s="21"/>
      <c r="B14" s="39">
        <v>42195</v>
      </c>
      <c r="C14" s="45">
        <v>0</v>
      </c>
      <c r="D14" s="29"/>
      <c r="E14" s="26">
        <v>42195</v>
      </c>
      <c r="F14" s="51">
        <v>64332.5</v>
      </c>
      <c r="G14" s="23"/>
      <c r="H14" s="27">
        <v>42195</v>
      </c>
      <c r="I14" s="62">
        <v>232</v>
      </c>
      <c r="J14" s="88"/>
      <c r="K14" s="35" t="s">
        <v>16</v>
      </c>
      <c r="L14" s="20">
        <v>0</v>
      </c>
      <c r="M14" s="67" t="s">
        <v>534</v>
      </c>
      <c r="N14" s="75">
        <v>63052.5</v>
      </c>
      <c r="Q14" s="21"/>
      <c r="R14" s="39">
        <v>42195</v>
      </c>
      <c r="S14" s="45">
        <v>0</v>
      </c>
      <c r="T14" s="29"/>
      <c r="U14" s="26">
        <v>42195</v>
      </c>
      <c r="V14" s="51"/>
      <c r="W14" s="23"/>
      <c r="X14" s="27">
        <v>42195</v>
      </c>
      <c r="Y14" s="62"/>
      <c r="Z14" s="88"/>
      <c r="AA14" s="35" t="s">
        <v>16</v>
      </c>
      <c r="AB14" s="20">
        <v>0</v>
      </c>
      <c r="AC14" s="67"/>
      <c r="AD14" s="75"/>
    </row>
    <row r="15" spans="1:30" x14ac:dyDescent="0.25">
      <c r="A15" s="21"/>
      <c r="B15" s="39">
        <v>42196</v>
      </c>
      <c r="C15" s="45">
        <v>293.55</v>
      </c>
      <c r="D15" s="29" t="s">
        <v>31</v>
      </c>
      <c r="E15" s="26">
        <v>42196</v>
      </c>
      <c r="F15" s="51">
        <v>88073</v>
      </c>
      <c r="G15" s="23"/>
      <c r="H15" s="27">
        <v>42196</v>
      </c>
      <c r="I15" s="62">
        <v>200</v>
      </c>
      <c r="J15" s="88"/>
      <c r="K15" s="28" t="s">
        <v>15</v>
      </c>
      <c r="L15" s="20">
        <v>0</v>
      </c>
      <c r="M15" s="67" t="s">
        <v>535</v>
      </c>
      <c r="N15" s="75">
        <v>89124</v>
      </c>
      <c r="Q15" s="21"/>
      <c r="R15" s="39">
        <v>42196</v>
      </c>
      <c r="S15" s="45">
        <v>0</v>
      </c>
      <c r="T15" s="29"/>
      <c r="U15" s="26">
        <v>42196</v>
      </c>
      <c r="V15" s="51"/>
      <c r="W15" s="23"/>
      <c r="X15" s="27">
        <v>42196</v>
      </c>
      <c r="Y15" s="62"/>
      <c r="Z15" s="88"/>
      <c r="AA15" s="28" t="s">
        <v>15</v>
      </c>
      <c r="AB15" s="20">
        <v>0</v>
      </c>
      <c r="AC15" s="67"/>
      <c r="AD15" s="75"/>
    </row>
    <row r="16" spans="1:30" x14ac:dyDescent="0.25">
      <c r="A16" s="21"/>
      <c r="B16" s="39">
        <v>42197</v>
      </c>
      <c r="C16" s="45">
        <v>0</v>
      </c>
      <c r="D16" s="29"/>
      <c r="E16" s="26">
        <v>42197</v>
      </c>
      <c r="F16" s="51">
        <v>69254.5</v>
      </c>
      <c r="G16" s="23"/>
      <c r="H16" s="27">
        <v>42197</v>
      </c>
      <c r="I16" s="62">
        <v>600</v>
      </c>
      <c r="J16" s="88"/>
      <c r="K16" s="73" t="s">
        <v>52</v>
      </c>
      <c r="L16" s="74">
        <v>0</v>
      </c>
      <c r="M16" s="67" t="s">
        <v>537</v>
      </c>
      <c r="N16" s="75">
        <v>65051.5</v>
      </c>
      <c r="Q16" s="21"/>
      <c r="R16" s="39">
        <v>42197</v>
      </c>
      <c r="S16" s="45">
        <v>0</v>
      </c>
      <c r="T16" s="29"/>
      <c r="U16" s="26">
        <v>42197</v>
      </c>
      <c r="V16" s="51"/>
      <c r="W16" s="23"/>
      <c r="X16" s="27">
        <v>42197</v>
      </c>
      <c r="Y16" s="62"/>
      <c r="Z16" s="88"/>
      <c r="AA16" s="73" t="s">
        <v>52</v>
      </c>
      <c r="AB16" s="74">
        <v>0</v>
      </c>
      <c r="AC16" s="67"/>
      <c r="AD16" s="75"/>
    </row>
    <row r="17" spans="1:30" x14ac:dyDescent="0.25">
      <c r="A17" s="21"/>
      <c r="B17" s="39">
        <v>42198</v>
      </c>
      <c r="C17" s="45">
        <v>0</v>
      </c>
      <c r="D17" s="29"/>
      <c r="E17" s="26">
        <v>42198</v>
      </c>
      <c r="F17" s="51">
        <v>44040</v>
      </c>
      <c r="G17" s="23"/>
      <c r="H17" s="27">
        <v>42198</v>
      </c>
      <c r="I17" s="62">
        <v>200</v>
      </c>
      <c r="J17" s="88"/>
      <c r="K17" s="28" t="s">
        <v>53</v>
      </c>
      <c r="L17" s="74">
        <v>0</v>
      </c>
      <c r="M17" s="67" t="s">
        <v>546</v>
      </c>
      <c r="N17" s="75">
        <v>44543.5</v>
      </c>
      <c r="Q17" s="21"/>
      <c r="R17" s="39">
        <v>42198</v>
      </c>
      <c r="S17" s="45">
        <v>0</v>
      </c>
      <c r="T17" s="29"/>
      <c r="U17" s="26">
        <v>42198</v>
      </c>
      <c r="V17" s="51"/>
      <c r="W17" s="23"/>
      <c r="X17" s="27">
        <v>42198</v>
      </c>
      <c r="Y17" s="62"/>
      <c r="Z17" s="88"/>
      <c r="AA17" s="28" t="s">
        <v>53</v>
      </c>
      <c r="AB17" s="74">
        <v>0</v>
      </c>
      <c r="AC17" s="67"/>
      <c r="AD17" s="75"/>
    </row>
    <row r="18" spans="1:30" x14ac:dyDescent="0.25">
      <c r="A18" s="21"/>
      <c r="B18" s="39">
        <v>42199</v>
      </c>
      <c r="C18" s="45">
        <v>0</v>
      </c>
      <c r="D18" s="22"/>
      <c r="E18" s="26">
        <v>42199</v>
      </c>
      <c r="F18" s="51">
        <v>39111.5</v>
      </c>
      <c r="G18" s="23"/>
      <c r="H18" s="27">
        <v>42199</v>
      </c>
      <c r="I18" s="62">
        <v>200</v>
      </c>
      <c r="J18" s="89"/>
      <c r="K18" s="28" t="s">
        <v>54</v>
      </c>
      <c r="L18" s="75">
        <v>0</v>
      </c>
      <c r="M18" s="67" t="s">
        <v>547</v>
      </c>
      <c r="N18" s="75">
        <v>37075</v>
      </c>
      <c r="Q18" s="21"/>
      <c r="R18" s="39">
        <v>42199</v>
      </c>
      <c r="S18" s="45">
        <v>0</v>
      </c>
      <c r="T18" s="22"/>
      <c r="U18" s="26">
        <v>42199</v>
      </c>
      <c r="V18" s="51"/>
      <c r="W18" s="23"/>
      <c r="X18" s="27">
        <v>42199</v>
      </c>
      <c r="Y18" s="62"/>
      <c r="Z18" s="89"/>
      <c r="AA18" s="28" t="s">
        <v>54</v>
      </c>
      <c r="AB18" s="75">
        <v>0</v>
      </c>
      <c r="AC18" s="67"/>
      <c r="AD18" s="75"/>
    </row>
    <row r="19" spans="1:30" x14ac:dyDescent="0.25">
      <c r="A19" s="21"/>
      <c r="B19" s="39">
        <v>42200</v>
      </c>
      <c r="C19" s="45">
        <v>0</v>
      </c>
      <c r="D19" s="29"/>
      <c r="E19" s="26">
        <v>42200</v>
      </c>
      <c r="F19" s="51">
        <v>39677</v>
      </c>
      <c r="G19" s="23"/>
      <c r="H19" s="27">
        <v>42200</v>
      </c>
      <c r="I19" s="62">
        <v>200</v>
      </c>
      <c r="J19" s="88"/>
      <c r="K19" s="28" t="s">
        <v>55</v>
      </c>
      <c r="L19" s="75">
        <v>0</v>
      </c>
      <c r="M19" s="67" t="s">
        <v>548</v>
      </c>
      <c r="N19" s="75">
        <v>40800</v>
      </c>
      <c r="Q19" s="21"/>
      <c r="R19" s="39">
        <v>42200</v>
      </c>
      <c r="S19" s="45">
        <v>0</v>
      </c>
      <c r="T19" s="29"/>
      <c r="U19" s="26">
        <v>42200</v>
      </c>
      <c r="V19" s="51"/>
      <c r="W19" s="23"/>
      <c r="X19" s="27">
        <v>42200</v>
      </c>
      <c r="Y19" s="62"/>
      <c r="Z19" s="88"/>
      <c r="AA19" s="28" t="s">
        <v>55</v>
      </c>
      <c r="AB19" s="75">
        <v>0</v>
      </c>
      <c r="AC19" s="67"/>
      <c r="AD19" s="75"/>
    </row>
    <row r="20" spans="1:30" x14ac:dyDescent="0.25">
      <c r="A20" s="21"/>
      <c r="B20" s="39">
        <v>42201</v>
      </c>
      <c r="C20" s="45">
        <v>0</v>
      </c>
      <c r="D20" s="22"/>
      <c r="E20" s="26">
        <v>42201</v>
      </c>
      <c r="F20" s="51">
        <v>49999.5</v>
      </c>
      <c r="G20" s="23"/>
      <c r="H20" s="27">
        <v>42201</v>
      </c>
      <c r="I20" s="62">
        <v>200</v>
      </c>
      <c r="J20" s="90"/>
      <c r="K20" s="314" t="s">
        <v>408</v>
      </c>
      <c r="L20" s="55">
        <v>0</v>
      </c>
      <c r="M20" s="67" t="s">
        <v>549</v>
      </c>
      <c r="N20" s="75">
        <v>52400</v>
      </c>
      <c r="Q20" s="21"/>
      <c r="R20" s="39">
        <v>42201</v>
      </c>
      <c r="S20" s="45">
        <v>0</v>
      </c>
      <c r="T20" s="22"/>
      <c r="U20" s="26">
        <v>42201</v>
      </c>
      <c r="V20" s="51"/>
      <c r="W20" s="23"/>
      <c r="X20" s="27">
        <v>42201</v>
      </c>
      <c r="Y20" s="62"/>
      <c r="Z20" s="90"/>
      <c r="AA20" s="314" t="s">
        <v>408</v>
      </c>
      <c r="AB20" s="55">
        <v>0</v>
      </c>
      <c r="AC20" s="67"/>
      <c r="AD20" s="75"/>
    </row>
    <row r="21" spans="1:30" x14ac:dyDescent="0.25">
      <c r="A21" s="21"/>
      <c r="B21" s="39">
        <v>42202</v>
      </c>
      <c r="C21" s="45">
        <v>0</v>
      </c>
      <c r="D21" s="22"/>
      <c r="E21" s="26">
        <v>42202</v>
      </c>
      <c r="F21" s="51">
        <v>67420</v>
      </c>
      <c r="G21" s="23"/>
      <c r="H21" s="27">
        <v>42202</v>
      </c>
      <c r="I21" s="62">
        <v>232</v>
      </c>
      <c r="J21" s="88"/>
      <c r="K21" s="25" t="s">
        <v>99</v>
      </c>
      <c r="L21" s="55">
        <v>0</v>
      </c>
      <c r="M21" s="67" t="s">
        <v>550</v>
      </c>
      <c r="N21" s="75">
        <v>67200</v>
      </c>
      <c r="Q21" s="21"/>
      <c r="R21" s="39">
        <v>42202</v>
      </c>
      <c r="S21" s="45">
        <v>0</v>
      </c>
      <c r="T21" s="22"/>
      <c r="U21" s="26">
        <v>42202</v>
      </c>
      <c r="V21" s="51"/>
      <c r="W21" s="23"/>
      <c r="X21" s="27">
        <v>42202</v>
      </c>
      <c r="Y21" s="62"/>
      <c r="Z21" s="88"/>
      <c r="AA21" s="25" t="s">
        <v>99</v>
      </c>
      <c r="AB21" s="55">
        <v>0</v>
      </c>
      <c r="AC21" s="67"/>
      <c r="AD21" s="75"/>
    </row>
    <row r="22" spans="1:30" x14ac:dyDescent="0.25">
      <c r="A22" s="21"/>
      <c r="B22" s="39">
        <v>42203</v>
      </c>
      <c r="C22" s="45">
        <v>580</v>
      </c>
      <c r="D22" s="22" t="s">
        <v>518</v>
      </c>
      <c r="E22" s="26">
        <v>42203</v>
      </c>
      <c r="F22" s="51">
        <v>72700.5</v>
      </c>
      <c r="G22" s="23"/>
      <c r="H22" s="27">
        <v>42203</v>
      </c>
      <c r="I22" s="62">
        <v>200</v>
      </c>
      <c r="J22" s="90"/>
      <c r="K22" s="392" t="s">
        <v>213</v>
      </c>
      <c r="L22" s="55">
        <v>1800</v>
      </c>
      <c r="M22" s="67" t="s">
        <v>551</v>
      </c>
      <c r="N22" s="75">
        <v>71499.5</v>
      </c>
      <c r="Q22" s="21"/>
      <c r="R22" s="39">
        <v>42203</v>
      </c>
      <c r="S22" s="45">
        <v>0</v>
      </c>
      <c r="T22" s="22"/>
      <c r="U22" s="26">
        <v>42203</v>
      </c>
      <c r="V22" s="51"/>
      <c r="W22" s="23"/>
      <c r="X22" s="27">
        <v>42203</v>
      </c>
      <c r="Y22" s="62"/>
      <c r="Z22" s="90"/>
      <c r="AA22" s="122" t="s">
        <v>213</v>
      </c>
      <c r="AB22" s="55">
        <v>0</v>
      </c>
      <c r="AC22" s="67"/>
      <c r="AD22" s="75"/>
    </row>
    <row r="23" spans="1:30" x14ac:dyDescent="0.25">
      <c r="A23" s="21"/>
      <c r="B23" s="39">
        <v>42204</v>
      </c>
      <c r="C23" s="45">
        <v>0</v>
      </c>
      <c r="D23" s="22"/>
      <c r="E23" s="26">
        <v>42204</v>
      </c>
      <c r="F23" s="51">
        <v>47041.5</v>
      </c>
      <c r="G23" s="23"/>
      <c r="H23" s="27">
        <v>42204</v>
      </c>
      <c r="I23" s="62">
        <v>200</v>
      </c>
      <c r="J23" s="88"/>
      <c r="K23" s="392" t="s">
        <v>536</v>
      </c>
      <c r="L23" s="55">
        <v>0</v>
      </c>
      <c r="M23" s="67" t="s">
        <v>552</v>
      </c>
      <c r="N23" s="75">
        <v>46800</v>
      </c>
      <c r="Q23" s="21"/>
      <c r="R23" s="39">
        <v>42204</v>
      </c>
      <c r="S23" s="45">
        <v>0</v>
      </c>
      <c r="T23" s="22"/>
      <c r="U23" s="26">
        <v>42204</v>
      </c>
      <c r="V23" s="51"/>
      <c r="W23" s="23"/>
      <c r="X23" s="27">
        <v>42204</v>
      </c>
      <c r="Y23" s="62"/>
      <c r="Z23" s="88"/>
      <c r="AA23" s="11" t="s">
        <v>332</v>
      </c>
      <c r="AB23" s="55">
        <v>0</v>
      </c>
      <c r="AC23" s="67"/>
      <c r="AD23" s="75"/>
    </row>
    <row r="24" spans="1:30" x14ac:dyDescent="0.25">
      <c r="A24" s="21"/>
      <c r="B24" s="39">
        <v>42205</v>
      </c>
      <c r="C24" s="45">
        <v>0</v>
      </c>
      <c r="D24" s="29"/>
      <c r="E24" s="26">
        <v>42205</v>
      </c>
      <c r="F24" s="51">
        <v>36723.5</v>
      </c>
      <c r="G24" s="23"/>
      <c r="H24" s="27">
        <v>42205</v>
      </c>
      <c r="I24" s="62">
        <v>200</v>
      </c>
      <c r="J24" s="88"/>
      <c r="K24" s="365" t="s">
        <v>332</v>
      </c>
      <c r="L24" s="55">
        <v>800</v>
      </c>
      <c r="M24" s="67" t="s">
        <v>553</v>
      </c>
      <c r="N24" s="75">
        <v>33850</v>
      </c>
      <c r="Q24" s="21"/>
      <c r="R24" s="39">
        <v>42205</v>
      </c>
      <c r="S24" s="45">
        <v>0</v>
      </c>
      <c r="T24" s="29"/>
      <c r="U24" s="26">
        <v>42205</v>
      </c>
      <c r="V24" s="51"/>
      <c r="W24" s="23"/>
      <c r="X24" s="27">
        <v>42205</v>
      </c>
      <c r="Y24" s="62"/>
      <c r="Z24" s="88"/>
      <c r="AA24" s="365">
        <v>42165</v>
      </c>
      <c r="AB24" s="55"/>
      <c r="AC24" s="67"/>
      <c r="AD24" s="75"/>
    </row>
    <row r="25" spans="1:30" x14ac:dyDescent="0.25">
      <c r="A25" s="21"/>
      <c r="B25" s="39">
        <v>42206</v>
      </c>
      <c r="C25" s="45">
        <v>0</v>
      </c>
      <c r="D25" s="22"/>
      <c r="E25" s="26">
        <v>42206</v>
      </c>
      <c r="F25" s="51">
        <v>29028</v>
      </c>
      <c r="G25" s="23"/>
      <c r="H25" s="27">
        <v>42206</v>
      </c>
      <c r="I25" s="62">
        <v>200</v>
      </c>
      <c r="J25" s="88"/>
      <c r="K25" s="11"/>
      <c r="L25" s="55"/>
      <c r="M25" s="67" t="s">
        <v>571</v>
      </c>
      <c r="N25" s="75">
        <v>30400</v>
      </c>
      <c r="Q25" s="21"/>
      <c r="R25" s="39">
        <v>42206</v>
      </c>
      <c r="S25" s="45">
        <v>0</v>
      </c>
      <c r="T25" s="22"/>
      <c r="U25" s="26">
        <v>42206</v>
      </c>
      <c r="V25" s="51"/>
      <c r="W25" s="23"/>
      <c r="X25" s="27">
        <v>42206</v>
      </c>
      <c r="Y25" s="62"/>
      <c r="Z25" s="88"/>
      <c r="AA25" s="11"/>
      <c r="AB25" s="55"/>
      <c r="AC25" s="67"/>
      <c r="AD25" s="75"/>
    </row>
    <row r="26" spans="1:30" x14ac:dyDescent="0.25">
      <c r="A26" s="21"/>
      <c r="B26" s="39">
        <v>42207</v>
      </c>
      <c r="C26" s="45">
        <v>0</v>
      </c>
      <c r="D26" s="29"/>
      <c r="E26" s="26">
        <v>42207</v>
      </c>
      <c r="F26" s="51">
        <v>31598</v>
      </c>
      <c r="G26" s="23"/>
      <c r="H26" s="27">
        <v>42207</v>
      </c>
      <c r="I26" s="62">
        <v>200</v>
      </c>
      <c r="J26" s="88"/>
      <c r="K26" s="11"/>
      <c r="L26" s="55"/>
      <c r="M26" s="67" t="s">
        <v>572</v>
      </c>
      <c r="N26" s="75">
        <v>29779</v>
      </c>
      <c r="Q26" s="21"/>
      <c r="R26" s="39">
        <v>42207</v>
      </c>
      <c r="S26" s="45">
        <v>0</v>
      </c>
      <c r="T26" s="29"/>
      <c r="U26" s="26">
        <v>42207</v>
      </c>
      <c r="V26" s="51"/>
      <c r="W26" s="23"/>
      <c r="X26" s="27">
        <v>42207</v>
      </c>
      <c r="Y26" s="62"/>
      <c r="Z26" s="88"/>
      <c r="AA26" s="11"/>
      <c r="AB26" s="55"/>
      <c r="AC26" s="67"/>
      <c r="AD26" s="75"/>
    </row>
    <row r="27" spans="1:30" x14ac:dyDescent="0.25">
      <c r="A27" s="21"/>
      <c r="B27" s="39">
        <v>42208</v>
      </c>
      <c r="C27" s="45">
        <v>0</v>
      </c>
      <c r="D27" s="29"/>
      <c r="E27" s="26">
        <v>42208</v>
      </c>
      <c r="F27" s="51">
        <v>49605</v>
      </c>
      <c r="G27" s="23"/>
      <c r="H27" s="27">
        <v>42208</v>
      </c>
      <c r="I27" s="62">
        <v>200</v>
      </c>
      <c r="J27" s="88"/>
      <c r="K27" s="11"/>
      <c r="L27" s="55"/>
      <c r="M27" s="201" t="s">
        <v>573</v>
      </c>
      <c r="N27" s="204">
        <v>49158</v>
      </c>
      <c r="Q27" s="21"/>
      <c r="R27" s="39">
        <v>42208</v>
      </c>
      <c r="S27" s="45">
        <v>0</v>
      </c>
      <c r="T27" s="29"/>
      <c r="U27" s="26">
        <v>42208</v>
      </c>
      <c r="V27" s="51"/>
      <c r="W27" s="23"/>
      <c r="X27" s="27">
        <v>42208</v>
      </c>
      <c r="Y27" s="62"/>
      <c r="Z27" s="88"/>
      <c r="AA27" s="11"/>
      <c r="AB27" s="55"/>
      <c r="AC27" s="201"/>
      <c r="AD27" s="204"/>
    </row>
    <row r="28" spans="1:30" x14ac:dyDescent="0.25">
      <c r="A28" s="21"/>
      <c r="B28" s="39">
        <v>42209</v>
      </c>
      <c r="C28" s="45">
        <v>0</v>
      </c>
      <c r="D28" s="29"/>
      <c r="E28" s="26">
        <v>42209</v>
      </c>
      <c r="F28" s="51">
        <v>49886.5</v>
      </c>
      <c r="G28" s="23"/>
      <c r="H28" s="27">
        <v>42209</v>
      </c>
      <c r="I28" s="62">
        <v>200</v>
      </c>
      <c r="J28" s="88"/>
      <c r="K28" s="11"/>
      <c r="L28" s="55"/>
      <c r="M28" s="201" t="s">
        <v>574</v>
      </c>
      <c r="N28" s="204">
        <v>50250</v>
      </c>
      <c r="Q28" s="21"/>
      <c r="R28" s="39">
        <v>42209</v>
      </c>
      <c r="S28" s="45">
        <v>0</v>
      </c>
      <c r="T28" s="29"/>
      <c r="U28" s="26">
        <v>42209</v>
      </c>
      <c r="V28" s="51"/>
      <c r="W28" s="23"/>
      <c r="X28" s="27">
        <v>42209</v>
      </c>
      <c r="Y28" s="62"/>
      <c r="Z28" s="88"/>
      <c r="AA28" s="11"/>
      <c r="AB28" s="55"/>
      <c r="AC28" s="201"/>
      <c r="AD28" s="204">
        <v>0</v>
      </c>
    </row>
    <row r="29" spans="1:30" x14ac:dyDescent="0.25">
      <c r="A29" s="21"/>
      <c r="B29" s="39">
        <v>42210</v>
      </c>
      <c r="C29" s="45">
        <v>0</v>
      </c>
      <c r="D29" s="29"/>
      <c r="E29" s="26">
        <v>42210</v>
      </c>
      <c r="F29" s="51">
        <v>63623</v>
      </c>
      <c r="G29" s="23"/>
      <c r="H29" s="27">
        <v>42210</v>
      </c>
      <c r="I29" s="62">
        <v>200</v>
      </c>
      <c r="J29" s="88"/>
      <c r="K29" s="11"/>
      <c r="L29" s="20"/>
      <c r="M29" s="67" t="s">
        <v>575</v>
      </c>
      <c r="N29" s="75">
        <v>62050</v>
      </c>
      <c r="Q29" s="21"/>
      <c r="R29" s="39">
        <v>42210</v>
      </c>
      <c r="S29" s="45">
        <v>0</v>
      </c>
      <c r="T29" s="29"/>
      <c r="U29" s="26">
        <v>42210</v>
      </c>
      <c r="V29" s="51"/>
      <c r="W29" s="23"/>
      <c r="X29" s="27">
        <v>42210</v>
      </c>
      <c r="Y29" s="62"/>
      <c r="Z29" s="88"/>
      <c r="AA29" s="11"/>
      <c r="AB29" s="20"/>
      <c r="AC29" s="67"/>
      <c r="AD29" s="75">
        <v>0</v>
      </c>
    </row>
    <row r="30" spans="1:30" x14ac:dyDescent="0.25">
      <c r="A30" s="21"/>
      <c r="B30" s="39">
        <v>42211</v>
      </c>
      <c r="C30" s="45">
        <v>0</v>
      </c>
      <c r="D30" s="22"/>
      <c r="E30" s="26">
        <v>42211</v>
      </c>
      <c r="F30" s="51">
        <v>70627.5</v>
      </c>
      <c r="G30" s="23"/>
      <c r="H30" s="27">
        <v>42211</v>
      </c>
      <c r="I30" s="62">
        <v>220</v>
      </c>
      <c r="J30" s="88"/>
      <c r="K30" s="11"/>
      <c r="L30" s="20"/>
      <c r="M30" s="201" t="s">
        <v>576</v>
      </c>
      <c r="N30" s="204">
        <v>70320</v>
      </c>
      <c r="Q30" s="21"/>
      <c r="R30" s="39">
        <v>42211</v>
      </c>
      <c r="S30" s="45">
        <v>0</v>
      </c>
      <c r="T30" s="22"/>
      <c r="U30" s="26">
        <v>42211</v>
      </c>
      <c r="V30" s="51"/>
      <c r="W30" s="23"/>
      <c r="X30" s="27">
        <v>42211</v>
      </c>
      <c r="Y30" s="62"/>
      <c r="Z30" s="88"/>
      <c r="AA30" s="11"/>
      <c r="AB30" s="20"/>
      <c r="AC30" s="201"/>
      <c r="AD30" s="204">
        <v>0</v>
      </c>
    </row>
    <row r="31" spans="1:30" x14ac:dyDescent="0.25">
      <c r="A31" s="21"/>
      <c r="B31" s="39">
        <v>42212</v>
      </c>
      <c r="C31" s="45">
        <v>0</v>
      </c>
      <c r="D31" s="22"/>
      <c r="E31" s="26">
        <v>42212</v>
      </c>
      <c r="F31" s="51">
        <v>44446</v>
      </c>
      <c r="G31" s="23"/>
      <c r="H31" s="27">
        <v>42212</v>
      </c>
      <c r="I31" s="62">
        <v>232</v>
      </c>
      <c r="J31" s="88"/>
      <c r="K31" s="11"/>
      <c r="L31" s="20"/>
      <c r="M31" s="201" t="s">
        <v>577</v>
      </c>
      <c r="N31" s="204">
        <v>43680</v>
      </c>
      <c r="Q31" s="21"/>
      <c r="R31" s="39">
        <v>42212</v>
      </c>
      <c r="S31" s="45">
        <v>0</v>
      </c>
      <c r="T31" s="22"/>
      <c r="U31" s="26">
        <v>42212</v>
      </c>
      <c r="V31" s="51"/>
      <c r="W31" s="23"/>
      <c r="X31" s="27">
        <v>42212</v>
      </c>
      <c r="Y31" s="62"/>
      <c r="Z31" s="88"/>
      <c r="AA31" s="11"/>
      <c r="AB31" s="20"/>
      <c r="AC31" s="201"/>
      <c r="AD31" s="204">
        <v>0</v>
      </c>
    </row>
    <row r="32" spans="1:30" x14ac:dyDescent="0.25">
      <c r="A32" s="21"/>
      <c r="B32" s="39">
        <v>42213</v>
      </c>
      <c r="C32" s="45">
        <v>0</v>
      </c>
      <c r="D32" s="22"/>
      <c r="E32" s="26">
        <v>42213</v>
      </c>
      <c r="F32" s="51">
        <v>32577.5</v>
      </c>
      <c r="G32" s="23"/>
      <c r="H32" s="27">
        <v>42213</v>
      </c>
      <c r="I32" s="62">
        <v>200</v>
      </c>
      <c r="J32" s="88"/>
      <c r="K32" s="11"/>
      <c r="L32" s="20"/>
      <c r="M32" s="67" t="s">
        <v>578</v>
      </c>
      <c r="N32" s="75">
        <v>30700</v>
      </c>
      <c r="Q32" s="21"/>
      <c r="R32" s="39">
        <v>42213</v>
      </c>
      <c r="S32" s="45">
        <v>0</v>
      </c>
      <c r="T32" s="22"/>
      <c r="U32" s="26">
        <v>42213</v>
      </c>
      <c r="V32" s="51"/>
      <c r="W32" s="23"/>
      <c r="X32" s="27">
        <v>42213</v>
      </c>
      <c r="Y32" s="62"/>
      <c r="Z32" s="88"/>
      <c r="AA32" s="11"/>
      <c r="AB32" s="20"/>
      <c r="AC32" s="67"/>
      <c r="AD32" s="75">
        <v>0</v>
      </c>
    </row>
    <row r="33" spans="1:30" x14ac:dyDescent="0.25">
      <c r="A33" s="21"/>
      <c r="B33" s="39">
        <v>42214</v>
      </c>
      <c r="C33" s="45">
        <v>0</v>
      </c>
      <c r="D33" s="32"/>
      <c r="E33" s="26">
        <v>42214</v>
      </c>
      <c r="F33" s="51">
        <v>37875.5</v>
      </c>
      <c r="G33" s="23"/>
      <c r="H33" s="27">
        <v>42214</v>
      </c>
      <c r="I33" s="62">
        <v>200</v>
      </c>
      <c r="J33" s="88"/>
      <c r="K33" s="11"/>
      <c r="L33" s="20"/>
      <c r="M33" s="67" t="s">
        <v>595</v>
      </c>
      <c r="N33" s="75">
        <v>40270</v>
      </c>
      <c r="Q33" s="21"/>
      <c r="R33" s="39">
        <v>42214</v>
      </c>
      <c r="S33" s="45">
        <v>0</v>
      </c>
      <c r="T33" s="32"/>
      <c r="U33" s="26">
        <v>42214</v>
      </c>
      <c r="V33" s="51"/>
      <c r="W33" s="23"/>
      <c r="X33" s="27">
        <v>42214</v>
      </c>
      <c r="Y33" s="62"/>
      <c r="Z33" s="88"/>
      <c r="AA33" s="11"/>
      <c r="AB33" s="20"/>
      <c r="AC33" s="67"/>
      <c r="AD33" s="75">
        <v>0</v>
      </c>
    </row>
    <row r="34" spans="1:30" x14ac:dyDescent="0.25">
      <c r="A34" s="21"/>
      <c r="B34" s="39">
        <v>42215</v>
      </c>
      <c r="C34" s="45">
        <v>0</v>
      </c>
      <c r="D34" s="72"/>
      <c r="E34" s="26">
        <v>42215</v>
      </c>
      <c r="F34" s="51">
        <v>52353</v>
      </c>
      <c r="G34" s="23"/>
      <c r="H34" s="27">
        <v>42215</v>
      </c>
      <c r="I34" s="62">
        <v>200</v>
      </c>
      <c r="J34" s="88"/>
      <c r="K34" s="11"/>
      <c r="L34" s="20"/>
      <c r="M34" s="258" t="s">
        <v>596</v>
      </c>
      <c r="N34" s="202">
        <v>52800</v>
      </c>
      <c r="Q34" s="21"/>
      <c r="R34" s="39">
        <v>42215</v>
      </c>
      <c r="S34" s="45">
        <v>0</v>
      </c>
      <c r="T34" s="72"/>
      <c r="U34" s="26">
        <v>42215</v>
      </c>
      <c r="V34" s="51"/>
      <c r="W34" s="23"/>
      <c r="X34" s="27">
        <v>42215</v>
      </c>
      <c r="Y34" s="62"/>
      <c r="Z34" s="88"/>
      <c r="AA34" s="11"/>
      <c r="AB34" s="20"/>
      <c r="AC34" s="258"/>
      <c r="AD34" s="202">
        <v>0</v>
      </c>
    </row>
    <row r="35" spans="1:30" ht="15.75" thickBot="1" x14ac:dyDescent="0.3">
      <c r="A35" s="21"/>
      <c r="B35" s="39">
        <v>42216</v>
      </c>
      <c r="C35" s="45">
        <v>0</v>
      </c>
      <c r="D35" s="22"/>
      <c r="E35" s="26">
        <v>42216</v>
      </c>
      <c r="F35" s="51">
        <v>53234</v>
      </c>
      <c r="G35" s="23"/>
      <c r="H35" s="27">
        <v>42216</v>
      </c>
      <c r="I35" s="62">
        <v>200</v>
      </c>
      <c r="J35" s="88"/>
      <c r="K35" s="11"/>
      <c r="L35" s="20"/>
      <c r="M35" s="71" t="s">
        <v>597</v>
      </c>
      <c r="N35" s="74">
        <v>53400</v>
      </c>
      <c r="Q35" s="21"/>
      <c r="R35" s="39">
        <v>42216</v>
      </c>
      <c r="S35" s="45">
        <v>0</v>
      </c>
      <c r="T35" s="22"/>
      <c r="U35" s="26">
        <v>42216</v>
      </c>
      <c r="V35" s="51"/>
      <c r="W35" s="23"/>
      <c r="X35" s="27">
        <v>42216</v>
      </c>
      <c r="Y35" s="62"/>
      <c r="Z35" s="88"/>
      <c r="AA35" s="11" t="s">
        <v>345</v>
      </c>
      <c r="AB35" s="20"/>
      <c r="AC35" s="71"/>
      <c r="AD35" s="74">
        <v>0</v>
      </c>
    </row>
    <row r="36" spans="1:30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90"/>
      <c r="N36" s="346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377"/>
      <c r="AD36" s="346">
        <v>0</v>
      </c>
    </row>
    <row r="37" spans="1:30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90"/>
      <c r="N37" s="345">
        <f>SUM(N5:N36)</f>
        <v>1617633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377"/>
      <c r="AD37" s="345">
        <f>SUM(AD5:AD36)</f>
        <v>354630</v>
      </c>
    </row>
    <row r="38" spans="1:30" x14ac:dyDescent="0.25">
      <c r="B38" s="42" t="s">
        <v>1</v>
      </c>
      <c r="C38" s="48">
        <f>SUM(C5:C37)</f>
        <v>1773.55</v>
      </c>
      <c r="E38" s="387" t="s">
        <v>1</v>
      </c>
      <c r="F38" s="54">
        <f>SUM(F5:F37)</f>
        <v>1628013.5</v>
      </c>
      <c r="H38" s="389" t="s">
        <v>1</v>
      </c>
      <c r="I38" s="58">
        <f>SUM(I5:I37)</f>
        <v>6716</v>
      </c>
      <c r="J38" s="58"/>
      <c r="K38" s="17" t="s">
        <v>1</v>
      </c>
      <c r="L38" s="4">
        <f t="shared" ref="L38" si="0">SUM(L5:L37)</f>
        <v>70078.83</v>
      </c>
      <c r="M38" s="390"/>
      <c r="N38" s="202"/>
      <c r="R38" s="42" t="s">
        <v>1</v>
      </c>
      <c r="S38" s="48">
        <f>SUM(S5:S37)</f>
        <v>900</v>
      </c>
      <c r="U38" s="373" t="s">
        <v>1</v>
      </c>
      <c r="V38" s="54">
        <f>SUM(V5:V37)</f>
        <v>356867</v>
      </c>
      <c r="X38" s="375" t="s">
        <v>1</v>
      </c>
      <c r="Y38" s="58">
        <f>SUM(Y5:Y37)</f>
        <v>1200</v>
      </c>
      <c r="Z38" s="58"/>
      <c r="AA38" s="17" t="s">
        <v>1</v>
      </c>
      <c r="AB38" s="4">
        <f t="shared" ref="AB38" si="1">SUM(AB5:AB37)</f>
        <v>50028.91</v>
      </c>
      <c r="AC38" s="377"/>
      <c r="AD38" s="202"/>
    </row>
    <row r="39" spans="1:30" x14ac:dyDescent="0.25">
      <c r="B39" s="37"/>
      <c r="C39" s="43"/>
      <c r="F39" s="43"/>
      <c r="I39" s="43"/>
      <c r="J39" s="43"/>
      <c r="M39" s="390"/>
      <c r="N39" s="202"/>
      <c r="R39" s="37"/>
      <c r="S39" s="43"/>
      <c r="V39" s="43"/>
      <c r="Y39" s="43"/>
      <c r="Z39" s="43"/>
      <c r="AC39" s="377"/>
      <c r="AD39" s="202"/>
    </row>
    <row r="40" spans="1:30" ht="15.75" x14ac:dyDescent="0.25">
      <c r="A40" s="5"/>
      <c r="B40" s="37"/>
      <c r="C40" s="49">
        <v>0</v>
      </c>
      <c r="D40" s="13"/>
      <c r="E40" s="13"/>
      <c r="F40" s="55"/>
      <c r="H40" s="476" t="s">
        <v>7</v>
      </c>
      <c r="I40" s="477"/>
      <c r="J40" s="388"/>
      <c r="K40" s="478">
        <f>I38+L38</f>
        <v>76794.83</v>
      </c>
      <c r="L40" s="479"/>
      <c r="M40" s="390"/>
      <c r="N40" s="202"/>
      <c r="Q40" s="5"/>
      <c r="R40" s="37"/>
      <c r="S40" s="49">
        <v>0</v>
      </c>
      <c r="T40" s="13"/>
      <c r="U40" s="13"/>
      <c r="V40" s="55"/>
      <c r="X40" s="476" t="s">
        <v>7</v>
      </c>
      <c r="Y40" s="477"/>
      <c r="Z40" s="374"/>
      <c r="AA40" s="478">
        <f>Y38+AB38</f>
        <v>51228.91</v>
      </c>
      <c r="AB40" s="479"/>
      <c r="AC40" s="377"/>
      <c r="AD40" s="202"/>
    </row>
    <row r="41" spans="1:30" ht="15.75" x14ac:dyDescent="0.25">
      <c r="B41" s="37"/>
      <c r="C41" s="43"/>
      <c r="D41" s="470" t="s">
        <v>8</v>
      </c>
      <c r="E41" s="470"/>
      <c r="F41" s="56">
        <f>F38-K40</f>
        <v>1551218.67</v>
      </c>
      <c r="I41" s="65"/>
      <c r="J41" s="65"/>
      <c r="M41" s="390"/>
      <c r="N41" s="202"/>
      <c r="R41" s="37"/>
      <c r="S41" s="43"/>
      <c r="T41" s="470" t="s">
        <v>8</v>
      </c>
      <c r="U41" s="470"/>
      <c r="V41" s="56">
        <f>V38-AA40</f>
        <v>305638.08999999997</v>
      </c>
      <c r="Y41" s="65"/>
      <c r="Z41" s="65"/>
      <c r="AC41" s="377"/>
      <c r="AD41" s="202"/>
    </row>
    <row r="42" spans="1:30" x14ac:dyDescent="0.25">
      <c r="B42" s="37"/>
      <c r="C42" s="43"/>
      <c r="D42" s="13"/>
      <c r="E42" s="13" t="s">
        <v>0</v>
      </c>
      <c r="F42" s="56">
        <f>-C38</f>
        <v>-1773.55</v>
      </c>
      <c r="I42" s="43"/>
      <c r="J42" s="43"/>
      <c r="M42" s="390"/>
      <c r="N42" s="202"/>
      <c r="R42" s="37"/>
      <c r="S42" s="43"/>
      <c r="T42" s="13"/>
      <c r="U42" s="13" t="s">
        <v>0</v>
      </c>
      <c r="V42" s="56">
        <f>-S38</f>
        <v>-900</v>
      </c>
      <c r="Y42" s="43"/>
      <c r="Z42" s="43"/>
      <c r="AC42" s="377"/>
      <c r="AD42" s="202"/>
    </row>
    <row r="43" spans="1:30" ht="15.75" thickBot="1" x14ac:dyDescent="0.3">
      <c r="B43" s="37"/>
      <c r="C43" s="43" t="s">
        <v>12</v>
      </c>
      <c r="D43" t="s">
        <v>303</v>
      </c>
      <c r="F43" s="125">
        <v>-1486536.39</v>
      </c>
      <c r="I43" s="480"/>
      <c r="J43" s="480"/>
      <c r="K43" s="480"/>
      <c r="L43" s="2"/>
      <c r="M43" s="390"/>
      <c r="N43" s="202"/>
      <c r="R43" s="37"/>
      <c r="S43" s="43" t="s">
        <v>12</v>
      </c>
      <c r="T43" t="s">
        <v>303</v>
      </c>
      <c r="V43" s="125">
        <v>-311090.99</v>
      </c>
      <c r="Y43" s="480"/>
      <c r="Z43" s="480"/>
      <c r="AA43" s="480"/>
      <c r="AB43" s="2"/>
      <c r="AC43" s="377"/>
      <c r="AD43" s="202"/>
    </row>
    <row r="44" spans="1:30" ht="16.5" thickTop="1" x14ac:dyDescent="0.25">
      <c r="B44" s="37"/>
      <c r="C44" s="43"/>
      <c r="E44" s="5" t="s">
        <v>10</v>
      </c>
      <c r="F44" s="58">
        <f>SUM(F41:F43)</f>
        <v>62908.729999999981</v>
      </c>
      <c r="I44" s="512" t="s">
        <v>251</v>
      </c>
      <c r="J44" s="512"/>
      <c r="K44" s="497">
        <f>F46</f>
        <v>170158.52999999997</v>
      </c>
      <c r="L44" s="498"/>
      <c r="M44" s="390"/>
      <c r="N44" s="202"/>
      <c r="R44" s="37"/>
      <c r="S44" s="43"/>
      <c r="U44" s="5" t="s">
        <v>10</v>
      </c>
      <c r="V44" s="58">
        <f>SUM(V41:V43)</f>
        <v>-6352.9000000000233</v>
      </c>
      <c r="Y44" s="512" t="s">
        <v>251</v>
      </c>
      <c r="Z44" s="512"/>
      <c r="AA44" s="497">
        <f>V46</f>
        <v>92956.599999999977</v>
      </c>
      <c r="AB44" s="498"/>
      <c r="AC44" s="377"/>
      <c r="AD44" s="202"/>
    </row>
    <row r="45" spans="1:30" ht="16.5" thickBot="1" x14ac:dyDescent="0.3">
      <c r="B45" s="37"/>
      <c r="C45" s="43"/>
      <c r="D45" s="387" t="s">
        <v>9</v>
      </c>
      <c r="E45" s="387"/>
      <c r="F45" s="366">
        <v>107249.8</v>
      </c>
      <c r="I45" s="506" t="s">
        <v>2</v>
      </c>
      <c r="J45" s="506"/>
      <c r="K45" s="499">
        <v>-112018.27</v>
      </c>
      <c r="L45" s="499"/>
      <c r="M45" s="390"/>
      <c r="N45" s="202"/>
      <c r="R45" s="37"/>
      <c r="S45" s="43"/>
      <c r="T45" s="373" t="s">
        <v>9</v>
      </c>
      <c r="U45" s="373"/>
      <c r="V45" s="366">
        <v>99309.5</v>
      </c>
      <c r="Y45" s="506" t="s">
        <v>2</v>
      </c>
      <c r="Z45" s="506"/>
      <c r="AA45" s="499">
        <v>-112018.27</v>
      </c>
      <c r="AB45" s="499"/>
      <c r="AC45" s="377"/>
      <c r="AD45" s="202"/>
    </row>
    <row r="46" spans="1:30" ht="19.5" thickBot="1" x14ac:dyDescent="0.3">
      <c r="B46" s="37"/>
      <c r="C46" s="43"/>
      <c r="E46" s="6" t="s">
        <v>347</v>
      </c>
      <c r="F46" s="48">
        <f>F45+F44</f>
        <v>170158.52999999997</v>
      </c>
      <c r="J46" s="178"/>
      <c r="K46" s="500">
        <v>0</v>
      </c>
      <c r="L46" s="500"/>
      <c r="M46" s="390"/>
      <c r="N46" s="202"/>
      <c r="R46" s="37"/>
      <c r="S46" s="43"/>
      <c r="U46" s="6" t="s">
        <v>347</v>
      </c>
      <c r="V46" s="48">
        <f>V45+V44</f>
        <v>92956.599999999977</v>
      </c>
      <c r="Z46" s="178"/>
      <c r="AA46" s="500">
        <v>0</v>
      </c>
      <c r="AB46" s="500"/>
      <c r="AC46" s="377"/>
      <c r="AD46" s="202"/>
    </row>
    <row r="47" spans="1:30" ht="19.5" thickBot="1" x14ac:dyDescent="0.3">
      <c r="B47" s="37"/>
      <c r="C47" s="43"/>
      <c r="E47" s="5"/>
      <c r="F47" s="56"/>
      <c r="I47" s="510" t="s">
        <v>612</v>
      </c>
      <c r="J47" s="511"/>
      <c r="K47" s="503">
        <f>SUM(K44:L46)</f>
        <v>58140.259999999966</v>
      </c>
      <c r="L47" s="504"/>
      <c r="M47" s="390"/>
      <c r="N47" s="202"/>
      <c r="R47" s="37"/>
      <c r="S47" s="43"/>
      <c r="U47" s="5"/>
      <c r="V47" s="56"/>
      <c r="Y47" s="510" t="s">
        <v>401</v>
      </c>
      <c r="Z47" s="511"/>
      <c r="AA47" s="503">
        <f>SUM(AA44:AB46)</f>
        <v>-19061.670000000027</v>
      </c>
      <c r="AB47" s="504"/>
      <c r="AC47" s="377"/>
      <c r="AD47" s="202"/>
    </row>
    <row r="48" spans="1:30" x14ac:dyDescent="0.25">
      <c r="B48" s="37"/>
      <c r="C48" s="43"/>
      <c r="D48" s="480"/>
      <c r="E48" s="480"/>
      <c r="F48" s="58"/>
      <c r="I48" s="43"/>
      <c r="J48" s="43"/>
      <c r="M48" s="390"/>
      <c r="N48" s="202"/>
      <c r="R48" s="37"/>
      <c r="S48" s="43"/>
      <c r="T48" s="480"/>
      <c r="U48" s="480"/>
      <c r="V48" s="58"/>
      <c r="Y48" s="43"/>
      <c r="Z48" s="43"/>
      <c r="AC48" s="377"/>
      <c r="AD48" s="202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T41:U41"/>
    <mergeCell ref="S1:AA1"/>
    <mergeCell ref="U4:V4"/>
    <mergeCell ref="Y4:AB4"/>
    <mergeCell ref="X40:Y40"/>
    <mergeCell ref="AA40:AB40"/>
    <mergeCell ref="Y47:Z47"/>
    <mergeCell ref="AA47:AB47"/>
    <mergeCell ref="T48:U48"/>
    <mergeCell ref="Y43:AA43"/>
    <mergeCell ref="Y44:Z44"/>
    <mergeCell ref="AA44:AB44"/>
    <mergeCell ref="Y45:Z45"/>
    <mergeCell ref="AA45:AB45"/>
    <mergeCell ref="AA46:AB46"/>
  </mergeCells>
  <pageMargins left="0.51181102362204722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151"/>
  <sheetViews>
    <sheetView topLeftCell="A25" workbookViewId="0">
      <selection activeCell="E44" sqref="E4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9.5703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507" t="s">
        <v>240</v>
      </c>
      <c r="D3" s="508"/>
      <c r="E3" s="509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42186</v>
      </c>
      <c r="B5" s="244" t="s">
        <v>530</v>
      </c>
      <c r="C5" s="245">
        <v>4077</v>
      </c>
      <c r="D5" s="104">
        <v>42201</v>
      </c>
      <c r="E5" s="245">
        <v>4077</v>
      </c>
      <c r="F5" s="391">
        <f t="shared" ref="F5:F15" si="0">C5-E5</f>
        <v>0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42187</v>
      </c>
      <c r="B6" s="144" t="s">
        <v>506</v>
      </c>
      <c r="C6" s="156">
        <v>104690.78</v>
      </c>
      <c r="D6" s="104" t="s">
        <v>543</v>
      </c>
      <c r="E6" s="156">
        <f>5792.82+98897.96</f>
        <v>104690.78</v>
      </c>
      <c r="F6" s="154">
        <f t="shared" si="0"/>
        <v>0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508</v>
      </c>
      <c r="C7" s="156">
        <v>43946.82</v>
      </c>
      <c r="D7" s="104">
        <v>42201</v>
      </c>
      <c r="E7" s="156">
        <v>43946.82</v>
      </c>
      <c r="F7" s="154">
        <f t="shared" si="0"/>
        <v>0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>
        <v>42188</v>
      </c>
      <c r="B8" s="144" t="s">
        <v>509</v>
      </c>
      <c r="C8" s="156">
        <v>62146.51</v>
      </c>
      <c r="D8" s="104">
        <v>42201</v>
      </c>
      <c r="E8" s="156">
        <v>62146.51</v>
      </c>
      <c r="F8" s="155">
        <f t="shared" si="0"/>
        <v>0</v>
      </c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510</v>
      </c>
      <c r="C9" s="245">
        <v>27111.7</v>
      </c>
      <c r="D9" s="104">
        <v>42201</v>
      </c>
      <c r="E9" s="245">
        <v>27111.7</v>
      </c>
      <c r="F9" s="155">
        <f t="shared" si="0"/>
        <v>0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511</v>
      </c>
      <c r="C10" s="156">
        <v>37830.6</v>
      </c>
      <c r="D10" s="104">
        <v>42201</v>
      </c>
      <c r="E10" s="156">
        <v>37830.6</v>
      </c>
      <c r="F10" s="155">
        <f t="shared" si="0"/>
        <v>0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512</v>
      </c>
      <c r="C11" s="156">
        <v>31287.58</v>
      </c>
      <c r="D11" s="104">
        <v>42201</v>
      </c>
      <c r="E11" s="156">
        <v>31287.58</v>
      </c>
      <c r="F11" s="155">
        <f t="shared" si="0"/>
        <v>0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42192</v>
      </c>
      <c r="B12" s="144" t="s">
        <v>513</v>
      </c>
      <c r="C12" s="156">
        <v>54743.6</v>
      </c>
      <c r="D12" s="104">
        <v>42201</v>
      </c>
      <c r="E12" s="156">
        <v>54743.6</v>
      </c>
      <c r="F12" s="155">
        <f t="shared" si="0"/>
        <v>0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42193</v>
      </c>
      <c r="B13" s="144" t="s">
        <v>514</v>
      </c>
      <c r="C13" s="156">
        <v>67359.12</v>
      </c>
      <c r="D13" s="104">
        <v>42201</v>
      </c>
      <c r="E13" s="156">
        <v>67359.12</v>
      </c>
      <c r="F13" s="155">
        <f t="shared" si="0"/>
        <v>0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42195</v>
      </c>
      <c r="B14" s="144" t="s">
        <v>515</v>
      </c>
      <c r="C14" s="156">
        <v>69655.06</v>
      </c>
      <c r="D14" s="104">
        <v>42201</v>
      </c>
      <c r="E14" s="156">
        <v>69655.06</v>
      </c>
      <c r="F14" s="155">
        <f t="shared" si="0"/>
        <v>0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42196</v>
      </c>
      <c r="B15" s="144" t="s">
        <v>516</v>
      </c>
      <c r="C15" s="156">
        <v>76226.3</v>
      </c>
      <c r="D15" s="328">
        <v>42201</v>
      </c>
      <c r="E15" s="156">
        <v>76226.3</v>
      </c>
      <c r="F15" s="155">
        <f t="shared" si="0"/>
        <v>0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517</v>
      </c>
      <c r="C16" s="156">
        <v>31381.200000000001</v>
      </c>
      <c r="D16" s="104">
        <v>42201</v>
      </c>
      <c r="E16" s="156">
        <v>31381.200000000001</v>
      </c>
      <c r="F16" s="155">
        <f t="shared" ref="F16:F24" si="1">C16-E16</f>
        <v>0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>
        <v>42197</v>
      </c>
      <c r="B17" s="144" t="s">
        <v>538</v>
      </c>
      <c r="C17" s="156">
        <v>76233.72</v>
      </c>
      <c r="D17" s="104" t="s">
        <v>559</v>
      </c>
      <c r="E17" s="156">
        <f>49181.55+27052.17</f>
        <v>76233.72</v>
      </c>
      <c r="F17" s="155">
        <f t="shared" si="1"/>
        <v>0</v>
      </c>
      <c r="G17" s="105"/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>
        <v>42198</v>
      </c>
      <c r="B18" s="144" t="s">
        <v>539</v>
      </c>
      <c r="C18" s="156">
        <v>8037</v>
      </c>
      <c r="D18" s="104">
        <v>42207</v>
      </c>
      <c r="E18" s="156">
        <v>8037</v>
      </c>
      <c r="F18" s="155">
        <f t="shared" si="1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>
        <v>42199</v>
      </c>
      <c r="B19" s="144" t="s">
        <v>540</v>
      </c>
      <c r="C19" s="156">
        <v>13439.7</v>
      </c>
      <c r="D19" s="104">
        <v>42207</v>
      </c>
      <c r="E19" s="156">
        <v>13439.7</v>
      </c>
      <c r="F19" s="155">
        <f t="shared" si="1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>
        <v>42200</v>
      </c>
      <c r="B20" s="144" t="s">
        <v>541</v>
      </c>
      <c r="C20" s="156">
        <v>28302.37</v>
      </c>
      <c r="D20" s="104">
        <v>42207</v>
      </c>
      <c r="E20" s="156">
        <v>28302.37</v>
      </c>
      <c r="F20" s="155">
        <f t="shared" si="1"/>
        <v>0</v>
      </c>
      <c r="J20" s="43">
        <v>0</v>
      </c>
      <c r="K20" s="144" t="s">
        <v>506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>
        <v>42200</v>
      </c>
      <c r="B21" s="144" t="s">
        <v>544</v>
      </c>
      <c r="C21" s="156">
        <v>23684.400000000001</v>
      </c>
      <c r="D21" s="104">
        <v>42207</v>
      </c>
      <c r="E21" s="156">
        <v>23684.400000000001</v>
      </c>
      <c r="F21" s="155">
        <f t="shared" si="1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>
        <v>42200</v>
      </c>
      <c r="B22" s="144" t="s">
        <v>542</v>
      </c>
      <c r="C22" s="157">
        <v>46455.13</v>
      </c>
      <c r="D22" s="104">
        <v>42207</v>
      </c>
      <c r="E22" s="157">
        <v>46455.13</v>
      </c>
      <c r="F22" s="155">
        <f t="shared" si="1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>
        <v>42201</v>
      </c>
      <c r="B23" s="144" t="s">
        <v>545</v>
      </c>
      <c r="C23" s="130">
        <v>58032.81</v>
      </c>
      <c r="D23" s="104">
        <v>42207</v>
      </c>
      <c r="E23" s="130">
        <v>58032.81</v>
      </c>
      <c r="F23" s="155">
        <f t="shared" si="1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>
        <v>42202</v>
      </c>
      <c r="B24" s="144" t="s">
        <v>554</v>
      </c>
      <c r="C24" s="156">
        <v>48325.05</v>
      </c>
      <c r="D24" s="104">
        <v>42207</v>
      </c>
      <c r="E24" s="156">
        <v>48325.05</v>
      </c>
      <c r="F24" s="155">
        <f t="shared" si="1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>
        <v>42203</v>
      </c>
      <c r="B25" s="144" t="s">
        <v>555</v>
      </c>
      <c r="C25" s="156">
        <v>13529.7</v>
      </c>
      <c r="D25" s="104">
        <v>42207</v>
      </c>
      <c r="E25" s="156">
        <v>13529.7</v>
      </c>
      <c r="F25" s="155">
        <f t="shared" ref="F25:F44" si="2">C25-E25</f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>
        <v>42203</v>
      </c>
      <c r="B26" s="144" t="s">
        <v>556</v>
      </c>
      <c r="C26" s="156">
        <v>47909.4</v>
      </c>
      <c r="D26" s="104">
        <v>42207</v>
      </c>
      <c r="E26" s="156">
        <v>47909.4</v>
      </c>
      <c r="F26" s="155">
        <f t="shared" si="2"/>
        <v>0</v>
      </c>
      <c r="K26" s="144"/>
      <c r="L26" s="156"/>
      <c r="M26" s="207"/>
      <c r="N26" s="113" t="s">
        <v>505</v>
      </c>
      <c r="O26" s="207">
        <v>12588.5</v>
      </c>
      <c r="P26" s="221">
        <v>42182</v>
      </c>
    </row>
    <row r="27" spans="1:17" ht="15.75" x14ac:dyDescent="0.25">
      <c r="A27" s="143">
        <v>42204</v>
      </c>
      <c r="B27" s="144" t="s">
        <v>557</v>
      </c>
      <c r="C27" s="156">
        <v>47261.7</v>
      </c>
      <c r="D27" s="104" t="s">
        <v>580</v>
      </c>
      <c r="E27" s="156">
        <f>34690.47+12571.23</f>
        <v>47261.7</v>
      </c>
      <c r="F27" s="155">
        <f t="shared" si="2"/>
        <v>0</v>
      </c>
      <c r="K27" s="264"/>
      <c r="L27" s="207"/>
      <c r="M27" s="207"/>
      <c r="N27" s="113" t="s">
        <v>505</v>
      </c>
      <c r="O27" s="207">
        <v>50517.5</v>
      </c>
      <c r="P27" s="221">
        <v>42182</v>
      </c>
    </row>
    <row r="28" spans="1:17" ht="15.75" x14ac:dyDescent="0.25">
      <c r="A28" s="143">
        <v>42205</v>
      </c>
      <c r="B28" s="144" t="s">
        <v>558</v>
      </c>
      <c r="C28" s="156">
        <v>1269.5999999999999</v>
      </c>
      <c r="D28" s="104">
        <v>42216</v>
      </c>
      <c r="E28" s="156">
        <v>1269.5999999999999</v>
      </c>
      <c r="F28" s="155">
        <f t="shared" ref="F28:F40" si="3">C28-E28</f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>
        <v>42207</v>
      </c>
      <c r="B29" s="144" t="s">
        <v>561</v>
      </c>
      <c r="C29" s="156">
        <v>29779.47</v>
      </c>
      <c r="D29" s="104">
        <v>42216</v>
      </c>
      <c r="E29" s="156">
        <v>29779.47</v>
      </c>
      <c r="F29" s="155">
        <f t="shared" si="3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>
        <v>42208</v>
      </c>
      <c r="B30" s="144" t="s">
        <v>562</v>
      </c>
      <c r="C30" s="156">
        <v>69324.88</v>
      </c>
      <c r="D30" s="104">
        <v>42216</v>
      </c>
      <c r="E30" s="156">
        <v>69324.88</v>
      </c>
      <c r="F30" s="155">
        <f t="shared" si="3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>
        <v>42209</v>
      </c>
      <c r="B31" s="144" t="s">
        <v>563</v>
      </c>
      <c r="C31" s="156">
        <v>3333.4</v>
      </c>
      <c r="D31" s="104">
        <v>42216</v>
      </c>
      <c r="E31" s="103">
        <v>3333.4</v>
      </c>
      <c r="F31" s="155">
        <f t="shared" si="3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>
        <v>42210</v>
      </c>
      <c r="B32" s="144" t="s">
        <v>564</v>
      </c>
      <c r="C32" s="156">
        <v>25436.7</v>
      </c>
      <c r="D32" s="104">
        <v>42216</v>
      </c>
      <c r="E32" s="88">
        <v>25436.7</v>
      </c>
      <c r="F32" s="155">
        <f t="shared" si="3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>
        <v>42210</v>
      </c>
      <c r="B33" s="144" t="s">
        <v>565</v>
      </c>
      <c r="C33" s="156">
        <v>25841.7</v>
      </c>
      <c r="D33" s="104">
        <v>42216</v>
      </c>
      <c r="E33" s="88">
        <v>25841.7</v>
      </c>
      <c r="F33" s="155">
        <f t="shared" si="3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>
        <v>42210</v>
      </c>
      <c r="B34" s="144" t="s">
        <v>566</v>
      </c>
      <c r="C34" s="156">
        <v>49863.35</v>
      </c>
      <c r="D34" s="104">
        <v>42216</v>
      </c>
      <c r="E34" s="103">
        <v>49863.35</v>
      </c>
      <c r="F34" s="155">
        <f t="shared" si="3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>
        <v>42211</v>
      </c>
      <c r="B35" s="144" t="s">
        <v>567</v>
      </c>
      <c r="C35" s="156">
        <v>29047.599999999999</v>
      </c>
      <c r="D35" s="104">
        <v>42216</v>
      </c>
      <c r="E35" s="103">
        <v>29047.599999999999</v>
      </c>
      <c r="F35" s="155">
        <f t="shared" si="3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>
        <v>42212</v>
      </c>
      <c r="B36" s="292" t="s">
        <v>568</v>
      </c>
      <c r="C36" s="157">
        <v>33606.400000000001</v>
      </c>
      <c r="D36" s="320" t="s">
        <v>610</v>
      </c>
      <c r="E36" s="184">
        <f>20439.57+13166.83</f>
        <v>33606.400000000001</v>
      </c>
      <c r="F36" s="155">
        <f t="shared" si="3"/>
        <v>0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>
        <v>42213</v>
      </c>
      <c r="B37" s="292" t="s">
        <v>569</v>
      </c>
      <c r="C37" s="157">
        <v>60131.68</v>
      </c>
      <c r="D37" s="416">
        <v>42228</v>
      </c>
      <c r="E37" s="318">
        <v>60131.68</v>
      </c>
      <c r="F37" s="155">
        <f t="shared" si="3"/>
        <v>0</v>
      </c>
      <c r="K37" s="237"/>
      <c r="L37" s="238"/>
      <c r="M37" s="238"/>
      <c r="N37" s="132" t="s">
        <v>202</v>
      </c>
      <c r="O37" s="238">
        <v>9001</v>
      </c>
      <c r="P37" s="378">
        <v>42185</v>
      </c>
    </row>
    <row r="38" spans="1:17" ht="15.75" thickBot="1" x14ac:dyDescent="0.3">
      <c r="A38" s="285">
        <v>42214</v>
      </c>
      <c r="B38" s="407" t="s">
        <v>582</v>
      </c>
      <c r="C38" s="121">
        <v>28341.77</v>
      </c>
      <c r="D38" s="419">
        <v>42228</v>
      </c>
      <c r="E38" s="418">
        <v>28341.77</v>
      </c>
      <c r="F38" s="207">
        <f t="shared" si="3"/>
        <v>0</v>
      </c>
      <c r="K38" s="379"/>
      <c r="L38" s="380"/>
      <c r="M38" s="380"/>
      <c r="N38" s="380"/>
      <c r="O38" s="380">
        <v>0</v>
      </c>
      <c r="P38" s="381"/>
    </row>
    <row r="39" spans="1:17" ht="18.75" x14ac:dyDescent="0.3">
      <c r="A39" s="285">
        <v>42214</v>
      </c>
      <c r="B39" s="240" t="s">
        <v>581</v>
      </c>
      <c r="C39" s="121">
        <v>5216.3999999999996</v>
      </c>
      <c r="D39" s="417">
        <v>42228</v>
      </c>
      <c r="E39" s="418">
        <v>5216.3999999999996</v>
      </c>
      <c r="F39" s="207">
        <f t="shared" si="3"/>
        <v>0</v>
      </c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143">
        <v>42215</v>
      </c>
      <c r="B40" s="293" t="s">
        <v>570</v>
      </c>
      <c r="C40" s="207">
        <v>103676.19</v>
      </c>
      <c r="D40" s="417">
        <v>42228</v>
      </c>
      <c r="E40" s="418">
        <v>103676.19</v>
      </c>
      <c r="F40" s="207">
        <f t="shared" si="3"/>
        <v>0</v>
      </c>
    </row>
    <row r="41" spans="1:17" x14ac:dyDescent="0.25">
      <c r="A41" s="406"/>
      <c r="B41" s="291"/>
      <c r="C41" s="150"/>
      <c r="D41" s="159"/>
      <c r="E41" s="150"/>
      <c r="F41" s="207">
        <f t="shared" si="2"/>
        <v>0</v>
      </c>
    </row>
    <row r="42" spans="1:17" x14ac:dyDescent="0.25">
      <c r="A42" s="285"/>
      <c r="B42" s="290"/>
      <c r="C42" s="150"/>
      <c r="D42" s="300"/>
      <c r="E42" s="121"/>
      <c r="F42" s="207">
        <f t="shared" si="2"/>
        <v>0</v>
      </c>
    </row>
    <row r="43" spans="1:17" ht="15.75" x14ac:dyDescent="0.25">
      <c r="A43" s="285"/>
      <c r="B43" s="290"/>
      <c r="C43" s="150"/>
      <c r="D43" s="150"/>
      <c r="E43" s="121"/>
      <c r="F43" s="207">
        <f t="shared" si="2"/>
        <v>0</v>
      </c>
      <c r="H43" s="28"/>
      <c r="J43" s="49"/>
      <c r="K43" s="104"/>
      <c r="L43" s="399">
        <v>42201</v>
      </c>
      <c r="M43" s="215"/>
      <c r="N43" s="134" t="s">
        <v>200</v>
      </c>
      <c r="O43" s="88"/>
      <c r="Q43" s="28"/>
    </row>
    <row r="44" spans="1:17" x14ac:dyDescent="0.25">
      <c r="A44" s="285"/>
      <c r="B44" s="290"/>
      <c r="C44" s="150"/>
      <c r="D44" s="150"/>
      <c r="E44" s="121"/>
      <c r="F44" s="207">
        <f t="shared" si="2"/>
        <v>0</v>
      </c>
      <c r="H44" s="28"/>
      <c r="J44" s="49"/>
      <c r="K44" s="104"/>
      <c r="L44" s="103"/>
      <c r="M44" s="103"/>
      <c r="N44" s="103"/>
      <c r="O44" s="213"/>
      <c r="Q44" s="28"/>
    </row>
    <row r="45" spans="1:17" ht="15.75" x14ac:dyDescent="0.25">
      <c r="A45" s="406"/>
      <c r="B45" s="291"/>
      <c r="C45" s="150"/>
      <c r="D45" s="119"/>
      <c r="E45" s="150"/>
      <c r="F45" s="332"/>
      <c r="H45" s="28"/>
      <c r="J45" s="49">
        <v>4077</v>
      </c>
      <c r="K45" s="144" t="s">
        <v>530</v>
      </c>
      <c r="L45" s="156">
        <v>4077</v>
      </c>
      <c r="M45" s="348"/>
      <c r="N45" s="113" t="s">
        <v>461</v>
      </c>
      <c r="O45" s="214">
        <v>7944.5</v>
      </c>
      <c r="P45" s="221">
        <v>42186</v>
      </c>
      <c r="Q45" s="252"/>
    </row>
    <row r="46" spans="1:17" ht="15.75" x14ac:dyDescent="0.25">
      <c r="A46" s="406"/>
      <c r="B46" s="291"/>
      <c r="C46" s="150"/>
      <c r="D46" s="119"/>
      <c r="E46" s="150"/>
      <c r="F46" s="332"/>
      <c r="H46" s="28"/>
      <c r="J46" s="49">
        <f>7944.5+21235.5+41372+8328+25811</f>
        <v>104691</v>
      </c>
      <c r="K46" s="144" t="s">
        <v>506</v>
      </c>
      <c r="L46" s="156">
        <v>98897.76</v>
      </c>
      <c r="M46" s="207"/>
      <c r="N46" s="113" t="s">
        <v>461</v>
      </c>
      <c r="O46" s="207">
        <v>21235.5</v>
      </c>
      <c r="P46" s="221">
        <v>42186</v>
      </c>
      <c r="Q46" s="28"/>
    </row>
    <row r="47" spans="1:17" ht="15.75" x14ac:dyDescent="0.25">
      <c r="A47" s="406"/>
      <c r="B47" s="291"/>
      <c r="C47" s="150"/>
      <c r="D47" s="119"/>
      <c r="E47" s="150"/>
      <c r="F47" s="332"/>
      <c r="H47" s="28"/>
      <c r="J47" s="49">
        <f>31037.5+9401.5+3508</f>
        <v>43947</v>
      </c>
      <c r="K47" s="144" t="s">
        <v>508</v>
      </c>
      <c r="L47" s="156">
        <v>43946.82</v>
      </c>
      <c r="M47" s="207"/>
      <c r="N47" s="113" t="s">
        <v>461</v>
      </c>
      <c r="O47" s="207">
        <v>41372</v>
      </c>
      <c r="P47" s="221">
        <v>42187</v>
      </c>
      <c r="Q47" s="28"/>
    </row>
    <row r="48" spans="1:17" ht="15.75" x14ac:dyDescent="0.25">
      <c r="A48" s="406"/>
      <c r="B48" s="291"/>
      <c r="C48" s="150"/>
      <c r="D48" s="119"/>
      <c r="E48" s="150"/>
      <c r="F48" s="332"/>
      <c r="H48" s="28"/>
      <c r="J48" s="49">
        <f>55508.5+6638</f>
        <v>62146.5</v>
      </c>
      <c r="K48" s="144" t="s">
        <v>509</v>
      </c>
      <c r="L48" s="156">
        <v>62146.51</v>
      </c>
      <c r="M48" s="130"/>
      <c r="N48" s="113" t="s">
        <v>461</v>
      </c>
      <c r="O48" s="207">
        <v>8328</v>
      </c>
      <c r="P48" s="221">
        <v>42187</v>
      </c>
      <c r="Q48" s="28"/>
    </row>
    <row r="49" spans="1:17" ht="15.75" x14ac:dyDescent="0.25">
      <c r="A49" s="406"/>
      <c r="B49" s="289"/>
      <c r="C49" s="150"/>
      <c r="D49" s="119"/>
      <c r="E49" s="150"/>
      <c r="F49" s="332"/>
      <c r="H49" s="28"/>
      <c r="J49" s="49">
        <f>11595.5+9725.5</f>
        <v>21321</v>
      </c>
      <c r="K49" s="244" t="s">
        <v>510</v>
      </c>
      <c r="L49" s="245">
        <v>27111.7</v>
      </c>
      <c r="M49" s="130"/>
      <c r="N49" s="113" t="s">
        <v>461</v>
      </c>
      <c r="O49" s="214">
        <v>31037.5</v>
      </c>
      <c r="P49" s="221">
        <v>42188</v>
      </c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>
        <f>24793.5+13037</f>
        <v>37830.5</v>
      </c>
      <c r="K50" s="144" t="s">
        <v>511</v>
      </c>
      <c r="L50" s="156">
        <v>37830.6</v>
      </c>
      <c r="M50" s="207"/>
      <c r="N50" s="113" t="s">
        <v>461</v>
      </c>
      <c r="O50" s="207">
        <v>25811</v>
      </c>
      <c r="P50" s="221">
        <v>42188</v>
      </c>
      <c r="Q50" s="28"/>
    </row>
    <row r="51" spans="1:17" ht="16.5" thickTop="1" x14ac:dyDescent="0.25">
      <c r="C51" s="58">
        <f>SUM(C5:C50)</f>
        <v>1486536.3899999994</v>
      </c>
      <c r="D51" s="58"/>
      <c r="E51" s="58">
        <f>SUM(E5:E50)</f>
        <v>1486536.3899999994</v>
      </c>
      <c r="F51" s="242">
        <f>SUM(F5:F50)</f>
        <v>0</v>
      </c>
      <c r="H51" s="28"/>
      <c r="J51" s="49">
        <f>24016.5+7271</f>
        <v>31287.5</v>
      </c>
      <c r="K51" s="144" t="s">
        <v>512</v>
      </c>
      <c r="L51" s="156">
        <v>31287.58</v>
      </c>
      <c r="M51" s="334"/>
      <c r="N51" s="113" t="s">
        <v>461</v>
      </c>
      <c r="O51" s="207">
        <v>9401.5</v>
      </c>
      <c r="P51" s="221">
        <v>42188</v>
      </c>
      <c r="Q51" s="28"/>
    </row>
    <row r="52" spans="1:17" ht="15.75" x14ac:dyDescent="0.25">
      <c r="A52" s="377"/>
      <c r="B52"/>
      <c r="D52"/>
      <c r="E52" s="43"/>
      <c r="H52" s="28"/>
      <c r="J52" s="49">
        <f>16500+12212.5+15300+8466.5+2264.5</f>
        <v>54743.5</v>
      </c>
      <c r="K52" s="144" t="s">
        <v>513</v>
      </c>
      <c r="L52" s="156">
        <v>54743.6</v>
      </c>
      <c r="M52" s="321"/>
      <c r="N52" s="113" t="s">
        <v>461</v>
      </c>
      <c r="O52" s="207">
        <v>55508.5</v>
      </c>
      <c r="P52" s="221">
        <v>42189</v>
      </c>
      <c r="Q52" s="28"/>
    </row>
    <row r="53" spans="1:17" ht="15.75" x14ac:dyDescent="0.25">
      <c r="A53" s="377"/>
      <c r="B53"/>
      <c r="D53"/>
      <c r="E53" s="43"/>
      <c r="H53" s="28"/>
      <c r="J53" s="49">
        <f>11000+12961.5+30667.5+6432.5+6297.5</f>
        <v>67359</v>
      </c>
      <c r="K53" s="144" t="s">
        <v>514</v>
      </c>
      <c r="L53" s="156">
        <v>67359.12</v>
      </c>
      <c r="M53" s="207"/>
      <c r="N53" s="113" t="s">
        <v>461</v>
      </c>
      <c r="O53" s="207">
        <v>11595.5</v>
      </c>
      <c r="P53" s="221">
        <v>42189</v>
      </c>
      <c r="Q53" s="28"/>
    </row>
    <row r="54" spans="1:17" ht="15.75" x14ac:dyDescent="0.25">
      <c r="A54" s="377"/>
      <c r="B54"/>
      <c r="D54"/>
      <c r="E54" s="43"/>
      <c r="H54" s="28"/>
      <c r="J54" s="49">
        <f>12400+8800+25917+15552.5+6985.5</f>
        <v>69655</v>
      </c>
      <c r="K54" s="144" t="s">
        <v>515</v>
      </c>
      <c r="L54" s="156">
        <v>69655.06</v>
      </c>
      <c r="M54" s="207"/>
      <c r="N54" s="113" t="s">
        <v>461</v>
      </c>
      <c r="O54" s="207">
        <v>3508</v>
      </c>
      <c r="P54" s="221">
        <v>42189</v>
      </c>
      <c r="Q54" s="28"/>
    </row>
    <row r="55" spans="1:17" ht="15.75" x14ac:dyDescent="0.25">
      <c r="A55" s="377"/>
      <c r="B55"/>
      <c r="D55"/>
      <c r="E55" s="43"/>
      <c r="H55" s="28"/>
      <c r="J55" s="49">
        <f>8300+52000+8690.5+7233.5</f>
        <v>76224</v>
      </c>
      <c r="K55" s="144" t="s">
        <v>516</v>
      </c>
      <c r="L55" s="156">
        <v>76226.3</v>
      </c>
      <c r="M55" s="207"/>
      <c r="N55" s="113" t="s">
        <v>461</v>
      </c>
      <c r="O55" s="207">
        <v>6638</v>
      </c>
      <c r="P55" s="221">
        <v>42189</v>
      </c>
      <c r="Q55" s="28"/>
    </row>
    <row r="56" spans="1:17" ht="15.75" x14ac:dyDescent="0.25">
      <c r="A56" s="377"/>
      <c r="B56"/>
      <c r="D56"/>
      <c r="E56" s="43"/>
      <c r="H56" s="28"/>
      <c r="J56" s="49">
        <f>21200+10181.5</f>
        <v>31381.5</v>
      </c>
      <c r="K56" s="144" t="s">
        <v>517</v>
      </c>
      <c r="L56" s="156">
        <v>31381.200000000001</v>
      </c>
      <c r="M56" s="207"/>
      <c r="N56" s="113" t="s">
        <v>461</v>
      </c>
      <c r="O56" s="207">
        <v>24793.5</v>
      </c>
      <c r="P56" s="221">
        <v>42191</v>
      </c>
      <c r="Q56" s="252">
        <v>42190</v>
      </c>
    </row>
    <row r="57" spans="1:17" ht="15.75" x14ac:dyDescent="0.25">
      <c r="A57" s="377"/>
      <c r="B57"/>
      <c r="D57"/>
      <c r="E57" s="43"/>
      <c r="H57" s="28"/>
      <c r="J57" s="49">
        <f>16181.5+33000</f>
        <v>49181.5</v>
      </c>
      <c r="K57" s="144" t="s">
        <v>538</v>
      </c>
      <c r="L57" s="156">
        <v>49181.75</v>
      </c>
      <c r="M57" s="207" t="s">
        <v>361</v>
      </c>
      <c r="N57" s="113" t="s">
        <v>461</v>
      </c>
      <c r="O57" s="207">
        <v>9725.5</v>
      </c>
      <c r="P57" s="221">
        <v>42191</v>
      </c>
      <c r="Q57" s="252">
        <v>42190</v>
      </c>
    </row>
    <row r="58" spans="1:17" ht="15.75" x14ac:dyDescent="0.25">
      <c r="A58" s="377"/>
      <c r="B58"/>
      <c r="D58"/>
      <c r="E58" s="43"/>
      <c r="H58" s="28"/>
      <c r="J58" s="49">
        <v>0</v>
      </c>
      <c r="K58" s="144"/>
      <c r="L58" s="156"/>
      <c r="M58" s="334"/>
      <c r="N58" s="113" t="s">
        <v>461</v>
      </c>
      <c r="O58" s="207">
        <v>13037</v>
      </c>
      <c r="P58" s="221">
        <v>42191</v>
      </c>
      <c r="Q58" s="252">
        <v>42190</v>
      </c>
    </row>
    <row r="59" spans="1:17" ht="15.75" x14ac:dyDescent="0.25">
      <c r="A59" s="377"/>
      <c r="B59"/>
      <c r="D59"/>
      <c r="E59" s="43"/>
      <c r="H59" s="28"/>
      <c r="J59" s="49">
        <v>0</v>
      </c>
      <c r="K59" s="144"/>
      <c r="L59" s="156"/>
      <c r="M59" s="207"/>
      <c r="N59" s="113" t="s">
        <v>461</v>
      </c>
      <c r="O59" s="207">
        <v>16500</v>
      </c>
      <c r="P59" s="221">
        <v>42192</v>
      </c>
      <c r="Q59" s="252">
        <v>42191</v>
      </c>
    </row>
    <row r="60" spans="1:17" ht="15.75" x14ac:dyDescent="0.25">
      <c r="A60" s="377"/>
      <c r="B60"/>
      <c r="D60"/>
      <c r="E60" s="43"/>
      <c r="H60" s="28"/>
      <c r="J60" s="49">
        <f>SUM(J45:J59)</f>
        <v>653845</v>
      </c>
      <c r="K60" s="297"/>
      <c r="L60" s="230"/>
      <c r="M60" s="207"/>
      <c r="N60" s="113" t="s">
        <v>461</v>
      </c>
      <c r="O60" s="207">
        <v>12212.5</v>
      </c>
      <c r="P60" s="221">
        <v>42191</v>
      </c>
      <c r="Q60" s="252"/>
    </row>
    <row r="61" spans="1:17" ht="15.75" x14ac:dyDescent="0.25">
      <c r="A61" s="377"/>
      <c r="B61"/>
      <c r="D61"/>
      <c r="E61" s="43"/>
      <c r="H61" s="28"/>
      <c r="J61" s="49"/>
      <c r="K61" s="144"/>
      <c r="L61" s="156"/>
      <c r="M61" s="207"/>
      <c r="N61" s="113" t="s">
        <v>461</v>
      </c>
      <c r="O61" s="207">
        <v>24016.5</v>
      </c>
      <c r="P61" s="221">
        <v>42191</v>
      </c>
      <c r="Q61" s="28"/>
    </row>
    <row r="62" spans="1:17" ht="15.75" x14ac:dyDescent="0.25">
      <c r="A62" s="377"/>
      <c r="B62"/>
      <c r="D62"/>
      <c r="E62" s="43"/>
      <c r="H62" s="28"/>
      <c r="J62" s="49"/>
      <c r="K62" s="144"/>
      <c r="L62" s="156"/>
      <c r="M62" s="207"/>
      <c r="N62" s="113" t="s">
        <v>461</v>
      </c>
      <c r="O62" s="207">
        <v>7271</v>
      </c>
      <c r="P62" s="221">
        <v>42191</v>
      </c>
      <c r="Q62" s="252"/>
    </row>
    <row r="63" spans="1:17" ht="15.75" x14ac:dyDescent="0.25">
      <c r="A63" s="377"/>
      <c r="B63"/>
      <c r="D63"/>
      <c r="E63" s="43"/>
      <c r="H63" s="28"/>
      <c r="J63" s="49"/>
      <c r="K63" s="144"/>
      <c r="L63" s="156"/>
      <c r="M63" s="207"/>
      <c r="N63" s="113" t="s">
        <v>461</v>
      </c>
      <c r="O63" s="207">
        <v>15300</v>
      </c>
      <c r="P63" s="221">
        <v>42193</v>
      </c>
      <c r="Q63" s="252">
        <v>42192</v>
      </c>
    </row>
    <row r="64" spans="1:17" ht="15.75" x14ac:dyDescent="0.25">
      <c r="A64" s="377"/>
      <c r="B64"/>
      <c r="D64"/>
      <c r="E64" s="43"/>
      <c r="H64" s="28"/>
      <c r="J64" s="49"/>
      <c r="K64" s="144"/>
      <c r="L64" s="156"/>
      <c r="M64" s="260"/>
      <c r="N64" s="113" t="s">
        <v>461</v>
      </c>
      <c r="O64" s="207">
        <v>8466.5</v>
      </c>
      <c r="P64" s="221">
        <v>42192</v>
      </c>
      <c r="Q64" s="28"/>
    </row>
    <row r="65" spans="1:17" ht="15.75" x14ac:dyDescent="0.25">
      <c r="H65" s="28"/>
      <c r="J65" s="49"/>
      <c r="K65" s="144"/>
      <c r="L65" s="156"/>
      <c r="M65" s="130"/>
      <c r="N65" s="113" t="s">
        <v>461</v>
      </c>
      <c r="O65" s="207">
        <v>2264.5</v>
      </c>
      <c r="P65" s="221">
        <v>42193</v>
      </c>
      <c r="Q65" s="252"/>
    </row>
    <row r="66" spans="1:17" ht="15.75" x14ac:dyDescent="0.25">
      <c r="J66" s="49"/>
      <c r="K66" s="144"/>
      <c r="L66" s="156"/>
      <c r="M66" s="207"/>
      <c r="N66" s="113" t="s">
        <v>461</v>
      </c>
      <c r="O66" s="214">
        <v>4077</v>
      </c>
      <c r="P66" s="221">
        <v>42193</v>
      </c>
      <c r="Q66" s="28"/>
    </row>
    <row r="67" spans="1:17" ht="15.75" x14ac:dyDescent="0.25">
      <c r="J67" s="49"/>
      <c r="K67" s="144"/>
      <c r="L67" s="156"/>
      <c r="M67" s="207"/>
      <c r="N67" s="113" t="s">
        <v>461</v>
      </c>
      <c r="O67" s="207">
        <v>11000</v>
      </c>
      <c r="P67" s="221">
        <v>42194</v>
      </c>
      <c r="Q67" s="252">
        <v>42193</v>
      </c>
    </row>
    <row r="68" spans="1:17" ht="15.75" x14ac:dyDescent="0.25">
      <c r="A68" s="377"/>
      <c r="B68"/>
      <c r="C68"/>
      <c r="D68"/>
      <c r="E68"/>
      <c r="F68" s="23"/>
      <c r="J68" s="49"/>
      <c r="K68" s="264"/>
      <c r="L68" s="207"/>
      <c r="M68" s="207"/>
      <c r="N68" s="113" t="s">
        <v>461</v>
      </c>
      <c r="O68" s="207">
        <v>12961.5</v>
      </c>
      <c r="P68" s="221">
        <v>42193</v>
      </c>
      <c r="Q68" s="28"/>
    </row>
    <row r="69" spans="1:17" ht="15.75" x14ac:dyDescent="0.25">
      <c r="A69" s="377"/>
      <c r="B69"/>
      <c r="C69"/>
      <c r="D69"/>
      <c r="E69"/>
      <c r="F69" s="23"/>
      <c r="J69" s="49"/>
      <c r="K69" s="264"/>
      <c r="L69" s="130"/>
      <c r="M69" s="130"/>
      <c r="N69" s="113" t="s">
        <v>461</v>
      </c>
      <c r="O69" s="207">
        <v>30667.5</v>
      </c>
      <c r="P69" s="221">
        <v>42194</v>
      </c>
      <c r="Q69" s="28"/>
    </row>
    <row r="70" spans="1:17" ht="15.75" x14ac:dyDescent="0.25">
      <c r="J70" s="49"/>
      <c r="K70" s="193"/>
      <c r="L70" s="207"/>
      <c r="M70" s="207"/>
      <c r="N70" s="113" t="s">
        <v>461</v>
      </c>
      <c r="O70" s="207">
        <v>12400</v>
      </c>
      <c r="P70" s="221">
        <v>42195</v>
      </c>
      <c r="Q70" s="252">
        <v>42194</v>
      </c>
    </row>
    <row r="71" spans="1:17" ht="15.75" x14ac:dyDescent="0.25">
      <c r="J71" s="49"/>
      <c r="K71" s="193"/>
      <c r="L71" s="207"/>
      <c r="M71" s="207"/>
      <c r="N71" s="113" t="s">
        <v>461</v>
      </c>
      <c r="O71" s="214">
        <v>8800</v>
      </c>
      <c r="P71" s="221">
        <v>42194</v>
      </c>
      <c r="Q71" s="28"/>
    </row>
    <row r="72" spans="1:17" ht="15.75" x14ac:dyDescent="0.25">
      <c r="J72" s="49"/>
      <c r="K72" s="193"/>
      <c r="L72" s="207"/>
      <c r="M72" s="207"/>
      <c r="N72" s="113" t="s">
        <v>461</v>
      </c>
      <c r="O72" s="207">
        <v>6432.5</v>
      </c>
      <c r="P72" s="221">
        <v>42194</v>
      </c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193"/>
      <c r="L73" s="207"/>
      <c r="M73" s="207"/>
      <c r="N73" s="113" t="s">
        <v>461</v>
      </c>
      <c r="O73" s="207">
        <v>8300</v>
      </c>
      <c r="P73" s="221">
        <v>42196</v>
      </c>
      <c r="Q73" s="252">
        <v>42195</v>
      </c>
    </row>
    <row r="74" spans="1:17" ht="15.75" x14ac:dyDescent="0.25">
      <c r="A74"/>
      <c r="B74"/>
      <c r="C74"/>
      <c r="D74"/>
      <c r="E74"/>
      <c r="F74"/>
      <c r="G74"/>
      <c r="J74" s="49"/>
      <c r="K74" s="206"/>
      <c r="L74" s="207"/>
      <c r="M74" s="207"/>
      <c r="N74" s="113" t="s">
        <v>461</v>
      </c>
      <c r="O74" s="207">
        <v>25917</v>
      </c>
      <c r="P74" s="221">
        <v>42195</v>
      </c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06"/>
      <c r="L75" s="207"/>
      <c r="M75" s="207"/>
      <c r="N75" s="113" t="s">
        <v>461</v>
      </c>
      <c r="O75" s="207">
        <v>15552.5</v>
      </c>
      <c r="P75" s="222">
        <v>42196</v>
      </c>
      <c r="Q75" s="252">
        <v>42195</v>
      </c>
    </row>
    <row r="76" spans="1:17" ht="15.75" x14ac:dyDescent="0.25">
      <c r="A76"/>
      <c r="B76"/>
      <c r="C76"/>
      <c r="D76"/>
      <c r="E76"/>
      <c r="F76"/>
      <c r="G76"/>
      <c r="J76" s="49"/>
      <c r="K76" s="193"/>
      <c r="L76" s="207"/>
      <c r="M76" s="207"/>
      <c r="N76" s="113" t="s">
        <v>461</v>
      </c>
      <c r="O76" s="207">
        <v>6297.5</v>
      </c>
      <c r="P76" s="221">
        <v>42195</v>
      </c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119"/>
      <c r="L77" s="121"/>
      <c r="M77" s="121"/>
      <c r="N77" s="113" t="s">
        <v>461</v>
      </c>
      <c r="O77" s="121">
        <v>6985.5</v>
      </c>
      <c r="P77" s="222">
        <v>42195</v>
      </c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119"/>
      <c r="L78" s="121"/>
      <c r="M78" s="121"/>
      <c r="N78" s="113" t="s">
        <v>461</v>
      </c>
      <c r="O78" s="121">
        <v>21200</v>
      </c>
      <c r="P78" s="222">
        <v>42198</v>
      </c>
      <c r="Q78" s="252">
        <v>42196</v>
      </c>
    </row>
    <row r="79" spans="1:17" ht="15.75" x14ac:dyDescent="0.25">
      <c r="A79"/>
      <c r="B79"/>
      <c r="C79"/>
      <c r="D79"/>
      <c r="E79"/>
      <c r="F79"/>
      <c r="G79"/>
      <c r="J79" s="49"/>
      <c r="K79" s="119"/>
      <c r="L79" s="119"/>
      <c r="M79" s="119"/>
      <c r="N79" s="113" t="s">
        <v>461</v>
      </c>
      <c r="O79" s="121">
        <v>52000</v>
      </c>
      <c r="P79" s="222">
        <v>42196</v>
      </c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119"/>
      <c r="L80" s="119"/>
      <c r="M80" s="119"/>
      <c r="N80" s="113" t="s">
        <v>461</v>
      </c>
      <c r="O80" s="121">
        <v>8690.5</v>
      </c>
      <c r="P80" s="222">
        <v>42196</v>
      </c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119"/>
      <c r="L81" s="119"/>
      <c r="M81" s="119"/>
      <c r="N81" s="113" t="s">
        <v>461</v>
      </c>
      <c r="O81" s="121">
        <v>7233.5</v>
      </c>
      <c r="P81" s="222">
        <v>42196</v>
      </c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06"/>
      <c r="L82" s="207"/>
      <c r="M82" s="207"/>
      <c r="N82" s="113" t="s">
        <v>461</v>
      </c>
      <c r="O82" s="207">
        <v>16181.5</v>
      </c>
      <c r="P82" s="221">
        <v>42198</v>
      </c>
      <c r="Q82" s="252">
        <v>42197</v>
      </c>
    </row>
    <row r="83" spans="1:17" ht="15.75" x14ac:dyDescent="0.25">
      <c r="A83"/>
      <c r="B83"/>
      <c r="C83"/>
      <c r="D83"/>
      <c r="E83"/>
      <c r="F83"/>
      <c r="G83"/>
      <c r="J83" s="49"/>
      <c r="K83" s="206"/>
      <c r="L83" s="207"/>
      <c r="M83" s="207"/>
      <c r="N83" s="113" t="s">
        <v>461</v>
      </c>
      <c r="O83" s="207">
        <v>33000</v>
      </c>
      <c r="P83" s="221">
        <v>42198</v>
      </c>
      <c r="Q83" s="252">
        <v>42197</v>
      </c>
    </row>
    <row r="84" spans="1:17" ht="15.75" x14ac:dyDescent="0.25">
      <c r="A84"/>
      <c r="B84"/>
      <c r="C84"/>
      <c r="D84"/>
      <c r="E84"/>
      <c r="F84"/>
      <c r="G84"/>
      <c r="J84" s="49"/>
      <c r="K84" s="206"/>
      <c r="L84" s="207"/>
      <c r="M84" s="207"/>
      <c r="N84" s="113" t="s">
        <v>461</v>
      </c>
      <c r="O84" s="207">
        <v>10181.5</v>
      </c>
      <c r="P84" s="221">
        <v>42198</v>
      </c>
      <c r="Q84" s="252">
        <v>42197</v>
      </c>
    </row>
    <row r="85" spans="1:17" ht="15.75" x14ac:dyDescent="0.25">
      <c r="A85"/>
      <c r="B85"/>
      <c r="C85"/>
      <c r="D85"/>
      <c r="E85"/>
      <c r="F85"/>
      <c r="G85"/>
      <c r="J85" s="49"/>
      <c r="K85" s="206"/>
      <c r="L85" s="207"/>
      <c r="M85" s="207"/>
      <c r="N85" s="113" t="s">
        <v>461</v>
      </c>
      <c r="O85" s="207">
        <v>0</v>
      </c>
      <c r="P85" s="221">
        <v>42198</v>
      </c>
      <c r="Q85" s="252">
        <v>42197</v>
      </c>
    </row>
    <row r="86" spans="1:17" ht="16.5" thickBot="1" x14ac:dyDescent="0.3">
      <c r="J86" s="49"/>
      <c r="K86" s="379"/>
      <c r="L86" s="380"/>
      <c r="M86" s="380"/>
      <c r="N86" s="235" t="s">
        <v>461</v>
      </c>
      <c r="O86" s="380">
        <v>0</v>
      </c>
      <c r="P86" s="381"/>
      <c r="Q86" s="28"/>
    </row>
    <row r="87" spans="1:17" ht="18.75" x14ac:dyDescent="0.3">
      <c r="J87" s="49"/>
      <c r="L87" s="131">
        <f>SUM(L45:L78)</f>
        <v>653845</v>
      </c>
      <c r="M87" s="131"/>
      <c r="N87" s="131"/>
      <c r="O87" s="131">
        <f>SUM(O45:O86)</f>
        <v>653845</v>
      </c>
      <c r="Q87" s="28"/>
    </row>
    <row r="90" spans="1:17" ht="15.75" x14ac:dyDescent="0.25">
      <c r="K90" s="104"/>
      <c r="L90" s="333">
        <v>42207</v>
      </c>
      <c r="M90" s="215"/>
      <c r="N90" s="134" t="s">
        <v>200</v>
      </c>
      <c r="O90" s="88"/>
    </row>
    <row r="91" spans="1:17" x14ac:dyDescent="0.25">
      <c r="K91" s="104"/>
      <c r="L91" s="103"/>
      <c r="M91" s="103"/>
      <c r="N91" s="103"/>
      <c r="O91" s="213"/>
    </row>
    <row r="92" spans="1:17" ht="15.75" x14ac:dyDescent="0.25">
      <c r="J92" s="43">
        <f>2125+24927</f>
        <v>27052</v>
      </c>
      <c r="K92" s="144" t="s">
        <v>538</v>
      </c>
      <c r="L92" s="156">
        <v>27051.97</v>
      </c>
      <c r="M92" s="348"/>
      <c r="N92" s="113" t="s">
        <v>461</v>
      </c>
      <c r="O92" s="214">
        <v>5688.5</v>
      </c>
      <c r="P92" s="221">
        <v>42198</v>
      </c>
      <c r="Q92" s="21">
        <v>42197</v>
      </c>
    </row>
    <row r="93" spans="1:17" ht="15.75" x14ac:dyDescent="0.25">
      <c r="J93" s="43">
        <f>5688.5+2351.5</f>
        <v>8040</v>
      </c>
      <c r="K93" s="144" t="s">
        <v>539</v>
      </c>
      <c r="L93" s="156">
        <v>8037</v>
      </c>
      <c r="M93" s="207"/>
      <c r="N93" s="113" t="s">
        <v>461</v>
      </c>
      <c r="O93" s="207">
        <v>2125</v>
      </c>
      <c r="P93" s="221">
        <v>42199</v>
      </c>
      <c r="Q93" s="21">
        <v>42198</v>
      </c>
    </row>
    <row r="94" spans="1:17" ht="15.75" x14ac:dyDescent="0.25">
      <c r="J94" s="43">
        <f>7491.5+5948.5</f>
        <v>13440</v>
      </c>
      <c r="K94" s="144" t="s">
        <v>540</v>
      </c>
      <c r="L94" s="156">
        <v>13439.7</v>
      </c>
      <c r="M94" s="207"/>
      <c r="N94" s="113" t="s">
        <v>461</v>
      </c>
      <c r="O94" s="207">
        <v>24927</v>
      </c>
      <c r="P94" s="221">
        <v>42198</v>
      </c>
    </row>
    <row r="95" spans="1:17" ht="15.75" x14ac:dyDescent="0.25">
      <c r="J95" s="43">
        <f>11326.5+8351+8625</f>
        <v>28302.5</v>
      </c>
      <c r="K95" s="144" t="s">
        <v>541</v>
      </c>
      <c r="L95" s="156">
        <v>28302.37</v>
      </c>
      <c r="M95" s="130"/>
      <c r="N95" s="113" t="s">
        <v>461</v>
      </c>
      <c r="O95" s="207">
        <v>7491.5</v>
      </c>
      <c r="P95" s="221">
        <v>42199</v>
      </c>
    </row>
    <row r="96" spans="1:17" ht="15.75" x14ac:dyDescent="0.25">
      <c r="J96" s="43">
        <f>16382.5+7302</f>
        <v>23684.5</v>
      </c>
      <c r="K96" s="144" t="s">
        <v>544</v>
      </c>
      <c r="L96" s="156">
        <v>23684.400000000001</v>
      </c>
      <c r="M96" s="130"/>
      <c r="N96" s="113" t="s">
        <v>461</v>
      </c>
      <c r="O96" s="214">
        <v>9000</v>
      </c>
      <c r="P96" s="221">
        <v>42199</v>
      </c>
    </row>
    <row r="97" spans="10:17" customFormat="1" ht="15.75" x14ac:dyDescent="0.25">
      <c r="J97" s="43">
        <f>11900+16815.5+11946.5</f>
        <v>40662</v>
      </c>
      <c r="K97" s="400" t="s">
        <v>542</v>
      </c>
      <c r="L97" s="157">
        <v>46455.13</v>
      </c>
      <c r="M97" s="207"/>
      <c r="N97" s="113" t="s">
        <v>461</v>
      </c>
      <c r="O97" s="207">
        <v>18935</v>
      </c>
      <c r="P97" s="221">
        <v>42199</v>
      </c>
    </row>
    <row r="98" spans="10:17" customFormat="1" ht="15.75" x14ac:dyDescent="0.25">
      <c r="J98" s="43">
        <f>9000+18935+6788.5+23309</f>
        <v>58032.5</v>
      </c>
      <c r="K98" s="144" t="s">
        <v>545</v>
      </c>
      <c r="L98" s="130">
        <v>58032.81</v>
      </c>
      <c r="M98" s="334"/>
      <c r="N98" s="113" t="s">
        <v>461</v>
      </c>
      <c r="O98" s="207">
        <v>2351.5</v>
      </c>
      <c r="P98" s="221">
        <v>42199</v>
      </c>
    </row>
    <row r="99" spans="10:17" customFormat="1" ht="15.75" x14ac:dyDescent="0.25">
      <c r="J99" s="43">
        <f>12000+15243+4701.5+16380.5</f>
        <v>48325</v>
      </c>
      <c r="K99" s="144" t="s">
        <v>554</v>
      </c>
      <c r="L99" s="156">
        <v>48325.05</v>
      </c>
      <c r="M99" s="321"/>
      <c r="N99" s="113" t="s">
        <v>461</v>
      </c>
      <c r="O99" s="207">
        <v>6788.5</v>
      </c>
      <c r="P99" s="221">
        <v>42199</v>
      </c>
    </row>
    <row r="100" spans="10:17" customFormat="1" ht="15.75" x14ac:dyDescent="0.25">
      <c r="J100" s="43">
        <f>8837+4689.5</f>
        <v>13526.5</v>
      </c>
      <c r="K100" s="144" t="s">
        <v>555</v>
      </c>
      <c r="L100" s="156">
        <v>13529.7</v>
      </c>
      <c r="M100" s="207"/>
      <c r="N100" s="113" t="s">
        <v>461</v>
      </c>
      <c r="O100" s="207">
        <v>5948.5</v>
      </c>
      <c r="P100" s="221">
        <v>42200</v>
      </c>
    </row>
    <row r="101" spans="10:17" customFormat="1" ht="15.75" x14ac:dyDescent="0.25">
      <c r="J101" s="43">
        <f>22000+19593+1206+5110.5</f>
        <v>47909.5</v>
      </c>
      <c r="K101" s="144" t="s">
        <v>556</v>
      </c>
      <c r="L101" s="156">
        <v>47909.4</v>
      </c>
      <c r="M101" s="207"/>
      <c r="N101" s="113" t="s">
        <v>461</v>
      </c>
      <c r="O101" s="207">
        <v>11326.5</v>
      </c>
      <c r="P101" s="221">
        <v>42200</v>
      </c>
    </row>
    <row r="102" spans="10:17" customFormat="1" ht="15.75" x14ac:dyDescent="0.25">
      <c r="J102" s="43">
        <f>15000+25483.5</f>
        <v>40483.5</v>
      </c>
      <c r="K102" s="144" t="s">
        <v>557</v>
      </c>
      <c r="L102" s="156">
        <v>34690.47</v>
      </c>
      <c r="M102" s="207" t="s">
        <v>361</v>
      </c>
      <c r="N102" s="113" t="s">
        <v>461</v>
      </c>
      <c r="O102" s="207">
        <v>8351</v>
      </c>
      <c r="P102" s="221">
        <v>42201</v>
      </c>
      <c r="Q102" s="21">
        <v>42200</v>
      </c>
    </row>
    <row r="103" spans="10:17" customFormat="1" ht="15.75" x14ac:dyDescent="0.25">
      <c r="J103" s="43">
        <v>0</v>
      </c>
      <c r="K103" s="144"/>
      <c r="L103" s="156"/>
      <c r="M103" s="207"/>
      <c r="N103" s="113" t="s">
        <v>461</v>
      </c>
      <c r="O103" s="207">
        <v>8625</v>
      </c>
      <c r="P103" s="221">
        <v>42200</v>
      </c>
    </row>
    <row r="104" spans="10:17" customFormat="1" ht="15.75" x14ac:dyDescent="0.25">
      <c r="J104" s="43">
        <f>SUM(J92:J103)</f>
        <v>349458</v>
      </c>
      <c r="K104" s="144"/>
      <c r="L104" s="156"/>
      <c r="M104" s="207"/>
      <c r="N104" s="113" t="s">
        <v>461</v>
      </c>
      <c r="O104" s="207">
        <v>11900</v>
      </c>
      <c r="P104" s="221">
        <v>42202</v>
      </c>
      <c r="Q104" s="21">
        <v>42201</v>
      </c>
    </row>
    <row r="105" spans="10:17" customFormat="1" ht="15.75" x14ac:dyDescent="0.25">
      <c r="J105" s="43"/>
      <c r="K105" s="144"/>
      <c r="L105" s="156"/>
      <c r="M105" s="334"/>
      <c r="N105" s="113" t="s">
        <v>461</v>
      </c>
      <c r="O105" s="207">
        <v>16382.5</v>
      </c>
      <c r="P105" s="221">
        <v>42201</v>
      </c>
    </row>
    <row r="106" spans="10:17" customFormat="1" ht="15.75" x14ac:dyDescent="0.25">
      <c r="J106" s="43"/>
      <c r="K106" s="144"/>
      <c r="L106" s="156"/>
      <c r="M106" s="207"/>
      <c r="N106" s="113" t="s">
        <v>461</v>
      </c>
      <c r="O106" s="207">
        <v>16815.5</v>
      </c>
      <c r="P106" s="221">
        <v>42201</v>
      </c>
    </row>
    <row r="107" spans="10:17" customFormat="1" ht="15.75" x14ac:dyDescent="0.25">
      <c r="J107" s="43"/>
      <c r="K107" s="297"/>
      <c r="L107" s="230"/>
      <c r="M107" s="207"/>
      <c r="N107" s="113" t="s">
        <v>461</v>
      </c>
      <c r="O107" s="207">
        <v>7302</v>
      </c>
      <c r="P107" s="221">
        <v>42201</v>
      </c>
    </row>
    <row r="108" spans="10:17" customFormat="1" ht="15.75" x14ac:dyDescent="0.25">
      <c r="J108" s="43"/>
      <c r="K108" s="144"/>
      <c r="L108" s="156"/>
      <c r="M108" s="207"/>
      <c r="N108" s="113" t="s">
        <v>461</v>
      </c>
      <c r="O108" s="207">
        <v>12000</v>
      </c>
      <c r="P108" s="221">
        <v>42203</v>
      </c>
      <c r="Q108" s="21">
        <v>42202</v>
      </c>
    </row>
    <row r="109" spans="10:17" customFormat="1" ht="15.75" x14ac:dyDescent="0.25">
      <c r="J109" s="43"/>
      <c r="K109" s="144"/>
      <c r="L109" s="156"/>
      <c r="M109" s="207"/>
      <c r="N109" s="113" t="s">
        <v>461</v>
      </c>
      <c r="O109" s="207">
        <v>15243</v>
      </c>
      <c r="P109" s="221">
        <v>42202</v>
      </c>
    </row>
    <row r="110" spans="10:17" customFormat="1" ht="15.75" x14ac:dyDescent="0.25">
      <c r="J110" s="43"/>
      <c r="K110" s="144"/>
      <c r="L110" s="156"/>
      <c r="M110" s="207"/>
      <c r="N110" s="113" t="s">
        <v>461</v>
      </c>
      <c r="O110" s="207">
        <v>23309</v>
      </c>
      <c r="P110" s="221">
        <v>42202</v>
      </c>
    </row>
    <row r="111" spans="10:17" customFormat="1" ht="15.75" x14ac:dyDescent="0.25">
      <c r="J111" s="43"/>
      <c r="K111" s="144"/>
      <c r="L111" s="156"/>
      <c r="M111" s="260"/>
      <c r="N111" s="113" t="s">
        <v>461</v>
      </c>
      <c r="O111" s="207">
        <v>11946.5</v>
      </c>
      <c r="P111" s="221">
        <v>42202</v>
      </c>
    </row>
    <row r="112" spans="10:17" customFormat="1" ht="15.75" x14ac:dyDescent="0.25">
      <c r="J112" s="43"/>
      <c r="K112" s="144"/>
      <c r="L112" s="156"/>
      <c r="M112" s="130"/>
      <c r="N112" s="113" t="s">
        <v>461</v>
      </c>
      <c r="O112" s="207">
        <v>4701.5</v>
      </c>
      <c r="P112" s="221">
        <v>42202</v>
      </c>
    </row>
    <row r="113" spans="10:17" customFormat="1" ht="15.75" x14ac:dyDescent="0.25">
      <c r="J113" s="43"/>
      <c r="K113" s="144"/>
      <c r="L113" s="156"/>
      <c r="M113" s="207"/>
      <c r="N113" s="113" t="s">
        <v>461</v>
      </c>
      <c r="O113" s="214">
        <v>22000</v>
      </c>
      <c r="P113" s="221">
        <v>42205</v>
      </c>
      <c r="Q113" s="21">
        <v>42203</v>
      </c>
    </row>
    <row r="114" spans="10:17" customFormat="1" ht="15.75" x14ac:dyDescent="0.25">
      <c r="J114" s="43"/>
      <c r="K114" s="144"/>
      <c r="L114" s="156"/>
      <c r="M114" s="207"/>
      <c r="N114" s="113" t="s">
        <v>461</v>
      </c>
      <c r="O114" s="207">
        <v>19593</v>
      </c>
      <c r="P114" s="221">
        <v>42203</v>
      </c>
    </row>
    <row r="115" spans="10:17" customFormat="1" ht="15.75" x14ac:dyDescent="0.25">
      <c r="J115" s="43"/>
      <c r="K115" s="264"/>
      <c r="L115" s="207"/>
      <c r="M115" s="207"/>
      <c r="N115" s="113" t="s">
        <v>461</v>
      </c>
      <c r="O115" s="207">
        <v>8837</v>
      </c>
      <c r="P115" s="221">
        <v>42203</v>
      </c>
    </row>
    <row r="116" spans="10:17" customFormat="1" ht="15.75" x14ac:dyDescent="0.25">
      <c r="J116" s="43"/>
      <c r="K116" s="264"/>
      <c r="L116" s="130"/>
      <c r="M116" s="130"/>
      <c r="N116" s="113" t="s">
        <v>461</v>
      </c>
      <c r="O116" s="207">
        <v>16380.5</v>
      </c>
      <c r="P116" s="221">
        <v>42203</v>
      </c>
    </row>
    <row r="117" spans="10:17" customFormat="1" ht="15.75" x14ac:dyDescent="0.25">
      <c r="J117" s="43"/>
      <c r="K117" s="193"/>
      <c r="L117" s="207"/>
      <c r="M117" s="207"/>
      <c r="N117" s="113" t="s">
        <v>461</v>
      </c>
      <c r="O117" s="207">
        <v>4689.5</v>
      </c>
      <c r="P117" s="221">
        <v>42203</v>
      </c>
    </row>
    <row r="118" spans="10:17" customFormat="1" ht="15.75" x14ac:dyDescent="0.25">
      <c r="J118" s="43"/>
      <c r="K118" s="193"/>
      <c r="L118" s="207"/>
      <c r="M118" s="207"/>
      <c r="N118" s="113" t="s">
        <v>461</v>
      </c>
      <c r="O118" s="214">
        <v>15000</v>
      </c>
      <c r="P118" s="221">
        <v>42205</v>
      </c>
      <c r="Q118" s="21">
        <v>42204</v>
      </c>
    </row>
    <row r="119" spans="10:17" customFormat="1" ht="15.75" x14ac:dyDescent="0.25">
      <c r="J119" s="43"/>
      <c r="K119" s="193"/>
      <c r="L119" s="207"/>
      <c r="M119" s="207"/>
      <c r="N119" s="113" t="s">
        <v>461</v>
      </c>
      <c r="O119" s="207">
        <v>25483.5</v>
      </c>
      <c r="P119" s="221">
        <v>42205</v>
      </c>
      <c r="Q119" s="21">
        <v>42204</v>
      </c>
    </row>
    <row r="120" spans="10:17" customFormat="1" ht="15.75" x14ac:dyDescent="0.25">
      <c r="J120" s="43"/>
      <c r="K120" s="193"/>
      <c r="L120" s="207"/>
      <c r="M120" s="207"/>
      <c r="N120" s="113" t="s">
        <v>461</v>
      </c>
      <c r="O120" s="207">
        <v>1206</v>
      </c>
      <c r="P120" s="221">
        <v>42205</v>
      </c>
      <c r="Q120" s="21">
        <v>42204</v>
      </c>
    </row>
    <row r="121" spans="10:17" customFormat="1" ht="15.75" x14ac:dyDescent="0.25">
      <c r="J121" s="43"/>
      <c r="K121" s="206"/>
      <c r="L121" s="207"/>
      <c r="M121" s="207"/>
      <c r="N121" s="113" t="s">
        <v>461</v>
      </c>
      <c r="O121" s="207">
        <v>5110.5</v>
      </c>
      <c r="P121" s="221">
        <v>42205</v>
      </c>
      <c r="Q121" s="21">
        <v>42204</v>
      </c>
    </row>
    <row r="122" spans="10:17" customFormat="1" ht="16.5" thickBot="1" x14ac:dyDescent="0.3">
      <c r="J122" s="43"/>
      <c r="K122" s="379"/>
      <c r="L122" s="380"/>
      <c r="M122" s="380"/>
      <c r="N122" s="235" t="s">
        <v>461</v>
      </c>
      <c r="O122" s="380">
        <v>0</v>
      </c>
      <c r="P122" s="381"/>
    </row>
    <row r="123" spans="10:17" customFormat="1" ht="18.75" x14ac:dyDescent="0.3">
      <c r="J123" s="43"/>
      <c r="L123" s="131">
        <f>SUM(L92:L121)</f>
        <v>349458</v>
      </c>
      <c r="M123" s="131"/>
      <c r="N123" s="131"/>
      <c r="O123" s="131">
        <f>SUM(O92:O122)</f>
        <v>349458</v>
      </c>
    </row>
    <row r="126" spans="10:17" customFormat="1" ht="15.75" x14ac:dyDescent="0.25">
      <c r="J126" s="43"/>
      <c r="K126" s="104"/>
      <c r="L126" s="288">
        <v>42216</v>
      </c>
      <c r="M126" s="215"/>
      <c r="N126" s="134" t="s">
        <v>200</v>
      </c>
      <c r="O126" s="88"/>
    </row>
    <row r="127" spans="10:17" customFormat="1" x14ac:dyDescent="0.25">
      <c r="J127" s="43"/>
      <c r="K127" s="104"/>
      <c r="L127" s="103"/>
      <c r="M127" s="103"/>
      <c r="N127" s="103"/>
      <c r="O127" s="213"/>
    </row>
    <row r="128" spans="10:17" customFormat="1" ht="15.75" x14ac:dyDescent="0.25">
      <c r="J128" s="43">
        <f>6778</f>
        <v>6778</v>
      </c>
      <c r="K128" s="144" t="s">
        <v>579</v>
      </c>
      <c r="L128" s="156">
        <v>12571.23</v>
      </c>
      <c r="M128" s="348"/>
      <c r="N128" s="113" t="s">
        <v>461</v>
      </c>
      <c r="O128" s="214">
        <v>6778</v>
      </c>
      <c r="P128" s="221">
        <v>42206</v>
      </c>
    </row>
    <row r="129" spans="10:17" customFormat="1" ht="15.75" x14ac:dyDescent="0.25">
      <c r="J129" s="43">
        <v>1269.5</v>
      </c>
      <c r="K129" s="144" t="s">
        <v>558</v>
      </c>
      <c r="L129" s="156">
        <v>1269.5999999999999</v>
      </c>
      <c r="M129" s="207"/>
      <c r="N129" s="113" t="s">
        <v>461</v>
      </c>
      <c r="O129" s="207">
        <v>1269.5</v>
      </c>
      <c r="P129" s="221">
        <v>42206</v>
      </c>
    </row>
    <row r="130" spans="10:17" customFormat="1" ht="15.75" x14ac:dyDescent="0.25">
      <c r="J130" s="43">
        <f>21418.5+979.5+7381.5</f>
        <v>29779.5</v>
      </c>
      <c r="K130" s="144" t="s">
        <v>561</v>
      </c>
      <c r="L130" s="156">
        <v>29779.47</v>
      </c>
      <c r="M130" s="207"/>
      <c r="N130" s="113" t="s">
        <v>461</v>
      </c>
      <c r="O130" s="207">
        <v>21418.5</v>
      </c>
      <c r="P130" s="221">
        <v>42207</v>
      </c>
    </row>
    <row r="131" spans="10:17" customFormat="1" ht="15.75" x14ac:dyDescent="0.25">
      <c r="J131" s="43">
        <f>40845+7555+20925</f>
        <v>69325</v>
      </c>
      <c r="K131" s="144" t="s">
        <v>562</v>
      </c>
      <c r="L131" s="156">
        <v>69324.88</v>
      </c>
      <c r="M131" s="130"/>
      <c r="N131" s="113" t="s">
        <v>461</v>
      </c>
      <c r="O131" s="207">
        <v>979.5</v>
      </c>
      <c r="P131" s="221">
        <v>42208</v>
      </c>
      <c r="Q131" s="21">
        <v>42207</v>
      </c>
    </row>
    <row r="132" spans="10:17" customFormat="1" ht="15.75" x14ac:dyDescent="0.25">
      <c r="J132" s="43">
        <f>3333.5</f>
        <v>3333.5</v>
      </c>
      <c r="K132" s="144" t="s">
        <v>563</v>
      </c>
      <c r="L132" s="156">
        <v>3333.4</v>
      </c>
      <c r="M132" s="130"/>
      <c r="N132" s="113" t="s">
        <v>461</v>
      </c>
      <c r="O132" s="214">
        <v>7381.5</v>
      </c>
      <c r="P132" s="221">
        <v>42207</v>
      </c>
    </row>
    <row r="133" spans="10:17" customFormat="1" ht="15.75" x14ac:dyDescent="0.25">
      <c r="J133" s="43">
        <f>16527.5+462+8447.5</f>
        <v>25437</v>
      </c>
      <c r="K133" s="144" t="s">
        <v>564</v>
      </c>
      <c r="L133" s="156">
        <v>25436.7</v>
      </c>
      <c r="M133" s="207"/>
      <c r="N133" s="113" t="s">
        <v>461</v>
      </c>
      <c r="O133" s="207">
        <v>40845</v>
      </c>
      <c r="P133" s="221">
        <v>42208</v>
      </c>
    </row>
    <row r="134" spans="10:17" customFormat="1" ht="15.75" x14ac:dyDescent="0.25">
      <c r="J134" s="43">
        <f>15826+10015.5</f>
        <v>25841.5</v>
      </c>
      <c r="K134" s="144" t="s">
        <v>565</v>
      </c>
      <c r="L134" s="156">
        <v>25841.7</v>
      </c>
      <c r="M134" s="334"/>
      <c r="N134" s="113" t="s">
        <v>461</v>
      </c>
      <c r="O134" s="207">
        <v>7555</v>
      </c>
      <c r="P134" s="221">
        <v>42208</v>
      </c>
    </row>
    <row r="135" spans="10:17" customFormat="1" ht="15.75" x14ac:dyDescent="0.25">
      <c r="J135" s="43">
        <f>8342+41521.5</f>
        <v>49863.5</v>
      </c>
      <c r="K135" s="144" t="s">
        <v>566</v>
      </c>
      <c r="L135" s="156">
        <v>49863.35</v>
      </c>
      <c r="M135" s="321"/>
      <c r="N135" s="113" t="s">
        <v>461</v>
      </c>
      <c r="O135" s="207">
        <v>20925</v>
      </c>
      <c r="P135" s="221">
        <v>42209</v>
      </c>
    </row>
    <row r="136" spans="10:17" customFormat="1" ht="15.75" x14ac:dyDescent="0.25">
      <c r="J136" s="43">
        <f>20678.5+8369</f>
        <v>29047.5</v>
      </c>
      <c r="K136" s="144" t="s">
        <v>567</v>
      </c>
      <c r="L136" s="156">
        <v>29047.599999999999</v>
      </c>
      <c r="M136" s="207"/>
      <c r="N136" s="113" t="s">
        <v>461</v>
      </c>
      <c r="O136" s="207">
        <v>16527.5</v>
      </c>
      <c r="P136" s="221">
        <v>42209</v>
      </c>
    </row>
    <row r="137" spans="10:17" customFormat="1" ht="15.75" x14ac:dyDescent="0.25">
      <c r="J137" s="43">
        <f>8180+6452.5+2697+8903</f>
        <v>26232.5</v>
      </c>
      <c r="K137" s="292" t="s">
        <v>568</v>
      </c>
      <c r="L137" s="157">
        <v>20439.57</v>
      </c>
      <c r="M137" s="207"/>
      <c r="N137" s="113" t="s">
        <v>461</v>
      </c>
      <c r="O137" s="207">
        <v>462</v>
      </c>
      <c r="P137" s="221">
        <v>42210</v>
      </c>
      <c r="Q137" s="21">
        <v>42209</v>
      </c>
    </row>
    <row r="138" spans="10:17" customFormat="1" ht="15.75" x14ac:dyDescent="0.25">
      <c r="J138" s="43"/>
      <c r="K138" s="292"/>
      <c r="L138" s="157"/>
      <c r="M138" s="207"/>
      <c r="N138" s="113" t="s">
        <v>461</v>
      </c>
      <c r="O138" s="207">
        <v>8447.5</v>
      </c>
      <c r="P138" s="221">
        <v>42209</v>
      </c>
    </row>
    <row r="139" spans="10:17" customFormat="1" ht="15.75" x14ac:dyDescent="0.25">
      <c r="J139" s="43"/>
      <c r="K139" s="293"/>
      <c r="L139" s="207"/>
      <c r="M139" s="207"/>
      <c r="N139" s="113" t="s">
        <v>461</v>
      </c>
      <c r="O139" s="207">
        <v>3333.5</v>
      </c>
      <c r="P139" s="221">
        <v>42210</v>
      </c>
    </row>
    <row r="140" spans="10:17" customFormat="1" ht="15.75" x14ac:dyDescent="0.25">
      <c r="J140" s="43"/>
      <c r="K140" s="144"/>
      <c r="L140" s="156"/>
      <c r="M140" s="207"/>
      <c r="N140" s="113" t="s">
        <v>461</v>
      </c>
      <c r="O140" s="207">
        <v>8342</v>
      </c>
      <c r="P140" s="221">
        <v>42210</v>
      </c>
    </row>
    <row r="141" spans="10:17" customFormat="1" ht="15.75" x14ac:dyDescent="0.25">
      <c r="J141" s="43"/>
      <c r="K141" s="144"/>
      <c r="L141" s="156"/>
      <c r="M141" s="334"/>
      <c r="N141" s="113" t="s">
        <v>461</v>
      </c>
      <c r="O141" s="207">
        <v>41521.5</v>
      </c>
      <c r="P141" s="221">
        <v>42212</v>
      </c>
      <c r="Q141" s="21">
        <v>42211</v>
      </c>
    </row>
    <row r="142" spans="10:17" customFormat="1" ht="15.75" x14ac:dyDescent="0.25">
      <c r="J142" s="43"/>
      <c r="K142" s="144"/>
      <c r="L142" s="156"/>
      <c r="M142" s="207"/>
      <c r="N142" s="113" t="s">
        <v>461</v>
      </c>
      <c r="O142" s="207">
        <v>15826</v>
      </c>
      <c r="P142" s="221">
        <v>42212</v>
      </c>
    </row>
    <row r="143" spans="10:17" customFormat="1" ht="15.75" x14ac:dyDescent="0.25">
      <c r="J143" s="43"/>
      <c r="K143" s="297"/>
      <c r="L143" s="230"/>
      <c r="M143" s="207"/>
      <c r="N143" s="113" t="s">
        <v>461</v>
      </c>
      <c r="O143" s="207">
        <v>10015.5</v>
      </c>
      <c r="P143" s="221">
        <v>42212</v>
      </c>
      <c r="Q143" s="21">
        <v>42211</v>
      </c>
    </row>
    <row r="144" spans="10:17" customFormat="1" ht="15.75" x14ac:dyDescent="0.25">
      <c r="J144" s="43"/>
      <c r="K144" s="144"/>
      <c r="L144" s="156"/>
      <c r="M144" s="207"/>
      <c r="N144" s="113" t="s">
        <v>461</v>
      </c>
      <c r="O144" s="207">
        <v>8180</v>
      </c>
      <c r="P144" s="221">
        <v>42213</v>
      </c>
      <c r="Q144" s="21">
        <v>42212</v>
      </c>
    </row>
    <row r="145" spans="11:16" customFormat="1" ht="15.75" x14ac:dyDescent="0.25">
      <c r="K145" s="144"/>
      <c r="L145" s="156"/>
      <c r="M145" s="207"/>
      <c r="N145" s="113" t="s">
        <v>461</v>
      </c>
      <c r="O145" s="207">
        <v>6452.5</v>
      </c>
      <c r="P145" s="221">
        <v>42212</v>
      </c>
    </row>
    <row r="146" spans="11:16" customFormat="1" ht="15.75" x14ac:dyDescent="0.25">
      <c r="K146" s="144"/>
      <c r="L146" s="156"/>
      <c r="M146" s="207"/>
      <c r="N146" s="113" t="s">
        <v>461</v>
      </c>
      <c r="O146" s="207">
        <v>20678.5</v>
      </c>
      <c r="P146" s="221">
        <v>42212</v>
      </c>
    </row>
    <row r="147" spans="11:16" customFormat="1" ht="15.75" x14ac:dyDescent="0.25">
      <c r="K147" s="144"/>
      <c r="L147" s="156"/>
      <c r="M147" s="260"/>
      <c r="N147" s="113" t="s">
        <v>461</v>
      </c>
      <c r="O147" s="207">
        <v>8369</v>
      </c>
      <c r="P147" s="221">
        <v>42212</v>
      </c>
    </row>
    <row r="148" spans="11:16" customFormat="1" ht="15.75" x14ac:dyDescent="0.25">
      <c r="K148" s="144"/>
      <c r="L148" s="156"/>
      <c r="M148" s="130"/>
      <c r="N148" s="113" t="s">
        <v>461</v>
      </c>
      <c r="O148" s="207">
        <v>2697</v>
      </c>
      <c r="P148" s="221">
        <v>42213</v>
      </c>
    </row>
    <row r="149" spans="11:16" customFormat="1" ht="15.75" x14ac:dyDescent="0.25">
      <c r="K149" s="144"/>
      <c r="L149" s="156"/>
      <c r="M149" s="207"/>
      <c r="N149" s="113" t="s">
        <v>461</v>
      </c>
      <c r="O149" s="214">
        <v>8903</v>
      </c>
      <c r="P149" s="221">
        <v>42213</v>
      </c>
    </row>
    <row r="150" spans="11:16" customFormat="1" ht="16.5" thickBot="1" x14ac:dyDescent="0.3">
      <c r="K150" s="379"/>
      <c r="L150" s="380"/>
      <c r="M150" s="380"/>
      <c r="N150" s="235" t="s">
        <v>461</v>
      </c>
      <c r="O150" s="380">
        <v>0</v>
      </c>
      <c r="P150" s="381"/>
    </row>
    <row r="151" spans="11:16" customFormat="1" ht="18.75" x14ac:dyDescent="0.3">
      <c r="L151" s="131">
        <f>SUM(L128:L149)</f>
        <v>266907.5</v>
      </c>
      <c r="M151" s="131"/>
      <c r="N151" s="131"/>
      <c r="O151" s="131">
        <f>SUM(O128:O150)</f>
        <v>266907.5</v>
      </c>
    </row>
  </sheetData>
  <sortState ref="A28:F40">
    <sortCondition ref="B28:B40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N48"/>
  <sheetViews>
    <sheetView workbookViewId="0">
      <pane ySplit="4" topLeftCell="A32" activePane="bottomLeft" state="frozen"/>
      <selection pane="bottomLeft" activeCell="L12" sqref="L12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7" max="7" width="5.28515625" customWidth="1"/>
    <col min="10" max="10" width="6.5703125" customWidth="1"/>
    <col min="13" max="13" width="19.42578125" bestFit="1" customWidth="1"/>
    <col min="14" max="14" width="14.140625" bestFit="1" customWidth="1"/>
    <col min="15" max="16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4" max="34" width="4.7109375" customWidth="1"/>
    <col min="36" max="36" width="12.5703125" bestFit="1" customWidth="1"/>
    <col min="39" max="39" width="14.140625" bestFit="1" customWidth="1"/>
    <col min="46" max="46" width="19.42578125" bestFit="1" customWidth="1"/>
    <col min="47" max="47" width="14.140625" bestFit="1" customWidth="1"/>
    <col min="52" max="52" width="4.7109375" customWidth="1"/>
    <col min="54" max="54" width="12.5703125" bestFit="1" customWidth="1"/>
    <col min="57" max="57" width="14.140625" bestFit="1" customWidth="1"/>
    <col min="64" max="64" width="19.42578125" bestFit="1" customWidth="1"/>
    <col min="65" max="65" width="14.140625" bestFit="1" customWidth="1"/>
  </cols>
  <sheetData>
    <row r="1" spans="1:66" ht="23.25" x14ac:dyDescent="0.35">
      <c r="B1" s="37"/>
      <c r="C1" s="471" t="s">
        <v>583</v>
      </c>
      <c r="D1" s="471"/>
      <c r="E1" s="471"/>
      <c r="F1" s="471"/>
      <c r="G1" s="471"/>
      <c r="H1" s="471"/>
      <c r="I1" s="471"/>
      <c r="J1" s="471"/>
      <c r="K1" s="471"/>
      <c r="M1" s="431"/>
      <c r="N1" s="202"/>
      <c r="O1" s="440" t="s">
        <v>666</v>
      </c>
      <c r="P1" s="438"/>
      <c r="Q1" s="439"/>
      <c r="S1" s="37"/>
      <c r="T1" s="471" t="s">
        <v>583</v>
      </c>
      <c r="U1" s="471"/>
      <c r="V1" s="471"/>
      <c r="W1" s="471"/>
      <c r="X1" s="471"/>
      <c r="Y1" s="471"/>
      <c r="Z1" s="471"/>
      <c r="AA1" s="471"/>
      <c r="AB1" s="471"/>
      <c r="AD1" s="431"/>
      <c r="AE1" s="202"/>
      <c r="AI1" s="37"/>
      <c r="AJ1" s="471" t="s">
        <v>583</v>
      </c>
      <c r="AK1" s="471"/>
      <c r="AL1" s="471"/>
      <c r="AM1" s="471"/>
      <c r="AN1" s="471"/>
      <c r="AO1" s="471"/>
      <c r="AP1" s="471"/>
      <c r="AQ1" s="471"/>
      <c r="AR1" s="471"/>
      <c r="AT1" s="431"/>
      <c r="AU1" s="202"/>
      <c r="BA1" s="37"/>
      <c r="BB1" s="471" t="s">
        <v>583</v>
      </c>
      <c r="BC1" s="471"/>
      <c r="BD1" s="471"/>
      <c r="BE1" s="471"/>
      <c r="BF1" s="471"/>
      <c r="BG1" s="471"/>
      <c r="BH1" s="471"/>
      <c r="BI1" s="471"/>
      <c r="BJ1" s="471"/>
      <c r="BL1" s="405"/>
      <c r="BM1" s="202"/>
    </row>
    <row r="2" spans="1:66" ht="15.75" thickBot="1" x14ac:dyDescent="0.3">
      <c r="B2" s="37"/>
      <c r="C2" s="43"/>
      <c r="E2" s="430"/>
      <c r="F2" s="50"/>
      <c r="I2" s="43"/>
      <c r="J2" s="43"/>
      <c r="M2" s="431"/>
      <c r="N2" s="202"/>
      <c r="S2" s="37"/>
      <c r="T2" s="43"/>
      <c r="V2" s="430"/>
      <c r="W2" s="50"/>
      <c r="Z2" s="43"/>
      <c r="AA2" s="43"/>
      <c r="AD2" s="431"/>
      <c r="AE2" s="202"/>
      <c r="AI2" s="37"/>
      <c r="AJ2" s="43"/>
      <c r="AL2" s="430"/>
      <c r="AM2" s="50"/>
      <c r="AP2" s="43"/>
      <c r="AQ2" s="43"/>
      <c r="AT2" s="431"/>
      <c r="AU2" s="202"/>
      <c r="BA2" s="37"/>
      <c r="BB2" s="43"/>
      <c r="BD2" s="403"/>
      <c r="BE2" s="50"/>
      <c r="BH2" s="43"/>
      <c r="BI2" s="43"/>
      <c r="BL2" s="405"/>
      <c r="BM2" s="202"/>
    </row>
    <row r="3" spans="1:66" ht="15.75" thickBot="1" x14ac:dyDescent="0.3">
      <c r="B3" s="37"/>
      <c r="C3" s="44" t="s">
        <v>0</v>
      </c>
      <c r="D3" s="3"/>
      <c r="F3" s="43"/>
      <c r="I3" s="43"/>
      <c r="J3" s="43"/>
      <c r="M3" s="431"/>
      <c r="N3" s="202"/>
      <c r="S3" s="37"/>
      <c r="T3" s="44" t="s">
        <v>0</v>
      </c>
      <c r="U3" s="3"/>
      <c r="W3" s="43"/>
      <c r="Z3" s="43"/>
      <c r="AA3" s="43"/>
      <c r="AD3" s="431"/>
      <c r="AE3" s="202"/>
      <c r="AI3" s="37"/>
      <c r="AJ3" s="44" t="s">
        <v>0</v>
      </c>
      <c r="AK3" s="3"/>
      <c r="AM3" s="43"/>
      <c r="AP3" s="43"/>
      <c r="AQ3" s="43"/>
      <c r="AT3" s="431"/>
      <c r="AU3" s="202"/>
      <c r="BA3" s="37"/>
      <c r="BB3" s="44" t="s">
        <v>0</v>
      </c>
      <c r="BC3" s="3"/>
      <c r="BE3" s="43"/>
      <c r="BH3" s="43"/>
      <c r="BI3" s="43"/>
      <c r="BL3" s="405"/>
      <c r="BM3" s="202"/>
    </row>
    <row r="4" spans="1:66" ht="20.25" thickTop="1" thickBot="1" x14ac:dyDescent="0.35">
      <c r="A4" s="96" t="s">
        <v>2</v>
      </c>
      <c r="B4" s="38"/>
      <c r="C4" s="94">
        <v>107249.8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  <c r="R4" s="96" t="s">
        <v>2</v>
      </c>
      <c r="S4" s="38"/>
      <c r="T4" s="94">
        <v>107249.8</v>
      </c>
      <c r="U4" s="2"/>
      <c r="V4" s="492" t="s">
        <v>14</v>
      </c>
      <c r="W4" s="493"/>
      <c r="Z4" s="474" t="s">
        <v>4</v>
      </c>
      <c r="AA4" s="475"/>
      <c r="AB4" s="475"/>
      <c r="AC4" s="475"/>
      <c r="AD4" s="69" t="s">
        <v>18</v>
      </c>
      <c r="AE4" s="203" t="s">
        <v>264</v>
      </c>
      <c r="AH4" s="96" t="s">
        <v>2</v>
      </c>
      <c r="AI4" s="38"/>
      <c r="AJ4" s="94">
        <v>107249.8</v>
      </c>
      <c r="AK4" s="2"/>
      <c r="AL4" s="492" t="s">
        <v>14</v>
      </c>
      <c r="AM4" s="493"/>
      <c r="AP4" s="474" t="s">
        <v>4</v>
      </c>
      <c r="AQ4" s="475"/>
      <c r="AR4" s="475"/>
      <c r="AS4" s="475"/>
      <c r="AT4" s="69" t="s">
        <v>18</v>
      </c>
      <c r="AU4" s="203" t="s">
        <v>264</v>
      </c>
      <c r="AZ4" s="96" t="s">
        <v>2</v>
      </c>
      <c r="BA4" s="38"/>
      <c r="BB4" s="94">
        <v>107249.8</v>
      </c>
      <c r="BC4" s="2"/>
      <c r="BD4" s="492" t="s">
        <v>14</v>
      </c>
      <c r="BE4" s="493"/>
      <c r="BH4" s="474" t="s">
        <v>4</v>
      </c>
      <c r="BI4" s="475"/>
      <c r="BJ4" s="475"/>
      <c r="BK4" s="475"/>
      <c r="BL4" s="69" t="s">
        <v>18</v>
      </c>
      <c r="BM4" s="203" t="s">
        <v>264</v>
      </c>
    </row>
    <row r="5" spans="1:66" ht="15.75" thickTop="1" x14ac:dyDescent="0.25">
      <c r="A5" s="21"/>
      <c r="B5" s="39">
        <v>42217</v>
      </c>
      <c r="C5" s="45">
        <v>0</v>
      </c>
      <c r="D5" s="22"/>
      <c r="E5" s="26">
        <v>42217</v>
      </c>
      <c r="F5" s="51">
        <v>87693</v>
      </c>
      <c r="G5" s="23"/>
      <c r="H5" s="24">
        <v>42217</v>
      </c>
      <c r="I5" s="60">
        <v>1200</v>
      </c>
      <c r="J5" s="87"/>
      <c r="K5" s="34"/>
      <c r="L5" s="34"/>
      <c r="M5" s="67" t="s">
        <v>599</v>
      </c>
      <c r="N5" s="75">
        <v>84450</v>
      </c>
      <c r="R5" s="21"/>
      <c r="S5" s="39">
        <v>42217</v>
      </c>
      <c r="T5" s="45">
        <v>0</v>
      </c>
      <c r="U5" s="22"/>
      <c r="V5" s="26">
        <v>42217</v>
      </c>
      <c r="W5" s="51">
        <v>87693</v>
      </c>
      <c r="X5" s="23"/>
      <c r="Y5" s="24">
        <v>42217</v>
      </c>
      <c r="Z5" s="60">
        <v>1200</v>
      </c>
      <c r="AA5" s="87"/>
      <c r="AB5" s="34"/>
      <c r="AC5" s="34"/>
      <c r="AD5" s="67" t="s">
        <v>599</v>
      </c>
      <c r="AE5" s="75">
        <v>84450</v>
      </c>
      <c r="AH5" s="21"/>
      <c r="AI5" s="39">
        <v>42217</v>
      </c>
      <c r="AJ5" s="45">
        <v>0</v>
      </c>
      <c r="AK5" s="22"/>
      <c r="AL5" s="26">
        <v>42217</v>
      </c>
      <c r="AM5" s="51">
        <v>87693</v>
      </c>
      <c r="AN5" s="23"/>
      <c r="AO5" s="24">
        <v>42217</v>
      </c>
      <c r="AP5" s="60">
        <v>1200</v>
      </c>
      <c r="AQ5" s="87"/>
      <c r="AR5" s="34"/>
      <c r="AS5" s="34"/>
      <c r="AT5" s="67" t="s">
        <v>599</v>
      </c>
      <c r="AU5" s="75">
        <v>84450</v>
      </c>
      <c r="AZ5" s="21"/>
      <c r="BA5" s="39">
        <v>42217</v>
      </c>
      <c r="BB5" s="45">
        <v>0</v>
      </c>
      <c r="BC5" s="22"/>
      <c r="BD5" s="26">
        <v>42217</v>
      </c>
      <c r="BE5" s="51">
        <v>87693</v>
      </c>
      <c r="BF5" s="23"/>
      <c r="BG5" s="24">
        <v>42217</v>
      </c>
      <c r="BH5" s="60">
        <v>1200</v>
      </c>
      <c r="BI5" s="87"/>
      <c r="BJ5" s="34"/>
      <c r="BK5" s="34"/>
      <c r="BL5" s="67" t="s">
        <v>599</v>
      </c>
      <c r="BM5" s="75">
        <v>84450</v>
      </c>
    </row>
    <row r="6" spans="1:66" x14ac:dyDescent="0.25">
      <c r="A6" s="21"/>
      <c r="B6" s="39">
        <v>42218</v>
      </c>
      <c r="C6" s="45">
        <v>0</v>
      </c>
      <c r="D6" s="29"/>
      <c r="E6" s="26">
        <v>42218</v>
      </c>
      <c r="F6" s="51">
        <v>81002.5</v>
      </c>
      <c r="G6" s="19"/>
      <c r="H6" s="27">
        <v>42218</v>
      </c>
      <c r="I6" s="61">
        <v>200</v>
      </c>
      <c r="J6" s="88"/>
      <c r="K6" s="13" t="s">
        <v>5</v>
      </c>
      <c r="L6" s="20">
        <v>613</v>
      </c>
      <c r="M6" s="67" t="s">
        <v>600</v>
      </c>
      <c r="N6" s="75">
        <v>82340</v>
      </c>
      <c r="R6" s="21"/>
      <c r="S6" s="39">
        <v>42218</v>
      </c>
      <c r="T6" s="45">
        <v>0</v>
      </c>
      <c r="U6" s="29"/>
      <c r="V6" s="26">
        <v>42218</v>
      </c>
      <c r="W6" s="51">
        <v>81002.5</v>
      </c>
      <c r="X6" s="19"/>
      <c r="Y6" s="27">
        <v>42218</v>
      </c>
      <c r="Z6" s="61">
        <v>200</v>
      </c>
      <c r="AA6" s="88"/>
      <c r="AB6" s="13" t="s">
        <v>5</v>
      </c>
      <c r="AC6" s="20">
        <v>0</v>
      </c>
      <c r="AD6" s="67" t="s">
        <v>600</v>
      </c>
      <c r="AE6" s="75">
        <v>82340</v>
      </c>
      <c r="AH6" s="21"/>
      <c r="AI6" s="39">
        <v>42218</v>
      </c>
      <c r="AJ6" s="45">
        <v>0</v>
      </c>
      <c r="AK6" s="29"/>
      <c r="AL6" s="26">
        <v>42218</v>
      </c>
      <c r="AM6" s="51">
        <v>81002.5</v>
      </c>
      <c r="AN6" s="19"/>
      <c r="AO6" s="27">
        <v>42218</v>
      </c>
      <c r="AP6" s="61">
        <v>200</v>
      </c>
      <c r="AQ6" s="88"/>
      <c r="AR6" s="13" t="s">
        <v>5</v>
      </c>
      <c r="AS6" s="20">
        <v>0</v>
      </c>
      <c r="AT6" s="67" t="s">
        <v>600</v>
      </c>
      <c r="AU6" s="75">
        <v>82340</v>
      </c>
      <c r="AZ6" s="21"/>
      <c r="BA6" s="39">
        <v>42218</v>
      </c>
      <c r="BB6" s="45">
        <v>0</v>
      </c>
      <c r="BC6" s="29"/>
      <c r="BD6" s="26">
        <v>42218</v>
      </c>
      <c r="BE6" s="51">
        <v>81002.5</v>
      </c>
      <c r="BF6" s="19"/>
      <c r="BG6" s="27">
        <v>42218</v>
      </c>
      <c r="BH6" s="61">
        <v>200</v>
      </c>
      <c r="BI6" s="88"/>
      <c r="BJ6" s="13" t="s">
        <v>5</v>
      </c>
      <c r="BK6" s="20">
        <v>0</v>
      </c>
      <c r="BL6" s="67" t="s">
        <v>600</v>
      </c>
      <c r="BM6" s="75">
        <v>82340</v>
      </c>
    </row>
    <row r="7" spans="1:66" x14ac:dyDescent="0.25">
      <c r="A7" s="21"/>
      <c r="B7" s="39">
        <v>42219</v>
      </c>
      <c r="C7" s="45">
        <v>0</v>
      </c>
      <c r="D7" s="32"/>
      <c r="E7" s="26">
        <v>42219</v>
      </c>
      <c r="F7" s="51">
        <v>40466</v>
      </c>
      <c r="G7" s="23"/>
      <c r="H7" s="27">
        <v>42219</v>
      </c>
      <c r="I7" s="61">
        <v>222</v>
      </c>
      <c r="J7" s="88"/>
      <c r="K7" s="13" t="s">
        <v>3</v>
      </c>
      <c r="L7" s="20">
        <v>0</v>
      </c>
      <c r="M7" s="67" t="s">
        <v>601</v>
      </c>
      <c r="N7" s="75">
        <v>40250</v>
      </c>
      <c r="R7" s="21"/>
      <c r="S7" s="39">
        <v>42219</v>
      </c>
      <c r="T7" s="45">
        <v>0</v>
      </c>
      <c r="U7" s="32"/>
      <c r="V7" s="26">
        <v>42219</v>
      </c>
      <c r="W7" s="51">
        <v>40466</v>
      </c>
      <c r="X7" s="23"/>
      <c r="Y7" s="27">
        <v>42219</v>
      </c>
      <c r="Z7" s="61">
        <v>222</v>
      </c>
      <c r="AA7" s="88"/>
      <c r="AB7" s="13" t="s">
        <v>3</v>
      </c>
      <c r="AC7" s="20">
        <v>0</v>
      </c>
      <c r="AD7" s="67" t="s">
        <v>601</v>
      </c>
      <c r="AE7" s="75">
        <v>40250</v>
      </c>
      <c r="AH7" s="21"/>
      <c r="AI7" s="39">
        <v>42219</v>
      </c>
      <c r="AJ7" s="45">
        <v>0</v>
      </c>
      <c r="AK7" s="32"/>
      <c r="AL7" s="26">
        <v>42219</v>
      </c>
      <c r="AM7" s="51">
        <v>40466</v>
      </c>
      <c r="AN7" s="23"/>
      <c r="AO7" s="27">
        <v>42219</v>
      </c>
      <c r="AP7" s="61">
        <v>222</v>
      </c>
      <c r="AQ7" s="88"/>
      <c r="AR7" s="13" t="s">
        <v>3</v>
      </c>
      <c r="AS7" s="20">
        <v>0</v>
      </c>
      <c r="AT7" s="67" t="s">
        <v>601</v>
      </c>
      <c r="AU7" s="75">
        <v>40250</v>
      </c>
      <c r="AZ7" s="21"/>
      <c r="BA7" s="39">
        <v>42219</v>
      </c>
      <c r="BB7" s="45">
        <v>0</v>
      </c>
      <c r="BC7" s="32"/>
      <c r="BD7" s="26">
        <v>42219</v>
      </c>
      <c r="BE7" s="51">
        <v>40466</v>
      </c>
      <c r="BF7" s="23"/>
      <c r="BG7" s="27">
        <v>42219</v>
      </c>
      <c r="BH7" s="61">
        <v>222</v>
      </c>
      <c r="BI7" s="88"/>
      <c r="BJ7" s="13" t="s">
        <v>3</v>
      </c>
      <c r="BK7" s="20">
        <v>0</v>
      </c>
      <c r="BL7" s="67" t="s">
        <v>601</v>
      </c>
      <c r="BM7" s="75">
        <v>40250</v>
      </c>
    </row>
    <row r="8" spans="1:66" x14ac:dyDescent="0.25">
      <c r="A8" s="21"/>
      <c r="B8" s="39">
        <v>42220</v>
      </c>
      <c r="C8" s="45">
        <v>0</v>
      </c>
      <c r="D8" s="22"/>
      <c r="E8" s="26">
        <v>42220</v>
      </c>
      <c r="F8" s="51">
        <v>37189.5</v>
      </c>
      <c r="G8" s="23"/>
      <c r="H8" s="27">
        <v>42220</v>
      </c>
      <c r="I8" s="61">
        <v>200</v>
      </c>
      <c r="J8" s="88"/>
      <c r="K8" s="13" t="s">
        <v>6</v>
      </c>
      <c r="L8" s="20">
        <v>28750</v>
      </c>
      <c r="M8" s="201" t="s">
        <v>602</v>
      </c>
      <c r="N8" s="204">
        <v>34850</v>
      </c>
      <c r="R8" s="21"/>
      <c r="S8" s="39">
        <v>42220</v>
      </c>
      <c r="T8" s="45">
        <v>0</v>
      </c>
      <c r="U8" s="22"/>
      <c r="V8" s="26">
        <v>42220</v>
      </c>
      <c r="W8" s="51">
        <v>37189.5</v>
      </c>
      <c r="X8" s="23"/>
      <c r="Y8" s="27">
        <v>42220</v>
      </c>
      <c r="Z8" s="61">
        <v>200</v>
      </c>
      <c r="AA8" s="88"/>
      <c r="AB8" s="13" t="s">
        <v>6</v>
      </c>
      <c r="AC8" s="20">
        <v>28750</v>
      </c>
      <c r="AD8" s="201" t="s">
        <v>602</v>
      </c>
      <c r="AE8" s="204">
        <v>34850</v>
      </c>
      <c r="AH8" s="21"/>
      <c r="AI8" s="39">
        <v>42220</v>
      </c>
      <c r="AJ8" s="45">
        <v>0</v>
      </c>
      <c r="AK8" s="22"/>
      <c r="AL8" s="26">
        <v>42220</v>
      </c>
      <c r="AM8" s="51">
        <v>37189.5</v>
      </c>
      <c r="AN8" s="23"/>
      <c r="AO8" s="27">
        <v>42220</v>
      </c>
      <c r="AP8" s="61">
        <v>200</v>
      </c>
      <c r="AQ8" s="88"/>
      <c r="AR8" s="13" t="s">
        <v>6</v>
      </c>
      <c r="AS8" s="20">
        <v>28750</v>
      </c>
      <c r="AT8" s="201" t="s">
        <v>602</v>
      </c>
      <c r="AU8" s="204">
        <v>34850</v>
      </c>
      <c r="AZ8" s="21"/>
      <c r="BA8" s="39">
        <v>42220</v>
      </c>
      <c r="BB8" s="45">
        <v>0</v>
      </c>
      <c r="BC8" s="22"/>
      <c r="BD8" s="26">
        <v>42220</v>
      </c>
      <c r="BE8" s="51">
        <v>37189.5</v>
      </c>
      <c r="BF8" s="23"/>
      <c r="BG8" s="27">
        <v>42220</v>
      </c>
      <c r="BH8" s="61">
        <v>200</v>
      </c>
      <c r="BI8" s="88"/>
      <c r="BJ8" s="13" t="s">
        <v>6</v>
      </c>
      <c r="BK8" s="20">
        <v>28750</v>
      </c>
      <c r="BL8" s="201" t="s">
        <v>602</v>
      </c>
      <c r="BM8" s="204">
        <v>34850</v>
      </c>
    </row>
    <row r="9" spans="1:66" x14ac:dyDescent="0.25">
      <c r="A9" s="21"/>
      <c r="B9" s="39">
        <v>42221</v>
      </c>
      <c r="C9" s="45">
        <v>0</v>
      </c>
      <c r="D9" s="22"/>
      <c r="E9" s="26">
        <v>42221</v>
      </c>
      <c r="F9" s="51">
        <v>31683.5</v>
      </c>
      <c r="G9" s="23"/>
      <c r="H9" s="27">
        <v>42221</v>
      </c>
      <c r="I9" s="61">
        <v>230</v>
      </c>
      <c r="J9" s="88"/>
      <c r="K9" s="13" t="s">
        <v>613</v>
      </c>
      <c r="L9" s="20">
        <v>6309.58</v>
      </c>
      <c r="M9" s="67" t="s">
        <v>603</v>
      </c>
      <c r="N9" s="75">
        <v>34000</v>
      </c>
      <c r="R9" s="21"/>
      <c r="S9" s="39">
        <v>42221</v>
      </c>
      <c r="T9" s="45">
        <v>0</v>
      </c>
      <c r="U9" s="22"/>
      <c r="V9" s="26">
        <v>42221</v>
      </c>
      <c r="W9" s="51">
        <v>31683.5</v>
      </c>
      <c r="X9" s="23"/>
      <c r="Y9" s="27">
        <v>42221</v>
      </c>
      <c r="Z9" s="61">
        <v>230</v>
      </c>
      <c r="AA9" s="88"/>
      <c r="AB9" s="13" t="s">
        <v>613</v>
      </c>
      <c r="AC9" s="20">
        <v>6309.58</v>
      </c>
      <c r="AD9" s="67" t="s">
        <v>603</v>
      </c>
      <c r="AE9" s="75">
        <v>34000</v>
      </c>
      <c r="AH9" s="21"/>
      <c r="AI9" s="39">
        <v>42221</v>
      </c>
      <c r="AJ9" s="45">
        <v>0</v>
      </c>
      <c r="AK9" s="22"/>
      <c r="AL9" s="26">
        <v>42221</v>
      </c>
      <c r="AM9" s="51">
        <v>31683.5</v>
      </c>
      <c r="AN9" s="23"/>
      <c r="AO9" s="27">
        <v>42221</v>
      </c>
      <c r="AP9" s="61">
        <v>230</v>
      </c>
      <c r="AQ9" s="88"/>
      <c r="AR9" s="13" t="s">
        <v>613</v>
      </c>
      <c r="AS9" s="20">
        <v>6309.58</v>
      </c>
      <c r="AT9" s="67" t="s">
        <v>603</v>
      </c>
      <c r="AU9" s="75">
        <v>34000</v>
      </c>
      <c r="AZ9" s="21"/>
      <c r="BA9" s="39">
        <v>42221</v>
      </c>
      <c r="BB9" s="45">
        <v>0</v>
      </c>
      <c r="BC9" s="22"/>
      <c r="BD9" s="26">
        <v>42221</v>
      </c>
      <c r="BE9" s="51">
        <v>31683.5</v>
      </c>
      <c r="BF9" s="23"/>
      <c r="BG9" s="27">
        <v>42221</v>
      </c>
      <c r="BH9" s="61">
        <v>230</v>
      </c>
      <c r="BI9" s="88"/>
      <c r="BJ9" s="13" t="s">
        <v>613</v>
      </c>
      <c r="BK9" s="20">
        <v>6309.58</v>
      </c>
      <c r="BL9" s="67" t="s">
        <v>603</v>
      </c>
      <c r="BM9" s="75">
        <v>34000</v>
      </c>
    </row>
    <row r="10" spans="1:66" x14ac:dyDescent="0.25">
      <c r="A10" s="21"/>
      <c r="B10" s="39">
        <v>42222</v>
      </c>
      <c r="C10" s="45">
        <v>0</v>
      </c>
      <c r="D10" s="32"/>
      <c r="E10" s="26">
        <v>42222</v>
      </c>
      <c r="F10" s="51">
        <v>41858.5</v>
      </c>
      <c r="G10" s="23"/>
      <c r="H10" s="27">
        <v>42222</v>
      </c>
      <c r="I10" s="61">
        <v>200</v>
      </c>
      <c r="J10" s="88"/>
      <c r="K10" s="13" t="s">
        <v>614</v>
      </c>
      <c r="L10" s="19">
        <v>8100.06</v>
      </c>
      <c r="M10" s="67" t="s">
        <v>604</v>
      </c>
      <c r="N10" s="75">
        <v>40350</v>
      </c>
      <c r="R10" s="21"/>
      <c r="S10" s="39">
        <v>42222</v>
      </c>
      <c r="T10" s="45">
        <v>0</v>
      </c>
      <c r="U10" s="32"/>
      <c r="V10" s="26">
        <v>42222</v>
      </c>
      <c r="W10" s="51">
        <v>41858.5</v>
      </c>
      <c r="X10" s="23"/>
      <c r="Y10" s="27">
        <v>42222</v>
      </c>
      <c r="Z10" s="61">
        <v>200</v>
      </c>
      <c r="AA10" s="88"/>
      <c r="AB10" s="13" t="s">
        <v>614</v>
      </c>
      <c r="AC10" s="19">
        <v>8100.06</v>
      </c>
      <c r="AD10" s="67" t="s">
        <v>604</v>
      </c>
      <c r="AE10" s="75">
        <v>40350</v>
      </c>
      <c r="AH10" s="21"/>
      <c r="AI10" s="39">
        <v>42222</v>
      </c>
      <c r="AJ10" s="45">
        <v>0</v>
      </c>
      <c r="AK10" s="32"/>
      <c r="AL10" s="26">
        <v>42222</v>
      </c>
      <c r="AM10" s="51">
        <v>41858.5</v>
      </c>
      <c r="AN10" s="23"/>
      <c r="AO10" s="27">
        <v>42222</v>
      </c>
      <c r="AP10" s="61">
        <v>200</v>
      </c>
      <c r="AQ10" s="88"/>
      <c r="AR10" s="13" t="s">
        <v>614</v>
      </c>
      <c r="AS10" s="19">
        <v>8100.06</v>
      </c>
      <c r="AT10" s="67" t="s">
        <v>604</v>
      </c>
      <c r="AU10" s="75">
        <v>40350</v>
      </c>
      <c r="AZ10" s="21"/>
      <c r="BA10" s="39">
        <v>42222</v>
      </c>
      <c r="BB10" s="45">
        <v>0</v>
      </c>
      <c r="BC10" s="32"/>
      <c r="BD10" s="26">
        <v>42222</v>
      </c>
      <c r="BE10" s="51">
        <v>41858.5</v>
      </c>
      <c r="BF10" s="23"/>
      <c r="BG10" s="27">
        <v>42222</v>
      </c>
      <c r="BH10" s="61">
        <v>200</v>
      </c>
      <c r="BI10" s="88"/>
      <c r="BJ10" s="13" t="s">
        <v>614</v>
      </c>
      <c r="BK10" s="19">
        <v>8100.06</v>
      </c>
      <c r="BL10" s="67" t="s">
        <v>604</v>
      </c>
      <c r="BM10" s="75">
        <v>40350</v>
      </c>
    </row>
    <row r="11" spans="1:66" x14ac:dyDescent="0.25">
      <c r="A11" s="21"/>
      <c r="B11" s="39">
        <v>42223</v>
      </c>
      <c r="C11" s="45">
        <v>1152.2</v>
      </c>
      <c r="D11" s="32" t="s">
        <v>605</v>
      </c>
      <c r="E11" s="26">
        <v>42223</v>
      </c>
      <c r="F11" s="51">
        <v>78994.5</v>
      </c>
      <c r="G11" s="23"/>
      <c r="H11" s="27">
        <v>42223</v>
      </c>
      <c r="I11" s="62">
        <v>200</v>
      </c>
      <c r="J11" s="88"/>
      <c r="K11" s="13" t="s">
        <v>615</v>
      </c>
      <c r="L11" s="19">
        <f>6966.73</f>
        <v>6966.73</v>
      </c>
      <c r="M11" s="67" t="s">
        <v>606</v>
      </c>
      <c r="N11" s="75">
        <v>75400</v>
      </c>
      <c r="R11" s="21"/>
      <c r="S11" s="39">
        <v>42223</v>
      </c>
      <c r="T11" s="45">
        <v>1152.2</v>
      </c>
      <c r="U11" s="32" t="s">
        <v>605</v>
      </c>
      <c r="V11" s="26">
        <v>42223</v>
      </c>
      <c r="W11" s="51">
        <v>78994.5</v>
      </c>
      <c r="X11" s="23"/>
      <c r="Y11" s="27">
        <v>42223</v>
      </c>
      <c r="Z11" s="62">
        <v>200</v>
      </c>
      <c r="AA11" s="88"/>
      <c r="AB11" s="13" t="s">
        <v>615</v>
      </c>
      <c r="AC11" s="19">
        <f>6966.73</f>
        <v>6966.73</v>
      </c>
      <c r="AD11" s="67" t="s">
        <v>606</v>
      </c>
      <c r="AE11" s="75">
        <v>75400</v>
      </c>
      <c r="AH11" s="21"/>
      <c r="AI11" s="39">
        <v>42223</v>
      </c>
      <c r="AJ11" s="45">
        <v>1152.2</v>
      </c>
      <c r="AK11" s="32" t="s">
        <v>605</v>
      </c>
      <c r="AL11" s="26">
        <v>42223</v>
      </c>
      <c r="AM11" s="51">
        <v>78994.5</v>
      </c>
      <c r="AN11" s="23"/>
      <c r="AO11" s="27">
        <v>42223</v>
      </c>
      <c r="AP11" s="62">
        <v>200</v>
      </c>
      <c r="AQ11" s="88"/>
      <c r="AR11" s="13" t="s">
        <v>615</v>
      </c>
      <c r="AS11" s="19">
        <f>6966.73</f>
        <v>6966.73</v>
      </c>
      <c r="AT11" s="67" t="s">
        <v>606</v>
      </c>
      <c r="AU11" s="75">
        <v>75400</v>
      </c>
      <c r="AZ11" s="21"/>
      <c r="BA11" s="39">
        <v>42223</v>
      </c>
      <c r="BB11" s="45">
        <v>1152.2</v>
      </c>
      <c r="BC11" s="32" t="s">
        <v>605</v>
      </c>
      <c r="BD11" s="26">
        <v>42223</v>
      </c>
      <c r="BE11" s="51">
        <v>78994.5</v>
      </c>
      <c r="BF11" s="23"/>
      <c r="BG11" s="27">
        <v>42223</v>
      </c>
      <c r="BH11" s="62">
        <v>200</v>
      </c>
      <c r="BI11" s="88"/>
      <c r="BJ11" s="13" t="s">
        <v>615</v>
      </c>
      <c r="BK11" s="19">
        <v>0</v>
      </c>
      <c r="BL11" s="67" t="s">
        <v>606</v>
      </c>
      <c r="BM11" s="75">
        <v>75400</v>
      </c>
    </row>
    <row r="12" spans="1:66" x14ac:dyDescent="0.25">
      <c r="A12" s="21"/>
      <c r="B12" s="39">
        <v>42224</v>
      </c>
      <c r="C12" s="45">
        <v>0</v>
      </c>
      <c r="D12" s="32"/>
      <c r="E12" s="26">
        <v>42224</v>
      </c>
      <c r="F12" s="51">
        <v>66867</v>
      </c>
      <c r="G12" s="23"/>
      <c r="H12" s="27">
        <v>42224</v>
      </c>
      <c r="I12" s="62">
        <v>200</v>
      </c>
      <c r="J12" s="88"/>
      <c r="K12" s="13" t="s">
        <v>616</v>
      </c>
      <c r="L12" s="20">
        <f>6417.52+1200</f>
        <v>7617.52</v>
      </c>
      <c r="M12" s="67" t="s">
        <v>607</v>
      </c>
      <c r="N12" s="75">
        <v>63500.03</v>
      </c>
      <c r="R12" s="21"/>
      <c r="S12" s="39">
        <v>42224</v>
      </c>
      <c r="T12" s="45">
        <v>0</v>
      </c>
      <c r="U12" s="32"/>
      <c r="V12" s="26">
        <v>42224</v>
      </c>
      <c r="W12" s="51">
        <v>66867</v>
      </c>
      <c r="X12" s="23"/>
      <c r="Y12" s="27">
        <v>42224</v>
      </c>
      <c r="Z12" s="62">
        <v>200</v>
      </c>
      <c r="AA12" s="88"/>
      <c r="AB12" s="13" t="s">
        <v>616</v>
      </c>
      <c r="AC12" s="20">
        <f>5712.65+1200</f>
        <v>6912.65</v>
      </c>
      <c r="AD12" s="67" t="s">
        <v>607</v>
      </c>
      <c r="AE12" s="75">
        <v>63500.03</v>
      </c>
      <c r="AH12" s="21"/>
      <c r="AI12" s="39">
        <v>42224</v>
      </c>
      <c r="AJ12" s="45">
        <v>0</v>
      </c>
      <c r="AK12" s="32"/>
      <c r="AL12" s="26">
        <v>42224</v>
      </c>
      <c r="AM12" s="51">
        <v>66867</v>
      </c>
      <c r="AN12" s="23"/>
      <c r="AO12" s="27">
        <v>42224</v>
      </c>
      <c r="AP12" s="62">
        <v>200</v>
      </c>
      <c r="AQ12" s="88"/>
      <c r="AR12" s="13" t="s">
        <v>616</v>
      </c>
      <c r="AS12" s="20">
        <v>0</v>
      </c>
      <c r="AT12" s="67" t="s">
        <v>607</v>
      </c>
      <c r="AU12" s="75">
        <v>63500.03</v>
      </c>
      <c r="AZ12" s="21"/>
      <c r="BA12" s="39">
        <v>42224</v>
      </c>
      <c r="BB12" s="45">
        <v>0</v>
      </c>
      <c r="BC12" s="32"/>
      <c r="BD12" s="26">
        <v>42224</v>
      </c>
      <c r="BE12" s="51">
        <v>66867</v>
      </c>
      <c r="BF12" s="23"/>
      <c r="BG12" s="27">
        <v>42224</v>
      </c>
      <c r="BH12" s="62">
        <v>200</v>
      </c>
      <c r="BI12" s="88"/>
      <c r="BJ12" s="13" t="s">
        <v>616</v>
      </c>
      <c r="BK12" s="20">
        <v>0</v>
      </c>
      <c r="BL12" s="67" t="s">
        <v>607</v>
      </c>
      <c r="BM12" s="75">
        <v>63500.03</v>
      </c>
    </row>
    <row r="13" spans="1:66" x14ac:dyDescent="0.25">
      <c r="A13" s="21"/>
      <c r="B13" s="39">
        <v>42225</v>
      </c>
      <c r="C13" s="45">
        <v>0</v>
      </c>
      <c r="D13" s="32"/>
      <c r="E13" s="26">
        <v>42225</v>
      </c>
      <c r="F13" s="51">
        <v>65500.5</v>
      </c>
      <c r="G13" s="23"/>
      <c r="H13" s="27">
        <v>42225</v>
      </c>
      <c r="I13" s="62">
        <v>200</v>
      </c>
      <c r="J13" s="88"/>
      <c r="K13" s="13" t="s">
        <v>617</v>
      </c>
      <c r="L13" s="20">
        <f>1200+4705.58</f>
        <v>5905.58</v>
      </c>
      <c r="M13" s="67" t="s">
        <v>608</v>
      </c>
      <c r="N13" s="75">
        <v>68300</v>
      </c>
      <c r="R13" s="21"/>
      <c r="S13" s="39">
        <v>42225</v>
      </c>
      <c r="T13" s="45">
        <v>0</v>
      </c>
      <c r="U13" s="32"/>
      <c r="V13" s="26">
        <v>42225</v>
      </c>
      <c r="W13" s="51">
        <v>65500.5</v>
      </c>
      <c r="X13" s="23"/>
      <c r="Y13" s="27">
        <v>42225</v>
      </c>
      <c r="Z13" s="62">
        <v>200</v>
      </c>
      <c r="AA13" s="88"/>
      <c r="AB13" s="13" t="s">
        <v>617</v>
      </c>
      <c r="AC13" s="20">
        <v>0</v>
      </c>
      <c r="AD13" s="67" t="s">
        <v>608</v>
      </c>
      <c r="AE13" s="75">
        <v>68300</v>
      </c>
      <c r="AH13" s="21"/>
      <c r="AI13" s="39">
        <v>42225</v>
      </c>
      <c r="AJ13" s="45">
        <v>0</v>
      </c>
      <c r="AK13" s="32"/>
      <c r="AL13" s="26">
        <v>42225</v>
      </c>
      <c r="AM13" s="51">
        <v>65500.5</v>
      </c>
      <c r="AN13" s="23"/>
      <c r="AO13" s="27">
        <v>42225</v>
      </c>
      <c r="AP13" s="62">
        <v>200</v>
      </c>
      <c r="AQ13" s="88"/>
      <c r="AR13" s="13" t="s">
        <v>617</v>
      </c>
      <c r="AS13" s="20">
        <v>0</v>
      </c>
      <c r="AT13" s="67" t="s">
        <v>608</v>
      </c>
      <c r="AU13" s="75">
        <v>68300</v>
      </c>
      <c r="AZ13" s="21"/>
      <c r="BA13" s="39">
        <v>42225</v>
      </c>
      <c r="BB13" s="45">
        <v>0</v>
      </c>
      <c r="BC13" s="32"/>
      <c r="BD13" s="26">
        <v>42225</v>
      </c>
      <c r="BE13" s="51">
        <v>65500.5</v>
      </c>
      <c r="BF13" s="23"/>
      <c r="BG13" s="27">
        <v>42225</v>
      </c>
      <c r="BH13" s="62">
        <v>200</v>
      </c>
      <c r="BI13" s="88"/>
      <c r="BJ13" s="13" t="s">
        <v>617</v>
      </c>
      <c r="BK13" s="20">
        <v>0</v>
      </c>
      <c r="BL13" s="67" t="s">
        <v>608</v>
      </c>
      <c r="BM13" s="75">
        <v>68300</v>
      </c>
    </row>
    <row r="14" spans="1:66" x14ac:dyDescent="0.25">
      <c r="A14" s="21"/>
      <c r="B14" s="39">
        <v>42226</v>
      </c>
      <c r="C14" s="45">
        <v>0</v>
      </c>
      <c r="D14" s="29"/>
      <c r="E14" s="26">
        <v>42226</v>
      </c>
      <c r="F14" s="51">
        <v>55249</v>
      </c>
      <c r="G14" s="23"/>
      <c r="H14" s="27">
        <v>42226</v>
      </c>
      <c r="I14" s="62">
        <v>200</v>
      </c>
      <c r="J14" s="88"/>
      <c r="K14" s="35" t="s">
        <v>16</v>
      </c>
      <c r="L14" s="20">
        <v>0</v>
      </c>
      <c r="M14" s="67" t="s">
        <v>609</v>
      </c>
      <c r="N14" s="75">
        <v>56400</v>
      </c>
      <c r="O14" s="242"/>
      <c r="P14" s="242"/>
      <c r="R14" s="21"/>
      <c r="S14" s="39">
        <v>42226</v>
      </c>
      <c r="T14" s="45">
        <v>0</v>
      </c>
      <c r="U14" s="29"/>
      <c r="V14" s="26">
        <v>42226</v>
      </c>
      <c r="W14" s="51">
        <v>55249</v>
      </c>
      <c r="X14" s="23"/>
      <c r="Y14" s="27">
        <v>42226</v>
      </c>
      <c r="Z14" s="62">
        <v>200</v>
      </c>
      <c r="AA14" s="88"/>
      <c r="AB14" s="35" t="s">
        <v>16</v>
      </c>
      <c r="AC14" s="20">
        <v>0</v>
      </c>
      <c r="AD14" s="67" t="s">
        <v>609</v>
      </c>
      <c r="AE14" s="75">
        <v>56400</v>
      </c>
      <c r="AF14" s="242"/>
      <c r="AG14" s="242"/>
      <c r="AH14" s="21"/>
      <c r="AI14" s="39">
        <v>42226</v>
      </c>
      <c r="AJ14" s="45">
        <v>0</v>
      </c>
      <c r="AK14" s="29"/>
      <c r="AL14" s="26">
        <v>42226</v>
      </c>
      <c r="AM14" s="51">
        <v>55249</v>
      </c>
      <c r="AN14" s="23"/>
      <c r="AO14" s="27">
        <v>42226</v>
      </c>
      <c r="AP14" s="62">
        <v>200</v>
      </c>
      <c r="AQ14" s="88"/>
      <c r="AR14" s="35" t="s">
        <v>16</v>
      </c>
      <c r="AS14" s="20">
        <v>0</v>
      </c>
      <c r="AT14" s="67" t="s">
        <v>609</v>
      </c>
      <c r="AU14" s="75">
        <v>56400</v>
      </c>
      <c r="AV14" s="242"/>
      <c r="AW14" s="242"/>
      <c r="AX14" s="242"/>
      <c r="AY14" s="242"/>
      <c r="AZ14" s="21"/>
      <c r="BA14" s="39">
        <v>42226</v>
      </c>
      <c r="BB14" s="45">
        <v>0</v>
      </c>
      <c r="BC14" s="29"/>
      <c r="BD14" s="26">
        <v>42226</v>
      </c>
      <c r="BE14" s="51">
        <v>55249</v>
      </c>
      <c r="BF14" s="23"/>
      <c r="BG14" s="27">
        <v>42226</v>
      </c>
      <c r="BH14" s="62">
        <v>200</v>
      </c>
      <c r="BI14" s="88"/>
      <c r="BJ14" s="35" t="s">
        <v>16</v>
      </c>
      <c r="BK14" s="20">
        <v>0</v>
      </c>
      <c r="BL14" s="67" t="s">
        <v>609</v>
      </c>
      <c r="BM14" s="75">
        <v>56400</v>
      </c>
      <c r="BN14" s="242"/>
    </row>
    <row r="15" spans="1:66" x14ac:dyDescent="0.25">
      <c r="A15" s="21"/>
      <c r="B15" s="39">
        <v>42227</v>
      </c>
      <c r="C15" s="45">
        <v>0</v>
      </c>
      <c r="D15" s="29"/>
      <c r="E15" s="26">
        <v>42227</v>
      </c>
      <c r="F15" s="51">
        <v>45510.5</v>
      </c>
      <c r="G15" s="23"/>
      <c r="H15" s="27">
        <v>42227</v>
      </c>
      <c r="I15" s="62">
        <v>200</v>
      </c>
      <c r="J15" s="88"/>
      <c r="K15" s="28" t="s">
        <v>15</v>
      </c>
      <c r="L15" s="20">
        <v>0</v>
      </c>
      <c r="M15" s="67" t="s">
        <v>625</v>
      </c>
      <c r="N15" s="75">
        <v>42960</v>
      </c>
      <c r="R15" s="21"/>
      <c r="S15" s="39">
        <v>42227</v>
      </c>
      <c r="T15" s="45">
        <v>0</v>
      </c>
      <c r="U15" s="29"/>
      <c r="V15" s="26">
        <v>42227</v>
      </c>
      <c r="W15" s="51">
        <v>45510.5</v>
      </c>
      <c r="X15" s="23"/>
      <c r="Y15" s="27">
        <v>42227</v>
      </c>
      <c r="Z15" s="62">
        <v>200</v>
      </c>
      <c r="AA15" s="88"/>
      <c r="AB15" s="28" t="s">
        <v>15</v>
      </c>
      <c r="AC15" s="20">
        <v>0</v>
      </c>
      <c r="AD15" s="67" t="s">
        <v>625</v>
      </c>
      <c r="AE15" s="75">
        <v>42960</v>
      </c>
      <c r="AH15" s="21"/>
      <c r="AI15" s="39">
        <v>42227</v>
      </c>
      <c r="AJ15" s="45">
        <v>0</v>
      </c>
      <c r="AK15" s="29"/>
      <c r="AL15" s="26">
        <v>42227</v>
      </c>
      <c r="AM15" s="51">
        <v>45510.5</v>
      </c>
      <c r="AN15" s="23"/>
      <c r="AO15" s="27">
        <v>42227</v>
      </c>
      <c r="AP15" s="62">
        <v>200</v>
      </c>
      <c r="AQ15" s="88"/>
      <c r="AR15" s="28" t="s">
        <v>15</v>
      </c>
      <c r="AS15" s="20">
        <v>0</v>
      </c>
      <c r="AT15" s="67" t="s">
        <v>625</v>
      </c>
      <c r="AU15" s="75">
        <v>42960</v>
      </c>
      <c r="AZ15" s="21"/>
      <c r="BA15" s="39">
        <v>42227</v>
      </c>
      <c r="BB15" s="45">
        <v>0</v>
      </c>
      <c r="BC15" s="29"/>
      <c r="BD15" s="26">
        <v>42227</v>
      </c>
      <c r="BE15" s="51"/>
      <c r="BF15" s="23"/>
      <c r="BG15" s="27">
        <v>42227</v>
      </c>
      <c r="BH15" s="62"/>
      <c r="BI15" s="88"/>
      <c r="BJ15" s="28" t="s">
        <v>15</v>
      </c>
      <c r="BK15" s="20">
        <v>0</v>
      </c>
      <c r="BL15" s="67"/>
      <c r="BM15" s="75"/>
      <c r="BN15" s="23"/>
    </row>
    <row r="16" spans="1:66" x14ac:dyDescent="0.25">
      <c r="A16" s="21"/>
      <c r="B16" s="39">
        <v>42228</v>
      </c>
      <c r="C16" s="45">
        <v>0</v>
      </c>
      <c r="D16" s="29"/>
      <c r="E16" s="26">
        <v>42228</v>
      </c>
      <c r="F16" s="51">
        <v>39860.5</v>
      </c>
      <c r="G16" s="23"/>
      <c r="H16" s="27">
        <v>42228</v>
      </c>
      <c r="I16" s="62">
        <v>200</v>
      </c>
      <c r="J16" s="88"/>
      <c r="K16" s="73" t="s">
        <v>52</v>
      </c>
      <c r="L16" s="74">
        <v>0</v>
      </c>
      <c r="M16" s="67" t="s">
        <v>626</v>
      </c>
      <c r="N16" s="75">
        <v>40850</v>
      </c>
      <c r="R16" s="21"/>
      <c r="S16" s="39">
        <v>42228</v>
      </c>
      <c r="T16" s="45">
        <v>0</v>
      </c>
      <c r="U16" s="29"/>
      <c r="V16" s="26">
        <v>42228</v>
      </c>
      <c r="W16" s="51">
        <v>39860.5</v>
      </c>
      <c r="X16" s="23"/>
      <c r="Y16" s="27">
        <v>42228</v>
      </c>
      <c r="Z16" s="62">
        <v>200</v>
      </c>
      <c r="AA16" s="88"/>
      <c r="AB16" s="73" t="s">
        <v>52</v>
      </c>
      <c r="AC16" s="74">
        <v>0</v>
      </c>
      <c r="AD16" s="67" t="s">
        <v>626</v>
      </c>
      <c r="AE16" s="75">
        <v>40850</v>
      </c>
      <c r="AH16" s="21"/>
      <c r="AI16" s="39">
        <v>42228</v>
      </c>
      <c r="AJ16" s="45">
        <v>0</v>
      </c>
      <c r="AK16" s="29"/>
      <c r="AL16" s="26">
        <v>42228</v>
      </c>
      <c r="AM16" s="51">
        <v>39860.5</v>
      </c>
      <c r="AN16" s="23"/>
      <c r="AO16" s="27">
        <v>42228</v>
      </c>
      <c r="AP16" s="62">
        <v>200</v>
      </c>
      <c r="AQ16" s="88"/>
      <c r="AR16" s="73" t="s">
        <v>52</v>
      </c>
      <c r="AS16" s="74">
        <v>0</v>
      </c>
      <c r="AT16" s="67" t="s">
        <v>626</v>
      </c>
      <c r="AU16" s="75">
        <v>40850</v>
      </c>
      <c r="AZ16" s="21"/>
      <c r="BA16" s="39">
        <v>42228</v>
      </c>
      <c r="BB16" s="45">
        <v>0</v>
      </c>
      <c r="BC16" s="29"/>
      <c r="BD16" s="26">
        <v>42228</v>
      </c>
      <c r="BE16" s="51"/>
      <c r="BF16" s="23"/>
      <c r="BG16" s="27">
        <v>42228</v>
      </c>
      <c r="BH16" s="62"/>
      <c r="BI16" s="88"/>
      <c r="BJ16" s="73" t="s">
        <v>52</v>
      </c>
      <c r="BK16" s="74">
        <v>0</v>
      </c>
      <c r="BL16" s="67"/>
      <c r="BM16" s="75"/>
      <c r="BN16" s="23"/>
    </row>
    <row r="17" spans="1:66" x14ac:dyDescent="0.25">
      <c r="A17" s="21"/>
      <c r="B17" s="39">
        <v>42229</v>
      </c>
      <c r="C17" s="45">
        <v>0</v>
      </c>
      <c r="D17" s="29"/>
      <c r="E17" s="26">
        <v>42229</v>
      </c>
      <c r="F17" s="51">
        <v>40080.54</v>
      </c>
      <c r="G17" s="23"/>
      <c r="H17" s="27">
        <v>42229</v>
      </c>
      <c r="I17" s="62">
        <v>390</v>
      </c>
      <c r="J17" s="88"/>
      <c r="K17" s="28" t="s">
        <v>53</v>
      </c>
      <c r="L17" s="74">
        <v>0</v>
      </c>
      <c r="M17" s="67" t="s">
        <v>627</v>
      </c>
      <c r="N17" s="75">
        <v>43080</v>
      </c>
      <c r="R17" s="21"/>
      <c r="S17" s="39">
        <v>42229</v>
      </c>
      <c r="T17" s="45">
        <v>0</v>
      </c>
      <c r="U17" s="29"/>
      <c r="V17" s="26">
        <v>42229</v>
      </c>
      <c r="W17" s="51">
        <v>40080.54</v>
      </c>
      <c r="X17" s="23"/>
      <c r="Y17" s="27">
        <v>42229</v>
      </c>
      <c r="Z17" s="62">
        <v>390</v>
      </c>
      <c r="AA17" s="88"/>
      <c r="AB17" s="28" t="s">
        <v>53</v>
      </c>
      <c r="AC17" s="74">
        <v>0</v>
      </c>
      <c r="AD17" s="67" t="s">
        <v>627</v>
      </c>
      <c r="AE17" s="75">
        <v>43080</v>
      </c>
      <c r="AH17" s="21"/>
      <c r="AI17" s="39">
        <v>42229</v>
      </c>
      <c r="AJ17" s="45">
        <v>0</v>
      </c>
      <c r="AK17" s="29"/>
      <c r="AL17" s="26">
        <v>42229</v>
      </c>
      <c r="AM17" s="51">
        <v>40080.54</v>
      </c>
      <c r="AN17" s="23"/>
      <c r="AO17" s="27">
        <v>42229</v>
      </c>
      <c r="AP17" s="62">
        <v>390</v>
      </c>
      <c r="AQ17" s="88"/>
      <c r="AR17" s="28" t="s">
        <v>53</v>
      </c>
      <c r="AS17" s="74">
        <v>0</v>
      </c>
      <c r="AT17" s="67" t="s">
        <v>627</v>
      </c>
      <c r="AU17" s="75">
        <v>43080</v>
      </c>
      <c r="AZ17" s="21"/>
      <c r="BA17" s="39">
        <v>42229</v>
      </c>
      <c r="BB17" s="45">
        <v>0</v>
      </c>
      <c r="BC17" s="29"/>
      <c r="BD17" s="26">
        <v>42229</v>
      </c>
      <c r="BE17" s="51"/>
      <c r="BF17" s="23"/>
      <c r="BG17" s="27">
        <v>42229</v>
      </c>
      <c r="BH17" s="62"/>
      <c r="BI17" s="88"/>
      <c r="BJ17" s="28" t="s">
        <v>53</v>
      </c>
      <c r="BK17" s="74">
        <v>0</v>
      </c>
      <c r="BL17" s="67"/>
      <c r="BM17" s="75"/>
      <c r="BN17" s="23"/>
    </row>
    <row r="18" spans="1:66" x14ac:dyDescent="0.25">
      <c r="A18" s="21"/>
      <c r="B18" s="39">
        <v>42230</v>
      </c>
      <c r="C18" s="45">
        <v>0</v>
      </c>
      <c r="D18" s="22"/>
      <c r="E18" s="26">
        <v>42230</v>
      </c>
      <c r="F18" s="51">
        <v>73894.5</v>
      </c>
      <c r="G18" s="23"/>
      <c r="H18" s="27">
        <v>42230</v>
      </c>
      <c r="I18" s="62">
        <v>200</v>
      </c>
      <c r="J18" s="89"/>
      <c r="K18" s="28" t="s">
        <v>54</v>
      </c>
      <c r="L18" s="75">
        <v>0</v>
      </c>
      <c r="M18" s="67" t="s">
        <v>628</v>
      </c>
      <c r="N18" s="75">
        <v>70600</v>
      </c>
      <c r="R18" s="21"/>
      <c r="S18" s="39">
        <v>42230</v>
      </c>
      <c r="T18" s="45">
        <v>0</v>
      </c>
      <c r="U18" s="22"/>
      <c r="V18" s="26">
        <v>42230</v>
      </c>
      <c r="W18" s="51">
        <v>73894.5</v>
      </c>
      <c r="X18" s="23"/>
      <c r="Y18" s="27">
        <v>42230</v>
      </c>
      <c r="Z18" s="62">
        <v>200</v>
      </c>
      <c r="AA18" s="89"/>
      <c r="AB18" s="28" t="s">
        <v>54</v>
      </c>
      <c r="AC18" s="75">
        <v>0</v>
      </c>
      <c r="AD18" s="67" t="s">
        <v>628</v>
      </c>
      <c r="AE18" s="75">
        <v>70600</v>
      </c>
      <c r="AH18" s="21"/>
      <c r="AI18" s="39">
        <v>42230</v>
      </c>
      <c r="AJ18" s="45">
        <v>0</v>
      </c>
      <c r="AK18" s="22"/>
      <c r="AL18" s="26">
        <v>42230</v>
      </c>
      <c r="AM18" s="51">
        <v>73894.5</v>
      </c>
      <c r="AN18" s="23"/>
      <c r="AO18" s="27">
        <v>42230</v>
      </c>
      <c r="AP18" s="62">
        <v>200</v>
      </c>
      <c r="AQ18" s="89"/>
      <c r="AR18" s="28" t="s">
        <v>54</v>
      </c>
      <c r="AS18" s="75">
        <v>0</v>
      </c>
      <c r="AT18" s="67" t="s">
        <v>628</v>
      </c>
      <c r="AU18" s="75">
        <v>70600</v>
      </c>
      <c r="AZ18" s="21"/>
      <c r="BA18" s="39">
        <v>42230</v>
      </c>
      <c r="BB18" s="45">
        <v>0</v>
      </c>
      <c r="BC18" s="22"/>
      <c r="BD18" s="26">
        <v>42230</v>
      </c>
      <c r="BE18" s="51"/>
      <c r="BF18" s="23"/>
      <c r="BG18" s="27">
        <v>42230</v>
      </c>
      <c r="BH18" s="62"/>
      <c r="BI18" s="89"/>
      <c r="BJ18" s="28" t="s">
        <v>54</v>
      </c>
      <c r="BK18" s="75">
        <v>0</v>
      </c>
      <c r="BL18" s="67"/>
      <c r="BM18" s="75"/>
      <c r="BN18" s="23"/>
    </row>
    <row r="19" spans="1:66" x14ac:dyDescent="0.25">
      <c r="A19" s="21"/>
      <c r="B19" s="39">
        <v>42231</v>
      </c>
      <c r="C19" s="45">
        <v>0</v>
      </c>
      <c r="D19" s="29"/>
      <c r="E19" s="26">
        <v>42231</v>
      </c>
      <c r="F19" s="51">
        <v>57995.5</v>
      </c>
      <c r="G19" s="23"/>
      <c r="H19" s="27">
        <v>42231</v>
      </c>
      <c r="I19" s="62">
        <v>240</v>
      </c>
      <c r="J19" s="88"/>
      <c r="K19" s="28" t="s">
        <v>55</v>
      </c>
      <c r="L19" s="75">
        <v>0</v>
      </c>
      <c r="M19" s="67" t="s">
        <v>629</v>
      </c>
      <c r="N19" s="75">
        <v>60800</v>
      </c>
      <c r="R19" s="21"/>
      <c r="S19" s="39">
        <v>42231</v>
      </c>
      <c r="T19" s="45">
        <v>0</v>
      </c>
      <c r="U19" s="29"/>
      <c r="V19" s="26">
        <v>42231</v>
      </c>
      <c r="W19" s="51">
        <v>57995.5</v>
      </c>
      <c r="X19" s="23"/>
      <c r="Y19" s="27">
        <v>42231</v>
      </c>
      <c r="Z19" s="62">
        <v>240</v>
      </c>
      <c r="AA19" s="88"/>
      <c r="AB19" s="28" t="s">
        <v>55</v>
      </c>
      <c r="AC19" s="75">
        <v>0</v>
      </c>
      <c r="AD19" s="67" t="s">
        <v>629</v>
      </c>
      <c r="AE19" s="75">
        <v>60800</v>
      </c>
      <c r="AH19" s="21"/>
      <c r="AI19" s="39">
        <v>42231</v>
      </c>
      <c r="AJ19" s="45">
        <v>0</v>
      </c>
      <c r="AK19" s="29"/>
      <c r="AL19" s="26">
        <v>42231</v>
      </c>
      <c r="AM19" s="51">
        <v>57995.5</v>
      </c>
      <c r="AN19" s="23"/>
      <c r="AO19" s="27">
        <v>42231</v>
      </c>
      <c r="AP19" s="62">
        <v>240</v>
      </c>
      <c r="AQ19" s="88"/>
      <c r="AR19" s="28" t="s">
        <v>55</v>
      </c>
      <c r="AS19" s="75">
        <v>0</v>
      </c>
      <c r="AT19" s="67" t="s">
        <v>629</v>
      </c>
      <c r="AU19" s="75">
        <v>60800</v>
      </c>
      <c r="AZ19" s="21"/>
      <c r="BA19" s="39">
        <v>42231</v>
      </c>
      <c r="BB19" s="45">
        <v>0</v>
      </c>
      <c r="BC19" s="29"/>
      <c r="BD19" s="26">
        <v>42231</v>
      </c>
      <c r="BE19" s="51"/>
      <c r="BF19" s="23"/>
      <c r="BG19" s="27">
        <v>42231</v>
      </c>
      <c r="BH19" s="62"/>
      <c r="BI19" s="88"/>
      <c r="BJ19" s="28" t="s">
        <v>55</v>
      </c>
      <c r="BK19" s="75">
        <v>0</v>
      </c>
      <c r="BL19" s="67"/>
      <c r="BM19" s="75"/>
      <c r="BN19" s="23"/>
    </row>
    <row r="20" spans="1:66" x14ac:dyDescent="0.25">
      <c r="A20" s="21"/>
      <c r="B20" s="39">
        <v>42232</v>
      </c>
      <c r="C20" s="45">
        <v>0</v>
      </c>
      <c r="D20" s="22"/>
      <c r="E20" s="26">
        <v>42232</v>
      </c>
      <c r="F20" s="51">
        <v>76774.5</v>
      </c>
      <c r="G20" s="23"/>
      <c r="H20" s="27">
        <v>42232</v>
      </c>
      <c r="I20" s="62">
        <v>200</v>
      </c>
      <c r="J20" s="90"/>
      <c r="K20" s="314" t="s">
        <v>408</v>
      </c>
      <c r="L20" s="55">
        <v>0</v>
      </c>
      <c r="M20" s="67" t="s">
        <v>630</v>
      </c>
      <c r="N20" s="75">
        <v>75700</v>
      </c>
      <c r="R20" s="21"/>
      <c r="S20" s="39">
        <v>42232</v>
      </c>
      <c r="T20" s="45">
        <v>0</v>
      </c>
      <c r="U20" s="22"/>
      <c r="V20" s="26">
        <v>42232</v>
      </c>
      <c r="W20" s="51">
        <v>76774.5</v>
      </c>
      <c r="X20" s="23"/>
      <c r="Y20" s="27">
        <v>42232</v>
      </c>
      <c r="Z20" s="62">
        <v>200</v>
      </c>
      <c r="AA20" s="90"/>
      <c r="AB20" s="314" t="s">
        <v>408</v>
      </c>
      <c r="AC20" s="55">
        <v>0</v>
      </c>
      <c r="AD20" s="67" t="s">
        <v>630</v>
      </c>
      <c r="AE20" s="75">
        <v>75700</v>
      </c>
      <c r="AH20" s="21"/>
      <c r="AI20" s="39">
        <v>42232</v>
      </c>
      <c r="AJ20" s="45">
        <v>0</v>
      </c>
      <c r="AK20" s="22"/>
      <c r="AL20" s="26">
        <v>42232</v>
      </c>
      <c r="AM20" s="51">
        <v>76774.5</v>
      </c>
      <c r="AN20" s="23"/>
      <c r="AO20" s="27">
        <v>42232</v>
      </c>
      <c r="AP20" s="62">
        <v>200</v>
      </c>
      <c r="AQ20" s="90"/>
      <c r="AR20" s="314" t="s">
        <v>408</v>
      </c>
      <c r="AS20" s="55">
        <v>0</v>
      </c>
      <c r="AT20" s="67" t="s">
        <v>630</v>
      </c>
      <c r="AU20" s="75">
        <v>75700</v>
      </c>
      <c r="AZ20" s="21"/>
      <c r="BA20" s="39">
        <v>42232</v>
      </c>
      <c r="BB20" s="45">
        <v>0</v>
      </c>
      <c r="BC20" s="22"/>
      <c r="BD20" s="26">
        <v>42232</v>
      </c>
      <c r="BE20" s="51"/>
      <c r="BF20" s="23"/>
      <c r="BG20" s="27">
        <v>42232</v>
      </c>
      <c r="BH20" s="62"/>
      <c r="BI20" s="90"/>
      <c r="BJ20" s="314" t="s">
        <v>408</v>
      </c>
      <c r="BK20" s="55">
        <v>0</v>
      </c>
      <c r="BL20" s="67"/>
      <c r="BM20" s="75"/>
      <c r="BN20" s="23"/>
    </row>
    <row r="21" spans="1:66" x14ac:dyDescent="0.25">
      <c r="A21" s="21"/>
      <c r="B21" s="39">
        <v>42233</v>
      </c>
      <c r="C21" s="45">
        <v>0</v>
      </c>
      <c r="D21" s="22"/>
      <c r="E21" s="26">
        <v>42233</v>
      </c>
      <c r="F21" s="51">
        <v>49850.5</v>
      </c>
      <c r="G21" s="23"/>
      <c r="H21" s="27">
        <v>42233</v>
      </c>
      <c r="I21" s="62">
        <v>200</v>
      </c>
      <c r="J21" s="88"/>
      <c r="K21" s="25" t="s">
        <v>99</v>
      </c>
      <c r="L21" s="55">
        <v>0</v>
      </c>
      <c r="M21" s="67" t="s">
        <v>631</v>
      </c>
      <c r="N21" s="75">
        <v>48400</v>
      </c>
      <c r="R21" s="21"/>
      <c r="S21" s="39">
        <v>42233</v>
      </c>
      <c r="T21" s="45">
        <v>0</v>
      </c>
      <c r="U21" s="22"/>
      <c r="V21" s="26">
        <v>42233</v>
      </c>
      <c r="W21" s="51">
        <v>49850.5</v>
      </c>
      <c r="X21" s="23"/>
      <c r="Y21" s="27">
        <v>42233</v>
      </c>
      <c r="Z21" s="62">
        <v>200</v>
      </c>
      <c r="AA21" s="88"/>
      <c r="AB21" s="25" t="s">
        <v>99</v>
      </c>
      <c r="AC21" s="55">
        <v>0</v>
      </c>
      <c r="AD21" s="67" t="s">
        <v>631</v>
      </c>
      <c r="AE21" s="75">
        <v>48400</v>
      </c>
      <c r="AH21" s="21"/>
      <c r="AI21" s="39">
        <v>42233</v>
      </c>
      <c r="AJ21" s="45">
        <v>0</v>
      </c>
      <c r="AK21" s="22"/>
      <c r="AL21" s="26">
        <v>42233</v>
      </c>
      <c r="AM21" s="51">
        <v>49850.5</v>
      </c>
      <c r="AN21" s="23"/>
      <c r="AO21" s="27">
        <v>42233</v>
      </c>
      <c r="AP21" s="62">
        <v>200</v>
      </c>
      <c r="AQ21" s="88"/>
      <c r="AR21" s="25" t="s">
        <v>99</v>
      </c>
      <c r="AS21" s="55">
        <v>0</v>
      </c>
      <c r="AT21" s="67" t="s">
        <v>631</v>
      </c>
      <c r="AU21" s="75">
        <v>48400</v>
      </c>
      <c r="AZ21" s="21"/>
      <c r="BA21" s="39">
        <v>42233</v>
      </c>
      <c r="BB21" s="45">
        <v>0</v>
      </c>
      <c r="BC21" s="22"/>
      <c r="BD21" s="26">
        <v>42233</v>
      </c>
      <c r="BE21" s="51"/>
      <c r="BF21" s="23"/>
      <c r="BG21" s="27">
        <v>42233</v>
      </c>
      <c r="BH21" s="62"/>
      <c r="BI21" s="88"/>
      <c r="BJ21" s="25" t="s">
        <v>99</v>
      </c>
      <c r="BK21" s="55">
        <v>0</v>
      </c>
      <c r="BL21" s="67"/>
      <c r="BM21" s="75"/>
      <c r="BN21" s="23"/>
    </row>
    <row r="22" spans="1:66" x14ac:dyDescent="0.25">
      <c r="A22" s="21"/>
      <c r="B22" s="39">
        <v>42234</v>
      </c>
      <c r="C22" s="45">
        <v>0</v>
      </c>
      <c r="D22" s="22"/>
      <c r="E22" s="26">
        <v>42234</v>
      </c>
      <c r="F22" s="51">
        <v>37705</v>
      </c>
      <c r="G22" s="23"/>
      <c r="H22" s="27">
        <v>42234</v>
      </c>
      <c r="I22" s="62">
        <v>200</v>
      </c>
      <c r="J22" s="90"/>
      <c r="K22" s="392" t="s">
        <v>213</v>
      </c>
      <c r="L22" s="55">
        <v>900</v>
      </c>
      <c r="M22" s="67" t="s">
        <v>632</v>
      </c>
      <c r="N22" s="75">
        <v>38500</v>
      </c>
      <c r="R22" s="21"/>
      <c r="S22" s="39">
        <v>42234</v>
      </c>
      <c r="T22" s="45">
        <v>0</v>
      </c>
      <c r="U22" s="22"/>
      <c r="V22" s="26">
        <v>42234</v>
      </c>
      <c r="W22" s="51">
        <v>37705</v>
      </c>
      <c r="X22" s="23"/>
      <c r="Y22" s="27">
        <v>42234</v>
      </c>
      <c r="Z22" s="62">
        <v>200</v>
      </c>
      <c r="AA22" s="90"/>
      <c r="AB22" s="392" t="s">
        <v>213</v>
      </c>
      <c r="AC22" s="55">
        <v>900</v>
      </c>
      <c r="AD22" s="67" t="s">
        <v>632</v>
      </c>
      <c r="AE22" s="75">
        <v>38500</v>
      </c>
      <c r="AH22" s="21"/>
      <c r="AI22" s="39">
        <v>42234</v>
      </c>
      <c r="AJ22" s="45">
        <v>0</v>
      </c>
      <c r="AK22" s="22"/>
      <c r="AL22" s="26">
        <v>42234</v>
      </c>
      <c r="AM22" s="51"/>
      <c r="AN22" s="23"/>
      <c r="AO22" s="27">
        <v>42234</v>
      </c>
      <c r="AP22" s="62"/>
      <c r="AQ22" s="90"/>
      <c r="AR22" s="392" t="s">
        <v>213</v>
      </c>
      <c r="AS22" s="55">
        <v>900</v>
      </c>
      <c r="AT22" s="67"/>
      <c r="AU22" s="75"/>
      <c r="AV22" s="23"/>
      <c r="AZ22" s="21"/>
      <c r="BA22" s="39">
        <v>42234</v>
      </c>
      <c r="BB22" s="45">
        <v>0</v>
      </c>
      <c r="BC22" s="22"/>
      <c r="BD22" s="26">
        <v>42234</v>
      </c>
      <c r="BE22" s="51"/>
      <c r="BF22" s="23"/>
      <c r="BG22" s="27">
        <v>42234</v>
      </c>
      <c r="BH22" s="62"/>
      <c r="BI22" s="90"/>
      <c r="BJ22" s="392" t="s">
        <v>213</v>
      </c>
      <c r="BK22" s="55">
        <v>0</v>
      </c>
      <c r="BL22" s="67"/>
      <c r="BM22" s="75"/>
      <c r="BN22" s="23"/>
    </row>
    <row r="23" spans="1:66" x14ac:dyDescent="0.25">
      <c r="A23" s="21"/>
      <c r="B23" s="39">
        <v>42235</v>
      </c>
      <c r="C23" s="45">
        <v>0</v>
      </c>
      <c r="D23" s="22"/>
      <c r="E23" s="26">
        <v>42235</v>
      </c>
      <c r="F23" s="51">
        <v>43233.5</v>
      </c>
      <c r="G23" s="23"/>
      <c r="H23" s="27">
        <v>42235</v>
      </c>
      <c r="I23" s="62">
        <v>284</v>
      </c>
      <c r="J23" s="88"/>
      <c r="K23" s="420">
        <v>42228</v>
      </c>
      <c r="L23" s="55">
        <v>0</v>
      </c>
      <c r="M23" s="67" t="s">
        <v>633</v>
      </c>
      <c r="N23" s="75">
        <v>42850</v>
      </c>
      <c r="R23" s="21"/>
      <c r="S23" s="39">
        <v>42235</v>
      </c>
      <c r="T23" s="45">
        <v>0</v>
      </c>
      <c r="U23" s="22"/>
      <c r="V23" s="26">
        <v>42235</v>
      </c>
      <c r="W23" s="51">
        <v>43233.5</v>
      </c>
      <c r="X23" s="23"/>
      <c r="Y23" s="27">
        <v>42235</v>
      </c>
      <c r="Z23" s="62">
        <v>284</v>
      </c>
      <c r="AA23" s="88"/>
      <c r="AB23" s="420">
        <v>42228</v>
      </c>
      <c r="AC23" s="55">
        <v>0</v>
      </c>
      <c r="AD23" s="67" t="s">
        <v>633</v>
      </c>
      <c r="AE23" s="75">
        <v>42850</v>
      </c>
      <c r="AH23" s="21"/>
      <c r="AI23" s="39">
        <v>42235</v>
      </c>
      <c r="AJ23" s="45">
        <v>0</v>
      </c>
      <c r="AK23" s="22"/>
      <c r="AL23" s="26">
        <v>42235</v>
      </c>
      <c r="AM23" s="51"/>
      <c r="AN23" s="23"/>
      <c r="AO23" s="27">
        <v>42235</v>
      </c>
      <c r="AP23" s="62"/>
      <c r="AQ23" s="88"/>
      <c r="AR23" s="420">
        <v>42228</v>
      </c>
      <c r="AS23" s="55">
        <v>0</v>
      </c>
      <c r="AT23" s="67"/>
      <c r="AU23" s="75"/>
      <c r="AV23" s="23"/>
      <c r="AZ23" s="21"/>
      <c r="BA23" s="39">
        <v>42235</v>
      </c>
      <c r="BB23" s="45">
        <v>0</v>
      </c>
      <c r="BC23" s="22"/>
      <c r="BD23" s="26">
        <v>42235</v>
      </c>
      <c r="BE23" s="51"/>
      <c r="BF23" s="23"/>
      <c r="BG23" s="27">
        <v>42235</v>
      </c>
      <c r="BH23" s="62"/>
      <c r="BI23" s="88"/>
      <c r="BJ23" s="420">
        <v>42228</v>
      </c>
      <c r="BK23" s="55">
        <v>0</v>
      </c>
      <c r="BL23" s="67"/>
      <c r="BM23" s="75"/>
      <c r="BN23" s="23"/>
    </row>
    <row r="24" spans="1:66" x14ac:dyDescent="0.25">
      <c r="A24" s="21"/>
      <c r="B24" s="39">
        <v>42236</v>
      </c>
      <c r="C24" s="45">
        <v>0</v>
      </c>
      <c r="D24" s="29"/>
      <c r="E24" s="26">
        <v>42236</v>
      </c>
      <c r="F24" s="51">
        <v>68939.5</v>
      </c>
      <c r="G24" s="23"/>
      <c r="H24" s="27">
        <v>42236</v>
      </c>
      <c r="I24" s="62">
        <v>200</v>
      </c>
      <c r="J24" s="88"/>
      <c r="K24" s="365" t="s">
        <v>332</v>
      </c>
      <c r="L24" s="55">
        <v>800</v>
      </c>
      <c r="M24" s="67" t="s">
        <v>634</v>
      </c>
      <c r="N24" s="75">
        <v>68000</v>
      </c>
      <c r="R24" s="21"/>
      <c r="S24" s="39">
        <v>42236</v>
      </c>
      <c r="T24" s="45">
        <v>0</v>
      </c>
      <c r="U24" s="29"/>
      <c r="V24" s="26">
        <v>42236</v>
      </c>
      <c r="W24" s="51">
        <v>68939.5</v>
      </c>
      <c r="X24" s="23"/>
      <c r="Y24" s="27">
        <v>42236</v>
      </c>
      <c r="Z24" s="62">
        <v>200</v>
      </c>
      <c r="AA24" s="88"/>
      <c r="AB24" s="365" t="s">
        <v>332</v>
      </c>
      <c r="AC24" s="55">
        <v>800</v>
      </c>
      <c r="AD24" s="67" t="s">
        <v>634</v>
      </c>
      <c r="AE24" s="75">
        <v>68000</v>
      </c>
      <c r="AH24" s="21"/>
      <c r="AI24" s="39">
        <v>42236</v>
      </c>
      <c r="AJ24" s="45">
        <v>0</v>
      </c>
      <c r="AK24" s="29"/>
      <c r="AL24" s="26">
        <v>42236</v>
      </c>
      <c r="AM24" s="51"/>
      <c r="AN24" s="23"/>
      <c r="AO24" s="27">
        <v>42236</v>
      </c>
      <c r="AP24" s="62"/>
      <c r="AQ24" s="88"/>
      <c r="AR24" s="365" t="s">
        <v>332</v>
      </c>
      <c r="AS24" s="55">
        <v>800</v>
      </c>
      <c r="AT24" s="67"/>
      <c r="AU24" s="75"/>
      <c r="AV24" s="23"/>
      <c r="AZ24" s="21"/>
      <c r="BA24" s="39">
        <v>42236</v>
      </c>
      <c r="BB24" s="45">
        <v>0</v>
      </c>
      <c r="BC24" s="29"/>
      <c r="BD24" s="26">
        <v>42236</v>
      </c>
      <c r="BE24" s="51"/>
      <c r="BF24" s="23"/>
      <c r="BG24" s="27">
        <v>42236</v>
      </c>
      <c r="BH24" s="62"/>
      <c r="BI24" s="88"/>
      <c r="BJ24" s="365" t="s">
        <v>332</v>
      </c>
      <c r="BK24" s="55">
        <v>0</v>
      </c>
      <c r="BL24" s="67"/>
      <c r="BM24" s="75"/>
      <c r="BN24" s="23"/>
    </row>
    <row r="25" spans="1:66" x14ac:dyDescent="0.25">
      <c r="A25" s="21"/>
      <c r="B25" s="39">
        <v>42237</v>
      </c>
      <c r="C25" s="45">
        <v>0</v>
      </c>
      <c r="D25" s="22"/>
      <c r="E25" s="26">
        <v>42237</v>
      </c>
      <c r="F25" s="51">
        <v>61753.5</v>
      </c>
      <c r="G25" s="23"/>
      <c r="H25" s="27">
        <v>42237</v>
      </c>
      <c r="I25" s="62">
        <v>200</v>
      </c>
      <c r="J25" s="88"/>
      <c r="K25" s="25">
        <v>42230</v>
      </c>
      <c r="L25" s="55"/>
      <c r="M25" s="67" t="s">
        <v>641</v>
      </c>
      <c r="N25" s="75">
        <v>62459</v>
      </c>
      <c r="R25" s="21"/>
      <c r="S25" s="39">
        <v>42237</v>
      </c>
      <c r="T25" s="45">
        <v>0</v>
      </c>
      <c r="U25" s="22"/>
      <c r="V25" s="26">
        <v>42237</v>
      </c>
      <c r="W25" s="51">
        <v>61753.5</v>
      </c>
      <c r="X25" s="23"/>
      <c r="Y25" s="27">
        <v>42237</v>
      </c>
      <c r="Z25" s="62">
        <v>200</v>
      </c>
      <c r="AA25" s="88"/>
      <c r="AB25" s="25">
        <v>42230</v>
      </c>
      <c r="AC25" s="55"/>
      <c r="AD25" s="67" t="s">
        <v>641</v>
      </c>
      <c r="AE25" s="75">
        <v>62459</v>
      </c>
      <c r="AH25" s="21"/>
      <c r="AI25" s="39">
        <v>42237</v>
      </c>
      <c r="AJ25" s="45">
        <v>0</v>
      </c>
      <c r="AK25" s="22"/>
      <c r="AL25" s="26">
        <v>42237</v>
      </c>
      <c r="AM25" s="51"/>
      <c r="AN25" s="23"/>
      <c r="AO25" s="27">
        <v>42237</v>
      </c>
      <c r="AP25" s="62"/>
      <c r="AQ25" s="88"/>
      <c r="AR25" s="25">
        <v>42230</v>
      </c>
      <c r="AS25" s="55"/>
      <c r="AT25" s="67"/>
      <c r="AU25" s="75"/>
      <c r="AV25" s="23"/>
      <c r="AZ25" s="21"/>
      <c r="BA25" s="39">
        <v>42237</v>
      </c>
      <c r="BB25" s="45">
        <v>0</v>
      </c>
      <c r="BC25" s="22"/>
      <c r="BD25" s="26">
        <v>42237</v>
      </c>
      <c r="BE25" s="51"/>
      <c r="BF25" s="23"/>
      <c r="BG25" s="27">
        <v>42237</v>
      </c>
      <c r="BH25" s="62"/>
      <c r="BI25" s="88"/>
      <c r="BJ25" s="25">
        <v>42230</v>
      </c>
      <c r="BK25" s="55"/>
      <c r="BL25" s="67"/>
      <c r="BM25" s="75"/>
      <c r="BN25" s="23"/>
    </row>
    <row r="26" spans="1:66" x14ac:dyDescent="0.25">
      <c r="A26" s="21"/>
      <c r="B26" s="39">
        <v>42238</v>
      </c>
      <c r="C26" s="45">
        <v>0</v>
      </c>
      <c r="D26" s="29"/>
      <c r="E26" s="26">
        <v>42238</v>
      </c>
      <c r="F26" s="51">
        <v>75972</v>
      </c>
      <c r="G26" s="23"/>
      <c r="H26" s="27">
        <v>42238</v>
      </c>
      <c r="I26" s="62">
        <v>200</v>
      </c>
      <c r="J26" s="88"/>
      <c r="K26" s="11"/>
      <c r="L26" s="55"/>
      <c r="M26" s="67" t="s">
        <v>642</v>
      </c>
      <c r="N26" s="75">
        <v>75380</v>
      </c>
      <c r="R26" s="21"/>
      <c r="S26" s="39">
        <v>42238</v>
      </c>
      <c r="T26" s="45">
        <v>0</v>
      </c>
      <c r="U26" s="29"/>
      <c r="V26" s="26">
        <v>42238</v>
      </c>
      <c r="W26" s="51">
        <v>75972</v>
      </c>
      <c r="X26" s="23"/>
      <c r="Y26" s="27">
        <v>42238</v>
      </c>
      <c r="Z26" s="62">
        <v>200</v>
      </c>
      <c r="AA26" s="88"/>
      <c r="AB26" s="11"/>
      <c r="AC26" s="55"/>
      <c r="AD26" s="67" t="s">
        <v>642</v>
      </c>
      <c r="AE26" s="75">
        <v>75380</v>
      </c>
      <c r="AH26" s="21"/>
      <c r="AI26" s="39">
        <v>42238</v>
      </c>
      <c r="AJ26" s="45">
        <v>0</v>
      </c>
      <c r="AK26" s="29"/>
      <c r="AL26" s="26">
        <v>42238</v>
      </c>
      <c r="AM26" s="51"/>
      <c r="AN26" s="23"/>
      <c r="AO26" s="27">
        <v>42238</v>
      </c>
      <c r="AP26" s="62"/>
      <c r="AQ26" s="88"/>
      <c r="AR26" s="11"/>
      <c r="AS26" s="55"/>
      <c r="AT26" s="67"/>
      <c r="AU26" s="75"/>
      <c r="AV26" s="23"/>
      <c r="AZ26" s="21"/>
      <c r="BA26" s="39">
        <v>42238</v>
      </c>
      <c r="BB26" s="45">
        <v>0</v>
      </c>
      <c r="BC26" s="29"/>
      <c r="BD26" s="26">
        <v>42238</v>
      </c>
      <c r="BE26" s="51"/>
      <c r="BF26" s="23"/>
      <c r="BG26" s="27">
        <v>42238</v>
      </c>
      <c r="BH26" s="62"/>
      <c r="BI26" s="88"/>
      <c r="BJ26" s="11"/>
      <c r="BK26" s="55"/>
      <c r="BL26" s="67"/>
      <c r="BM26" s="75"/>
      <c r="BN26" s="23"/>
    </row>
    <row r="27" spans="1:66" x14ac:dyDescent="0.25">
      <c r="A27" s="21"/>
      <c r="B27" s="39">
        <v>42239</v>
      </c>
      <c r="C27" s="45">
        <v>0</v>
      </c>
      <c r="D27" s="29"/>
      <c r="E27" s="26">
        <v>42239</v>
      </c>
      <c r="F27" s="51">
        <v>79112.5</v>
      </c>
      <c r="G27" s="23"/>
      <c r="H27" s="27">
        <v>42239</v>
      </c>
      <c r="I27" s="62">
        <v>200</v>
      </c>
      <c r="J27" s="88"/>
      <c r="K27" s="11"/>
      <c r="L27" s="55"/>
      <c r="M27" s="201" t="s">
        <v>643</v>
      </c>
      <c r="N27" s="204">
        <v>77340</v>
      </c>
      <c r="R27" s="21"/>
      <c r="S27" s="39">
        <v>42239</v>
      </c>
      <c r="T27" s="45">
        <v>0</v>
      </c>
      <c r="U27" s="29"/>
      <c r="V27" s="26">
        <v>42239</v>
      </c>
      <c r="W27" s="51">
        <v>79112.5</v>
      </c>
      <c r="X27" s="23"/>
      <c r="Y27" s="27">
        <v>42239</v>
      </c>
      <c r="Z27" s="62">
        <v>200</v>
      </c>
      <c r="AA27" s="88"/>
      <c r="AB27" s="11"/>
      <c r="AC27" s="55"/>
      <c r="AD27" s="201" t="s">
        <v>643</v>
      </c>
      <c r="AE27" s="204">
        <v>77340</v>
      </c>
      <c r="AH27" s="21"/>
      <c r="AI27" s="39">
        <v>42239</v>
      </c>
      <c r="AJ27" s="45">
        <v>0</v>
      </c>
      <c r="AK27" s="29"/>
      <c r="AL27" s="26">
        <v>42239</v>
      </c>
      <c r="AM27" s="51"/>
      <c r="AN27" s="23"/>
      <c r="AO27" s="27">
        <v>42239</v>
      </c>
      <c r="AP27" s="62"/>
      <c r="AQ27" s="88"/>
      <c r="AR27" s="11"/>
      <c r="AS27" s="55"/>
      <c r="AT27" s="201"/>
      <c r="AU27" s="204"/>
      <c r="AV27" s="23"/>
      <c r="AZ27" s="21"/>
      <c r="BA27" s="39">
        <v>42239</v>
      </c>
      <c r="BB27" s="45">
        <v>0</v>
      </c>
      <c r="BC27" s="29"/>
      <c r="BD27" s="26">
        <v>42239</v>
      </c>
      <c r="BE27" s="51"/>
      <c r="BF27" s="23"/>
      <c r="BG27" s="27">
        <v>42239</v>
      </c>
      <c r="BH27" s="62"/>
      <c r="BI27" s="88"/>
      <c r="BJ27" s="11"/>
      <c r="BK27" s="55"/>
      <c r="BL27" s="201"/>
      <c r="BM27" s="204"/>
      <c r="BN27" s="23"/>
    </row>
    <row r="28" spans="1:66" x14ac:dyDescent="0.25">
      <c r="A28" s="21"/>
      <c r="B28" s="39">
        <v>42240</v>
      </c>
      <c r="C28" s="45">
        <v>0</v>
      </c>
      <c r="D28" s="29"/>
      <c r="E28" s="26">
        <v>42240</v>
      </c>
      <c r="F28" s="51">
        <v>66509</v>
      </c>
      <c r="G28" s="23"/>
      <c r="H28" s="27">
        <v>42240</v>
      </c>
      <c r="I28" s="62">
        <v>200</v>
      </c>
      <c r="J28" s="88"/>
      <c r="K28" s="11"/>
      <c r="L28" s="55"/>
      <c r="M28" s="201" t="s">
        <v>644</v>
      </c>
      <c r="N28" s="204">
        <v>52950</v>
      </c>
      <c r="R28" s="21"/>
      <c r="S28" s="39">
        <v>42240</v>
      </c>
      <c r="T28" s="45">
        <v>0</v>
      </c>
      <c r="U28" s="29"/>
      <c r="V28" s="26">
        <v>42240</v>
      </c>
      <c r="W28" s="51">
        <v>66509</v>
      </c>
      <c r="X28" s="23"/>
      <c r="Y28" s="27">
        <v>42240</v>
      </c>
      <c r="Z28" s="62">
        <v>200</v>
      </c>
      <c r="AA28" s="88"/>
      <c r="AB28" s="11"/>
      <c r="AC28" s="55"/>
      <c r="AD28" s="201" t="s">
        <v>644</v>
      </c>
      <c r="AE28" s="204">
        <v>52950</v>
      </c>
      <c r="AH28" s="21"/>
      <c r="AI28" s="39">
        <v>42240</v>
      </c>
      <c r="AJ28" s="45">
        <v>0</v>
      </c>
      <c r="AK28" s="29"/>
      <c r="AL28" s="26">
        <v>42240</v>
      </c>
      <c r="AM28" s="51"/>
      <c r="AN28" s="23"/>
      <c r="AO28" s="27">
        <v>42240</v>
      </c>
      <c r="AP28" s="62"/>
      <c r="AQ28" s="88"/>
      <c r="AR28" s="11"/>
      <c r="AS28" s="55"/>
      <c r="AT28" s="201"/>
      <c r="AU28" s="204"/>
      <c r="AV28" s="23"/>
      <c r="AZ28" s="21"/>
      <c r="BA28" s="39">
        <v>42240</v>
      </c>
      <c r="BB28" s="45">
        <v>0</v>
      </c>
      <c r="BC28" s="29"/>
      <c r="BD28" s="26">
        <v>42240</v>
      </c>
      <c r="BE28" s="51"/>
      <c r="BF28" s="23"/>
      <c r="BG28" s="27">
        <v>42240</v>
      </c>
      <c r="BH28" s="62"/>
      <c r="BI28" s="88"/>
      <c r="BJ28" s="11"/>
      <c r="BK28" s="55"/>
      <c r="BL28" s="201"/>
      <c r="BM28" s="204"/>
      <c r="BN28" s="23"/>
    </row>
    <row r="29" spans="1:66" x14ac:dyDescent="0.25">
      <c r="A29" s="21"/>
      <c r="B29" s="39">
        <v>42241</v>
      </c>
      <c r="C29" s="45">
        <v>0</v>
      </c>
      <c r="D29" s="29"/>
      <c r="E29" s="26">
        <v>42241</v>
      </c>
      <c r="F29" s="51">
        <v>29010.5</v>
      </c>
      <c r="G29" s="23"/>
      <c r="H29" s="27">
        <v>42241</v>
      </c>
      <c r="I29" s="62">
        <v>200</v>
      </c>
      <c r="J29" s="88"/>
      <c r="K29" s="11"/>
      <c r="L29" s="20"/>
      <c r="M29" s="67" t="s">
        <v>654</v>
      </c>
      <c r="N29" s="75">
        <v>42980.5</v>
      </c>
      <c r="O29" s="360"/>
      <c r="P29" s="360"/>
      <c r="R29" s="21"/>
      <c r="S29" s="39">
        <v>42241</v>
      </c>
      <c r="T29" s="45">
        <v>0</v>
      </c>
      <c r="U29" s="29"/>
      <c r="V29" s="26">
        <v>42241</v>
      </c>
      <c r="W29" s="51"/>
      <c r="X29" s="23"/>
      <c r="Y29" s="27">
        <v>42241</v>
      </c>
      <c r="Z29" s="62"/>
      <c r="AA29" s="88"/>
      <c r="AB29" s="11"/>
      <c r="AC29" s="20"/>
      <c r="AD29" s="67"/>
      <c r="AE29" s="75"/>
      <c r="AF29" s="360"/>
      <c r="AG29" s="360"/>
      <c r="AH29" s="21"/>
      <c r="AI29" s="39">
        <v>42241</v>
      </c>
      <c r="AJ29" s="45">
        <v>0</v>
      </c>
      <c r="AK29" s="29"/>
      <c r="AL29" s="26">
        <v>42241</v>
      </c>
      <c r="AM29" s="51"/>
      <c r="AN29" s="23"/>
      <c r="AO29" s="27">
        <v>42241</v>
      </c>
      <c r="AP29" s="62"/>
      <c r="AQ29" s="88"/>
      <c r="AR29" s="11"/>
      <c r="AS29" s="20"/>
      <c r="AT29" s="67"/>
      <c r="AU29" s="75"/>
      <c r="AV29" s="360"/>
      <c r="AW29" s="360"/>
      <c r="AX29" s="360"/>
      <c r="AY29" s="360"/>
      <c r="AZ29" s="21"/>
      <c r="BA29" s="39">
        <v>42241</v>
      </c>
      <c r="BB29" s="45">
        <v>0</v>
      </c>
      <c r="BC29" s="29"/>
      <c r="BD29" s="26">
        <v>42241</v>
      </c>
      <c r="BE29" s="51"/>
      <c r="BF29" s="23"/>
      <c r="BG29" s="27">
        <v>42241</v>
      </c>
      <c r="BH29" s="62"/>
      <c r="BI29" s="88"/>
      <c r="BJ29" s="11"/>
      <c r="BK29" s="20"/>
      <c r="BL29" s="67"/>
      <c r="BM29" s="75"/>
      <c r="BN29" s="360"/>
    </row>
    <row r="30" spans="1:66" x14ac:dyDescent="0.25">
      <c r="A30" s="21"/>
      <c r="B30" s="39">
        <v>42242</v>
      </c>
      <c r="C30" s="45">
        <v>0</v>
      </c>
      <c r="D30" s="22"/>
      <c r="E30" s="26">
        <v>42242</v>
      </c>
      <c r="F30" s="51">
        <v>34772</v>
      </c>
      <c r="G30" s="23"/>
      <c r="H30" s="27">
        <v>42242</v>
      </c>
      <c r="I30" s="62">
        <v>200</v>
      </c>
      <c r="J30" s="88"/>
      <c r="K30" s="11"/>
      <c r="L30" s="20"/>
      <c r="M30" s="201" t="s">
        <v>655</v>
      </c>
      <c r="N30" s="204">
        <v>34480</v>
      </c>
      <c r="R30" s="21"/>
      <c r="S30" s="39">
        <v>42242</v>
      </c>
      <c r="T30" s="45">
        <v>0</v>
      </c>
      <c r="U30" s="22"/>
      <c r="V30" s="26">
        <v>42242</v>
      </c>
      <c r="W30" s="51"/>
      <c r="X30" s="23"/>
      <c r="Y30" s="27">
        <v>42242</v>
      </c>
      <c r="Z30" s="62"/>
      <c r="AA30" s="88"/>
      <c r="AB30" s="11"/>
      <c r="AC30" s="20"/>
      <c r="AD30" s="201"/>
      <c r="AE30" s="204"/>
      <c r="AH30" s="21"/>
      <c r="AI30" s="39">
        <v>42242</v>
      </c>
      <c r="AJ30" s="45">
        <v>0</v>
      </c>
      <c r="AK30" s="22"/>
      <c r="AL30" s="26">
        <v>42242</v>
      </c>
      <c r="AM30" s="51"/>
      <c r="AN30" s="23"/>
      <c r="AO30" s="27">
        <v>42242</v>
      </c>
      <c r="AP30" s="62"/>
      <c r="AQ30" s="88"/>
      <c r="AR30" s="11"/>
      <c r="AS30" s="20"/>
      <c r="AT30" s="201"/>
      <c r="AU30" s="204"/>
      <c r="AZ30" s="21"/>
      <c r="BA30" s="39">
        <v>42242</v>
      </c>
      <c r="BB30" s="45">
        <v>0</v>
      </c>
      <c r="BC30" s="22"/>
      <c r="BD30" s="26">
        <v>42242</v>
      </c>
      <c r="BE30" s="51"/>
      <c r="BF30" s="23"/>
      <c r="BG30" s="27">
        <v>42242</v>
      </c>
      <c r="BH30" s="62"/>
      <c r="BI30" s="88"/>
      <c r="BJ30" s="11"/>
      <c r="BK30" s="20"/>
      <c r="BL30" s="201"/>
      <c r="BM30" s="204"/>
    </row>
    <row r="31" spans="1:66" x14ac:dyDescent="0.25">
      <c r="A31" s="21"/>
      <c r="B31" s="39">
        <v>42243</v>
      </c>
      <c r="C31" s="45">
        <v>1000</v>
      </c>
      <c r="D31" s="22" t="s">
        <v>50</v>
      </c>
      <c r="E31" s="26">
        <v>42243</v>
      </c>
      <c r="F31" s="51">
        <v>35527.5</v>
      </c>
      <c r="G31" s="23"/>
      <c r="H31" s="27">
        <v>42243</v>
      </c>
      <c r="I31" s="62">
        <v>200</v>
      </c>
      <c r="J31" s="88"/>
      <c r="K31" s="11"/>
      <c r="L31" s="20"/>
      <c r="M31" s="201" t="s">
        <v>656</v>
      </c>
      <c r="N31" s="204">
        <v>34520</v>
      </c>
      <c r="R31" s="21"/>
      <c r="S31" s="39">
        <v>42243</v>
      </c>
      <c r="T31" s="45">
        <v>0</v>
      </c>
      <c r="U31" s="22"/>
      <c r="V31" s="26">
        <v>42243</v>
      </c>
      <c r="W31" s="51"/>
      <c r="X31" s="23"/>
      <c r="Y31" s="27">
        <v>42243</v>
      </c>
      <c r="Z31" s="62"/>
      <c r="AA31" s="88"/>
      <c r="AB31" s="11"/>
      <c r="AC31" s="20"/>
      <c r="AD31" s="201"/>
      <c r="AE31" s="204"/>
      <c r="AH31" s="21"/>
      <c r="AI31" s="39">
        <v>42243</v>
      </c>
      <c r="AJ31" s="45">
        <v>0</v>
      </c>
      <c r="AK31" s="22"/>
      <c r="AL31" s="26">
        <v>42243</v>
      </c>
      <c r="AM31" s="51"/>
      <c r="AN31" s="23"/>
      <c r="AO31" s="27">
        <v>42243</v>
      </c>
      <c r="AP31" s="62"/>
      <c r="AQ31" s="88"/>
      <c r="AR31" s="11"/>
      <c r="AS31" s="20"/>
      <c r="AT31" s="201"/>
      <c r="AU31" s="204"/>
      <c r="AZ31" s="21"/>
      <c r="BA31" s="39">
        <v>42243</v>
      </c>
      <c r="BB31" s="45">
        <v>0</v>
      </c>
      <c r="BC31" s="22"/>
      <c r="BD31" s="26">
        <v>42243</v>
      </c>
      <c r="BE31" s="51"/>
      <c r="BF31" s="23"/>
      <c r="BG31" s="27">
        <v>42243</v>
      </c>
      <c r="BH31" s="62"/>
      <c r="BI31" s="88"/>
      <c r="BJ31" s="11"/>
      <c r="BK31" s="20"/>
      <c r="BL31" s="201"/>
      <c r="BM31" s="204"/>
    </row>
    <row r="32" spans="1:66" x14ac:dyDescent="0.25">
      <c r="A32" s="21"/>
      <c r="B32" s="39">
        <v>42244</v>
      </c>
      <c r="C32" s="45">
        <v>0</v>
      </c>
      <c r="D32" s="22"/>
      <c r="E32" s="26">
        <v>42244</v>
      </c>
      <c r="F32" s="51">
        <v>51209</v>
      </c>
      <c r="G32" s="23"/>
      <c r="H32" s="27">
        <v>42244</v>
      </c>
      <c r="I32" s="62">
        <v>200</v>
      </c>
      <c r="J32" s="88"/>
      <c r="K32" s="11"/>
      <c r="L32" s="20"/>
      <c r="M32" s="67" t="s">
        <v>657</v>
      </c>
      <c r="N32" s="75">
        <v>51110</v>
      </c>
      <c r="R32" s="21"/>
      <c r="S32" s="39">
        <v>42244</v>
      </c>
      <c r="T32" s="45">
        <v>0</v>
      </c>
      <c r="U32" s="22"/>
      <c r="V32" s="26">
        <v>42244</v>
      </c>
      <c r="W32" s="51"/>
      <c r="X32" s="23"/>
      <c r="Y32" s="27">
        <v>42244</v>
      </c>
      <c r="Z32" s="62"/>
      <c r="AA32" s="88"/>
      <c r="AB32" s="11"/>
      <c r="AC32" s="20"/>
      <c r="AD32" s="67"/>
      <c r="AE32" s="75"/>
      <c r="AH32" s="21"/>
      <c r="AI32" s="39">
        <v>42244</v>
      </c>
      <c r="AJ32" s="45">
        <v>0</v>
      </c>
      <c r="AK32" s="22"/>
      <c r="AL32" s="26">
        <v>42244</v>
      </c>
      <c r="AM32" s="51"/>
      <c r="AN32" s="23"/>
      <c r="AO32" s="27">
        <v>42244</v>
      </c>
      <c r="AP32" s="62"/>
      <c r="AQ32" s="88"/>
      <c r="AR32" s="11"/>
      <c r="AS32" s="20"/>
      <c r="AT32" s="67"/>
      <c r="AU32" s="75"/>
      <c r="AZ32" s="21"/>
      <c r="BA32" s="39">
        <v>42244</v>
      </c>
      <c r="BB32" s="45">
        <v>0</v>
      </c>
      <c r="BC32" s="22"/>
      <c r="BD32" s="26">
        <v>42244</v>
      </c>
      <c r="BE32" s="51"/>
      <c r="BF32" s="23"/>
      <c r="BG32" s="27">
        <v>42244</v>
      </c>
      <c r="BH32" s="62"/>
      <c r="BI32" s="88"/>
      <c r="BJ32" s="11"/>
      <c r="BK32" s="20"/>
      <c r="BL32" s="67"/>
      <c r="BM32" s="75"/>
    </row>
    <row r="33" spans="1:65" x14ac:dyDescent="0.25">
      <c r="A33" s="21"/>
      <c r="B33" s="39">
        <v>42245</v>
      </c>
      <c r="C33" s="45">
        <v>0</v>
      </c>
      <c r="D33" s="32"/>
      <c r="E33" s="26">
        <v>42245</v>
      </c>
      <c r="F33" s="51">
        <v>87657.5</v>
      </c>
      <c r="G33" s="23"/>
      <c r="H33" s="27">
        <v>42245</v>
      </c>
      <c r="I33" s="62">
        <v>200</v>
      </c>
      <c r="J33" s="88"/>
      <c r="K33" s="11"/>
      <c r="L33" s="20"/>
      <c r="M33" s="67" t="s">
        <v>658</v>
      </c>
      <c r="N33" s="75">
        <v>85060</v>
      </c>
      <c r="R33" s="21"/>
      <c r="S33" s="39">
        <v>42245</v>
      </c>
      <c r="T33" s="45">
        <v>0</v>
      </c>
      <c r="U33" s="32"/>
      <c r="V33" s="26">
        <v>42245</v>
      </c>
      <c r="W33" s="51"/>
      <c r="X33" s="23"/>
      <c r="Y33" s="27">
        <v>42245</v>
      </c>
      <c r="Z33" s="62"/>
      <c r="AA33" s="88"/>
      <c r="AB33" s="11"/>
      <c r="AC33" s="20"/>
      <c r="AD33" s="67"/>
      <c r="AE33" s="75"/>
      <c r="AH33" s="21"/>
      <c r="AI33" s="39">
        <v>42245</v>
      </c>
      <c r="AJ33" s="45">
        <v>0</v>
      </c>
      <c r="AK33" s="32"/>
      <c r="AL33" s="26">
        <v>42245</v>
      </c>
      <c r="AM33" s="51"/>
      <c r="AN33" s="23"/>
      <c r="AO33" s="27">
        <v>42245</v>
      </c>
      <c r="AP33" s="62"/>
      <c r="AQ33" s="88"/>
      <c r="AR33" s="11"/>
      <c r="AS33" s="20"/>
      <c r="AT33" s="67"/>
      <c r="AU33" s="75"/>
      <c r="AZ33" s="21"/>
      <c r="BA33" s="39">
        <v>42245</v>
      </c>
      <c r="BB33" s="45">
        <v>0</v>
      </c>
      <c r="BC33" s="32"/>
      <c r="BD33" s="26">
        <v>42245</v>
      </c>
      <c r="BE33" s="51"/>
      <c r="BF33" s="23"/>
      <c r="BG33" s="27">
        <v>42245</v>
      </c>
      <c r="BH33" s="62"/>
      <c r="BI33" s="88"/>
      <c r="BJ33" s="11"/>
      <c r="BK33" s="20"/>
      <c r="BL33" s="67"/>
      <c r="BM33" s="75"/>
    </row>
    <row r="34" spans="1:65" x14ac:dyDescent="0.25">
      <c r="A34" s="21"/>
      <c r="B34" s="39">
        <v>42246</v>
      </c>
      <c r="C34" s="45">
        <v>0</v>
      </c>
      <c r="D34" s="72"/>
      <c r="E34" s="26">
        <v>42246</v>
      </c>
      <c r="F34" s="51">
        <v>64242.21</v>
      </c>
      <c r="G34" s="23"/>
      <c r="H34" s="27">
        <v>42246</v>
      </c>
      <c r="I34" s="62">
        <v>200</v>
      </c>
      <c r="J34" s="88"/>
      <c r="K34" s="11"/>
      <c r="L34" s="20"/>
      <c r="M34" s="258" t="s">
        <v>663</v>
      </c>
      <c r="N34" s="202">
        <v>63900</v>
      </c>
      <c r="O34" s="360"/>
      <c r="P34" s="360"/>
      <c r="Q34" s="367"/>
      <c r="R34" s="21"/>
      <c r="S34" s="39">
        <v>42246</v>
      </c>
      <c r="T34" s="45">
        <v>0</v>
      </c>
      <c r="U34" s="72"/>
      <c r="V34" s="26">
        <v>42246</v>
      </c>
      <c r="W34" s="51"/>
      <c r="X34" s="23"/>
      <c r="Y34" s="27">
        <v>42246</v>
      </c>
      <c r="Z34" s="62"/>
      <c r="AA34" s="88"/>
      <c r="AB34" s="11"/>
      <c r="AC34" s="20"/>
      <c r="AD34" s="258"/>
      <c r="AE34" s="202">
        <v>0</v>
      </c>
      <c r="AH34" s="21"/>
      <c r="AI34" s="39">
        <v>42246</v>
      </c>
      <c r="AJ34" s="45">
        <v>0</v>
      </c>
      <c r="AK34" s="72"/>
      <c r="AL34" s="26">
        <v>42246</v>
      </c>
      <c r="AM34" s="51"/>
      <c r="AN34" s="23"/>
      <c r="AO34" s="27">
        <v>42246</v>
      </c>
      <c r="AP34" s="62"/>
      <c r="AQ34" s="88"/>
      <c r="AR34" s="11"/>
      <c r="AS34" s="20"/>
      <c r="AT34" s="258"/>
      <c r="AU34" s="202">
        <v>0</v>
      </c>
      <c r="AZ34" s="21"/>
      <c r="BA34" s="39">
        <v>42246</v>
      </c>
      <c r="BB34" s="45">
        <v>0</v>
      </c>
      <c r="BC34" s="72"/>
      <c r="BD34" s="26">
        <v>42246</v>
      </c>
      <c r="BE34" s="51"/>
      <c r="BF34" s="23"/>
      <c r="BG34" s="27">
        <v>42246</v>
      </c>
      <c r="BH34" s="62"/>
      <c r="BI34" s="88"/>
      <c r="BJ34" s="11"/>
      <c r="BK34" s="20"/>
      <c r="BL34" s="258"/>
      <c r="BM34" s="202">
        <v>0</v>
      </c>
    </row>
    <row r="35" spans="1:65" ht="15.75" thickBot="1" x14ac:dyDescent="0.3">
      <c r="A35" s="21"/>
      <c r="B35" s="39">
        <v>42247</v>
      </c>
      <c r="C35" s="45">
        <v>0</v>
      </c>
      <c r="D35" s="22"/>
      <c r="E35" s="26">
        <v>42247</v>
      </c>
      <c r="F35" s="51">
        <v>75353</v>
      </c>
      <c r="G35" s="23"/>
      <c r="H35" s="27">
        <v>42247</v>
      </c>
      <c r="I35" s="62">
        <v>200</v>
      </c>
      <c r="J35" s="88"/>
      <c r="K35" s="11"/>
      <c r="L35" s="20"/>
      <c r="M35" s="71" t="s">
        <v>665</v>
      </c>
      <c r="N35" s="74">
        <v>76290</v>
      </c>
      <c r="O35" s="242"/>
      <c r="P35" s="242"/>
      <c r="R35" s="21"/>
      <c r="S35" s="39">
        <v>42247</v>
      </c>
      <c r="T35" s="45">
        <v>0</v>
      </c>
      <c r="U35" s="22"/>
      <c r="V35" s="26">
        <v>42247</v>
      </c>
      <c r="W35" s="51"/>
      <c r="X35" s="23"/>
      <c r="Y35" s="27">
        <v>42247</v>
      </c>
      <c r="Z35" s="62"/>
      <c r="AA35" s="88"/>
      <c r="AB35" s="11" t="s">
        <v>345</v>
      </c>
      <c r="AC35" s="20"/>
      <c r="AD35" s="71"/>
      <c r="AE35" s="74">
        <v>0</v>
      </c>
      <c r="AH35" s="21"/>
      <c r="AI35" s="39">
        <v>42247</v>
      </c>
      <c r="AJ35" s="45">
        <v>0</v>
      </c>
      <c r="AK35" s="22"/>
      <c r="AL35" s="26">
        <v>42247</v>
      </c>
      <c r="AM35" s="51"/>
      <c r="AN35" s="23"/>
      <c r="AO35" s="27">
        <v>42247</v>
      </c>
      <c r="AP35" s="62"/>
      <c r="AQ35" s="88"/>
      <c r="AR35" s="11" t="s">
        <v>345</v>
      </c>
      <c r="AS35" s="20"/>
      <c r="AT35" s="71"/>
      <c r="AU35" s="74">
        <v>0</v>
      </c>
      <c r="AZ35" s="21"/>
      <c r="BA35" s="39">
        <v>42247</v>
      </c>
      <c r="BB35" s="45">
        <v>0</v>
      </c>
      <c r="BC35" s="22"/>
      <c r="BD35" s="26">
        <v>42247</v>
      </c>
      <c r="BE35" s="51"/>
      <c r="BF35" s="23"/>
      <c r="BG35" s="27">
        <v>42247</v>
      </c>
      <c r="BH35" s="62"/>
      <c r="BI35" s="88"/>
      <c r="BJ35" s="11" t="s">
        <v>345</v>
      </c>
      <c r="BK35" s="20"/>
      <c r="BL35" s="71"/>
      <c r="BM35" s="74">
        <v>0</v>
      </c>
    </row>
    <row r="36" spans="1:6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31"/>
      <c r="N36" s="346">
        <v>0</v>
      </c>
      <c r="O36" s="242"/>
      <c r="P36" s="242"/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31"/>
      <c r="AE36" s="346">
        <v>0</v>
      </c>
      <c r="AH36" s="15"/>
      <c r="AI36" s="40"/>
      <c r="AJ36" s="46">
        <v>0</v>
      </c>
      <c r="AK36" s="2"/>
      <c r="AL36" s="8"/>
      <c r="AM36" s="52">
        <v>0</v>
      </c>
      <c r="AO36" s="78"/>
      <c r="AP36" s="63"/>
      <c r="AQ36" s="55"/>
      <c r="AR36" s="11"/>
      <c r="AS36" s="7"/>
      <c r="AT36" s="431"/>
      <c r="AU36" s="346">
        <v>0</v>
      </c>
      <c r="AZ36" s="15"/>
      <c r="BA36" s="40"/>
      <c r="BB36" s="46">
        <v>0</v>
      </c>
      <c r="BC36" s="2"/>
      <c r="BD36" s="8"/>
      <c r="BE36" s="52">
        <v>0</v>
      </c>
      <c r="BG36" s="78"/>
      <c r="BH36" s="63"/>
      <c r="BI36" s="55"/>
      <c r="BJ36" s="11"/>
      <c r="BK36" s="7"/>
      <c r="BL36" s="405"/>
      <c r="BM36" s="346">
        <v>0</v>
      </c>
    </row>
    <row r="37" spans="1:6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31"/>
      <c r="N37" s="345">
        <f>SUM(N5:N36)</f>
        <v>1768049.53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31"/>
      <c r="AE37" s="345">
        <f>SUM(AE5:AE36)</f>
        <v>1379709.03</v>
      </c>
      <c r="AH37" s="101"/>
      <c r="AI37" s="41"/>
      <c r="AJ37" s="47">
        <v>0</v>
      </c>
      <c r="AK37" s="2"/>
      <c r="AL37" s="9"/>
      <c r="AM37" s="53">
        <v>0</v>
      </c>
      <c r="AO37" s="31"/>
      <c r="AP37" s="64"/>
      <c r="AQ37" s="55"/>
      <c r="AR37" s="16"/>
      <c r="AS37" s="10"/>
      <c r="AT37" s="431"/>
      <c r="AU37" s="345">
        <f>SUM(AU5:AU36)</f>
        <v>962230.03</v>
      </c>
      <c r="AZ37" s="101"/>
      <c r="BA37" s="41"/>
      <c r="BB37" s="47">
        <v>0</v>
      </c>
      <c r="BC37" s="2"/>
      <c r="BD37" s="9"/>
      <c r="BE37" s="53">
        <v>0</v>
      </c>
      <c r="BG37" s="31"/>
      <c r="BH37" s="64"/>
      <c r="BI37" s="55"/>
      <c r="BJ37" s="16"/>
      <c r="BK37" s="10"/>
      <c r="BL37" s="405"/>
      <c r="BM37" s="345">
        <f>SUM(BM5:BM36)</f>
        <v>579840.03</v>
      </c>
    </row>
    <row r="38" spans="1:65" x14ac:dyDescent="0.25">
      <c r="B38" s="42" t="s">
        <v>1</v>
      </c>
      <c r="C38" s="48">
        <f>SUM(C5:C37)</f>
        <v>2152.1999999999998</v>
      </c>
      <c r="E38" s="428" t="s">
        <v>1</v>
      </c>
      <c r="F38" s="54">
        <f>SUM(F5:F37)</f>
        <v>1781467.25</v>
      </c>
      <c r="H38" s="430" t="s">
        <v>1</v>
      </c>
      <c r="I38" s="58">
        <f>SUM(I5:I37)</f>
        <v>7566</v>
      </c>
      <c r="J38" s="58"/>
      <c r="K38" s="17" t="s">
        <v>1</v>
      </c>
      <c r="L38" s="4">
        <f t="shared" ref="L38" si="0">SUM(L5:L37)</f>
        <v>65962.47</v>
      </c>
      <c r="M38" s="431"/>
      <c r="N38" s="202"/>
      <c r="S38" s="42" t="s">
        <v>1</v>
      </c>
      <c r="T38" s="48">
        <f>SUM(T5:T37)</f>
        <v>1152.2</v>
      </c>
      <c r="V38" s="428" t="s">
        <v>1</v>
      </c>
      <c r="W38" s="54">
        <f>SUM(W5:W37)</f>
        <v>1403695.54</v>
      </c>
      <c r="Y38" s="430" t="s">
        <v>1</v>
      </c>
      <c r="Z38" s="58">
        <f>SUM(Z5:Z37)</f>
        <v>6166</v>
      </c>
      <c r="AA38" s="58"/>
      <c r="AB38" s="17" t="s">
        <v>1</v>
      </c>
      <c r="AC38" s="4">
        <f t="shared" ref="AC38" si="1">SUM(AC5:AC37)</f>
        <v>58739.02</v>
      </c>
      <c r="AD38" s="431"/>
      <c r="AE38" s="202"/>
      <c r="AI38" s="42" t="s">
        <v>1</v>
      </c>
      <c r="AJ38" s="48">
        <f>SUM(AJ5:AJ37)</f>
        <v>1152.2</v>
      </c>
      <c r="AL38" s="428" t="s">
        <v>1</v>
      </c>
      <c r="AM38" s="54">
        <f>SUM(AM5:AM37)</f>
        <v>970470.54</v>
      </c>
      <c r="AO38" s="430" t="s">
        <v>1</v>
      </c>
      <c r="AP38" s="58">
        <f>SUM(AP5:AP37)</f>
        <v>4682</v>
      </c>
      <c r="AQ38" s="58"/>
      <c r="AR38" s="17" t="s">
        <v>1</v>
      </c>
      <c r="AS38" s="4">
        <f t="shared" ref="AS38" si="2">SUM(AS5:AS37)</f>
        <v>51826.369999999995</v>
      </c>
      <c r="AT38" s="431"/>
      <c r="AU38" s="202"/>
      <c r="BA38" s="42" t="s">
        <v>1</v>
      </c>
      <c r="BB38" s="48">
        <f>SUM(BB5:BB37)</f>
        <v>1152.2</v>
      </c>
      <c r="BD38" s="401" t="s">
        <v>1</v>
      </c>
      <c r="BE38" s="54">
        <f>SUM(BE5:BE37)</f>
        <v>586504</v>
      </c>
      <c r="BG38" s="403" t="s">
        <v>1</v>
      </c>
      <c r="BH38" s="58">
        <f>SUM(BH5:BH37)</f>
        <v>3052</v>
      </c>
      <c r="BI38" s="58"/>
      <c r="BJ38" s="17" t="s">
        <v>1</v>
      </c>
      <c r="BK38" s="4">
        <f t="shared" ref="BK38" si="3">SUM(BK5:BK37)</f>
        <v>43159.64</v>
      </c>
      <c r="BL38" s="405"/>
      <c r="BM38" s="202"/>
    </row>
    <row r="39" spans="1:65" x14ac:dyDescent="0.25">
      <c r="B39" s="37"/>
      <c r="C39" s="43"/>
      <c r="F39" s="43"/>
      <c r="I39" s="43"/>
      <c r="J39" s="43"/>
      <c r="M39" s="431"/>
      <c r="N39" s="202"/>
      <c r="S39" s="37"/>
      <c r="T39" s="43"/>
      <c r="W39" s="43"/>
      <c r="Z39" s="43"/>
      <c r="AA39" s="43"/>
      <c r="AD39" s="431"/>
      <c r="AE39" s="202"/>
      <c r="AI39" s="37"/>
      <c r="AJ39" s="43"/>
      <c r="AM39" s="43"/>
      <c r="AP39" s="43"/>
      <c r="AQ39" s="43"/>
      <c r="AT39" s="431"/>
      <c r="AU39" s="202"/>
      <c r="BA39" s="37"/>
      <c r="BB39" s="43"/>
      <c r="BE39" s="43"/>
      <c r="BH39" s="43"/>
      <c r="BI39" s="43"/>
      <c r="BL39" s="405"/>
      <c r="BM39" s="202"/>
    </row>
    <row r="40" spans="1:65" ht="15.75" customHeight="1" x14ac:dyDescent="0.25">
      <c r="A40" s="5"/>
      <c r="B40" s="37"/>
      <c r="C40" s="49">
        <v>0</v>
      </c>
      <c r="D40" s="13"/>
      <c r="E40" s="13"/>
      <c r="F40" s="55"/>
      <c r="H40" s="476" t="s">
        <v>7</v>
      </c>
      <c r="I40" s="477"/>
      <c r="J40" s="429"/>
      <c r="K40" s="478">
        <f>I38+L38</f>
        <v>73528.47</v>
      </c>
      <c r="L40" s="479"/>
      <c r="M40" s="431"/>
      <c r="N40" s="202"/>
      <c r="R40" s="5"/>
      <c r="S40" s="37"/>
      <c r="T40" s="49">
        <v>0</v>
      </c>
      <c r="U40" s="13"/>
      <c r="V40" s="13"/>
      <c r="W40" s="55"/>
      <c r="Y40" s="476" t="s">
        <v>7</v>
      </c>
      <c r="Z40" s="477"/>
      <c r="AA40" s="429"/>
      <c r="AB40" s="478">
        <f>Z38+AC38</f>
        <v>64905.02</v>
      </c>
      <c r="AC40" s="479"/>
      <c r="AD40" s="431"/>
      <c r="AE40" s="202"/>
      <c r="AH40" s="5"/>
      <c r="AI40" s="37"/>
      <c r="AJ40" s="49">
        <v>0</v>
      </c>
      <c r="AK40" s="13"/>
      <c r="AL40" s="13"/>
      <c r="AM40" s="55"/>
      <c r="AO40" s="476" t="s">
        <v>7</v>
      </c>
      <c r="AP40" s="477"/>
      <c r="AQ40" s="429"/>
      <c r="AR40" s="478">
        <f>AP38+AS38</f>
        <v>56508.369999999995</v>
      </c>
      <c r="AS40" s="479"/>
      <c r="AT40" s="431"/>
      <c r="AU40" s="202"/>
      <c r="AZ40" s="5"/>
      <c r="BA40" s="37"/>
      <c r="BB40" s="49">
        <v>0</v>
      </c>
      <c r="BC40" s="13"/>
      <c r="BD40" s="13"/>
      <c r="BE40" s="55"/>
      <c r="BG40" s="476" t="s">
        <v>7</v>
      </c>
      <c r="BH40" s="477"/>
      <c r="BI40" s="402"/>
      <c r="BJ40" s="478">
        <f>BH38+BK38</f>
        <v>46211.64</v>
      </c>
      <c r="BK40" s="479"/>
      <c r="BL40" s="405"/>
      <c r="BM40" s="202"/>
    </row>
    <row r="41" spans="1:65" ht="15.75" customHeight="1" x14ac:dyDescent="0.25">
      <c r="B41" s="37"/>
      <c r="C41" s="43"/>
      <c r="D41" s="470" t="s">
        <v>8</v>
      </c>
      <c r="E41" s="470"/>
      <c r="F41" s="56">
        <f>F38-K40</f>
        <v>1707938.78</v>
      </c>
      <c r="I41" s="65"/>
      <c r="J41" s="65"/>
      <c r="M41" s="431"/>
      <c r="N41" s="202"/>
      <c r="S41" s="37"/>
      <c r="T41" s="43"/>
      <c r="U41" s="470" t="s">
        <v>8</v>
      </c>
      <c r="V41" s="470"/>
      <c r="W41" s="56">
        <f>W38-AB40</f>
        <v>1338790.52</v>
      </c>
      <c r="Z41" s="65"/>
      <c r="AA41" s="65"/>
      <c r="AD41" s="431"/>
      <c r="AE41" s="202"/>
      <c r="AI41" s="37"/>
      <c r="AJ41" s="43"/>
      <c r="AK41" s="470" t="s">
        <v>8</v>
      </c>
      <c r="AL41" s="470"/>
      <c r="AM41" s="56">
        <f>AM38-AR40</f>
        <v>913962.17</v>
      </c>
      <c r="AP41" s="65"/>
      <c r="AQ41" s="65"/>
      <c r="AT41" s="431"/>
      <c r="AU41" s="202"/>
      <c r="BA41" s="37"/>
      <c r="BB41" s="43"/>
      <c r="BC41" s="470" t="s">
        <v>8</v>
      </c>
      <c r="BD41" s="470"/>
      <c r="BE41" s="56">
        <f>BE38-BJ40</f>
        <v>540292.36</v>
      </c>
      <c r="BH41" s="65"/>
      <c r="BI41" s="65"/>
      <c r="BL41" s="405"/>
      <c r="BM41" s="202"/>
    </row>
    <row r="42" spans="1:65" x14ac:dyDescent="0.25">
      <c r="B42" s="37"/>
      <c r="C42" s="43"/>
      <c r="D42" s="13"/>
      <c r="E42" s="13" t="s">
        <v>0</v>
      </c>
      <c r="F42" s="56">
        <f>-C38</f>
        <v>-2152.1999999999998</v>
      </c>
      <c r="I42" s="43"/>
      <c r="J42" s="43"/>
      <c r="M42" s="431"/>
      <c r="N42" s="202"/>
      <c r="S42" s="37"/>
      <c r="T42" s="43"/>
      <c r="U42" s="13"/>
      <c r="V42" s="13" t="s">
        <v>0</v>
      </c>
      <c r="W42" s="56">
        <f>-T38</f>
        <v>-1152.2</v>
      </c>
      <c r="Z42" s="43"/>
      <c r="AA42" s="43"/>
      <c r="AD42" s="431"/>
      <c r="AE42" s="202"/>
      <c r="AI42" s="37"/>
      <c r="AJ42" s="43"/>
      <c r="AK42" s="13"/>
      <c r="AL42" s="13" t="s">
        <v>0</v>
      </c>
      <c r="AM42" s="56">
        <f>-AJ38</f>
        <v>-1152.2</v>
      </c>
      <c r="AP42" s="43"/>
      <c r="AQ42" s="43"/>
      <c r="AT42" s="431"/>
      <c r="AU42" s="202"/>
      <c r="BA42" s="37"/>
      <c r="BB42" s="43"/>
      <c r="BC42" s="13"/>
      <c r="BD42" s="13" t="s">
        <v>0</v>
      </c>
      <c r="BE42" s="56">
        <f>-BB38</f>
        <v>-1152.2</v>
      </c>
      <c r="BH42" s="43"/>
      <c r="BI42" s="43"/>
      <c r="BL42" s="405"/>
      <c r="BM42" s="202"/>
    </row>
    <row r="43" spans="1:65" ht="15.75" thickBot="1" x14ac:dyDescent="0.3">
      <c r="B43" s="37"/>
      <c r="C43" s="43" t="s">
        <v>12</v>
      </c>
      <c r="D43" t="s">
        <v>303</v>
      </c>
      <c r="F43" s="125">
        <v>-1662677</v>
      </c>
      <c r="I43" s="480"/>
      <c r="J43" s="480"/>
      <c r="K43" s="480"/>
      <c r="L43" s="2"/>
      <c r="M43" s="431"/>
      <c r="N43" s="202"/>
      <c r="S43" s="37"/>
      <c r="T43" s="43" t="s">
        <v>12</v>
      </c>
      <c r="U43" t="s">
        <v>303</v>
      </c>
      <c r="W43" s="125">
        <v>-1311918.8600000001</v>
      </c>
      <c r="Z43" s="480"/>
      <c r="AA43" s="480"/>
      <c r="AB43" s="480"/>
      <c r="AC43" s="2"/>
      <c r="AD43" s="431"/>
      <c r="AE43" s="202"/>
      <c r="AI43" s="37"/>
      <c r="AJ43" s="43" t="s">
        <v>12</v>
      </c>
      <c r="AK43" t="s">
        <v>303</v>
      </c>
      <c r="AM43" s="125">
        <v>-931826.22</v>
      </c>
      <c r="AP43" s="480"/>
      <c r="AQ43" s="480"/>
      <c r="AR43" s="480"/>
      <c r="AS43" s="2"/>
      <c r="AT43" s="431"/>
      <c r="AU43" s="202"/>
      <c r="BA43" s="37"/>
      <c r="BB43" s="43" t="s">
        <v>12</v>
      </c>
      <c r="BC43" t="s">
        <v>303</v>
      </c>
      <c r="BE43" s="125">
        <v>-555601.14</v>
      </c>
      <c r="BH43" s="480"/>
      <c r="BI43" s="480"/>
      <c r="BJ43" s="480"/>
      <c r="BK43" s="2"/>
      <c r="BL43" s="405"/>
      <c r="BM43" s="202"/>
    </row>
    <row r="44" spans="1:65" ht="16.5" thickTop="1" x14ac:dyDescent="0.25">
      <c r="B44" s="37"/>
      <c r="C44" s="43"/>
      <c r="E44" s="5" t="s">
        <v>10</v>
      </c>
      <c r="F44" s="58">
        <f>SUM(F41:F43)</f>
        <v>43109.580000000075</v>
      </c>
      <c r="I44" s="512" t="s">
        <v>251</v>
      </c>
      <c r="J44" s="512"/>
      <c r="K44" s="497">
        <f>F46</f>
        <v>139657.82000000007</v>
      </c>
      <c r="L44" s="498"/>
      <c r="M44" s="431"/>
      <c r="N44" s="202"/>
      <c r="S44" s="37"/>
      <c r="T44" s="43"/>
      <c r="V44" s="5" t="s">
        <v>10</v>
      </c>
      <c r="W44" s="58">
        <f>SUM(W41:W43)</f>
        <v>25719.459999999963</v>
      </c>
      <c r="Z44" s="512" t="s">
        <v>251</v>
      </c>
      <c r="AA44" s="512"/>
      <c r="AB44" s="497">
        <f>W46</f>
        <v>137884.43999999994</v>
      </c>
      <c r="AC44" s="498"/>
      <c r="AD44" s="431"/>
      <c r="AE44" s="202"/>
      <c r="AI44" s="37"/>
      <c r="AJ44" s="43"/>
      <c r="AL44" s="5" t="s">
        <v>10</v>
      </c>
      <c r="AM44" s="58">
        <f>SUM(AM41:AM43)</f>
        <v>-19016.249999999884</v>
      </c>
      <c r="AP44" s="512" t="s">
        <v>251</v>
      </c>
      <c r="AQ44" s="512"/>
      <c r="AR44" s="497">
        <f>AM46</f>
        <v>110607.16000000012</v>
      </c>
      <c r="AS44" s="498"/>
      <c r="AT44" s="431"/>
      <c r="AU44" s="202"/>
      <c r="BA44" s="37"/>
      <c r="BB44" s="43"/>
      <c r="BD44" s="5" t="s">
        <v>10</v>
      </c>
      <c r="BE44" s="58">
        <f>SUM(BE41:BE43)</f>
        <v>-16460.979999999981</v>
      </c>
      <c r="BH44" s="512" t="s">
        <v>251</v>
      </c>
      <c r="BI44" s="512"/>
      <c r="BJ44" s="497">
        <f>BE46</f>
        <v>100412.90000000002</v>
      </c>
      <c r="BK44" s="498"/>
      <c r="BL44" s="405"/>
      <c r="BM44" s="202"/>
    </row>
    <row r="45" spans="1:65" ht="16.5" thickBot="1" x14ac:dyDescent="0.3">
      <c r="B45" s="37"/>
      <c r="C45" s="43"/>
      <c r="D45" s="428" t="s">
        <v>9</v>
      </c>
      <c r="E45" s="428"/>
      <c r="F45" s="366">
        <v>96548.24</v>
      </c>
      <c r="I45" s="506" t="s">
        <v>2</v>
      </c>
      <c r="J45" s="506"/>
      <c r="K45" s="499">
        <v>-107249.8</v>
      </c>
      <c r="L45" s="499"/>
      <c r="M45" s="431"/>
      <c r="N45" s="202"/>
      <c r="S45" s="37"/>
      <c r="T45" s="43"/>
      <c r="U45" s="428" t="s">
        <v>9</v>
      </c>
      <c r="V45" s="428"/>
      <c r="W45" s="366">
        <v>112164.98</v>
      </c>
      <c r="Z45" s="506" t="s">
        <v>2</v>
      </c>
      <c r="AA45" s="506"/>
      <c r="AB45" s="499">
        <v>-107249.8</v>
      </c>
      <c r="AC45" s="499"/>
      <c r="AD45" s="431"/>
      <c r="AE45" s="202"/>
      <c r="AI45" s="37"/>
      <c r="AJ45" s="43"/>
      <c r="AK45" s="428" t="s">
        <v>9</v>
      </c>
      <c r="AL45" s="428"/>
      <c r="AM45" s="366">
        <v>129623.41</v>
      </c>
      <c r="AP45" s="506" t="s">
        <v>2</v>
      </c>
      <c r="AQ45" s="506"/>
      <c r="AR45" s="499">
        <v>-107249.8</v>
      </c>
      <c r="AS45" s="499"/>
      <c r="AT45" s="431"/>
      <c r="AU45" s="202"/>
      <c r="BA45" s="37"/>
      <c r="BB45" s="43"/>
      <c r="BC45" s="401" t="s">
        <v>9</v>
      </c>
      <c r="BD45" s="401"/>
      <c r="BE45" s="366">
        <v>116873.88</v>
      </c>
      <c r="BH45" s="506" t="s">
        <v>2</v>
      </c>
      <c r="BI45" s="506"/>
      <c r="BJ45" s="499">
        <v>-107249.8</v>
      </c>
      <c r="BK45" s="499"/>
      <c r="BL45" s="405"/>
      <c r="BM45" s="202"/>
    </row>
    <row r="46" spans="1:65" ht="19.5" thickBot="1" x14ac:dyDescent="0.3">
      <c r="B46" s="37"/>
      <c r="C46" s="43"/>
      <c r="E46" s="6" t="s">
        <v>347</v>
      </c>
      <c r="F46" s="48">
        <f>F45+F44</f>
        <v>139657.82000000007</v>
      </c>
      <c r="J46" s="178"/>
      <c r="K46" s="500">
        <v>0</v>
      </c>
      <c r="L46" s="500"/>
      <c r="M46" s="431"/>
      <c r="N46" s="202"/>
      <c r="S46" s="37"/>
      <c r="T46" s="43"/>
      <c r="V46" s="6" t="s">
        <v>347</v>
      </c>
      <c r="W46" s="48">
        <f>W45+W44</f>
        <v>137884.43999999994</v>
      </c>
      <c r="AA46" s="178"/>
      <c r="AB46" s="500">
        <v>0</v>
      </c>
      <c r="AC46" s="500"/>
      <c r="AD46" s="431"/>
      <c r="AE46" s="202"/>
      <c r="AI46" s="37"/>
      <c r="AJ46" s="43"/>
      <c r="AL46" s="6" t="s">
        <v>347</v>
      </c>
      <c r="AM46" s="48">
        <f>AM45+AM44</f>
        <v>110607.16000000012</v>
      </c>
      <c r="AQ46" s="178"/>
      <c r="AR46" s="500">
        <v>0</v>
      </c>
      <c r="AS46" s="500"/>
      <c r="AT46" s="431"/>
      <c r="AU46" s="202"/>
      <c r="BA46" s="37"/>
      <c r="BB46" s="43"/>
      <c r="BD46" s="6" t="s">
        <v>347</v>
      </c>
      <c r="BE46" s="48">
        <f>BE45+BE44</f>
        <v>100412.90000000002</v>
      </c>
      <c r="BI46" s="178"/>
      <c r="BJ46" s="500">
        <v>0</v>
      </c>
      <c r="BK46" s="500"/>
      <c r="BL46" s="405"/>
      <c r="BM46" s="202"/>
    </row>
    <row r="47" spans="1:65" ht="19.5" thickBot="1" x14ac:dyDescent="0.3">
      <c r="B47" s="37"/>
      <c r="C47" s="43"/>
      <c r="E47" s="5"/>
      <c r="F47" s="56"/>
      <c r="I47" s="510" t="s">
        <v>13</v>
      </c>
      <c r="J47" s="511"/>
      <c r="K47" s="503">
        <f>SUM(K44:L46)</f>
        <v>32408.020000000062</v>
      </c>
      <c r="L47" s="504"/>
      <c r="M47" s="431"/>
      <c r="N47" s="202"/>
      <c r="S47" s="37"/>
      <c r="T47" s="43"/>
      <c r="V47" s="5"/>
      <c r="W47" s="56"/>
      <c r="Z47" s="510" t="s">
        <v>13</v>
      </c>
      <c r="AA47" s="511"/>
      <c r="AB47" s="503">
        <f>SUM(AB44:AC46)</f>
        <v>30634.639999999941</v>
      </c>
      <c r="AC47" s="504"/>
      <c r="AD47" s="431"/>
      <c r="AE47" s="202"/>
      <c r="AI47" s="37"/>
      <c r="AJ47" s="43"/>
      <c r="AL47" s="5"/>
      <c r="AM47" s="56"/>
      <c r="AP47" s="510" t="s">
        <v>468</v>
      </c>
      <c r="AQ47" s="511"/>
      <c r="AR47" s="503">
        <f>SUM(AR44:AS46)</f>
        <v>3357.360000000117</v>
      </c>
      <c r="AS47" s="504"/>
      <c r="AT47" s="431"/>
      <c r="AU47" s="202"/>
      <c r="BA47" s="37"/>
      <c r="BB47" s="43"/>
      <c r="BD47" s="5"/>
      <c r="BE47" s="56"/>
      <c r="BH47" s="510" t="s">
        <v>401</v>
      </c>
      <c r="BI47" s="511"/>
      <c r="BJ47" s="503">
        <f>SUM(BJ44:BK46)</f>
        <v>-6836.8999999999796</v>
      </c>
      <c r="BK47" s="504"/>
      <c r="BL47" s="405"/>
      <c r="BM47" s="202"/>
    </row>
    <row r="48" spans="1:65" x14ac:dyDescent="0.25">
      <c r="B48" s="37"/>
      <c r="C48" s="43"/>
      <c r="D48" s="480"/>
      <c r="E48" s="480"/>
      <c r="F48" s="58"/>
      <c r="I48" s="43"/>
      <c r="J48" s="43"/>
      <c r="M48" s="431"/>
      <c r="N48" s="202"/>
      <c r="S48" s="37"/>
      <c r="T48" s="43"/>
      <c r="U48" s="480"/>
      <c r="V48" s="480"/>
      <c r="W48" s="58"/>
      <c r="Z48" s="43"/>
      <c r="AA48" s="43"/>
      <c r="AD48" s="431"/>
      <c r="AE48" s="202"/>
      <c r="AI48" s="37"/>
      <c r="AJ48" s="43"/>
      <c r="AK48" s="480"/>
      <c r="AL48" s="480"/>
      <c r="AM48" s="58"/>
      <c r="AP48" s="43"/>
      <c r="AQ48" s="43"/>
      <c r="AT48" s="431"/>
      <c r="AU48" s="202"/>
      <c r="BA48" s="37"/>
      <c r="BB48" s="43"/>
      <c r="BC48" s="480"/>
      <c r="BD48" s="480"/>
      <c r="BE48" s="58"/>
      <c r="BH48" s="43"/>
      <c r="BI48" s="43"/>
      <c r="BL48" s="405"/>
      <c r="BM48" s="202"/>
    </row>
  </sheetData>
  <mergeCells count="60">
    <mergeCell ref="D48:E48"/>
    <mergeCell ref="AP47:AQ47"/>
    <mergeCell ref="AR47:AS47"/>
    <mergeCell ref="AK48:AL48"/>
    <mergeCell ref="U48:V48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K46:L46"/>
    <mergeCell ref="I47:J47"/>
    <mergeCell ref="AB46:AC46"/>
    <mergeCell ref="Z47:AA47"/>
    <mergeCell ref="AB47:AC47"/>
    <mergeCell ref="K47:L47"/>
    <mergeCell ref="AJ1:AR1"/>
    <mergeCell ref="AL4:AM4"/>
    <mergeCell ref="AP4:AS4"/>
    <mergeCell ref="AO40:AP40"/>
    <mergeCell ref="AR40:AS40"/>
    <mergeCell ref="AR46:AS46"/>
    <mergeCell ref="U41:V41"/>
    <mergeCell ref="Z43:AB43"/>
    <mergeCell ref="Z44:AA44"/>
    <mergeCell ref="AB44:AC44"/>
    <mergeCell ref="Z45:AA45"/>
    <mergeCell ref="AB45:AC45"/>
    <mergeCell ref="AK41:AL41"/>
    <mergeCell ref="AP43:AR43"/>
    <mergeCell ref="AP44:AQ44"/>
    <mergeCell ref="AR44:AS44"/>
    <mergeCell ref="AP45:AQ45"/>
    <mergeCell ref="AR45:AS45"/>
    <mergeCell ref="T1:AB1"/>
    <mergeCell ref="V4:W4"/>
    <mergeCell ref="Z4:AC4"/>
    <mergeCell ref="Y40:Z40"/>
    <mergeCell ref="AB40:AC40"/>
    <mergeCell ref="BH47:BI47"/>
    <mergeCell ref="BJ47:BK47"/>
    <mergeCell ref="BC41:BD41"/>
    <mergeCell ref="BC48:BD48"/>
    <mergeCell ref="BH45:BI45"/>
    <mergeCell ref="BJ45:BK45"/>
    <mergeCell ref="BJ46:BK46"/>
    <mergeCell ref="BH44:BI44"/>
    <mergeCell ref="BJ44:BK44"/>
    <mergeCell ref="BB1:BJ1"/>
    <mergeCell ref="BD4:BE4"/>
    <mergeCell ref="BH4:BK4"/>
    <mergeCell ref="BH43:BJ43"/>
    <mergeCell ref="BG40:BH40"/>
    <mergeCell ref="BJ40:BK40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Y120"/>
  <sheetViews>
    <sheetView topLeftCell="A25" workbookViewId="0">
      <selection activeCell="E39" sqref="E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8" max="8" width="12.5703125" style="43" bestFit="1" customWidth="1"/>
    <col min="10" max="10" width="17.42578125" bestFit="1" customWidth="1"/>
    <col min="11" max="11" width="9.140625" bestFit="1" customWidth="1"/>
    <col min="12" max="12" width="13.140625" customWidth="1"/>
    <col min="13" max="13" width="17.42578125" bestFit="1" customWidth="1"/>
    <col min="20" max="20" width="17.42578125" bestFit="1" customWidth="1"/>
    <col min="23" max="23" width="17.42578125" bestFit="1" customWidth="1"/>
  </cols>
  <sheetData>
    <row r="1" spans="1:25" ht="15.75" x14ac:dyDescent="0.25">
      <c r="I1" s="104"/>
      <c r="J1" s="333">
        <v>42228</v>
      </c>
      <c r="K1" s="215"/>
      <c r="L1" s="134" t="s">
        <v>200</v>
      </c>
      <c r="M1" s="88"/>
      <c r="S1" s="104"/>
      <c r="T1" s="399">
        <v>42243</v>
      </c>
      <c r="U1" s="215"/>
      <c r="V1" s="134" t="s">
        <v>200</v>
      </c>
      <c r="W1" s="88"/>
    </row>
    <row r="2" spans="1:25" ht="15.75" thickBot="1" x14ac:dyDescent="0.3">
      <c r="I2" s="413"/>
      <c r="J2" s="414"/>
      <c r="K2" s="414"/>
      <c r="L2" s="414"/>
      <c r="M2" s="415"/>
      <c r="N2" s="18"/>
      <c r="S2" s="413"/>
      <c r="T2" s="414"/>
      <c r="U2" s="414"/>
      <c r="V2" s="414"/>
      <c r="W2" s="415"/>
      <c r="X2" s="18"/>
    </row>
    <row r="3" spans="1:25" ht="17.25" thickTop="1" thickBot="1" x14ac:dyDescent="0.3">
      <c r="C3" s="507" t="s">
        <v>240</v>
      </c>
      <c r="D3" s="508"/>
      <c r="E3" s="509"/>
      <c r="H3" s="43">
        <f>7374</f>
        <v>7374</v>
      </c>
      <c r="I3" s="244" t="s">
        <v>568</v>
      </c>
      <c r="J3" s="245">
        <v>13166.83</v>
      </c>
      <c r="K3" s="410"/>
      <c r="L3" s="235" t="s">
        <v>461</v>
      </c>
      <c r="M3" s="411">
        <v>10580.5</v>
      </c>
      <c r="N3" s="412">
        <v>42214</v>
      </c>
      <c r="S3" s="244" t="s">
        <v>624</v>
      </c>
      <c r="T3" s="245">
        <v>98832.59</v>
      </c>
      <c r="U3" s="410"/>
      <c r="V3" s="235" t="s">
        <v>202</v>
      </c>
      <c r="W3" s="411">
        <v>36540</v>
      </c>
      <c r="X3" s="412">
        <v>42237</v>
      </c>
    </row>
    <row r="4" spans="1:25" ht="16.5" thickBot="1" x14ac:dyDescent="0.3">
      <c r="A4" s="247" t="s">
        <v>295</v>
      </c>
      <c r="B4" s="248" t="s">
        <v>296</v>
      </c>
      <c r="C4" s="404" t="s">
        <v>297</v>
      </c>
      <c r="D4" s="404"/>
      <c r="E4" s="404" t="s">
        <v>298</v>
      </c>
      <c r="F4" s="331" t="s">
        <v>299</v>
      </c>
      <c r="H4" s="43">
        <f>10580.5+22315.5+18131.5+9104</f>
        <v>60131.5</v>
      </c>
      <c r="I4" s="292" t="s">
        <v>569</v>
      </c>
      <c r="J4" s="157">
        <v>60131.68</v>
      </c>
      <c r="K4" s="207"/>
      <c r="L4" s="113" t="s">
        <v>461</v>
      </c>
      <c r="M4" s="207">
        <v>7374</v>
      </c>
      <c r="N4" s="221">
        <v>42214</v>
      </c>
      <c r="S4" s="144" t="s">
        <v>636</v>
      </c>
      <c r="T4" s="156">
        <v>63505.84</v>
      </c>
      <c r="U4" s="207"/>
      <c r="V4" s="235" t="s">
        <v>202</v>
      </c>
      <c r="W4" s="207">
        <v>25919</v>
      </c>
      <c r="X4" s="221">
        <v>42238</v>
      </c>
      <c r="Y4" s="21">
        <v>42237</v>
      </c>
    </row>
    <row r="5" spans="1:25" ht="15.75" x14ac:dyDescent="0.25">
      <c r="A5" s="243">
        <v>42217</v>
      </c>
      <c r="B5" s="244" t="s">
        <v>584</v>
      </c>
      <c r="C5" s="245">
        <v>32457.8</v>
      </c>
      <c r="D5" s="104">
        <v>42228</v>
      </c>
      <c r="E5" s="245">
        <v>32457.8</v>
      </c>
      <c r="F5" s="391">
        <f t="shared" ref="F5:F39" si="0">C5-E5</f>
        <v>0</v>
      </c>
      <c r="G5" s="105">
        <v>1</v>
      </c>
      <c r="H5" s="103">
        <f>20348+7994</f>
        <v>28342</v>
      </c>
      <c r="I5" s="407" t="s">
        <v>582</v>
      </c>
      <c r="J5" s="121">
        <v>28341.77</v>
      </c>
      <c r="K5" s="207"/>
      <c r="L5" s="113" t="s">
        <v>461</v>
      </c>
      <c r="M5" s="207">
        <v>22315.5</v>
      </c>
      <c r="N5" s="221">
        <v>42214</v>
      </c>
      <c r="S5" s="144" t="s">
        <v>637</v>
      </c>
      <c r="T5" s="156">
        <v>63775.5</v>
      </c>
      <c r="U5" s="207"/>
      <c r="V5" s="235" t="s">
        <v>202</v>
      </c>
      <c r="W5" s="207">
        <v>65130</v>
      </c>
      <c r="X5" s="221">
        <v>42238</v>
      </c>
    </row>
    <row r="6" spans="1:25" ht="15.75" x14ac:dyDescent="0.25">
      <c r="A6" s="143">
        <v>42217</v>
      </c>
      <c r="B6" s="144" t="s">
        <v>585</v>
      </c>
      <c r="C6" s="156">
        <v>29749.599999999999</v>
      </c>
      <c r="D6" s="104">
        <v>42228</v>
      </c>
      <c r="E6" s="156">
        <v>29749.599999999999</v>
      </c>
      <c r="F6" s="154">
        <f t="shared" si="0"/>
        <v>0</v>
      </c>
      <c r="G6" s="105">
        <v>2</v>
      </c>
      <c r="H6" s="88">
        <f>5216.5</f>
        <v>5216.5</v>
      </c>
      <c r="I6" s="240" t="s">
        <v>581</v>
      </c>
      <c r="J6" s="121">
        <v>5216.3999999999996</v>
      </c>
      <c r="K6" s="130"/>
      <c r="L6" s="113" t="s">
        <v>461</v>
      </c>
      <c r="M6" s="207">
        <v>20348</v>
      </c>
      <c r="N6" s="221">
        <v>42215</v>
      </c>
      <c r="S6" s="144" t="s">
        <v>638</v>
      </c>
      <c r="T6" s="156">
        <v>4762.8</v>
      </c>
      <c r="U6" s="130"/>
      <c r="V6" s="235" t="s">
        <v>202</v>
      </c>
      <c r="W6" s="207">
        <v>10250</v>
      </c>
      <c r="X6" s="221">
        <v>42238</v>
      </c>
    </row>
    <row r="7" spans="1:25" ht="15.75" x14ac:dyDescent="0.25">
      <c r="A7" s="143">
        <v>42217</v>
      </c>
      <c r="B7" s="144" t="s">
        <v>586</v>
      </c>
      <c r="C7" s="156">
        <v>56807.9</v>
      </c>
      <c r="D7" s="104">
        <v>42228</v>
      </c>
      <c r="E7" s="156">
        <v>56807.9</v>
      </c>
      <c r="F7" s="154">
        <f t="shared" si="0"/>
        <v>0</v>
      </c>
      <c r="G7" s="105">
        <v>3</v>
      </c>
      <c r="H7" s="88">
        <f>37472+7934+58270</f>
        <v>103676</v>
      </c>
      <c r="I7" s="293" t="s">
        <v>570</v>
      </c>
      <c r="J7" s="207">
        <v>103676.19</v>
      </c>
      <c r="K7" s="130"/>
      <c r="L7" s="113" t="s">
        <v>461</v>
      </c>
      <c r="M7" s="214">
        <v>18131.5</v>
      </c>
      <c r="N7" s="221">
        <v>42215</v>
      </c>
      <c r="S7" s="144" t="s">
        <v>639</v>
      </c>
      <c r="T7" s="156">
        <v>2969.6</v>
      </c>
      <c r="U7" s="130"/>
      <c r="V7" s="235" t="s">
        <v>202</v>
      </c>
      <c r="W7" s="214">
        <v>77340</v>
      </c>
      <c r="X7" s="221">
        <v>42240</v>
      </c>
      <c r="Y7" s="21">
        <v>42239</v>
      </c>
    </row>
    <row r="8" spans="1:25" ht="15.75" x14ac:dyDescent="0.25">
      <c r="A8" s="143">
        <v>42218</v>
      </c>
      <c r="B8" s="144" t="s">
        <v>587</v>
      </c>
      <c r="C8" s="156">
        <v>62916.6</v>
      </c>
      <c r="D8" s="104">
        <v>42228</v>
      </c>
      <c r="E8" s="156">
        <v>62916.6</v>
      </c>
      <c r="F8" s="155">
        <f t="shared" si="0"/>
        <v>0</v>
      </c>
      <c r="G8" s="105">
        <v>4</v>
      </c>
      <c r="H8" s="103">
        <f>8707+6000+11473+6278</f>
        <v>32458</v>
      </c>
      <c r="I8" s="244" t="s">
        <v>584</v>
      </c>
      <c r="J8" s="245">
        <v>32457.8</v>
      </c>
      <c r="K8" s="207"/>
      <c r="L8" s="113" t="s">
        <v>461</v>
      </c>
      <c r="M8" s="207">
        <v>5216.5</v>
      </c>
      <c r="N8" s="221">
        <v>42215</v>
      </c>
      <c r="S8" s="144" t="s">
        <v>640</v>
      </c>
      <c r="T8" s="156">
        <v>31155.47</v>
      </c>
      <c r="U8" s="207"/>
      <c r="V8" s="235" t="s">
        <v>202</v>
      </c>
      <c r="W8" s="207">
        <v>52950</v>
      </c>
      <c r="X8" s="221">
        <v>42240</v>
      </c>
      <c r="Y8" s="21">
        <v>42240</v>
      </c>
    </row>
    <row r="9" spans="1:25" ht="15.75" x14ac:dyDescent="0.25">
      <c r="A9" s="243">
        <v>42220</v>
      </c>
      <c r="B9" s="244" t="s">
        <v>588</v>
      </c>
      <c r="C9" s="245">
        <v>60058.48</v>
      </c>
      <c r="D9" s="104">
        <v>42228</v>
      </c>
      <c r="E9" s="245">
        <v>60058.48</v>
      </c>
      <c r="F9" s="155">
        <f t="shared" si="0"/>
        <v>0</v>
      </c>
      <c r="G9" s="105">
        <v>5</v>
      </c>
      <c r="H9" s="43">
        <f>10170+19579.5</f>
        <v>29749.5</v>
      </c>
      <c r="I9" s="144" t="s">
        <v>585</v>
      </c>
      <c r="J9" s="156">
        <v>29749.599999999999</v>
      </c>
      <c r="K9" s="334"/>
      <c r="L9" s="113" t="s">
        <v>461</v>
      </c>
      <c r="M9" s="207">
        <v>9104</v>
      </c>
      <c r="N9" s="221">
        <v>42215</v>
      </c>
      <c r="S9" s="144" t="s">
        <v>645</v>
      </c>
      <c r="T9" s="156">
        <v>35777.199999999997</v>
      </c>
      <c r="U9" s="334" t="s">
        <v>361</v>
      </c>
      <c r="V9" s="235" t="s">
        <v>202</v>
      </c>
      <c r="W9" s="207">
        <v>32650</v>
      </c>
      <c r="X9" s="221">
        <v>42241</v>
      </c>
    </row>
    <row r="10" spans="1:25" ht="15.75" x14ac:dyDescent="0.25">
      <c r="A10" s="143">
        <v>42221</v>
      </c>
      <c r="B10" s="144" t="s">
        <v>589</v>
      </c>
      <c r="C10" s="156">
        <v>58059.8</v>
      </c>
      <c r="D10" s="104">
        <v>42228</v>
      </c>
      <c r="E10" s="156">
        <v>58059.8</v>
      </c>
      <c r="F10" s="155">
        <f t="shared" si="0"/>
        <v>0</v>
      </c>
      <c r="G10" s="105">
        <v>6</v>
      </c>
      <c r="H10" s="43">
        <f>46312.5+10495.5</f>
        <v>56808</v>
      </c>
      <c r="I10" s="144" t="s">
        <v>586</v>
      </c>
      <c r="J10" s="156">
        <v>56807.9</v>
      </c>
      <c r="K10" s="321"/>
      <c r="L10" s="113" t="s">
        <v>461</v>
      </c>
      <c r="M10" s="207">
        <v>37472</v>
      </c>
      <c r="N10" s="221">
        <v>42216</v>
      </c>
      <c r="S10" s="422"/>
      <c r="T10" s="423">
        <v>0</v>
      </c>
      <c r="U10" s="424"/>
      <c r="V10" s="425"/>
      <c r="W10" s="217">
        <v>0</v>
      </c>
      <c r="X10" s="426"/>
    </row>
    <row r="11" spans="1:25" ht="16.5" thickBot="1" x14ac:dyDescent="0.3">
      <c r="A11" s="143">
        <v>42222</v>
      </c>
      <c r="B11" s="144" t="s">
        <v>590</v>
      </c>
      <c r="C11" s="156">
        <v>65546.2</v>
      </c>
      <c r="D11" s="104">
        <v>42228</v>
      </c>
      <c r="E11" s="156">
        <v>65546.2</v>
      </c>
      <c r="F11" s="155">
        <f t="shared" si="0"/>
        <v>0</v>
      </c>
      <c r="G11" s="105">
        <v>7</v>
      </c>
      <c r="H11" s="43">
        <f>8850+14070.5+6834+6828+26334</f>
        <v>62916.5</v>
      </c>
      <c r="I11" s="144" t="s">
        <v>587</v>
      </c>
      <c r="J11" s="156">
        <v>62916.6</v>
      </c>
      <c r="K11" s="207"/>
      <c r="L11" s="113" t="s">
        <v>461</v>
      </c>
      <c r="M11" s="207">
        <v>7994</v>
      </c>
      <c r="N11" s="221">
        <v>42216</v>
      </c>
      <c r="S11" s="379"/>
      <c r="T11" s="380">
        <v>0</v>
      </c>
      <c r="U11" s="380"/>
      <c r="V11" s="235"/>
      <c r="W11" s="380">
        <v>0</v>
      </c>
      <c r="X11" s="381"/>
    </row>
    <row r="12" spans="1:25" ht="18.75" x14ac:dyDescent="0.3">
      <c r="A12" s="143">
        <v>42223</v>
      </c>
      <c r="B12" s="144" t="s">
        <v>591</v>
      </c>
      <c r="C12" s="156">
        <v>117296.4</v>
      </c>
      <c r="D12" s="104">
        <v>42228</v>
      </c>
      <c r="E12" s="156">
        <v>117296.4</v>
      </c>
      <c r="F12" s="155">
        <f t="shared" si="0"/>
        <v>0</v>
      </c>
      <c r="G12" s="105">
        <v>8</v>
      </c>
      <c r="H12" s="43">
        <f>1688+8967.5+25032.5+33928.5+6421.5+9053</f>
        <v>85091</v>
      </c>
      <c r="I12" s="244" t="s">
        <v>588</v>
      </c>
      <c r="J12" s="245">
        <v>60058.48</v>
      </c>
      <c r="K12" s="207"/>
      <c r="L12" s="113" t="s">
        <v>461</v>
      </c>
      <c r="M12" s="207">
        <v>7934</v>
      </c>
      <c r="N12" s="221">
        <v>42216</v>
      </c>
      <c r="T12" s="131">
        <f>SUM(T3:T11)</f>
        <v>300779</v>
      </c>
      <c r="U12" s="131"/>
      <c r="V12" s="131"/>
      <c r="W12" s="131">
        <f>SUM(W3:W11)</f>
        <v>300779</v>
      </c>
    </row>
    <row r="13" spans="1:25" ht="15.75" x14ac:dyDescent="0.25">
      <c r="A13" s="143">
        <v>42224</v>
      </c>
      <c r="B13" s="144" t="s">
        <v>592</v>
      </c>
      <c r="C13" s="156">
        <v>30484.16</v>
      </c>
      <c r="D13" s="104" t="s">
        <v>635</v>
      </c>
      <c r="E13" s="156">
        <f>13484.38+16999.78</f>
        <v>30484.159999999996</v>
      </c>
      <c r="F13" s="155">
        <f t="shared" si="0"/>
        <v>0</v>
      </c>
      <c r="G13" s="105">
        <v>9</v>
      </c>
      <c r="H13" s="43">
        <f>50329.5+7730</f>
        <v>58059.5</v>
      </c>
      <c r="I13" s="144" t="s">
        <v>589</v>
      </c>
      <c r="J13" s="156">
        <v>58059.8</v>
      </c>
      <c r="K13" s="207"/>
      <c r="L13" s="113" t="s">
        <v>461</v>
      </c>
      <c r="M13" s="207">
        <v>8707</v>
      </c>
      <c r="N13" s="221">
        <v>42217</v>
      </c>
      <c r="S13" s="105"/>
      <c r="T13" s="103"/>
      <c r="U13" s="88"/>
      <c r="V13" s="135"/>
      <c r="W13" s="88"/>
      <c r="X13" s="250"/>
    </row>
    <row r="14" spans="1:25" ht="15.75" x14ac:dyDescent="0.25">
      <c r="A14" s="143">
        <v>42225</v>
      </c>
      <c r="B14" s="144" t="s">
        <v>593</v>
      </c>
      <c r="C14" s="156">
        <v>2240</v>
      </c>
      <c r="D14" s="104">
        <v>42237</v>
      </c>
      <c r="E14" s="156">
        <v>2240</v>
      </c>
      <c r="F14" s="155">
        <f t="shared" si="0"/>
        <v>0</v>
      </c>
      <c r="G14" s="105">
        <v>10</v>
      </c>
      <c r="H14" s="43">
        <f>8287.5+9972.51+47286.51</f>
        <v>65546.52</v>
      </c>
      <c r="I14" s="144" t="s">
        <v>590</v>
      </c>
      <c r="J14" s="156">
        <v>65546.2</v>
      </c>
      <c r="K14" s="207"/>
      <c r="L14" s="113" t="s">
        <v>461</v>
      </c>
      <c r="M14" s="207">
        <v>6000</v>
      </c>
      <c r="N14" s="221">
        <v>42219</v>
      </c>
      <c r="O14" s="21">
        <v>42217</v>
      </c>
      <c r="S14" s="105"/>
      <c r="T14" s="103"/>
      <c r="U14" s="88"/>
      <c r="V14" s="135"/>
      <c r="W14" s="88"/>
      <c r="X14" s="250"/>
    </row>
    <row r="15" spans="1:25" ht="15.75" x14ac:dyDescent="0.25">
      <c r="A15" s="143">
        <v>42226</v>
      </c>
      <c r="B15" s="144" t="s">
        <v>594</v>
      </c>
      <c r="C15" s="156">
        <v>39984.199999999997</v>
      </c>
      <c r="D15" s="104">
        <v>42237</v>
      </c>
      <c r="E15" s="156">
        <v>39984.199999999997</v>
      </c>
      <c r="F15" s="155">
        <f t="shared" si="0"/>
        <v>0</v>
      </c>
      <c r="G15" s="105">
        <v>11</v>
      </c>
      <c r="H15" s="43">
        <f>6241.01+14937.5+53362.5+30077+6923</f>
        <v>111541.01000000001</v>
      </c>
      <c r="I15" s="144" t="s">
        <v>591</v>
      </c>
      <c r="J15" s="156">
        <v>117296.4</v>
      </c>
      <c r="K15" s="207"/>
      <c r="L15" s="113" t="s">
        <v>461</v>
      </c>
      <c r="M15" s="207">
        <v>11473</v>
      </c>
      <c r="N15" s="221">
        <v>42217</v>
      </c>
      <c r="S15" s="105"/>
      <c r="T15" s="103"/>
      <c r="U15" s="88"/>
      <c r="V15" s="135"/>
      <c r="W15" s="88"/>
      <c r="X15" s="250"/>
    </row>
    <row r="16" spans="1:25" ht="15.75" x14ac:dyDescent="0.25">
      <c r="A16" s="143">
        <v>42227</v>
      </c>
      <c r="B16" s="144" t="s">
        <v>598</v>
      </c>
      <c r="C16" s="156">
        <v>36129.86</v>
      </c>
      <c r="D16" s="104">
        <v>42237</v>
      </c>
      <c r="E16" s="156">
        <v>36129.86</v>
      </c>
      <c r="F16" s="155">
        <f t="shared" si="0"/>
        <v>0</v>
      </c>
      <c r="G16" s="105">
        <v>12</v>
      </c>
      <c r="H16" s="43">
        <v>0</v>
      </c>
      <c r="I16" s="144" t="s">
        <v>592</v>
      </c>
      <c r="J16" s="156">
        <v>13484.38</v>
      </c>
      <c r="K16" s="334" t="s">
        <v>242</v>
      </c>
      <c r="L16" s="113" t="s">
        <v>461</v>
      </c>
      <c r="M16" s="207">
        <v>58270</v>
      </c>
      <c r="N16" s="221">
        <v>42217</v>
      </c>
      <c r="S16" s="105"/>
      <c r="T16" s="103"/>
      <c r="U16" s="427"/>
      <c r="V16" s="135"/>
      <c r="W16" s="88"/>
      <c r="X16" s="250"/>
    </row>
    <row r="17" spans="1:24" ht="15.75" x14ac:dyDescent="0.25">
      <c r="A17" s="143">
        <v>42228</v>
      </c>
      <c r="B17" s="144" t="s">
        <v>611</v>
      </c>
      <c r="C17" s="156">
        <v>32883.86</v>
      </c>
      <c r="D17" s="104">
        <v>42237</v>
      </c>
      <c r="E17" s="156">
        <v>32883.86</v>
      </c>
      <c r="F17" s="155">
        <f t="shared" si="0"/>
        <v>0</v>
      </c>
      <c r="G17" s="105">
        <v>13</v>
      </c>
      <c r="H17" s="43">
        <f>SUM(H3:H16)</f>
        <v>706910.03</v>
      </c>
      <c r="I17" s="144"/>
      <c r="J17" s="156"/>
      <c r="K17" s="207"/>
      <c r="L17" s="113" t="s">
        <v>461</v>
      </c>
      <c r="M17" s="207">
        <v>10170</v>
      </c>
      <c r="N17" s="221">
        <v>42219</v>
      </c>
      <c r="S17" s="105"/>
      <c r="T17" s="103"/>
      <c r="U17" s="88"/>
      <c r="V17" s="135"/>
      <c r="W17" s="88"/>
      <c r="X17" s="250"/>
    </row>
    <row r="18" spans="1:24" ht="15.75" x14ac:dyDescent="0.25">
      <c r="A18" s="143">
        <v>42229</v>
      </c>
      <c r="B18" s="144" t="s">
        <v>618</v>
      </c>
      <c r="C18" s="156">
        <v>86653.440000000002</v>
      </c>
      <c r="D18" s="104">
        <v>42237</v>
      </c>
      <c r="E18" s="156">
        <v>86653.440000000002</v>
      </c>
      <c r="F18" s="155">
        <f t="shared" si="0"/>
        <v>0</v>
      </c>
      <c r="G18" s="105">
        <v>14</v>
      </c>
      <c r="I18" s="144"/>
      <c r="J18" s="156"/>
      <c r="K18" s="207"/>
      <c r="L18" s="113" t="s">
        <v>461</v>
      </c>
      <c r="M18" s="207">
        <v>19579.5</v>
      </c>
      <c r="N18" s="221">
        <v>42219</v>
      </c>
      <c r="O18" s="21">
        <v>42218</v>
      </c>
      <c r="S18" s="28"/>
      <c r="T18" s="88"/>
      <c r="U18" s="88"/>
      <c r="V18" s="135"/>
      <c r="W18" s="88"/>
      <c r="X18" s="250"/>
    </row>
    <row r="19" spans="1:24" ht="15.75" x14ac:dyDescent="0.25">
      <c r="A19" s="143">
        <v>42230</v>
      </c>
      <c r="B19" s="144" t="s">
        <v>619</v>
      </c>
      <c r="C19" s="156">
        <v>59585.62</v>
      </c>
      <c r="D19" s="104">
        <v>42237</v>
      </c>
      <c r="E19" s="156">
        <v>59585.62</v>
      </c>
      <c r="F19" s="155">
        <f t="shared" si="0"/>
        <v>0</v>
      </c>
      <c r="G19" s="105">
        <v>15</v>
      </c>
      <c r="I19" s="144"/>
      <c r="J19" s="156"/>
      <c r="K19" s="207"/>
      <c r="L19" s="113" t="s">
        <v>461</v>
      </c>
      <c r="M19" s="207">
        <v>6278</v>
      </c>
      <c r="N19" s="221">
        <v>42219</v>
      </c>
      <c r="O19" s="21">
        <v>42218</v>
      </c>
    </row>
    <row r="20" spans="1:24" ht="15.75" x14ac:dyDescent="0.25">
      <c r="A20" s="143">
        <v>42231</v>
      </c>
      <c r="B20" s="144" t="s">
        <v>620</v>
      </c>
      <c r="C20" s="156">
        <v>124562.4</v>
      </c>
      <c r="D20" s="104">
        <v>42237</v>
      </c>
      <c r="E20" s="156">
        <v>124562.4</v>
      </c>
      <c r="F20" s="155">
        <f t="shared" si="0"/>
        <v>0</v>
      </c>
      <c r="G20" s="105">
        <v>16</v>
      </c>
      <c r="I20" s="144"/>
      <c r="J20" s="156"/>
      <c r="K20" s="207"/>
      <c r="L20" s="113" t="s">
        <v>461</v>
      </c>
      <c r="M20" s="207">
        <v>46312.5</v>
      </c>
      <c r="N20" s="221">
        <v>42219</v>
      </c>
      <c r="O20" s="21">
        <v>42218</v>
      </c>
    </row>
    <row r="21" spans="1:24" ht="15.75" x14ac:dyDescent="0.25">
      <c r="A21" s="143">
        <v>42233</v>
      </c>
      <c r="B21" s="144" t="s">
        <v>621</v>
      </c>
      <c r="C21" s="156">
        <v>36409.9</v>
      </c>
      <c r="D21" s="104">
        <v>42237</v>
      </c>
      <c r="E21" s="156">
        <v>36409.9</v>
      </c>
      <c r="F21" s="155">
        <f t="shared" ref="F21:F37" si="1">C21-E21</f>
        <v>0</v>
      </c>
      <c r="G21" s="105">
        <v>17</v>
      </c>
      <c r="I21" s="144"/>
      <c r="J21" s="156"/>
      <c r="K21" s="207"/>
      <c r="L21" s="113" t="s">
        <v>461</v>
      </c>
      <c r="M21" s="207">
        <v>8850</v>
      </c>
      <c r="N21" s="221">
        <v>42220</v>
      </c>
      <c r="O21" s="21">
        <v>42219</v>
      </c>
    </row>
    <row r="22" spans="1:24" ht="15.75" x14ac:dyDescent="0.25">
      <c r="A22" s="143">
        <v>42234</v>
      </c>
      <c r="B22" s="144" t="s">
        <v>622</v>
      </c>
      <c r="C22" s="157">
        <v>33416.6</v>
      </c>
      <c r="D22" s="104">
        <v>42237</v>
      </c>
      <c r="E22" s="157">
        <v>33416.6</v>
      </c>
      <c r="F22" s="155">
        <f t="shared" si="1"/>
        <v>0</v>
      </c>
      <c r="G22" s="105">
        <v>18</v>
      </c>
      <c r="I22" s="144"/>
      <c r="J22" s="156"/>
      <c r="K22" s="260"/>
      <c r="L22" s="113" t="s">
        <v>461</v>
      </c>
      <c r="M22" s="207">
        <v>14070.5</v>
      </c>
      <c r="N22" s="221">
        <v>42219</v>
      </c>
    </row>
    <row r="23" spans="1:24" ht="15.75" x14ac:dyDescent="0.25">
      <c r="A23" s="143">
        <v>42235</v>
      </c>
      <c r="B23" s="144" t="s">
        <v>623</v>
      </c>
      <c r="C23" s="130">
        <v>58549.52</v>
      </c>
      <c r="D23" s="104">
        <v>42237</v>
      </c>
      <c r="E23" s="130">
        <v>58549.52</v>
      </c>
      <c r="F23" s="155">
        <f t="shared" si="1"/>
        <v>0</v>
      </c>
      <c r="G23" s="105">
        <v>19</v>
      </c>
      <c r="I23" s="144"/>
      <c r="J23" s="156"/>
      <c r="K23" s="130"/>
      <c r="L23" s="113" t="s">
        <v>461</v>
      </c>
      <c r="M23" s="207">
        <v>10495.5</v>
      </c>
      <c r="N23" s="221">
        <v>42219</v>
      </c>
    </row>
    <row r="24" spans="1:24" ht="15.75" x14ac:dyDescent="0.25">
      <c r="A24" s="143">
        <v>42236</v>
      </c>
      <c r="B24" s="144" t="s">
        <v>624</v>
      </c>
      <c r="C24" s="156">
        <v>121957.31</v>
      </c>
      <c r="D24" s="328" t="s">
        <v>646</v>
      </c>
      <c r="E24" s="156">
        <f>23124.92+98832.39</f>
        <v>121957.31</v>
      </c>
      <c r="F24" s="155">
        <f t="shared" si="1"/>
        <v>0</v>
      </c>
      <c r="G24" s="105">
        <v>20</v>
      </c>
      <c r="I24" s="144"/>
      <c r="J24" s="156"/>
      <c r="K24" s="207"/>
      <c r="L24" s="113" t="s">
        <v>461</v>
      </c>
      <c r="M24" s="214">
        <v>6834</v>
      </c>
      <c r="N24" s="221">
        <v>42219</v>
      </c>
    </row>
    <row r="25" spans="1:24" ht="15.75" x14ac:dyDescent="0.25">
      <c r="A25" s="143">
        <v>42236</v>
      </c>
      <c r="B25" s="144" t="s">
        <v>648</v>
      </c>
      <c r="C25" s="156">
        <v>2328</v>
      </c>
      <c r="D25" s="320">
        <v>42248</v>
      </c>
      <c r="E25" s="383">
        <v>2328</v>
      </c>
      <c r="F25" s="155">
        <f t="shared" si="1"/>
        <v>0</v>
      </c>
      <c r="G25" s="105">
        <v>21</v>
      </c>
      <c r="I25" s="144"/>
      <c r="J25" s="156"/>
      <c r="K25" s="207"/>
      <c r="L25" s="113" t="s">
        <v>461</v>
      </c>
      <c r="M25" s="207">
        <v>6828</v>
      </c>
      <c r="N25" s="221">
        <v>42220</v>
      </c>
    </row>
    <row r="26" spans="1:24" ht="15.75" x14ac:dyDescent="0.25">
      <c r="A26" s="143">
        <v>42237</v>
      </c>
      <c r="B26" s="144" t="s">
        <v>636</v>
      </c>
      <c r="C26" s="156">
        <v>63505.84</v>
      </c>
      <c r="D26" s="104">
        <v>42243</v>
      </c>
      <c r="E26" s="156">
        <v>63505.84</v>
      </c>
      <c r="F26" s="155">
        <f t="shared" si="1"/>
        <v>0</v>
      </c>
      <c r="G26" s="105">
        <v>22</v>
      </c>
      <c r="I26" s="264"/>
      <c r="J26" s="207"/>
      <c r="K26" s="207"/>
      <c r="L26" s="113" t="s">
        <v>461</v>
      </c>
      <c r="M26" s="207">
        <v>1688</v>
      </c>
      <c r="N26" s="221">
        <v>42220</v>
      </c>
    </row>
    <row r="27" spans="1:24" ht="15.75" x14ac:dyDescent="0.25">
      <c r="A27" s="143">
        <v>42238</v>
      </c>
      <c r="B27" s="144" t="s">
        <v>637</v>
      </c>
      <c r="C27" s="156">
        <v>63775.5</v>
      </c>
      <c r="D27" s="104">
        <v>42243</v>
      </c>
      <c r="E27" s="156">
        <v>63775.5</v>
      </c>
      <c r="F27" s="155">
        <f t="shared" si="1"/>
        <v>0</v>
      </c>
      <c r="G27" s="105">
        <v>23</v>
      </c>
      <c r="I27" s="264"/>
      <c r="J27" s="130"/>
      <c r="K27" s="130"/>
      <c r="L27" s="113" t="s">
        <v>461</v>
      </c>
      <c r="M27" s="207">
        <v>26334</v>
      </c>
      <c r="N27" s="221">
        <v>42220</v>
      </c>
    </row>
    <row r="28" spans="1:24" ht="15.75" x14ac:dyDescent="0.25">
      <c r="A28" s="143">
        <v>42238</v>
      </c>
      <c r="B28" s="144" t="s">
        <v>638</v>
      </c>
      <c r="C28" s="156">
        <v>4762.8</v>
      </c>
      <c r="D28" s="104">
        <v>42243</v>
      </c>
      <c r="E28" s="156">
        <v>4762.8</v>
      </c>
      <c r="F28" s="155">
        <f t="shared" si="1"/>
        <v>0</v>
      </c>
      <c r="G28" s="105">
        <v>24</v>
      </c>
      <c r="I28" s="193"/>
      <c r="J28" s="207"/>
      <c r="K28" s="207"/>
      <c r="L28" s="113" t="s">
        <v>461</v>
      </c>
      <c r="M28" s="207">
        <v>8967.5</v>
      </c>
      <c r="N28" s="221">
        <v>42221</v>
      </c>
    </row>
    <row r="29" spans="1:24" ht="15.75" x14ac:dyDescent="0.25">
      <c r="A29" s="143">
        <v>42239</v>
      </c>
      <c r="B29" s="144" t="s">
        <v>639</v>
      </c>
      <c r="C29" s="156">
        <v>2969.6</v>
      </c>
      <c r="D29" s="104">
        <v>42243</v>
      </c>
      <c r="E29" s="156">
        <v>2969.6</v>
      </c>
      <c r="F29" s="155">
        <f t="shared" si="1"/>
        <v>0</v>
      </c>
      <c r="G29" s="105">
        <v>25</v>
      </c>
      <c r="I29" s="193"/>
      <c r="J29" s="207"/>
      <c r="K29" s="207"/>
      <c r="L29" s="113" t="s">
        <v>461</v>
      </c>
      <c r="M29" s="214">
        <v>25032.5</v>
      </c>
      <c r="N29" s="221">
        <v>42221</v>
      </c>
    </row>
    <row r="30" spans="1:24" ht="15.75" x14ac:dyDescent="0.25">
      <c r="A30" s="143">
        <v>42240</v>
      </c>
      <c r="B30" s="144" t="s">
        <v>640</v>
      </c>
      <c r="C30" s="156">
        <v>31155.47</v>
      </c>
      <c r="D30" s="104">
        <v>42243</v>
      </c>
      <c r="E30" s="156">
        <v>31155.47</v>
      </c>
      <c r="F30" s="155">
        <f t="shared" si="1"/>
        <v>0</v>
      </c>
      <c r="G30" s="105">
        <v>26</v>
      </c>
      <c r="I30" s="193"/>
      <c r="J30" s="207"/>
      <c r="K30" s="207"/>
      <c r="L30" s="113" t="s">
        <v>461</v>
      </c>
      <c r="M30" s="207">
        <v>33928.5</v>
      </c>
      <c r="N30" s="221">
        <v>42222</v>
      </c>
    </row>
    <row r="31" spans="1:24" ht="15.75" x14ac:dyDescent="0.25">
      <c r="A31" s="143">
        <v>42241</v>
      </c>
      <c r="B31" s="144" t="s">
        <v>645</v>
      </c>
      <c r="C31" s="156">
        <v>64986.9</v>
      </c>
      <c r="D31" s="437" t="s">
        <v>660</v>
      </c>
      <c r="E31" s="184">
        <f>35777.2+29209.7</f>
        <v>64986.899999999994</v>
      </c>
      <c r="F31" s="155">
        <f t="shared" si="1"/>
        <v>0</v>
      </c>
      <c r="G31" s="105">
        <v>27</v>
      </c>
      <c r="I31" s="193"/>
      <c r="J31" s="207"/>
      <c r="K31" s="207"/>
      <c r="L31" s="113" t="s">
        <v>461</v>
      </c>
      <c r="M31" s="207">
        <v>6421.5</v>
      </c>
      <c r="N31" s="221">
        <v>42222</v>
      </c>
    </row>
    <row r="32" spans="1:24" ht="15.75" x14ac:dyDescent="0.25">
      <c r="A32" s="143">
        <v>42242</v>
      </c>
      <c r="B32" s="144" t="s">
        <v>649</v>
      </c>
      <c r="C32" s="156">
        <v>71144.31</v>
      </c>
      <c r="D32" s="320">
        <v>42248</v>
      </c>
      <c r="E32" s="318">
        <v>71144.31</v>
      </c>
      <c r="F32" s="155">
        <f t="shared" si="1"/>
        <v>0</v>
      </c>
      <c r="G32" s="105">
        <v>28</v>
      </c>
      <c r="I32" s="206"/>
      <c r="J32" s="207"/>
      <c r="K32" s="207"/>
      <c r="L32" s="113" t="s">
        <v>461</v>
      </c>
      <c r="M32" s="207">
        <v>50329.5</v>
      </c>
      <c r="N32" s="221">
        <v>42223</v>
      </c>
    </row>
    <row r="33" spans="1:15" ht="15.75" x14ac:dyDescent="0.25">
      <c r="A33" s="143">
        <v>42243</v>
      </c>
      <c r="B33" s="144" t="s">
        <v>647</v>
      </c>
      <c r="C33" s="156">
        <v>10385.6</v>
      </c>
      <c r="D33" s="320">
        <v>42248</v>
      </c>
      <c r="E33" s="184">
        <v>10385.6</v>
      </c>
      <c r="F33" s="155">
        <f t="shared" si="1"/>
        <v>0</v>
      </c>
      <c r="G33" s="105">
        <v>29</v>
      </c>
      <c r="I33" s="206"/>
      <c r="J33" s="207"/>
      <c r="K33" s="207"/>
      <c r="L33" s="113" t="s">
        <v>461</v>
      </c>
      <c r="M33" s="207">
        <v>9053</v>
      </c>
      <c r="N33" s="222">
        <v>42223</v>
      </c>
    </row>
    <row r="34" spans="1:15" ht="15.75" x14ac:dyDescent="0.25">
      <c r="A34" s="143">
        <v>42244</v>
      </c>
      <c r="B34" s="144" t="s">
        <v>650</v>
      </c>
      <c r="C34" s="156">
        <v>65898.2</v>
      </c>
      <c r="D34" s="320">
        <v>42248</v>
      </c>
      <c r="E34" s="184">
        <v>65898.2</v>
      </c>
      <c r="F34" s="155">
        <f t="shared" si="1"/>
        <v>0</v>
      </c>
      <c r="G34" s="105">
        <v>30</v>
      </c>
      <c r="I34" s="193"/>
      <c r="J34" s="207"/>
      <c r="K34" s="207"/>
      <c r="L34" s="113" t="s">
        <v>461</v>
      </c>
      <c r="M34" s="207">
        <v>8287.5</v>
      </c>
      <c r="N34" s="221">
        <v>42223</v>
      </c>
    </row>
    <row r="35" spans="1:15" ht="15.75" x14ac:dyDescent="0.25">
      <c r="A35" s="143">
        <v>42245</v>
      </c>
      <c r="B35" s="144" t="s">
        <v>651</v>
      </c>
      <c r="C35" s="156">
        <v>41616.15</v>
      </c>
      <c r="D35" s="320" t="s">
        <v>692</v>
      </c>
      <c r="E35" s="184">
        <f>36534.19+5081.96</f>
        <v>41616.15</v>
      </c>
      <c r="F35" s="155">
        <f t="shared" si="1"/>
        <v>0</v>
      </c>
      <c r="G35" s="105">
        <v>31</v>
      </c>
      <c r="I35" s="119"/>
      <c r="J35" s="121"/>
      <c r="K35" s="121"/>
      <c r="L35" s="113" t="s">
        <v>461</v>
      </c>
      <c r="M35" s="121">
        <v>7730</v>
      </c>
      <c r="N35" s="222">
        <v>42223</v>
      </c>
    </row>
    <row r="36" spans="1:15" ht="15.75" x14ac:dyDescent="0.25">
      <c r="A36" s="143">
        <v>42245</v>
      </c>
      <c r="B36" s="292" t="s">
        <v>652</v>
      </c>
      <c r="C36" s="157">
        <v>30954</v>
      </c>
      <c r="D36" s="320">
        <v>42258</v>
      </c>
      <c r="E36" s="184">
        <v>30954</v>
      </c>
      <c r="F36" s="155">
        <f t="shared" si="1"/>
        <v>0</v>
      </c>
      <c r="G36" s="105">
        <v>32</v>
      </c>
      <c r="I36" s="119"/>
      <c r="J36" s="121"/>
      <c r="K36" s="121"/>
      <c r="L36" s="113" t="s">
        <v>461</v>
      </c>
      <c r="M36" s="121">
        <v>9972.51</v>
      </c>
      <c r="N36" s="222">
        <v>42224</v>
      </c>
    </row>
    <row r="37" spans="1:15" ht="15.75" x14ac:dyDescent="0.25">
      <c r="A37" s="143">
        <v>42246</v>
      </c>
      <c r="B37" s="292" t="s">
        <v>653</v>
      </c>
      <c r="C37" s="157">
        <v>31631.37</v>
      </c>
      <c r="D37" s="320">
        <v>42258</v>
      </c>
      <c r="E37" s="318">
        <v>31631.37</v>
      </c>
      <c r="F37" s="155">
        <f t="shared" si="1"/>
        <v>0</v>
      </c>
      <c r="G37" s="105">
        <v>33</v>
      </c>
      <c r="I37" s="119"/>
      <c r="J37" s="119"/>
      <c r="K37" s="119"/>
      <c r="L37" s="113" t="s">
        <v>461</v>
      </c>
      <c r="M37" s="121">
        <v>6241.01</v>
      </c>
      <c r="N37" s="222">
        <v>42224</v>
      </c>
    </row>
    <row r="38" spans="1:15" ht="15.75" x14ac:dyDescent="0.25">
      <c r="A38" s="143">
        <v>42247</v>
      </c>
      <c r="B38" s="293" t="s">
        <v>659</v>
      </c>
      <c r="C38" s="207">
        <v>31813.61</v>
      </c>
      <c r="D38" s="320">
        <v>42258</v>
      </c>
      <c r="E38" s="384">
        <v>31813.61</v>
      </c>
      <c r="F38" s="207">
        <f t="shared" si="0"/>
        <v>0</v>
      </c>
      <c r="G38" s="105">
        <v>34</v>
      </c>
      <c r="I38" s="119"/>
      <c r="J38" s="119"/>
      <c r="K38" s="119"/>
      <c r="L38" s="113" t="s">
        <v>461</v>
      </c>
      <c r="M38" s="121">
        <v>47286.51</v>
      </c>
      <c r="N38" s="222">
        <v>42224</v>
      </c>
    </row>
    <row r="39" spans="1:15" ht="15.75" x14ac:dyDescent="0.25">
      <c r="A39" s="143"/>
      <c r="B39" s="307"/>
      <c r="C39" s="207"/>
      <c r="D39" s="408"/>
      <c r="E39" s="207"/>
      <c r="F39" s="207">
        <f t="shared" si="0"/>
        <v>0</v>
      </c>
      <c r="I39" s="119"/>
      <c r="J39" s="119"/>
      <c r="K39" s="119"/>
      <c r="L39" s="113" t="s">
        <v>461</v>
      </c>
      <c r="M39" s="121">
        <v>14937.5</v>
      </c>
      <c r="N39" s="222">
        <v>42226</v>
      </c>
      <c r="O39" s="21">
        <v>42225</v>
      </c>
    </row>
    <row r="40" spans="1:15" ht="15.75" x14ac:dyDescent="0.25">
      <c r="A40" s="143"/>
      <c r="B40" s="409"/>
      <c r="C40" s="207"/>
      <c r="D40" s="226"/>
      <c r="E40" s="332"/>
      <c r="F40" s="207"/>
      <c r="I40" s="206"/>
      <c r="J40" s="207"/>
      <c r="K40" s="207"/>
      <c r="L40" s="113" t="s">
        <v>461</v>
      </c>
      <c r="M40" s="207">
        <v>53362.5</v>
      </c>
      <c r="N40" s="221">
        <v>42226</v>
      </c>
      <c r="O40" s="21">
        <v>42225</v>
      </c>
    </row>
    <row r="41" spans="1:15" ht="15.75" x14ac:dyDescent="0.25">
      <c r="A41" s="406"/>
      <c r="B41" s="291"/>
      <c r="C41" s="150"/>
      <c r="D41" s="159"/>
      <c r="E41" s="150"/>
      <c r="F41" s="207"/>
      <c r="I41" s="206"/>
      <c r="J41" s="207"/>
      <c r="K41" s="207"/>
      <c r="L41" s="113" t="s">
        <v>461</v>
      </c>
      <c r="M41" s="207">
        <v>30077</v>
      </c>
      <c r="N41" s="221">
        <v>42226</v>
      </c>
    </row>
    <row r="42" spans="1:15" ht="15.75" x14ac:dyDescent="0.25">
      <c r="A42" s="285"/>
      <c r="B42" s="290"/>
      <c r="C42" s="150"/>
      <c r="D42" s="300"/>
      <c r="E42" s="121"/>
      <c r="F42" s="207"/>
      <c r="I42" s="206"/>
      <c r="J42" s="207"/>
      <c r="K42" s="207"/>
      <c r="L42" s="113" t="s">
        <v>461</v>
      </c>
      <c r="M42" s="207">
        <v>6923</v>
      </c>
      <c r="N42" s="221">
        <v>42226</v>
      </c>
    </row>
    <row r="43" spans="1:15" ht="15.75" x14ac:dyDescent="0.25">
      <c r="A43" s="285"/>
      <c r="B43" s="290"/>
      <c r="C43" s="150"/>
      <c r="D43" s="150"/>
      <c r="E43" s="121"/>
      <c r="F43" s="207"/>
      <c r="H43" s="49"/>
      <c r="I43" s="206"/>
      <c r="J43" s="207"/>
      <c r="K43" s="207"/>
      <c r="L43" s="113" t="s">
        <v>461</v>
      </c>
      <c r="M43" s="207"/>
      <c r="N43" s="221"/>
    </row>
    <row r="44" spans="1:15" ht="16.5" thickBot="1" x14ac:dyDescent="0.3">
      <c r="A44" s="285"/>
      <c r="B44" s="290"/>
      <c r="C44" s="150"/>
      <c r="D44" s="150"/>
      <c r="E44" s="121"/>
      <c r="F44" s="207"/>
      <c r="H44" s="49"/>
      <c r="I44" s="379"/>
      <c r="J44" s="380"/>
      <c r="K44" s="380"/>
      <c r="L44" s="235" t="s">
        <v>461</v>
      </c>
      <c r="M44" s="380">
        <v>0</v>
      </c>
      <c r="N44" s="381"/>
    </row>
    <row r="45" spans="1:15" ht="18.75" x14ac:dyDescent="0.3">
      <c r="A45" s="406"/>
      <c r="B45" s="291"/>
      <c r="C45" s="150"/>
      <c r="D45" s="119"/>
      <c r="E45" s="150"/>
      <c r="F45" s="332"/>
      <c r="H45" s="49"/>
      <c r="J45" s="131">
        <f>SUM(J3:J36)</f>
        <v>706910.02999999991</v>
      </c>
      <c r="K45" s="131"/>
      <c r="L45" s="131"/>
      <c r="M45" s="131">
        <f>SUM(M3:M44)</f>
        <v>706910.03</v>
      </c>
    </row>
    <row r="46" spans="1:15" x14ac:dyDescent="0.25">
      <c r="A46" s="406"/>
      <c r="B46" s="291"/>
      <c r="C46" s="150"/>
      <c r="D46" s="119"/>
      <c r="E46" s="150"/>
      <c r="F46" s="332"/>
      <c r="H46" s="49"/>
    </row>
    <row r="47" spans="1:15" x14ac:dyDescent="0.25">
      <c r="A47" s="406"/>
      <c r="B47" s="291"/>
      <c r="C47" s="150"/>
      <c r="D47" s="119"/>
      <c r="E47" s="150"/>
      <c r="F47" s="332"/>
      <c r="H47" s="49"/>
    </row>
    <row r="48" spans="1:15" ht="15.75" x14ac:dyDescent="0.25">
      <c r="A48" s="406"/>
      <c r="B48" s="291"/>
      <c r="C48" s="150"/>
      <c r="D48" s="119"/>
      <c r="E48" s="150"/>
      <c r="F48" s="332"/>
      <c r="H48" s="49"/>
      <c r="I48" s="104"/>
      <c r="J48" s="421">
        <v>42237</v>
      </c>
      <c r="K48" s="215"/>
      <c r="L48" s="134" t="s">
        <v>200</v>
      </c>
      <c r="M48" s="88"/>
    </row>
    <row r="49" spans="1:15" ht="15.75" thickBot="1" x14ac:dyDescent="0.3">
      <c r="A49" s="406"/>
      <c r="B49" s="289"/>
      <c r="C49" s="150"/>
      <c r="D49" s="119"/>
      <c r="E49" s="150"/>
      <c r="F49" s="332"/>
      <c r="H49" s="49"/>
      <c r="I49" s="413"/>
      <c r="J49" s="414"/>
      <c r="K49" s="414"/>
      <c r="L49" s="414"/>
      <c r="M49" s="415"/>
      <c r="N49" s="18"/>
    </row>
    <row r="50" spans="1:15" ht="17.25" thickTop="1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49">
        <f>13644.52+5755.55+8616.5+8223.02</f>
        <v>36239.589999999997</v>
      </c>
      <c r="I50" s="244" t="s">
        <v>592</v>
      </c>
      <c r="J50" s="245">
        <v>16999.78</v>
      </c>
      <c r="K50" s="410"/>
      <c r="L50" s="235" t="s">
        <v>202</v>
      </c>
      <c r="M50" s="411">
        <v>13644.52</v>
      </c>
      <c r="N50" s="412">
        <v>42227</v>
      </c>
      <c r="O50" s="21">
        <v>42226</v>
      </c>
    </row>
    <row r="51" spans="1:15" ht="16.5" thickTop="1" x14ac:dyDescent="0.25">
      <c r="C51" s="58">
        <f>SUM(C5:C50)</f>
        <v>1662677.0000000005</v>
      </c>
      <c r="D51" s="58"/>
      <c r="E51" s="58">
        <f>SUM(E5:E50)</f>
        <v>1662677.0000000005</v>
      </c>
      <c r="F51" s="242">
        <f>SUM(F5:F50)</f>
        <v>0</v>
      </c>
      <c r="H51" s="49">
        <v>2240</v>
      </c>
      <c r="I51" s="144" t="s">
        <v>593</v>
      </c>
      <c r="J51" s="156">
        <v>2240</v>
      </c>
      <c r="K51" s="207"/>
      <c r="L51" s="235" t="s">
        <v>202</v>
      </c>
      <c r="M51" s="207">
        <v>5755.55</v>
      </c>
      <c r="N51" s="221">
        <v>42227</v>
      </c>
      <c r="O51" s="21">
        <v>42226</v>
      </c>
    </row>
    <row r="52" spans="1:15" ht="15.75" x14ac:dyDescent="0.25">
      <c r="A52" s="405"/>
      <c r="B52"/>
      <c r="D52"/>
      <c r="E52" s="43"/>
      <c r="H52" s="49">
        <f>25520.5+12438+2025.5</f>
        <v>39984</v>
      </c>
      <c r="I52" s="144" t="s">
        <v>594</v>
      </c>
      <c r="J52" s="156">
        <v>39984.199999999997</v>
      </c>
      <c r="K52" s="207"/>
      <c r="L52" s="235" t="s">
        <v>202</v>
      </c>
      <c r="M52" s="207">
        <v>34137.01</v>
      </c>
      <c r="N52" s="221">
        <v>42227</v>
      </c>
    </row>
    <row r="53" spans="1:15" ht="15.75" x14ac:dyDescent="0.25">
      <c r="A53" s="405"/>
      <c r="B53"/>
      <c r="D53"/>
      <c r="E53" s="43"/>
      <c r="H53" s="49">
        <f>24146.5+1509</f>
        <v>25655.5</v>
      </c>
      <c r="I53" s="144" t="s">
        <v>598</v>
      </c>
      <c r="J53" s="156">
        <v>36129.86</v>
      </c>
      <c r="K53" s="130"/>
      <c r="L53" s="235" t="s">
        <v>202</v>
      </c>
      <c r="M53" s="207">
        <v>8223.02</v>
      </c>
      <c r="N53" s="221">
        <v>42227</v>
      </c>
    </row>
    <row r="54" spans="1:15" ht="15.75" x14ac:dyDescent="0.25">
      <c r="A54" s="405"/>
      <c r="B54"/>
      <c r="D54"/>
      <c r="E54" s="43"/>
      <c r="H54" s="49">
        <f>31096.5+10474.5+1787.5</f>
        <v>43358.5</v>
      </c>
      <c r="I54" s="144" t="s">
        <v>611</v>
      </c>
      <c r="J54" s="156">
        <v>32883.86</v>
      </c>
      <c r="K54" s="130"/>
      <c r="L54" s="235" t="s">
        <v>202</v>
      </c>
      <c r="M54" s="214">
        <v>40850</v>
      </c>
      <c r="N54" s="221">
        <v>42228</v>
      </c>
    </row>
    <row r="55" spans="1:15" ht="15.75" x14ac:dyDescent="0.25">
      <c r="A55" s="405"/>
      <c r="B55"/>
      <c r="D55"/>
      <c r="E55" s="43" t="s">
        <v>12</v>
      </c>
      <c r="H55" s="49">
        <f>61727.5+7085+10353+7488</f>
        <v>86653.5</v>
      </c>
      <c r="I55" s="144" t="s">
        <v>618</v>
      </c>
      <c r="J55" s="156">
        <v>86653.440000000002</v>
      </c>
      <c r="K55" s="207"/>
      <c r="L55" s="235" t="s">
        <v>202</v>
      </c>
      <c r="M55" s="207">
        <v>43080</v>
      </c>
      <c r="N55" s="221">
        <v>42229</v>
      </c>
    </row>
    <row r="56" spans="1:15" ht="15.75" x14ac:dyDescent="0.25">
      <c r="A56" s="405"/>
      <c r="B56"/>
      <c r="D56"/>
      <c r="E56" s="43"/>
      <c r="H56" s="49">
        <f>5918+36579+7168.5+9920</f>
        <v>59585.5</v>
      </c>
      <c r="I56" s="144" t="s">
        <v>619</v>
      </c>
      <c r="J56" s="156">
        <v>59585.62</v>
      </c>
      <c r="K56" s="334"/>
      <c r="L56" s="235" t="s">
        <v>202</v>
      </c>
      <c r="M56" s="207">
        <v>70600</v>
      </c>
      <c r="N56" s="221">
        <v>42230</v>
      </c>
    </row>
    <row r="57" spans="1:15" ht="15.75" x14ac:dyDescent="0.25">
      <c r="A57" s="405"/>
      <c r="B57"/>
      <c r="D57"/>
      <c r="E57" s="43"/>
      <c r="H57" s="49">
        <f>42959.5+68391.5+7308.5+5903</f>
        <v>124562.5</v>
      </c>
      <c r="I57" s="144" t="s">
        <v>620</v>
      </c>
      <c r="J57" s="156">
        <v>124562.4</v>
      </c>
      <c r="K57" s="321"/>
      <c r="L57" s="235" t="s">
        <v>202</v>
      </c>
      <c r="M57" s="207">
        <v>60800</v>
      </c>
      <c r="N57" s="221">
        <v>42231</v>
      </c>
    </row>
    <row r="58" spans="1:15" ht="15.75" x14ac:dyDescent="0.25">
      <c r="A58" s="405"/>
      <c r="B58"/>
      <c r="D58"/>
      <c r="E58" s="43"/>
      <c r="H58" s="49">
        <f>5000+16411.5+6174</f>
        <v>27585.5</v>
      </c>
      <c r="I58" s="144" t="s">
        <v>621</v>
      </c>
      <c r="J58" s="156">
        <v>36409.9</v>
      </c>
      <c r="K58" s="207"/>
      <c r="L58" s="235" t="s">
        <v>202</v>
      </c>
      <c r="M58" s="207">
        <v>75700</v>
      </c>
      <c r="N58" s="221">
        <v>42233</v>
      </c>
      <c r="O58" s="21">
        <v>42232</v>
      </c>
    </row>
    <row r="59" spans="1:15" ht="15.75" x14ac:dyDescent="0.25">
      <c r="A59" s="405"/>
      <c r="B59"/>
      <c r="D59"/>
      <c r="E59" s="43"/>
      <c r="H59" s="49">
        <f>8050+9324.5+19301.6+6065.5</f>
        <v>42741.599999999999</v>
      </c>
      <c r="I59" s="144" t="s">
        <v>622</v>
      </c>
      <c r="J59" s="157">
        <v>33416.6</v>
      </c>
      <c r="K59" s="207"/>
      <c r="L59" s="235" t="s">
        <v>202</v>
      </c>
      <c r="M59" s="207">
        <v>48400</v>
      </c>
      <c r="N59" s="221">
        <v>42233</v>
      </c>
    </row>
    <row r="60" spans="1:15" ht="15.75" x14ac:dyDescent="0.25">
      <c r="A60" s="405"/>
      <c r="B60"/>
      <c r="D60"/>
      <c r="E60" s="43"/>
      <c r="H60" s="49">
        <f>52276</f>
        <v>52276</v>
      </c>
      <c r="I60" s="144" t="s">
        <v>623</v>
      </c>
      <c r="J60" s="130">
        <v>58549.52</v>
      </c>
      <c r="K60" s="207"/>
      <c r="L60" s="235" t="s">
        <v>202</v>
      </c>
      <c r="M60" s="207">
        <v>5000</v>
      </c>
      <c r="N60" s="221">
        <v>42231</v>
      </c>
      <c r="O60" s="21">
        <v>42234</v>
      </c>
    </row>
    <row r="61" spans="1:15" ht="15.75" x14ac:dyDescent="0.25">
      <c r="A61" s="405"/>
      <c r="B61"/>
      <c r="D61"/>
      <c r="E61" s="43"/>
      <c r="H61" s="49">
        <f>3385</f>
        <v>3385</v>
      </c>
      <c r="I61" s="144" t="s">
        <v>624</v>
      </c>
      <c r="J61" s="156">
        <v>23124.92</v>
      </c>
      <c r="K61" s="207" t="s">
        <v>361</v>
      </c>
      <c r="L61" s="235" t="s">
        <v>202</v>
      </c>
      <c r="M61" s="207">
        <v>33500</v>
      </c>
      <c r="N61" s="221">
        <v>42234</v>
      </c>
    </row>
    <row r="62" spans="1:15" ht="15.75" x14ac:dyDescent="0.25">
      <c r="A62" s="405"/>
      <c r="B62"/>
      <c r="D62"/>
      <c r="E62" s="43"/>
      <c r="H62" s="49"/>
      <c r="I62" s="144"/>
      <c r="J62" s="156"/>
      <c r="K62" s="207"/>
      <c r="L62" s="235" t="s">
        <v>202</v>
      </c>
      <c r="M62" s="207">
        <v>8050</v>
      </c>
      <c r="N62" s="221">
        <v>42231</v>
      </c>
      <c r="O62" s="21">
        <v>42235</v>
      </c>
    </row>
    <row r="63" spans="1:15" ht="15.75" x14ac:dyDescent="0.25">
      <c r="A63" s="405"/>
      <c r="B63"/>
      <c r="D63"/>
      <c r="E63" s="43"/>
      <c r="H63" s="49"/>
      <c r="I63" s="144"/>
      <c r="J63" s="156"/>
      <c r="K63" s="334"/>
      <c r="L63" s="235" t="s">
        <v>202</v>
      </c>
      <c r="M63" s="207">
        <v>34800</v>
      </c>
      <c r="N63" s="221">
        <v>42235</v>
      </c>
    </row>
    <row r="64" spans="1:15" ht="15.75" x14ac:dyDescent="0.25">
      <c r="A64" s="243"/>
      <c r="B64" s="244"/>
      <c r="C64" s="245"/>
      <c r="D64"/>
      <c r="E64" s="43"/>
      <c r="H64" s="49"/>
      <c r="I64" s="144"/>
      <c r="J64" s="156"/>
      <c r="K64" s="207"/>
      <c r="L64" s="235" t="s">
        <v>202</v>
      </c>
      <c r="M64" s="207">
        <v>68000</v>
      </c>
      <c r="N64" s="221">
        <v>42236</v>
      </c>
    </row>
    <row r="65" spans="1:15" ht="15.75" x14ac:dyDescent="0.25">
      <c r="A65" s="143"/>
      <c r="B65" s="144"/>
      <c r="C65" s="156"/>
      <c r="I65" s="206"/>
      <c r="J65" s="207"/>
      <c r="K65" s="207"/>
      <c r="L65" s="113"/>
      <c r="M65" s="207"/>
      <c r="N65" s="221"/>
    </row>
    <row r="66" spans="1:15" ht="16.5" thickBot="1" x14ac:dyDescent="0.3">
      <c r="A66" s="143"/>
      <c r="B66" s="144"/>
      <c r="C66" s="156"/>
      <c r="I66" s="379"/>
      <c r="J66" s="380"/>
      <c r="K66" s="380"/>
      <c r="L66" s="235"/>
      <c r="M66" s="380"/>
      <c r="N66" s="381"/>
    </row>
    <row r="67" spans="1:15" ht="18.75" x14ac:dyDescent="0.3">
      <c r="A67" s="143"/>
      <c r="B67" s="144"/>
      <c r="C67" s="156"/>
      <c r="J67" s="131">
        <f>SUM(J50:J64)</f>
        <v>550540.10000000009</v>
      </c>
      <c r="K67" s="131"/>
      <c r="L67" s="131"/>
      <c r="M67" s="131">
        <f>SUM(M50:M66)</f>
        <v>550540.1</v>
      </c>
    </row>
    <row r="68" spans="1:15" x14ac:dyDescent="0.25">
      <c r="A68" s="243"/>
      <c r="B68" s="244"/>
      <c r="C68" s="245"/>
    </row>
    <row r="69" spans="1:15" x14ac:dyDescent="0.25">
      <c r="A69" s="143"/>
      <c r="B69" s="144"/>
      <c r="C69" s="156"/>
    </row>
    <row r="70" spans="1:15" ht="15.75" x14ac:dyDescent="0.25">
      <c r="A70" s="143"/>
      <c r="B70" s="144"/>
      <c r="C70" s="156"/>
      <c r="I70" s="104"/>
      <c r="J70" s="353">
        <v>42247</v>
      </c>
      <c r="K70" s="215"/>
      <c r="L70" s="134" t="s">
        <v>200</v>
      </c>
      <c r="M70" s="88"/>
    </row>
    <row r="71" spans="1:15" ht="15.75" thickBot="1" x14ac:dyDescent="0.3">
      <c r="A71" s="143"/>
      <c r="B71" s="144"/>
      <c r="C71" s="156"/>
      <c r="I71" s="413"/>
      <c r="J71" s="414"/>
      <c r="K71" s="414"/>
      <c r="L71" s="414"/>
      <c r="M71" s="415"/>
      <c r="N71" s="18"/>
    </row>
    <row r="72" spans="1:15" ht="16.5" thickTop="1" x14ac:dyDescent="0.25">
      <c r="A72" s="143"/>
      <c r="B72" s="144"/>
      <c r="C72" s="156"/>
      <c r="D72"/>
      <c r="E72"/>
      <c r="F72" s="23"/>
      <c r="G72"/>
      <c r="H72" s="43">
        <v>2328</v>
      </c>
      <c r="I72" s="244" t="s">
        <v>648</v>
      </c>
      <c r="J72" s="245">
        <v>2328</v>
      </c>
      <c r="K72" s="410"/>
      <c r="L72" s="235" t="s">
        <v>202</v>
      </c>
      <c r="M72" s="411">
        <v>10330</v>
      </c>
      <c r="N72" s="412">
        <v>42242</v>
      </c>
      <c r="O72" s="21">
        <v>42241</v>
      </c>
    </row>
    <row r="73" spans="1:15" ht="15.75" x14ac:dyDescent="0.25">
      <c r="A73" s="143"/>
      <c r="B73" s="144"/>
      <c r="C73" s="156"/>
      <c r="D73"/>
      <c r="E73"/>
      <c r="F73" s="23"/>
      <c r="G73"/>
      <c r="H73" s="43">
        <f>10330+6061.5+15945.4</f>
        <v>32336.9</v>
      </c>
      <c r="I73" s="144" t="s">
        <v>645</v>
      </c>
      <c r="J73" s="156">
        <v>29209.7</v>
      </c>
      <c r="K73" s="207"/>
      <c r="L73" s="235" t="s">
        <v>202</v>
      </c>
      <c r="M73" s="207">
        <v>25490</v>
      </c>
      <c r="N73" s="221">
        <v>42242</v>
      </c>
    </row>
    <row r="74" spans="1:15" ht="15.75" x14ac:dyDescent="0.25">
      <c r="A74" s="143"/>
      <c r="B74" s="144"/>
      <c r="C74" s="156"/>
      <c r="D74"/>
      <c r="E74"/>
      <c r="F74" s="23"/>
      <c r="G74"/>
      <c r="H74" s="43">
        <f>3483.1+6153.5+21646.5+6720+18190+5961</f>
        <v>62154.1</v>
      </c>
      <c r="I74" s="144" t="s">
        <v>649</v>
      </c>
      <c r="J74" s="156">
        <v>71144.31</v>
      </c>
      <c r="K74" s="207"/>
      <c r="L74" s="235" t="s">
        <v>202</v>
      </c>
      <c r="M74" s="207">
        <v>7990</v>
      </c>
      <c r="N74" s="221">
        <v>42243</v>
      </c>
      <c r="O74" s="21">
        <v>42242</v>
      </c>
    </row>
    <row r="75" spans="1:15" ht="15.75" x14ac:dyDescent="0.25">
      <c r="A75" s="143"/>
      <c r="B75" s="144"/>
      <c r="C75" s="156"/>
      <c r="D75"/>
      <c r="E75"/>
      <c r="F75" s="23"/>
      <c r="G75"/>
      <c r="H75" s="43">
        <f>7990+1000+8636.6+1749</f>
        <v>19375.599999999999</v>
      </c>
      <c r="I75" s="144" t="s">
        <v>647</v>
      </c>
      <c r="J75" s="156">
        <v>10385.6</v>
      </c>
      <c r="K75" s="130"/>
      <c r="L75" s="235" t="s">
        <v>202</v>
      </c>
      <c r="M75" s="207">
        <v>1000</v>
      </c>
      <c r="N75" s="221">
        <v>42244</v>
      </c>
      <c r="O75" s="21">
        <v>42242</v>
      </c>
    </row>
    <row r="76" spans="1:15" ht="15.75" x14ac:dyDescent="0.25">
      <c r="A76" s="143"/>
      <c r="B76" s="144"/>
      <c r="C76" s="156"/>
      <c r="D76"/>
      <c r="E76"/>
      <c r="F76" s="23"/>
      <c r="G76"/>
      <c r="H76" s="43">
        <f>16573.4+5860+43464.5</f>
        <v>65897.899999999994</v>
      </c>
      <c r="I76" s="144" t="s">
        <v>650</v>
      </c>
      <c r="J76" s="156">
        <v>65898.2</v>
      </c>
      <c r="K76" s="130"/>
      <c r="L76" s="235" t="s">
        <v>202</v>
      </c>
      <c r="M76" s="214">
        <v>27800</v>
      </c>
      <c r="N76" s="221">
        <v>42243</v>
      </c>
    </row>
    <row r="77" spans="1:15" ht="15.75" x14ac:dyDescent="0.25">
      <c r="A77" s="143"/>
      <c r="B77" s="144"/>
      <c r="C77" s="156"/>
      <c r="D77"/>
      <c r="E77"/>
      <c r="F77" s="23"/>
      <c r="G77"/>
      <c r="H77" s="43">
        <v>33407.5</v>
      </c>
      <c r="I77" s="144" t="s">
        <v>651</v>
      </c>
      <c r="J77" s="156">
        <v>36534.19</v>
      </c>
      <c r="K77" s="207" t="s">
        <v>242</v>
      </c>
      <c r="L77" s="235" t="s">
        <v>202</v>
      </c>
      <c r="M77" s="207">
        <v>6720</v>
      </c>
      <c r="N77" s="221">
        <v>42244</v>
      </c>
      <c r="O77" s="21">
        <v>42243</v>
      </c>
    </row>
    <row r="78" spans="1:15" ht="15.75" x14ac:dyDescent="0.25">
      <c r="A78" s="143"/>
      <c r="B78" s="144"/>
      <c r="C78" s="156"/>
      <c r="D78"/>
      <c r="E78"/>
      <c r="F78" s="23"/>
      <c r="G78"/>
      <c r="H78" s="43">
        <f>SUM(H72:H77)</f>
        <v>215500</v>
      </c>
      <c r="I78" s="292"/>
      <c r="J78" s="157">
        <v>0</v>
      </c>
      <c r="K78" s="334"/>
      <c r="L78" s="235" t="s">
        <v>202</v>
      </c>
      <c r="M78" s="207">
        <v>25210</v>
      </c>
      <c r="N78" s="221">
        <v>42245</v>
      </c>
      <c r="O78" s="21">
        <v>42244</v>
      </c>
    </row>
    <row r="79" spans="1:15" ht="15.75" x14ac:dyDescent="0.25">
      <c r="A79" s="143"/>
      <c r="B79" s="144"/>
      <c r="C79" s="156"/>
      <c r="D79"/>
      <c r="E79"/>
      <c r="F79" s="23"/>
      <c r="G79"/>
      <c r="I79" s="292"/>
      <c r="J79" s="157">
        <v>0</v>
      </c>
      <c r="K79" s="321"/>
      <c r="L79" s="235" t="s">
        <v>202</v>
      </c>
      <c r="M79" s="207">
        <v>25900</v>
      </c>
      <c r="N79" s="221">
        <v>42244</v>
      </c>
    </row>
    <row r="80" spans="1:15" ht="15.75" x14ac:dyDescent="0.25">
      <c r="A80" s="143"/>
      <c r="B80" s="144"/>
      <c r="C80" s="156"/>
      <c r="D80"/>
      <c r="E80"/>
      <c r="F80" s="23"/>
      <c r="G80"/>
      <c r="I80" s="144"/>
      <c r="J80" s="156"/>
      <c r="K80" s="207"/>
      <c r="L80" s="235" t="s">
        <v>202</v>
      </c>
      <c r="M80" s="207">
        <v>85060</v>
      </c>
      <c r="N80" s="221">
        <v>42245</v>
      </c>
    </row>
    <row r="81" spans="1:14" ht="15.75" x14ac:dyDescent="0.25">
      <c r="A81" s="143"/>
      <c r="B81" s="144"/>
      <c r="C81" s="156"/>
      <c r="D81"/>
      <c r="E81"/>
      <c r="F81" s="23"/>
      <c r="G81"/>
      <c r="I81" s="206"/>
      <c r="J81" s="207"/>
      <c r="K81" s="207"/>
      <c r="L81" s="113"/>
      <c r="M81" s="207">
        <v>0</v>
      </c>
      <c r="N81" s="221"/>
    </row>
    <row r="82" spans="1:14" ht="16.5" thickBot="1" x14ac:dyDescent="0.3">
      <c r="A82" s="143"/>
      <c r="B82" s="144"/>
      <c r="C82" s="156"/>
      <c r="D82"/>
      <c r="E82"/>
      <c r="F82" s="23"/>
      <c r="G82"/>
      <c r="I82" s="379"/>
      <c r="J82" s="380"/>
      <c r="K82" s="380"/>
      <c r="L82" s="235"/>
      <c r="M82" s="380">
        <v>0</v>
      </c>
      <c r="N82" s="381"/>
    </row>
    <row r="83" spans="1:14" ht="18.75" x14ac:dyDescent="0.3">
      <c r="A83"/>
      <c r="B83"/>
      <c r="C83" s="80"/>
      <c r="D83"/>
      <c r="E83"/>
      <c r="F83" s="23"/>
      <c r="G83"/>
      <c r="J83" s="131">
        <f>SUM(J72:J80)</f>
        <v>215500</v>
      </c>
      <c r="K83" s="131"/>
      <c r="L83" s="131"/>
      <c r="M83" s="131">
        <f>SUM(M72:M82)</f>
        <v>215500</v>
      </c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  <row r="116" spans="6:6" customFormat="1" x14ac:dyDescent="0.25">
      <c r="F116" s="23"/>
    </row>
    <row r="117" spans="6:6" customFormat="1" x14ac:dyDescent="0.25">
      <c r="F117" s="23"/>
    </row>
    <row r="118" spans="6:6" customFormat="1" x14ac:dyDescent="0.25">
      <c r="F118" s="23"/>
    </row>
    <row r="119" spans="6:6" customFormat="1" x14ac:dyDescent="0.25">
      <c r="F119" s="23"/>
    </row>
    <row r="120" spans="6:6" customFormat="1" x14ac:dyDescent="0.25">
      <c r="F120" s="23"/>
    </row>
  </sheetData>
  <sortState ref="A21:F37">
    <sortCondition ref="B21:B37"/>
  </sortState>
  <mergeCells count="1">
    <mergeCell ref="C3:E3"/>
  </mergeCells>
  <pageMargins left="1.1023622047244095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X69"/>
  <sheetViews>
    <sheetView topLeftCell="B4" workbookViewId="0">
      <selection activeCell="F48" sqref="F48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2" max="32" width="11.42578125" style="43"/>
    <col min="35" max="35" width="4.7109375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49" max="49" width="12.5703125" style="43" bestFit="1" customWidth="1"/>
  </cols>
  <sheetData>
    <row r="1" spans="1:50" ht="23.25" x14ac:dyDescent="0.35">
      <c r="B1" s="37"/>
      <c r="C1" s="471" t="s">
        <v>661</v>
      </c>
      <c r="D1" s="471"/>
      <c r="E1" s="471"/>
      <c r="F1" s="471"/>
      <c r="G1" s="471"/>
      <c r="H1" s="471"/>
      <c r="I1" s="471"/>
      <c r="J1" s="471"/>
      <c r="K1" s="471"/>
      <c r="M1" s="455"/>
      <c r="N1" s="202"/>
      <c r="S1" s="37"/>
      <c r="T1" s="471" t="s">
        <v>661</v>
      </c>
      <c r="U1" s="471"/>
      <c r="V1" s="471"/>
      <c r="W1" s="471"/>
      <c r="X1" s="471"/>
      <c r="Y1" s="471"/>
      <c r="Z1" s="471"/>
      <c r="AA1" s="471"/>
      <c r="AB1" s="471"/>
      <c r="AD1" s="444"/>
      <c r="AE1" s="202"/>
      <c r="AJ1" s="37"/>
      <c r="AK1" s="471" t="s">
        <v>661</v>
      </c>
      <c r="AL1" s="471"/>
      <c r="AM1" s="471"/>
      <c r="AN1" s="471"/>
      <c r="AO1" s="471"/>
      <c r="AP1" s="471"/>
      <c r="AQ1" s="471"/>
      <c r="AR1" s="471"/>
      <c r="AS1" s="471"/>
      <c r="AU1" s="436"/>
      <c r="AV1" s="202"/>
    </row>
    <row r="2" spans="1:50" ht="15.75" thickBot="1" x14ac:dyDescent="0.3">
      <c r="B2" s="37"/>
      <c r="C2" s="43"/>
      <c r="E2" s="454"/>
      <c r="F2" s="50"/>
      <c r="I2" s="43"/>
      <c r="J2" s="43"/>
      <c r="M2" s="455"/>
      <c r="N2" s="202"/>
      <c r="S2" s="37"/>
      <c r="T2" s="43"/>
      <c r="V2" s="443"/>
      <c r="W2" s="50"/>
      <c r="Z2" s="43"/>
      <c r="AA2" s="43"/>
      <c r="AD2" s="444"/>
      <c r="AE2" s="202"/>
      <c r="AJ2" s="37"/>
      <c r="AK2" s="43"/>
      <c r="AM2" s="434"/>
      <c r="AN2" s="50"/>
      <c r="AQ2" s="43"/>
      <c r="AR2" s="43"/>
      <c r="AU2" s="436"/>
      <c r="AV2" s="202"/>
    </row>
    <row r="3" spans="1:50" ht="15.75" thickBot="1" x14ac:dyDescent="0.3">
      <c r="B3" s="37"/>
      <c r="C3" s="44" t="s">
        <v>0</v>
      </c>
      <c r="D3" s="3"/>
      <c r="F3" s="43"/>
      <c r="I3" s="43"/>
      <c r="J3" s="43"/>
      <c r="M3" s="455"/>
      <c r="N3" s="202"/>
      <c r="S3" s="37"/>
      <c r="T3" s="44" t="s">
        <v>0</v>
      </c>
      <c r="U3" s="3"/>
      <c r="W3" s="43"/>
      <c r="Z3" s="43"/>
      <c r="AA3" s="43"/>
      <c r="AD3" s="444"/>
      <c r="AE3" s="202"/>
      <c r="AJ3" s="37"/>
      <c r="AK3" s="44" t="s">
        <v>0</v>
      </c>
      <c r="AL3" s="3"/>
      <c r="AN3" s="43"/>
      <c r="AQ3" s="43"/>
      <c r="AR3" s="43"/>
      <c r="AU3" s="436"/>
      <c r="AV3" s="202"/>
    </row>
    <row r="4" spans="1:50" ht="20.25" thickTop="1" thickBot="1" x14ac:dyDescent="0.35">
      <c r="A4" s="96" t="s">
        <v>2</v>
      </c>
      <c r="B4" s="38"/>
      <c r="C4" s="94">
        <v>96548.24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  <c r="R4" s="96" t="s">
        <v>2</v>
      </c>
      <c r="S4" s="38"/>
      <c r="T4" s="94">
        <v>96548.24</v>
      </c>
      <c r="U4" s="2"/>
      <c r="V4" s="492" t="s">
        <v>14</v>
      </c>
      <c r="W4" s="493"/>
      <c r="Z4" s="474" t="s">
        <v>4</v>
      </c>
      <c r="AA4" s="475"/>
      <c r="AB4" s="475"/>
      <c r="AC4" s="475"/>
      <c r="AD4" s="69" t="s">
        <v>18</v>
      </c>
      <c r="AE4" s="203" t="s">
        <v>264</v>
      </c>
      <c r="AI4" s="96" t="s">
        <v>2</v>
      </c>
      <c r="AJ4" s="38"/>
      <c r="AK4" s="94">
        <v>96548.24</v>
      </c>
      <c r="AL4" s="2"/>
      <c r="AM4" s="492" t="s">
        <v>14</v>
      </c>
      <c r="AN4" s="493"/>
      <c r="AQ4" s="474" t="s">
        <v>4</v>
      </c>
      <c r="AR4" s="475"/>
      <c r="AS4" s="475"/>
      <c r="AT4" s="475"/>
      <c r="AU4" s="69" t="s">
        <v>18</v>
      </c>
      <c r="AV4" s="203" t="s">
        <v>264</v>
      </c>
    </row>
    <row r="5" spans="1:50" ht="15.75" thickTop="1" x14ac:dyDescent="0.25">
      <c r="A5" s="21"/>
      <c r="B5" s="39">
        <v>42248</v>
      </c>
      <c r="C5" s="45">
        <v>0</v>
      </c>
      <c r="D5" s="22"/>
      <c r="E5" s="26">
        <v>42248</v>
      </c>
      <c r="F5" s="51">
        <v>28959</v>
      </c>
      <c r="G5" s="23"/>
      <c r="H5" s="24">
        <v>42248</v>
      </c>
      <c r="I5" s="60">
        <v>200</v>
      </c>
      <c r="J5" s="87"/>
      <c r="K5" s="34"/>
      <c r="L5" s="34"/>
      <c r="M5" s="67" t="s">
        <v>679</v>
      </c>
      <c r="N5" s="75">
        <v>28910</v>
      </c>
      <c r="O5" s="43">
        <v>5912</v>
      </c>
      <c r="P5" t="s">
        <v>664</v>
      </c>
      <c r="R5" s="21"/>
      <c r="S5" s="39">
        <v>42248</v>
      </c>
      <c r="T5" s="45">
        <v>0</v>
      </c>
      <c r="U5" s="22"/>
      <c r="V5" s="26">
        <v>42248</v>
      </c>
      <c r="W5" s="51">
        <v>28959</v>
      </c>
      <c r="X5" s="23"/>
      <c r="Y5" s="24">
        <v>42248</v>
      </c>
      <c r="Z5" s="60">
        <v>200</v>
      </c>
      <c r="AA5" s="87"/>
      <c r="AB5" s="34"/>
      <c r="AC5" s="34"/>
      <c r="AD5" s="67" t="s">
        <v>679</v>
      </c>
      <c r="AE5" s="75">
        <v>28910</v>
      </c>
      <c r="AF5" s="43">
        <v>5912</v>
      </c>
      <c r="AG5" t="s">
        <v>664</v>
      </c>
      <c r="AI5" s="21"/>
      <c r="AJ5" s="39">
        <v>42248</v>
      </c>
      <c r="AK5" s="45">
        <v>0</v>
      </c>
      <c r="AL5" s="22"/>
      <c r="AM5" s="26">
        <v>42248</v>
      </c>
      <c r="AN5" s="51">
        <v>28959</v>
      </c>
      <c r="AO5" s="23"/>
      <c r="AP5" s="24">
        <v>42248</v>
      </c>
      <c r="AQ5" s="60">
        <v>200</v>
      </c>
      <c r="AR5" s="87"/>
      <c r="AS5" s="34"/>
      <c r="AT5" s="34"/>
      <c r="AU5" s="67" t="s">
        <v>679</v>
      </c>
      <c r="AV5" s="75">
        <v>28910</v>
      </c>
      <c r="AW5" s="43">
        <v>5912</v>
      </c>
      <c r="AX5" t="s">
        <v>664</v>
      </c>
    </row>
    <row r="6" spans="1:50" x14ac:dyDescent="0.25">
      <c r="A6" s="21"/>
      <c r="B6" s="39">
        <v>42249</v>
      </c>
      <c r="C6" s="45">
        <v>0</v>
      </c>
      <c r="D6" s="29"/>
      <c r="E6" s="26">
        <v>42249</v>
      </c>
      <c r="F6" s="51">
        <v>37928</v>
      </c>
      <c r="G6" s="19"/>
      <c r="H6" s="27">
        <v>42249</v>
      </c>
      <c r="I6" s="61">
        <v>200</v>
      </c>
      <c r="J6" s="88"/>
      <c r="K6" s="13" t="s">
        <v>5</v>
      </c>
      <c r="L6" s="20">
        <v>0</v>
      </c>
      <c r="M6" s="67" t="s">
        <v>680</v>
      </c>
      <c r="N6" s="75">
        <v>37500</v>
      </c>
      <c r="O6" s="43">
        <v>6140</v>
      </c>
      <c r="P6" t="s">
        <v>664</v>
      </c>
      <c r="R6" s="21"/>
      <c r="S6" s="39">
        <v>42249</v>
      </c>
      <c r="T6" s="45">
        <v>0</v>
      </c>
      <c r="U6" s="29"/>
      <c r="V6" s="26">
        <v>42249</v>
      </c>
      <c r="W6" s="51">
        <v>37928</v>
      </c>
      <c r="X6" s="19"/>
      <c r="Y6" s="27">
        <v>42249</v>
      </c>
      <c r="Z6" s="61">
        <v>200</v>
      </c>
      <c r="AA6" s="88"/>
      <c r="AB6" s="13" t="s">
        <v>5</v>
      </c>
      <c r="AC6" s="20">
        <v>0</v>
      </c>
      <c r="AD6" s="67" t="s">
        <v>680</v>
      </c>
      <c r="AE6" s="75">
        <v>37500</v>
      </c>
      <c r="AF6" s="43">
        <v>6140</v>
      </c>
      <c r="AG6" t="s">
        <v>664</v>
      </c>
      <c r="AI6" s="21"/>
      <c r="AJ6" s="39">
        <v>42249</v>
      </c>
      <c r="AK6" s="45">
        <v>0</v>
      </c>
      <c r="AL6" s="29"/>
      <c r="AM6" s="26">
        <v>42249</v>
      </c>
      <c r="AN6" s="51">
        <v>37928</v>
      </c>
      <c r="AO6" s="19"/>
      <c r="AP6" s="27">
        <v>42249</v>
      </c>
      <c r="AQ6" s="61">
        <v>200</v>
      </c>
      <c r="AR6" s="88"/>
      <c r="AS6" s="13" t="s">
        <v>5</v>
      </c>
      <c r="AT6" s="20">
        <v>0</v>
      </c>
      <c r="AU6" s="67" t="s">
        <v>680</v>
      </c>
      <c r="AV6" s="75">
        <v>37500</v>
      </c>
      <c r="AW6" s="43">
        <v>6140</v>
      </c>
      <c r="AX6" t="s">
        <v>664</v>
      </c>
    </row>
    <row r="7" spans="1:50" x14ac:dyDescent="0.25">
      <c r="A7" s="21"/>
      <c r="B7" s="39">
        <v>42250</v>
      </c>
      <c r="C7" s="45">
        <v>0</v>
      </c>
      <c r="D7" s="32"/>
      <c r="E7" s="26">
        <v>42250</v>
      </c>
      <c r="F7" s="51">
        <v>45610</v>
      </c>
      <c r="G7" s="23"/>
      <c r="H7" s="27">
        <v>42250</v>
      </c>
      <c r="I7" s="61">
        <v>200</v>
      </c>
      <c r="J7" s="88"/>
      <c r="K7" s="466" t="s">
        <v>749</v>
      </c>
      <c r="L7" s="20">
        <v>14270</v>
      </c>
      <c r="M7" s="67" t="s">
        <v>686</v>
      </c>
      <c r="N7" s="75">
        <v>45510</v>
      </c>
      <c r="O7" s="43">
        <v>5240</v>
      </c>
      <c r="P7" t="s">
        <v>664</v>
      </c>
      <c r="R7" s="21"/>
      <c r="S7" s="39">
        <v>42250</v>
      </c>
      <c r="T7" s="45">
        <v>0</v>
      </c>
      <c r="U7" s="32"/>
      <c r="V7" s="26">
        <v>42250</v>
      </c>
      <c r="W7" s="51">
        <v>45610</v>
      </c>
      <c r="X7" s="23"/>
      <c r="Y7" s="27">
        <v>42250</v>
      </c>
      <c r="Z7" s="61">
        <v>200</v>
      </c>
      <c r="AA7" s="88"/>
      <c r="AB7" s="466" t="s">
        <v>750</v>
      </c>
      <c r="AC7" s="20">
        <v>14270</v>
      </c>
      <c r="AD7" s="67" t="s">
        <v>686</v>
      </c>
      <c r="AE7" s="75">
        <v>45510</v>
      </c>
      <c r="AF7" s="43">
        <v>5240</v>
      </c>
      <c r="AG7" t="s">
        <v>664</v>
      </c>
      <c r="AI7" s="21"/>
      <c r="AJ7" s="39">
        <v>42250</v>
      </c>
      <c r="AK7" s="45">
        <v>0</v>
      </c>
      <c r="AL7" s="32"/>
      <c r="AM7" s="26">
        <v>42250</v>
      </c>
      <c r="AN7" s="51">
        <v>45610</v>
      </c>
      <c r="AO7" s="23"/>
      <c r="AP7" s="27">
        <v>42250</v>
      </c>
      <c r="AQ7" s="61">
        <v>200</v>
      </c>
      <c r="AR7" s="88"/>
      <c r="AS7" s="466" t="s">
        <v>750</v>
      </c>
      <c r="AT7" s="467">
        <v>14270</v>
      </c>
      <c r="AU7" s="67" t="s">
        <v>686</v>
      </c>
      <c r="AV7" s="75">
        <v>45510</v>
      </c>
      <c r="AW7" s="43">
        <v>5240</v>
      </c>
      <c r="AX7" t="s">
        <v>664</v>
      </c>
    </row>
    <row r="8" spans="1:50" x14ac:dyDescent="0.25">
      <c r="A8" s="21"/>
      <c r="B8" s="39">
        <v>42251</v>
      </c>
      <c r="C8" s="45">
        <v>0</v>
      </c>
      <c r="D8" s="22"/>
      <c r="E8" s="26">
        <v>42251</v>
      </c>
      <c r="F8" s="51">
        <v>57537.5</v>
      </c>
      <c r="G8" s="23"/>
      <c r="H8" s="27">
        <v>42251</v>
      </c>
      <c r="I8" s="61">
        <v>224</v>
      </c>
      <c r="J8" s="88"/>
      <c r="K8" s="13" t="s">
        <v>6</v>
      </c>
      <c r="L8" s="20">
        <v>28750</v>
      </c>
      <c r="M8" s="201" t="s">
        <v>687</v>
      </c>
      <c r="N8" s="204">
        <v>56350</v>
      </c>
      <c r="O8" s="43">
        <v>6488.5</v>
      </c>
      <c r="P8" t="s">
        <v>664</v>
      </c>
      <c r="R8" s="21"/>
      <c r="S8" s="39">
        <v>42251</v>
      </c>
      <c r="T8" s="45">
        <v>0</v>
      </c>
      <c r="U8" s="22"/>
      <c r="V8" s="26">
        <v>42251</v>
      </c>
      <c r="W8" s="51">
        <v>57537.5</v>
      </c>
      <c r="X8" s="23"/>
      <c r="Y8" s="27">
        <v>42251</v>
      </c>
      <c r="Z8" s="61">
        <v>224</v>
      </c>
      <c r="AA8" s="88"/>
      <c r="AB8" s="13" t="s">
        <v>6</v>
      </c>
      <c r="AC8" s="20">
        <v>28750</v>
      </c>
      <c r="AD8" s="201" t="s">
        <v>687</v>
      </c>
      <c r="AE8" s="204">
        <v>56350</v>
      </c>
      <c r="AF8" s="43">
        <v>6488.5</v>
      </c>
      <c r="AG8" t="s">
        <v>664</v>
      </c>
      <c r="AI8" s="21"/>
      <c r="AJ8" s="39">
        <v>42251</v>
      </c>
      <c r="AK8" s="45">
        <v>0</v>
      </c>
      <c r="AL8" s="22"/>
      <c r="AM8" s="26">
        <v>42251</v>
      </c>
      <c r="AN8" s="51">
        <v>57537.5</v>
      </c>
      <c r="AO8" s="23"/>
      <c r="AP8" s="27">
        <v>42251</v>
      </c>
      <c r="AQ8" s="61">
        <v>224</v>
      </c>
      <c r="AR8" s="88"/>
      <c r="AS8" s="13" t="s">
        <v>6</v>
      </c>
      <c r="AT8" s="20">
        <v>28750</v>
      </c>
      <c r="AU8" s="201" t="s">
        <v>687</v>
      </c>
      <c r="AV8" s="204">
        <v>56350</v>
      </c>
      <c r="AW8" s="43">
        <v>6488.5</v>
      </c>
      <c r="AX8" t="s">
        <v>664</v>
      </c>
    </row>
    <row r="9" spans="1:50" x14ac:dyDescent="0.25">
      <c r="A9" s="21"/>
      <c r="B9" s="39">
        <v>42252</v>
      </c>
      <c r="C9" s="45">
        <v>0</v>
      </c>
      <c r="D9" s="22"/>
      <c r="E9" s="26">
        <v>42252</v>
      </c>
      <c r="F9" s="51">
        <v>79875</v>
      </c>
      <c r="G9" s="23"/>
      <c r="H9" s="27">
        <v>42252</v>
      </c>
      <c r="I9" s="61">
        <v>200</v>
      </c>
      <c r="J9" s="88"/>
      <c r="K9" s="13" t="s">
        <v>681</v>
      </c>
      <c r="L9" s="20">
        <f>800+6417.52</f>
        <v>7217.52</v>
      </c>
      <c r="M9" s="67" t="s">
        <v>688</v>
      </c>
      <c r="N9" s="75">
        <v>78850</v>
      </c>
      <c r="O9" s="43">
        <v>6843.5</v>
      </c>
      <c r="P9" t="s">
        <v>664</v>
      </c>
      <c r="R9" s="21"/>
      <c r="S9" s="39">
        <v>42252</v>
      </c>
      <c r="T9" s="45">
        <v>0</v>
      </c>
      <c r="U9" s="22"/>
      <c r="V9" s="26">
        <v>42252</v>
      </c>
      <c r="W9" s="51">
        <v>79875</v>
      </c>
      <c r="X9" s="23"/>
      <c r="Y9" s="27">
        <v>42252</v>
      </c>
      <c r="Z9" s="61">
        <v>200</v>
      </c>
      <c r="AA9" s="88"/>
      <c r="AB9" s="13" t="s">
        <v>681</v>
      </c>
      <c r="AC9" s="20">
        <f>800+6417.52</f>
        <v>7217.52</v>
      </c>
      <c r="AD9" s="67" t="s">
        <v>688</v>
      </c>
      <c r="AE9" s="75">
        <v>78850</v>
      </c>
      <c r="AF9" s="43">
        <v>6843.5</v>
      </c>
      <c r="AG9" t="s">
        <v>664</v>
      </c>
      <c r="AI9" s="21"/>
      <c r="AJ9" s="39">
        <v>42252</v>
      </c>
      <c r="AK9" s="45">
        <v>0</v>
      </c>
      <c r="AL9" s="22"/>
      <c r="AM9" s="26">
        <v>42252</v>
      </c>
      <c r="AN9" s="51">
        <v>79875</v>
      </c>
      <c r="AO9" s="23"/>
      <c r="AP9" s="27">
        <v>42252</v>
      </c>
      <c r="AQ9" s="61">
        <v>200</v>
      </c>
      <c r="AR9" s="88"/>
      <c r="AS9" s="13" t="s">
        <v>681</v>
      </c>
      <c r="AT9" s="20">
        <f>800+6417.52</f>
        <v>7217.52</v>
      </c>
      <c r="AU9" s="67" t="s">
        <v>688</v>
      </c>
      <c r="AV9" s="75">
        <v>78850</v>
      </c>
      <c r="AW9" s="43">
        <v>6843.5</v>
      </c>
      <c r="AX9" t="s">
        <v>664</v>
      </c>
    </row>
    <row r="10" spans="1:50" x14ac:dyDescent="0.25">
      <c r="A10" s="21"/>
      <c r="B10" s="39">
        <v>42253</v>
      </c>
      <c r="C10" s="45">
        <v>0</v>
      </c>
      <c r="D10" s="32"/>
      <c r="E10" s="26">
        <v>42253</v>
      </c>
      <c r="F10" s="51">
        <v>77696</v>
      </c>
      <c r="G10" s="23"/>
      <c r="H10" s="27">
        <v>42253</v>
      </c>
      <c r="I10" s="61">
        <v>220</v>
      </c>
      <c r="J10" s="88"/>
      <c r="K10" s="13" t="s">
        <v>682</v>
      </c>
      <c r="L10" s="19">
        <v>8666.73</v>
      </c>
      <c r="M10" s="67" t="s">
        <v>689</v>
      </c>
      <c r="N10" s="75">
        <v>77650</v>
      </c>
      <c r="O10" s="43">
        <v>7264</v>
      </c>
      <c r="P10" t="s">
        <v>664</v>
      </c>
      <c r="R10" s="21"/>
      <c r="S10" s="39">
        <v>42253</v>
      </c>
      <c r="T10" s="45">
        <v>0</v>
      </c>
      <c r="U10" s="32"/>
      <c r="V10" s="26">
        <v>42253</v>
      </c>
      <c r="W10" s="51">
        <v>77696</v>
      </c>
      <c r="X10" s="23"/>
      <c r="Y10" s="27">
        <v>42253</v>
      </c>
      <c r="Z10" s="61">
        <v>220</v>
      </c>
      <c r="AA10" s="88"/>
      <c r="AB10" s="13" t="s">
        <v>682</v>
      </c>
      <c r="AC10" s="19">
        <v>8666.73</v>
      </c>
      <c r="AD10" s="67" t="s">
        <v>689</v>
      </c>
      <c r="AE10" s="75">
        <v>77650</v>
      </c>
      <c r="AF10" s="43">
        <v>7264</v>
      </c>
      <c r="AG10" t="s">
        <v>664</v>
      </c>
      <c r="AI10" s="21"/>
      <c r="AJ10" s="39">
        <v>42253</v>
      </c>
      <c r="AK10" s="45">
        <v>0</v>
      </c>
      <c r="AL10" s="32"/>
      <c r="AM10" s="26">
        <v>42253</v>
      </c>
      <c r="AN10" s="51">
        <v>77696</v>
      </c>
      <c r="AO10" s="23"/>
      <c r="AP10" s="27">
        <v>42253</v>
      </c>
      <c r="AQ10" s="61">
        <v>220</v>
      </c>
      <c r="AR10" s="88"/>
      <c r="AS10" s="13" t="s">
        <v>682</v>
      </c>
      <c r="AT10" s="19">
        <v>0</v>
      </c>
      <c r="AU10" s="67" t="s">
        <v>689</v>
      </c>
      <c r="AV10" s="75">
        <v>77650</v>
      </c>
      <c r="AW10" s="43">
        <v>7264</v>
      </c>
      <c r="AX10" t="s">
        <v>664</v>
      </c>
    </row>
    <row r="11" spans="1:50" x14ac:dyDescent="0.25">
      <c r="A11" s="21"/>
      <c r="B11" s="39">
        <v>42254</v>
      </c>
      <c r="C11" s="45">
        <v>0</v>
      </c>
      <c r="D11" s="32"/>
      <c r="E11" s="26">
        <v>42254</v>
      </c>
      <c r="F11" s="51">
        <v>55093</v>
      </c>
      <c r="G11" s="23"/>
      <c r="H11" s="27">
        <v>42254</v>
      </c>
      <c r="I11" s="62">
        <v>200</v>
      </c>
      <c r="J11" s="88"/>
      <c r="K11" s="13" t="s">
        <v>683</v>
      </c>
      <c r="L11" s="19">
        <v>9852.44</v>
      </c>
      <c r="M11" s="67" t="s">
        <v>690</v>
      </c>
      <c r="N11" s="75">
        <v>50500</v>
      </c>
      <c r="O11" s="43">
        <v>11657</v>
      </c>
      <c r="P11" t="s">
        <v>664</v>
      </c>
      <c r="R11" s="21"/>
      <c r="S11" s="39">
        <v>42254</v>
      </c>
      <c r="T11" s="45">
        <v>0</v>
      </c>
      <c r="U11" s="32"/>
      <c r="V11" s="26">
        <v>42254</v>
      </c>
      <c r="W11" s="51">
        <v>55093</v>
      </c>
      <c r="X11" s="23"/>
      <c r="Y11" s="27">
        <v>42254</v>
      </c>
      <c r="Z11" s="62">
        <v>200</v>
      </c>
      <c r="AA11" s="88"/>
      <c r="AB11" s="13" t="s">
        <v>683</v>
      </c>
      <c r="AC11" s="19">
        <v>0</v>
      </c>
      <c r="AD11" s="67" t="s">
        <v>690</v>
      </c>
      <c r="AE11" s="75">
        <v>50500</v>
      </c>
      <c r="AF11" s="43">
        <v>11657</v>
      </c>
      <c r="AG11" t="s">
        <v>664</v>
      </c>
      <c r="AI11" s="21"/>
      <c r="AJ11" s="39">
        <v>42254</v>
      </c>
      <c r="AK11" s="45">
        <v>0</v>
      </c>
      <c r="AL11" s="32"/>
      <c r="AM11" s="26">
        <v>42254</v>
      </c>
      <c r="AN11" s="51">
        <v>55093</v>
      </c>
      <c r="AO11" s="23"/>
      <c r="AP11" s="27">
        <v>42254</v>
      </c>
      <c r="AQ11" s="62">
        <v>200</v>
      </c>
      <c r="AR11" s="88"/>
      <c r="AS11" s="13" t="s">
        <v>683</v>
      </c>
      <c r="AT11" s="19">
        <v>0</v>
      </c>
      <c r="AU11" s="67" t="s">
        <v>690</v>
      </c>
      <c r="AV11" s="75">
        <v>50500</v>
      </c>
      <c r="AW11" s="43">
        <v>11657</v>
      </c>
      <c r="AX11" t="s">
        <v>664</v>
      </c>
    </row>
    <row r="12" spans="1:50" x14ac:dyDescent="0.25">
      <c r="A12" s="21"/>
      <c r="B12" s="39">
        <v>42255</v>
      </c>
      <c r="C12" s="45">
        <v>0</v>
      </c>
      <c r="D12" s="32"/>
      <c r="E12" s="26">
        <v>42255</v>
      </c>
      <c r="F12" s="51">
        <v>33884</v>
      </c>
      <c r="G12" s="23"/>
      <c r="H12" s="27">
        <v>42255</v>
      </c>
      <c r="I12" s="62">
        <v>33884</v>
      </c>
      <c r="J12" s="88"/>
      <c r="K12" s="13" t="s">
        <v>684</v>
      </c>
      <c r="L12" s="20">
        <v>9128.6299999999992</v>
      </c>
      <c r="M12" s="67" t="s">
        <v>691</v>
      </c>
      <c r="N12" s="75">
        <v>33700</v>
      </c>
      <c r="O12" s="43">
        <v>11641</v>
      </c>
      <c r="P12" t="s">
        <v>664</v>
      </c>
      <c r="R12" s="21"/>
      <c r="S12" s="39">
        <v>42255</v>
      </c>
      <c r="T12" s="45">
        <v>0</v>
      </c>
      <c r="U12" s="32"/>
      <c r="V12" s="26">
        <v>42255</v>
      </c>
      <c r="W12" s="51">
        <v>33884</v>
      </c>
      <c r="X12" s="23"/>
      <c r="Y12" s="27">
        <v>42255</v>
      </c>
      <c r="Z12" s="62">
        <v>33884</v>
      </c>
      <c r="AA12" s="88"/>
      <c r="AB12" s="13" t="s">
        <v>684</v>
      </c>
      <c r="AC12" s="20">
        <v>0</v>
      </c>
      <c r="AD12" s="67" t="s">
        <v>691</v>
      </c>
      <c r="AE12" s="75">
        <v>33700</v>
      </c>
      <c r="AF12" s="43">
        <v>11641</v>
      </c>
      <c r="AG12" t="s">
        <v>664</v>
      </c>
      <c r="AI12" s="21"/>
      <c r="AJ12" s="39">
        <v>42255</v>
      </c>
      <c r="AK12" s="45">
        <v>0</v>
      </c>
      <c r="AL12" s="32"/>
      <c r="AM12" s="26">
        <v>42255</v>
      </c>
      <c r="AN12" s="51"/>
      <c r="AO12" s="23"/>
      <c r="AP12" s="27">
        <v>42255</v>
      </c>
      <c r="AQ12" s="62"/>
      <c r="AR12" s="88"/>
      <c r="AS12" s="13" t="s">
        <v>684</v>
      </c>
      <c r="AT12" s="20">
        <v>0</v>
      </c>
      <c r="AU12" s="67"/>
      <c r="AV12" s="75"/>
    </row>
    <row r="13" spans="1:50" x14ac:dyDescent="0.25">
      <c r="A13" s="21"/>
      <c r="B13" s="39">
        <v>42256</v>
      </c>
      <c r="C13" s="45">
        <v>0</v>
      </c>
      <c r="D13" s="32"/>
      <c r="E13" s="26">
        <v>42256</v>
      </c>
      <c r="F13" s="51">
        <v>39307</v>
      </c>
      <c r="G13" s="23"/>
      <c r="H13" s="27">
        <v>42256</v>
      </c>
      <c r="I13" s="62">
        <v>200</v>
      </c>
      <c r="J13" s="88"/>
      <c r="K13" s="13" t="s">
        <v>685</v>
      </c>
      <c r="L13" s="20">
        <v>0</v>
      </c>
      <c r="M13" s="67" t="s">
        <v>703</v>
      </c>
      <c r="N13" s="75">
        <v>44500</v>
      </c>
      <c r="O13" s="43">
        <v>6248</v>
      </c>
      <c r="P13" t="s">
        <v>664</v>
      </c>
      <c r="R13" s="21"/>
      <c r="S13" s="39">
        <v>42256</v>
      </c>
      <c r="T13" s="45">
        <v>0</v>
      </c>
      <c r="U13" s="32"/>
      <c r="V13" s="26">
        <v>42256</v>
      </c>
      <c r="W13" s="51">
        <v>39307</v>
      </c>
      <c r="X13" s="23"/>
      <c r="Y13" s="27">
        <v>42256</v>
      </c>
      <c r="Z13" s="62">
        <v>200</v>
      </c>
      <c r="AA13" s="88"/>
      <c r="AB13" s="13" t="s">
        <v>685</v>
      </c>
      <c r="AC13" s="20">
        <v>0</v>
      </c>
      <c r="AD13" s="67" t="s">
        <v>703</v>
      </c>
      <c r="AE13" s="75">
        <v>44500</v>
      </c>
      <c r="AF13" s="43">
        <v>6248</v>
      </c>
      <c r="AG13" t="s">
        <v>664</v>
      </c>
      <c r="AI13" s="21"/>
      <c r="AJ13" s="39">
        <v>42256</v>
      </c>
      <c r="AK13" s="45">
        <v>0</v>
      </c>
      <c r="AL13" s="32"/>
      <c r="AM13" s="26">
        <v>42256</v>
      </c>
      <c r="AN13" s="51"/>
      <c r="AO13" s="23"/>
      <c r="AP13" s="27">
        <v>42256</v>
      </c>
      <c r="AQ13" s="62"/>
      <c r="AR13" s="88"/>
      <c r="AS13" s="13" t="s">
        <v>685</v>
      </c>
      <c r="AT13" s="20">
        <v>0</v>
      </c>
      <c r="AU13" s="67"/>
      <c r="AV13" s="75"/>
    </row>
    <row r="14" spans="1:50" x14ac:dyDescent="0.25">
      <c r="A14" s="21"/>
      <c r="B14" s="39">
        <v>42257</v>
      </c>
      <c r="C14" s="45">
        <v>0</v>
      </c>
      <c r="D14" s="29"/>
      <c r="E14" s="26">
        <v>42257</v>
      </c>
      <c r="F14" s="51">
        <v>39008.5</v>
      </c>
      <c r="G14" s="23"/>
      <c r="H14" s="27">
        <v>42257</v>
      </c>
      <c r="I14" s="62">
        <v>200</v>
      </c>
      <c r="J14" s="88"/>
      <c r="K14" s="35" t="s">
        <v>16</v>
      </c>
      <c r="L14" s="20">
        <v>0</v>
      </c>
      <c r="M14" s="67" t="s">
        <v>693</v>
      </c>
      <c r="N14" s="75">
        <v>36900</v>
      </c>
      <c r="O14" s="242">
        <v>7356.5</v>
      </c>
      <c r="P14" t="s">
        <v>664</v>
      </c>
      <c r="R14" s="21"/>
      <c r="S14" s="39">
        <v>42257</v>
      </c>
      <c r="T14" s="45">
        <v>0</v>
      </c>
      <c r="U14" s="29"/>
      <c r="V14" s="26">
        <v>42257</v>
      </c>
      <c r="W14" s="51">
        <v>39008.5</v>
      </c>
      <c r="X14" s="23"/>
      <c r="Y14" s="27">
        <v>42257</v>
      </c>
      <c r="Z14" s="62">
        <v>200</v>
      </c>
      <c r="AA14" s="88"/>
      <c r="AB14" s="35" t="s">
        <v>16</v>
      </c>
      <c r="AC14" s="20">
        <v>0</v>
      </c>
      <c r="AD14" s="67" t="s">
        <v>693</v>
      </c>
      <c r="AE14" s="75">
        <v>36900</v>
      </c>
      <c r="AF14" s="242">
        <v>7356.5</v>
      </c>
      <c r="AG14" t="s">
        <v>664</v>
      </c>
      <c r="AI14" s="21"/>
      <c r="AJ14" s="39">
        <v>42257</v>
      </c>
      <c r="AK14" s="45">
        <v>0</v>
      </c>
      <c r="AL14" s="29"/>
      <c r="AM14" s="26">
        <v>42257</v>
      </c>
      <c r="AN14" s="51"/>
      <c r="AO14" s="23"/>
      <c r="AP14" s="27">
        <v>42257</v>
      </c>
      <c r="AQ14" s="62"/>
      <c r="AR14" s="88"/>
      <c r="AS14" s="35" t="s">
        <v>16</v>
      </c>
      <c r="AT14" s="20">
        <v>0</v>
      </c>
      <c r="AU14" s="67"/>
      <c r="AV14" s="75"/>
      <c r="AW14" s="242"/>
    </row>
    <row r="15" spans="1:50" x14ac:dyDescent="0.25">
      <c r="A15" s="21"/>
      <c r="B15" s="39">
        <v>42258</v>
      </c>
      <c r="C15" s="45">
        <v>0</v>
      </c>
      <c r="D15" s="29"/>
      <c r="E15" s="26">
        <v>42258</v>
      </c>
      <c r="F15" s="51">
        <v>59218</v>
      </c>
      <c r="G15" s="23"/>
      <c r="H15" s="27">
        <v>42258</v>
      </c>
      <c r="I15" s="62">
        <v>232</v>
      </c>
      <c r="J15" s="88"/>
      <c r="K15" s="28" t="s">
        <v>15</v>
      </c>
      <c r="L15" s="20">
        <v>0</v>
      </c>
      <c r="M15" s="67" t="s">
        <v>704</v>
      </c>
      <c r="N15" s="75">
        <f>F15-I15+O14-O15</f>
        <v>57640</v>
      </c>
      <c r="O15" s="43">
        <v>8702.5</v>
      </c>
      <c r="P15" t="s">
        <v>664</v>
      </c>
      <c r="R15" s="21"/>
      <c r="S15" s="39">
        <v>42258</v>
      </c>
      <c r="T15" s="45">
        <v>0</v>
      </c>
      <c r="U15" s="29"/>
      <c r="V15" s="26">
        <v>42258</v>
      </c>
      <c r="W15" s="51">
        <v>59218</v>
      </c>
      <c r="X15" s="23"/>
      <c r="Y15" s="27">
        <v>42258</v>
      </c>
      <c r="Z15" s="62">
        <v>232</v>
      </c>
      <c r="AA15" s="88"/>
      <c r="AB15" s="28" t="s">
        <v>15</v>
      </c>
      <c r="AC15" s="20">
        <v>0</v>
      </c>
      <c r="AD15" s="67" t="s">
        <v>704</v>
      </c>
      <c r="AE15" s="75">
        <f>W15-Z15+AF14-AF15</f>
        <v>57640</v>
      </c>
      <c r="AF15" s="43">
        <v>8702.5</v>
      </c>
      <c r="AG15" t="s">
        <v>664</v>
      </c>
      <c r="AI15" s="21"/>
      <c r="AJ15" s="39">
        <v>42258</v>
      </c>
      <c r="AK15" s="45">
        <v>0</v>
      </c>
      <c r="AL15" s="29"/>
      <c r="AM15" s="26">
        <v>42258</v>
      </c>
      <c r="AN15" s="51"/>
      <c r="AO15" s="23"/>
      <c r="AP15" s="27">
        <v>42258</v>
      </c>
      <c r="AQ15" s="62"/>
      <c r="AR15" s="88"/>
      <c r="AS15" s="28" t="s">
        <v>15</v>
      </c>
      <c r="AT15" s="20">
        <v>0</v>
      </c>
      <c r="AU15" s="67"/>
      <c r="AV15" s="75"/>
    </row>
    <row r="16" spans="1:50" x14ac:dyDescent="0.25">
      <c r="A16" s="21"/>
      <c r="B16" s="39">
        <v>42259</v>
      </c>
      <c r="C16" s="45">
        <v>0</v>
      </c>
      <c r="D16" s="29"/>
      <c r="E16" s="26">
        <v>42259</v>
      </c>
      <c r="F16" s="51">
        <v>77399.5</v>
      </c>
      <c r="G16" s="23"/>
      <c r="H16" s="27">
        <v>42259</v>
      </c>
      <c r="I16" s="62">
        <v>200</v>
      </c>
      <c r="J16" s="88"/>
      <c r="K16" s="73" t="s">
        <v>52</v>
      </c>
      <c r="L16" s="74">
        <v>0</v>
      </c>
      <c r="M16" s="67" t="s">
        <v>705</v>
      </c>
      <c r="N16" s="75">
        <v>78150</v>
      </c>
      <c r="O16" s="43">
        <v>8040.5</v>
      </c>
      <c r="P16" t="s">
        <v>664</v>
      </c>
      <c r="R16" s="21"/>
      <c r="S16" s="39">
        <v>42259</v>
      </c>
      <c r="T16" s="45">
        <v>0</v>
      </c>
      <c r="U16" s="29"/>
      <c r="V16" s="26">
        <v>42259</v>
      </c>
      <c r="W16" s="51">
        <v>77399.5</v>
      </c>
      <c r="X16" s="23"/>
      <c r="Y16" s="27">
        <v>42259</v>
      </c>
      <c r="Z16" s="62">
        <v>200</v>
      </c>
      <c r="AA16" s="88"/>
      <c r="AB16" s="73" t="s">
        <v>52</v>
      </c>
      <c r="AC16" s="74">
        <v>0</v>
      </c>
      <c r="AD16" s="67" t="s">
        <v>705</v>
      </c>
      <c r="AE16" s="75">
        <v>78150</v>
      </c>
      <c r="AF16" s="43">
        <v>8040.5</v>
      </c>
      <c r="AG16" t="s">
        <v>664</v>
      </c>
      <c r="AI16" s="21"/>
      <c r="AJ16" s="39">
        <v>42259</v>
      </c>
      <c r="AK16" s="45">
        <v>0</v>
      </c>
      <c r="AL16" s="29"/>
      <c r="AM16" s="26">
        <v>42259</v>
      </c>
      <c r="AN16" s="51"/>
      <c r="AO16" s="23"/>
      <c r="AP16" s="27">
        <v>42259</v>
      </c>
      <c r="AQ16" s="62"/>
      <c r="AR16" s="88"/>
      <c r="AS16" s="73" t="s">
        <v>52</v>
      </c>
      <c r="AT16" s="74">
        <v>0</v>
      </c>
      <c r="AU16" s="67"/>
      <c r="AV16" s="75"/>
    </row>
    <row r="17" spans="1:49" x14ac:dyDescent="0.25">
      <c r="A17" s="21"/>
      <c r="B17" s="39">
        <v>42260</v>
      </c>
      <c r="C17" s="45">
        <v>1548.41</v>
      </c>
      <c r="D17" s="29" t="s">
        <v>707</v>
      </c>
      <c r="E17" s="26">
        <v>42260</v>
      </c>
      <c r="F17" s="51">
        <v>91136</v>
      </c>
      <c r="G17" s="23"/>
      <c r="H17" s="27">
        <v>42260</v>
      </c>
      <c r="I17" s="62">
        <v>200</v>
      </c>
      <c r="J17" s="88"/>
      <c r="K17" s="28" t="s">
        <v>53</v>
      </c>
      <c r="L17" s="74">
        <v>0</v>
      </c>
      <c r="M17" s="67" t="s">
        <v>706</v>
      </c>
      <c r="N17" s="75">
        <v>89300</v>
      </c>
      <c r="O17" s="43">
        <v>7789</v>
      </c>
      <c r="P17" t="s">
        <v>664</v>
      </c>
      <c r="R17" s="21"/>
      <c r="S17" s="39">
        <v>42260</v>
      </c>
      <c r="T17" s="45">
        <v>1548.41</v>
      </c>
      <c r="U17" s="29" t="s">
        <v>707</v>
      </c>
      <c r="V17" s="26">
        <v>42260</v>
      </c>
      <c r="W17" s="51">
        <v>91136</v>
      </c>
      <c r="X17" s="23"/>
      <c r="Y17" s="27">
        <v>42260</v>
      </c>
      <c r="Z17" s="62">
        <v>200</v>
      </c>
      <c r="AA17" s="88"/>
      <c r="AB17" s="28" t="s">
        <v>53</v>
      </c>
      <c r="AC17" s="74">
        <v>0</v>
      </c>
      <c r="AD17" s="67" t="s">
        <v>706</v>
      </c>
      <c r="AE17" s="75">
        <v>89300</v>
      </c>
      <c r="AF17" s="43">
        <v>7789</v>
      </c>
      <c r="AG17" t="s">
        <v>664</v>
      </c>
      <c r="AI17" s="21"/>
      <c r="AJ17" s="39">
        <v>42260</v>
      </c>
      <c r="AK17" s="45">
        <v>0</v>
      </c>
      <c r="AL17" s="29"/>
      <c r="AM17" s="26">
        <v>42260</v>
      </c>
      <c r="AN17" s="51"/>
      <c r="AO17" s="23"/>
      <c r="AP17" s="27">
        <v>42260</v>
      </c>
      <c r="AQ17" s="62"/>
      <c r="AR17" s="88"/>
      <c r="AS17" s="28" t="s">
        <v>53</v>
      </c>
      <c r="AT17" s="74">
        <v>0</v>
      </c>
      <c r="AU17" s="67"/>
      <c r="AV17" s="75"/>
    </row>
    <row r="18" spans="1:49" x14ac:dyDescent="0.25">
      <c r="A18" s="21"/>
      <c r="B18" s="39">
        <v>42261</v>
      </c>
      <c r="C18" s="45">
        <v>0</v>
      </c>
      <c r="D18" s="22"/>
      <c r="E18" s="26">
        <v>42261</v>
      </c>
      <c r="F18" s="51">
        <v>56549</v>
      </c>
      <c r="G18" s="23"/>
      <c r="H18" s="27">
        <v>42261</v>
      </c>
      <c r="I18" s="62">
        <v>200</v>
      </c>
      <c r="J18" s="89"/>
      <c r="K18" s="28" t="s">
        <v>54</v>
      </c>
      <c r="L18" s="75">
        <v>0</v>
      </c>
      <c r="M18" s="67" t="s">
        <v>708</v>
      </c>
      <c r="N18" s="75">
        <v>47520</v>
      </c>
      <c r="O18" s="43">
        <v>7318</v>
      </c>
      <c r="P18" t="s">
        <v>664</v>
      </c>
      <c r="R18" s="21"/>
      <c r="S18" s="39">
        <v>42261</v>
      </c>
      <c r="T18" s="45">
        <v>0</v>
      </c>
      <c r="U18" s="22"/>
      <c r="V18" s="26">
        <v>42261</v>
      </c>
      <c r="W18" s="51">
        <v>56549</v>
      </c>
      <c r="X18" s="23"/>
      <c r="Y18" s="27">
        <v>42261</v>
      </c>
      <c r="Z18" s="62">
        <v>200</v>
      </c>
      <c r="AA18" s="89"/>
      <c r="AB18" s="28" t="s">
        <v>54</v>
      </c>
      <c r="AC18" s="75">
        <v>0</v>
      </c>
      <c r="AD18" s="67" t="s">
        <v>708</v>
      </c>
      <c r="AE18" s="75">
        <v>47520</v>
      </c>
      <c r="AF18" s="43">
        <v>7318</v>
      </c>
      <c r="AG18" t="s">
        <v>664</v>
      </c>
      <c r="AI18" s="21"/>
      <c r="AJ18" s="39">
        <v>42261</v>
      </c>
      <c r="AK18" s="45">
        <v>0</v>
      </c>
      <c r="AL18" s="22"/>
      <c r="AM18" s="26">
        <v>42261</v>
      </c>
      <c r="AN18" s="51"/>
      <c r="AO18" s="23"/>
      <c r="AP18" s="27">
        <v>42261</v>
      </c>
      <c r="AQ18" s="62"/>
      <c r="AR18" s="89"/>
      <c r="AS18" s="28" t="s">
        <v>54</v>
      </c>
      <c r="AT18" s="75">
        <v>0</v>
      </c>
      <c r="AU18" s="67"/>
      <c r="AV18" s="75"/>
    </row>
    <row r="19" spans="1:49" x14ac:dyDescent="0.25">
      <c r="A19" s="21"/>
      <c r="B19" s="39">
        <v>42262</v>
      </c>
      <c r="C19" s="45">
        <v>0</v>
      </c>
      <c r="D19" s="29"/>
      <c r="E19" s="26">
        <v>42262</v>
      </c>
      <c r="F19" s="51">
        <v>82433</v>
      </c>
      <c r="G19" s="23"/>
      <c r="H19" s="27">
        <v>42262</v>
      </c>
      <c r="I19" s="62">
        <v>200</v>
      </c>
      <c r="J19" s="88"/>
      <c r="K19" s="28" t="s">
        <v>55</v>
      </c>
      <c r="L19" s="75">
        <v>0</v>
      </c>
      <c r="M19" s="67" t="s">
        <v>709</v>
      </c>
      <c r="N19" s="75">
        <v>92550</v>
      </c>
      <c r="O19" s="43">
        <v>6301</v>
      </c>
      <c r="P19" t="s">
        <v>664</v>
      </c>
      <c r="R19" s="21"/>
      <c r="S19" s="39">
        <v>42262</v>
      </c>
      <c r="T19" s="45">
        <v>0</v>
      </c>
      <c r="U19" s="29"/>
      <c r="V19" s="26">
        <v>42262</v>
      </c>
      <c r="W19" s="51"/>
      <c r="X19" s="23"/>
      <c r="Y19" s="27">
        <v>42262</v>
      </c>
      <c r="Z19" s="62"/>
      <c r="AA19" s="88"/>
      <c r="AB19" s="28" t="s">
        <v>55</v>
      </c>
      <c r="AC19" s="75">
        <v>0</v>
      </c>
      <c r="AD19" s="67"/>
      <c r="AE19" s="75">
        <v>0</v>
      </c>
      <c r="AI19" s="21"/>
      <c r="AJ19" s="39">
        <v>42262</v>
      </c>
      <c r="AK19" s="45">
        <v>0</v>
      </c>
      <c r="AL19" s="29"/>
      <c r="AM19" s="26">
        <v>42262</v>
      </c>
      <c r="AN19" s="51"/>
      <c r="AO19" s="23"/>
      <c r="AP19" s="27">
        <v>42262</v>
      </c>
      <c r="AQ19" s="62"/>
      <c r="AR19" s="88"/>
      <c r="AS19" s="28" t="s">
        <v>55</v>
      </c>
      <c r="AT19" s="75">
        <v>0</v>
      </c>
      <c r="AU19" s="67"/>
      <c r="AV19" s="75"/>
    </row>
    <row r="20" spans="1:49" x14ac:dyDescent="0.25">
      <c r="A20" s="21"/>
      <c r="B20" s="39">
        <v>42263</v>
      </c>
      <c r="C20" s="45">
        <v>0</v>
      </c>
      <c r="D20" s="22"/>
      <c r="E20" s="26">
        <v>42263</v>
      </c>
      <c r="F20" s="51">
        <v>43456</v>
      </c>
      <c r="G20" s="23"/>
      <c r="H20" s="27">
        <v>42263</v>
      </c>
      <c r="I20" s="62">
        <v>200</v>
      </c>
      <c r="J20" s="90"/>
      <c r="K20" s="314" t="s">
        <v>408</v>
      </c>
      <c r="L20" s="55">
        <v>0</v>
      </c>
      <c r="M20" s="67" t="s">
        <v>710</v>
      </c>
      <c r="N20" s="75">
        <v>43050</v>
      </c>
      <c r="O20" s="43">
        <v>6507</v>
      </c>
      <c r="P20" t="s">
        <v>664</v>
      </c>
      <c r="R20" s="21"/>
      <c r="S20" s="39">
        <v>42263</v>
      </c>
      <c r="T20" s="45">
        <v>0</v>
      </c>
      <c r="U20" s="22"/>
      <c r="V20" s="26">
        <v>42263</v>
      </c>
      <c r="W20" s="51"/>
      <c r="X20" s="23"/>
      <c r="Y20" s="27">
        <v>42263</v>
      </c>
      <c r="Z20" s="62"/>
      <c r="AA20" s="90"/>
      <c r="AB20" s="314" t="s">
        <v>408</v>
      </c>
      <c r="AC20" s="55">
        <v>0</v>
      </c>
      <c r="AD20" s="67"/>
      <c r="AE20" s="75">
        <v>0</v>
      </c>
      <c r="AI20" s="21"/>
      <c r="AJ20" s="39">
        <v>42263</v>
      </c>
      <c r="AK20" s="45">
        <v>0</v>
      </c>
      <c r="AL20" s="22"/>
      <c r="AM20" s="26">
        <v>42263</v>
      </c>
      <c r="AN20" s="51"/>
      <c r="AO20" s="23"/>
      <c r="AP20" s="27">
        <v>42263</v>
      </c>
      <c r="AQ20" s="62"/>
      <c r="AR20" s="90"/>
      <c r="AS20" s="314" t="s">
        <v>408</v>
      </c>
      <c r="AT20" s="55">
        <v>0</v>
      </c>
      <c r="AU20" s="67"/>
      <c r="AV20" s="75"/>
    </row>
    <row r="21" spans="1:49" x14ac:dyDescent="0.25">
      <c r="A21" s="21"/>
      <c r="B21" s="39">
        <v>42264</v>
      </c>
      <c r="C21" s="45">
        <v>0</v>
      </c>
      <c r="D21" s="22"/>
      <c r="E21" s="26">
        <v>42264</v>
      </c>
      <c r="F21" s="51">
        <v>55258</v>
      </c>
      <c r="G21" s="23"/>
      <c r="H21" s="27">
        <v>42264</v>
      </c>
      <c r="I21" s="62">
        <v>200</v>
      </c>
      <c r="J21" s="88"/>
      <c r="K21" s="25" t="s">
        <v>99</v>
      </c>
      <c r="L21" s="55">
        <v>0</v>
      </c>
      <c r="M21" s="67" t="s">
        <v>711</v>
      </c>
      <c r="N21" s="75">
        <v>55200</v>
      </c>
      <c r="O21" s="43">
        <v>6365</v>
      </c>
      <c r="P21" t="s">
        <v>664</v>
      </c>
      <c r="R21" s="21"/>
      <c r="S21" s="39">
        <v>42264</v>
      </c>
      <c r="T21" s="45">
        <v>0</v>
      </c>
      <c r="U21" s="22"/>
      <c r="V21" s="26">
        <v>42264</v>
      </c>
      <c r="W21" s="51"/>
      <c r="X21" s="23"/>
      <c r="Y21" s="27">
        <v>42264</v>
      </c>
      <c r="Z21" s="62"/>
      <c r="AA21" s="88"/>
      <c r="AB21" s="25" t="s">
        <v>99</v>
      </c>
      <c r="AC21" s="55">
        <v>0</v>
      </c>
      <c r="AD21" s="67"/>
      <c r="AE21" s="75">
        <v>0</v>
      </c>
      <c r="AI21" s="21"/>
      <c r="AJ21" s="39">
        <v>42264</v>
      </c>
      <c r="AK21" s="45">
        <v>0</v>
      </c>
      <c r="AL21" s="22"/>
      <c r="AM21" s="26">
        <v>42264</v>
      </c>
      <c r="AN21" s="51"/>
      <c r="AO21" s="23"/>
      <c r="AP21" s="27">
        <v>42264</v>
      </c>
      <c r="AQ21" s="62"/>
      <c r="AR21" s="88"/>
      <c r="AS21" s="25" t="s">
        <v>99</v>
      </c>
      <c r="AT21" s="55">
        <v>0</v>
      </c>
      <c r="AU21" s="67"/>
      <c r="AV21" s="75"/>
    </row>
    <row r="22" spans="1:49" x14ac:dyDescent="0.25">
      <c r="A22" s="21"/>
      <c r="B22" s="39">
        <v>42265</v>
      </c>
      <c r="C22" s="45">
        <v>0</v>
      </c>
      <c r="D22" s="22"/>
      <c r="E22" s="26">
        <v>42265</v>
      </c>
      <c r="F22" s="51">
        <v>69492</v>
      </c>
      <c r="G22" s="23"/>
      <c r="H22" s="27">
        <v>42265</v>
      </c>
      <c r="I22" s="62">
        <v>200</v>
      </c>
      <c r="J22" s="90"/>
      <c r="K22" s="392" t="s">
        <v>213</v>
      </c>
      <c r="L22" s="55">
        <v>0</v>
      </c>
      <c r="M22" s="67" t="s">
        <v>722</v>
      </c>
      <c r="N22" s="75">
        <v>64600</v>
      </c>
      <c r="O22" s="43">
        <v>6039</v>
      </c>
      <c r="P22" t="s">
        <v>664</v>
      </c>
      <c r="R22" s="21"/>
      <c r="S22" s="39">
        <v>42265</v>
      </c>
      <c r="T22" s="45">
        <v>0</v>
      </c>
      <c r="U22" s="22"/>
      <c r="V22" s="26">
        <v>42265</v>
      </c>
      <c r="W22" s="51"/>
      <c r="X22" s="23"/>
      <c r="Y22" s="27">
        <v>42265</v>
      </c>
      <c r="Z22" s="62"/>
      <c r="AA22" s="90"/>
      <c r="AB22" s="392" t="s">
        <v>213</v>
      </c>
      <c r="AC22" s="55">
        <v>0</v>
      </c>
      <c r="AD22" s="67"/>
      <c r="AE22" s="75">
        <v>0</v>
      </c>
      <c r="AI22" s="21"/>
      <c r="AJ22" s="39">
        <v>42265</v>
      </c>
      <c r="AK22" s="45">
        <v>0</v>
      </c>
      <c r="AL22" s="22"/>
      <c r="AM22" s="26">
        <v>42265</v>
      </c>
      <c r="AN22" s="51"/>
      <c r="AO22" s="23"/>
      <c r="AP22" s="27">
        <v>42265</v>
      </c>
      <c r="AQ22" s="62"/>
      <c r="AR22" s="90"/>
      <c r="AS22" s="392" t="s">
        <v>213</v>
      </c>
      <c r="AT22" s="55">
        <v>0</v>
      </c>
      <c r="AU22" s="67"/>
      <c r="AV22" s="75"/>
    </row>
    <row r="23" spans="1:49" x14ac:dyDescent="0.25">
      <c r="A23" s="21"/>
      <c r="B23" s="39">
        <v>42266</v>
      </c>
      <c r="C23" s="45">
        <v>750</v>
      </c>
      <c r="D23" s="22" t="s">
        <v>50</v>
      </c>
      <c r="E23" s="26">
        <v>42266</v>
      </c>
      <c r="F23" s="51">
        <v>76610.5</v>
      </c>
      <c r="G23" s="23"/>
      <c r="H23" s="27">
        <v>42266</v>
      </c>
      <c r="I23" s="62">
        <v>200</v>
      </c>
      <c r="J23" s="88"/>
      <c r="K23" s="420"/>
      <c r="L23" s="55">
        <v>0</v>
      </c>
      <c r="M23" s="67" t="s">
        <v>723</v>
      </c>
      <c r="N23" s="75">
        <v>77450</v>
      </c>
      <c r="O23" s="43">
        <v>9267.5</v>
      </c>
      <c r="P23" t="s">
        <v>664</v>
      </c>
      <c r="R23" s="21"/>
      <c r="S23" s="39">
        <v>42266</v>
      </c>
      <c r="T23" s="45">
        <v>0</v>
      </c>
      <c r="U23" s="22"/>
      <c r="V23" s="26">
        <v>42266</v>
      </c>
      <c r="W23" s="51"/>
      <c r="X23" s="23"/>
      <c r="Y23" s="27">
        <v>42266</v>
      </c>
      <c r="Z23" s="62"/>
      <c r="AA23" s="88"/>
      <c r="AB23" s="420"/>
      <c r="AC23" s="55">
        <v>0</v>
      </c>
      <c r="AD23" s="67"/>
      <c r="AE23" s="75">
        <v>0</v>
      </c>
      <c r="AI23" s="21"/>
      <c r="AJ23" s="39">
        <v>42266</v>
      </c>
      <c r="AK23" s="45">
        <v>0</v>
      </c>
      <c r="AL23" s="22"/>
      <c r="AM23" s="26">
        <v>42266</v>
      </c>
      <c r="AN23" s="51"/>
      <c r="AO23" s="23"/>
      <c r="AP23" s="27">
        <v>42266</v>
      </c>
      <c r="AQ23" s="62"/>
      <c r="AR23" s="88"/>
      <c r="AS23" s="420"/>
      <c r="AT23" s="55">
        <v>0</v>
      </c>
      <c r="AU23" s="67"/>
      <c r="AV23" s="75"/>
    </row>
    <row r="24" spans="1:49" x14ac:dyDescent="0.25">
      <c r="A24" s="21"/>
      <c r="B24" s="39">
        <v>42267</v>
      </c>
      <c r="C24" s="45">
        <v>0</v>
      </c>
      <c r="D24" s="29"/>
      <c r="E24" s="26">
        <v>42267</v>
      </c>
      <c r="F24" s="51">
        <v>68835.5</v>
      </c>
      <c r="G24" s="23"/>
      <c r="H24" s="27">
        <v>42267</v>
      </c>
      <c r="I24" s="62">
        <v>200</v>
      </c>
      <c r="J24" s="88"/>
      <c r="K24" s="365" t="s">
        <v>332</v>
      </c>
      <c r="L24" s="55">
        <v>800</v>
      </c>
      <c r="M24" s="67" t="s">
        <v>724</v>
      </c>
      <c r="N24" s="75">
        <v>70450</v>
      </c>
      <c r="O24" s="43">
        <v>7108</v>
      </c>
      <c r="P24" t="s">
        <v>664</v>
      </c>
      <c r="R24" s="21"/>
      <c r="S24" s="39">
        <v>42267</v>
      </c>
      <c r="T24" s="45">
        <v>0</v>
      </c>
      <c r="U24" s="29"/>
      <c r="V24" s="26">
        <v>42267</v>
      </c>
      <c r="W24" s="51"/>
      <c r="X24" s="23"/>
      <c r="Y24" s="27">
        <v>42267</v>
      </c>
      <c r="Z24" s="62"/>
      <c r="AA24" s="88"/>
      <c r="AB24" s="365" t="s">
        <v>332</v>
      </c>
      <c r="AC24" s="55">
        <v>800</v>
      </c>
      <c r="AD24" s="67"/>
      <c r="AE24" s="75">
        <v>0</v>
      </c>
      <c r="AI24" s="21"/>
      <c r="AJ24" s="39">
        <v>42267</v>
      </c>
      <c r="AK24" s="45">
        <v>0</v>
      </c>
      <c r="AL24" s="29"/>
      <c r="AM24" s="26">
        <v>42267</v>
      </c>
      <c r="AN24" s="51"/>
      <c r="AO24" s="23"/>
      <c r="AP24" s="27">
        <v>42267</v>
      </c>
      <c r="AQ24" s="62"/>
      <c r="AR24" s="88"/>
      <c r="AS24" s="365" t="s">
        <v>332</v>
      </c>
      <c r="AT24" s="55">
        <v>0</v>
      </c>
      <c r="AU24" s="67"/>
      <c r="AV24" s="75"/>
    </row>
    <row r="25" spans="1:49" x14ac:dyDescent="0.25">
      <c r="A25" s="21"/>
      <c r="B25" s="39">
        <v>42268</v>
      </c>
      <c r="C25" s="45">
        <v>0</v>
      </c>
      <c r="D25" s="22"/>
      <c r="E25" s="26">
        <v>42268</v>
      </c>
      <c r="F25" s="51">
        <v>45520.5</v>
      </c>
      <c r="G25" s="23"/>
      <c r="H25" s="27">
        <v>42268</v>
      </c>
      <c r="I25" s="62">
        <v>216</v>
      </c>
      <c r="J25" s="88"/>
      <c r="K25" s="25">
        <v>42257</v>
      </c>
      <c r="L25" s="55"/>
      <c r="M25" s="67" t="s">
        <v>725</v>
      </c>
      <c r="N25" s="75">
        <v>46450</v>
      </c>
      <c r="O25" s="43">
        <v>5962.5</v>
      </c>
      <c r="P25" t="s">
        <v>664</v>
      </c>
      <c r="R25" s="21"/>
      <c r="S25" s="39">
        <v>42268</v>
      </c>
      <c r="T25" s="45">
        <v>0</v>
      </c>
      <c r="U25" s="22"/>
      <c r="V25" s="26">
        <v>42268</v>
      </c>
      <c r="W25" s="51"/>
      <c r="X25" s="23"/>
      <c r="Y25" s="27">
        <v>42268</v>
      </c>
      <c r="Z25" s="62"/>
      <c r="AA25" s="88"/>
      <c r="AB25" s="25">
        <v>42257</v>
      </c>
      <c r="AC25" s="55"/>
      <c r="AD25" s="67"/>
      <c r="AE25" s="75">
        <v>0</v>
      </c>
      <c r="AI25" s="21"/>
      <c r="AJ25" s="39">
        <v>42268</v>
      </c>
      <c r="AK25" s="45">
        <v>0</v>
      </c>
      <c r="AL25" s="22"/>
      <c r="AM25" s="26">
        <v>42268</v>
      </c>
      <c r="AN25" s="51"/>
      <c r="AO25" s="23"/>
      <c r="AP25" s="27">
        <v>42268</v>
      </c>
      <c r="AQ25" s="62"/>
      <c r="AR25" s="88"/>
      <c r="AS25" s="25"/>
      <c r="AT25" s="55"/>
      <c r="AU25" s="67"/>
      <c r="AV25" s="75"/>
    </row>
    <row r="26" spans="1:49" x14ac:dyDescent="0.25">
      <c r="A26" s="21"/>
      <c r="B26" s="39">
        <v>42269</v>
      </c>
      <c r="C26" s="45">
        <v>0</v>
      </c>
      <c r="D26" s="29"/>
      <c r="E26" s="26">
        <v>42269</v>
      </c>
      <c r="F26" s="51">
        <v>26120.5</v>
      </c>
      <c r="G26" s="23"/>
      <c r="H26" s="27">
        <v>42269</v>
      </c>
      <c r="I26" s="62">
        <v>200</v>
      </c>
      <c r="J26" s="88"/>
      <c r="K26" s="122" t="s">
        <v>741</v>
      </c>
      <c r="L26" s="55">
        <v>850</v>
      </c>
      <c r="M26" s="67" t="s">
        <v>726</v>
      </c>
      <c r="N26" s="75">
        <v>25100</v>
      </c>
      <c r="O26" s="43">
        <v>6783</v>
      </c>
      <c r="P26" t="s">
        <v>664</v>
      </c>
      <c r="R26" s="21"/>
      <c r="S26" s="39">
        <v>42269</v>
      </c>
      <c r="T26" s="45">
        <v>0</v>
      </c>
      <c r="U26" s="29"/>
      <c r="V26" s="26">
        <v>42269</v>
      </c>
      <c r="W26" s="51"/>
      <c r="X26" s="23"/>
      <c r="Y26" s="27">
        <v>42269</v>
      </c>
      <c r="Z26" s="62"/>
      <c r="AA26" s="88"/>
      <c r="AB26" s="11"/>
      <c r="AC26" s="55"/>
      <c r="AD26" s="67"/>
      <c r="AE26" s="75">
        <v>0</v>
      </c>
      <c r="AI26" s="21"/>
      <c r="AJ26" s="39">
        <v>42269</v>
      </c>
      <c r="AK26" s="45">
        <v>0</v>
      </c>
      <c r="AL26" s="29"/>
      <c r="AM26" s="26">
        <v>42269</v>
      </c>
      <c r="AN26" s="51"/>
      <c r="AO26" s="23"/>
      <c r="AP26" s="27">
        <v>42269</v>
      </c>
      <c r="AQ26" s="62"/>
      <c r="AR26" s="88"/>
      <c r="AS26" s="11"/>
      <c r="AT26" s="55"/>
      <c r="AU26" s="67"/>
      <c r="AV26" s="75"/>
    </row>
    <row r="27" spans="1:49" x14ac:dyDescent="0.25">
      <c r="A27" s="21"/>
      <c r="B27" s="39">
        <v>42270</v>
      </c>
      <c r="C27" s="45">
        <v>0</v>
      </c>
      <c r="D27" s="29"/>
      <c r="E27" s="26">
        <v>42270</v>
      </c>
      <c r="F27" s="51">
        <v>33308.5</v>
      </c>
      <c r="G27" s="23"/>
      <c r="H27" s="27">
        <v>42270</v>
      </c>
      <c r="I27" s="62">
        <v>200</v>
      </c>
      <c r="J27" s="88"/>
      <c r="K27" s="25">
        <v>42272</v>
      </c>
      <c r="L27" s="55"/>
      <c r="M27" s="201" t="s">
        <v>739</v>
      </c>
      <c r="N27" s="75">
        <v>32950</v>
      </c>
      <c r="O27" s="43">
        <v>6941.5</v>
      </c>
      <c r="P27" t="s">
        <v>664</v>
      </c>
      <c r="R27" s="21"/>
      <c r="S27" s="39">
        <v>42270</v>
      </c>
      <c r="T27" s="45">
        <v>0</v>
      </c>
      <c r="U27" s="29"/>
      <c r="V27" s="26">
        <v>42270</v>
      </c>
      <c r="W27" s="51"/>
      <c r="X27" s="23"/>
      <c r="Y27" s="27">
        <v>42270</v>
      </c>
      <c r="Z27" s="62"/>
      <c r="AA27" s="88"/>
      <c r="AB27" s="11"/>
      <c r="AC27" s="55"/>
      <c r="AD27" s="201"/>
      <c r="AE27" s="75">
        <v>0</v>
      </c>
      <c r="AF27" s="43">
        <v>0</v>
      </c>
      <c r="AI27" s="21"/>
      <c r="AJ27" s="39">
        <v>42270</v>
      </c>
      <c r="AK27" s="45">
        <v>0</v>
      </c>
      <c r="AL27" s="29"/>
      <c r="AM27" s="26">
        <v>42270</v>
      </c>
      <c r="AN27" s="51"/>
      <c r="AO27" s="23"/>
      <c r="AP27" s="27">
        <v>42270</v>
      </c>
      <c r="AQ27" s="62"/>
      <c r="AR27" s="88"/>
      <c r="AS27" s="11"/>
      <c r="AT27" s="55"/>
      <c r="AU27" s="201"/>
      <c r="AV27" s="204"/>
    </row>
    <row r="28" spans="1:49" x14ac:dyDescent="0.25">
      <c r="A28" s="21"/>
      <c r="B28" s="39">
        <v>42271</v>
      </c>
      <c r="C28" s="45">
        <v>0</v>
      </c>
      <c r="D28" s="29"/>
      <c r="E28" s="26">
        <v>42271</v>
      </c>
      <c r="F28" s="51">
        <v>46591.5</v>
      </c>
      <c r="G28" s="23"/>
      <c r="H28" s="27">
        <v>42271</v>
      </c>
      <c r="I28" s="62">
        <v>200</v>
      </c>
      <c r="J28" s="88"/>
      <c r="K28" s="11"/>
      <c r="L28" s="55"/>
      <c r="M28" s="201" t="s">
        <v>740</v>
      </c>
      <c r="N28" s="75">
        <v>46450</v>
      </c>
      <c r="O28" s="43">
        <v>6883</v>
      </c>
      <c r="P28" t="s">
        <v>664</v>
      </c>
      <c r="R28" s="21"/>
      <c r="S28" s="39">
        <v>42271</v>
      </c>
      <c r="T28" s="45">
        <v>0</v>
      </c>
      <c r="U28" s="29"/>
      <c r="V28" s="26">
        <v>42271</v>
      </c>
      <c r="W28" s="51"/>
      <c r="X28" s="23"/>
      <c r="Y28" s="27">
        <v>42271</v>
      </c>
      <c r="Z28" s="62"/>
      <c r="AA28" s="88"/>
      <c r="AB28" s="11"/>
      <c r="AC28" s="55"/>
      <c r="AD28" s="201"/>
      <c r="AE28" s="75">
        <v>0</v>
      </c>
      <c r="AF28" s="43">
        <v>0</v>
      </c>
      <c r="AI28" s="21"/>
      <c r="AJ28" s="39">
        <v>42271</v>
      </c>
      <c r="AK28" s="45">
        <v>0</v>
      </c>
      <c r="AL28" s="29"/>
      <c r="AM28" s="26">
        <v>42271</v>
      </c>
      <c r="AN28" s="51"/>
      <c r="AO28" s="23"/>
      <c r="AP28" s="27">
        <v>42271</v>
      </c>
      <c r="AQ28" s="62"/>
      <c r="AR28" s="88"/>
      <c r="AS28" s="11"/>
      <c r="AT28" s="55"/>
      <c r="AU28" s="201"/>
      <c r="AV28" s="204"/>
    </row>
    <row r="29" spans="1:49" x14ac:dyDescent="0.25">
      <c r="A29" s="21"/>
      <c r="B29" s="39">
        <v>42272</v>
      </c>
      <c r="C29" s="45">
        <v>0</v>
      </c>
      <c r="D29" s="29"/>
      <c r="E29" s="26">
        <v>42272</v>
      </c>
      <c r="F29" s="51">
        <v>59149</v>
      </c>
      <c r="G29" s="23"/>
      <c r="H29" s="27">
        <v>42272</v>
      </c>
      <c r="I29" s="62">
        <v>200</v>
      </c>
      <c r="J29" s="88"/>
      <c r="K29" s="11"/>
      <c r="L29" s="20"/>
      <c r="M29" s="67" t="s">
        <v>742</v>
      </c>
      <c r="N29" s="75">
        <v>58070</v>
      </c>
      <c r="O29" s="360">
        <v>6912</v>
      </c>
      <c r="P29" t="s">
        <v>664</v>
      </c>
      <c r="R29" s="21"/>
      <c r="S29" s="39">
        <v>42272</v>
      </c>
      <c r="T29" s="45">
        <v>0</v>
      </c>
      <c r="U29" s="29"/>
      <c r="V29" s="26">
        <v>42272</v>
      </c>
      <c r="W29" s="51"/>
      <c r="X29" s="23"/>
      <c r="Y29" s="27">
        <v>42272</v>
      </c>
      <c r="Z29" s="62"/>
      <c r="AA29" s="88"/>
      <c r="AB29" s="11"/>
      <c r="AC29" s="20"/>
      <c r="AD29" s="67"/>
      <c r="AE29" s="75">
        <v>0</v>
      </c>
      <c r="AF29" s="360">
        <v>0</v>
      </c>
      <c r="AI29" s="21"/>
      <c r="AJ29" s="39">
        <v>42272</v>
      </c>
      <c r="AK29" s="45">
        <v>0</v>
      </c>
      <c r="AL29" s="29"/>
      <c r="AM29" s="26">
        <v>42272</v>
      </c>
      <c r="AN29" s="51"/>
      <c r="AO29" s="23"/>
      <c r="AP29" s="27">
        <v>42272</v>
      </c>
      <c r="AQ29" s="62"/>
      <c r="AR29" s="88"/>
      <c r="AS29" s="11"/>
      <c r="AT29" s="20"/>
      <c r="AU29" s="67"/>
      <c r="AV29" s="75"/>
      <c r="AW29" s="360"/>
    </row>
    <row r="30" spans="1:49" x14ac:dyDescent="0.25">
      <c r="A30" s="21"/>
      <c r="B30" s="39">
        <v>42273</v>
      </c>
      <c r="C30" s="45">
        <v>0</v>
      </c>
      <c r="D30" s="22"/>
      <c r="E30" s="26">
        <v>42273</v>
      </c>
      <c r="F30" s="51">
        <v>72373</v>
      </c>
      <c r="G30" s="23"/>
      <c r="H30" s="27">
        <v>42273</v>
      </c>
      <c r="I30" s="62">
        <v>200</v>
      </c>
      <c r="J30" s="88"/>
      <c r="K30" s="11"/>
      <c r="L30" s="20"/>
      <c r="M30" s="201" t="s">
        <v>743</v>
      </c>
      <c r="N30" s="75">
        <v>72200</v>
      </c>
      <c r="O30" s="43">
        <v>7073</v>
      </c>
      <c r="P30" t="s">
        <v>664</v>
      </c>
      <c r="R30" s="21"/>
      <c r="S30" s="39">
        <v>42273</v>
      </c>
      <c r="T30" s="45">
        <v>0</v>
      </c>
      <c r="U30" s="22"/>
      <c r="V30" s="26">
        <v>42273</v>
      </c>
      <c r="W30" s="51"/>
      <c r="X30" s="23"/>
      <c r="Y30" s="27">
        <v>42273</v>
      </c>
      <c r="Z30" s="62"/>
      <c r="AA30" s="88"/>
      <c r="AB30" s="11"/>
      <c r="AC30" s="20"/>
      <c r="AD30" s="201"/>
      <c r="AE30" s="75">
        <v>0</v>
      </c>
      <c r="AF30" s="43">
        <v>0</v>
      </c>
      <c r="AI30" s="21"/>
      <c r="AJ30" s="39">
        <v>42273</v>
      </c>
      <c r="AK30" s="45">
        <v>0</v>
      </c>
      <c r="AL30" s="22"/>
      <c r="AM30" s="26">
        <v>42273</v>
      </c>
      <c r="AN30" s="51"/>
      <c r="AO30" s="23"/>
      <c r="AP30" s="27">
        <v>42273</v>
      </c>
      <c r="AQ30" s="62"/>
      <c r="AR30" s="88"/>
      <c r="AS30" s="11"/>
      <c r="AT30" s="20"/>
      <c r="AU30" s="201"/>
      <c r="AV30" s="204"/>
    </row>
    <row r="31" spans="1:49" x14ac:dyDescent="0.25">
      <c r="A31" s="21"/>
      <c r="B31" s="39">
        <v>42274</v>
      </c>
      <c r="C31" s="45">
        <v>0</v>
      </c>
      <c r="D31" s="22"/>
      <c r="E31" s="26">
        <v>42274</v>
      </c>
      <c r="F31" s="51">
        <v>61949</v>
      </c>
      <c r="G31" s="23"/>
      <c r="H31" s="27">
        <v>42274</v>
      </c>
      <c r="I31" s="62">
        <v>200</v>
      </c>
      <c r="J31" s="88"/>
      <c r="K31" s="11"/>
      <c r="L31" s="20"/>
      <c r="M31" s="201" t="s">
        <v>751</v>
      </c>
      <c r="N31" s="75">
        <v>61300</v>
      </c>
      <c r="O31" s="43">
        <v>7365</v>
      </c>
      <c r="P31" t="s">
        <v>664</v>
      </c>
      <c r="R31" s="21"/>
      <c r="S31" s="39">
        <v>42274</v>
      </c>
      <c r="T31" s="45">
        <v>0</v>
      </c>
      <c r="U31" s="22"/>
      <c r="V31" s="26">
        <v>42274</v>
      </c>
      <c r="W31" s="51"/>
      <c r="X31" s="23"/>
      <c r="Y31" s="27">
        <v>42274</v>
      </c>
      <c r="Z31" s="62"/>
      <c r="AA31" s="88"/>
      <c r="AB31" s="11"/>
      <c r="AC31" s="20"/>
      <c r="AD31" s="201"/>
      <c r="AE31" s="75">
        <v>0</v>
      </c>
      <c r="AF31" s="43">
        <v>0</v>
      </c>
      <c r="AI31" s="21"/>
      <c r="AJ31" s="39">
        <v>42274</v>
      </c>
      <c r="AK31" s="45">
        <v>0</v>
      </c>
      <c r="AL31" s="22"/>
      <c r="AM31" s="26">
        <v>42274</v>
      </c>
      <c r="AN31" s="51"/>
      <c r="AO31" s="23"/>
      <c r="AP31" s="27">
        <v>42274</v>
      </c>
      <c r="AQ31" s="62"/>
      <c r="AR31" s="88"/>
      <c r="AS31" s="11"/>
      <c r="AT31" s="20"/>
      <c r="AU31" s="201"/>
      <c r="AV31" s="204"/>
    </row>
    <row r="32" spans="1:49" x14ac:dyDescent="0.25">
      <c r="A32" s="21"/>
      <c r="B32" s="39">
        <v>42275</v>
      </c>
      <c r="C32" s="45">
        <v>0</v>
      </c>
      <c r="D32" s="22"/>
      <c r="E32" s="26">
        <v>42275</v>
      </c>
      <c r="F32" s="51">
        <v>32025.5</v>
      </c>
      <c r="G32" s="23"/>
      <c r="H32" s="27">
        <v>42275</v>
      </c>
      <c r="I32" s="62">
        <v>200</v>
      </c>
      <c r="J32" s="88"/>
      <c r="K32" s="11"/>
      <c r="L32" s="20"/>
      <c r="M32" s="67" t="s">
        <v>752</v>
      </c>
      <c r="N32" s="75">
        <v>31600</v>
      </c>
      <c r="O32" s="43">
        <v>7590.5</v>
      </c>
      <c r="P32" t="s">
        <v>664</v>
      </c>
      <c r="R32" s="21"/>
      <c r="S32" s="39">
        <v>42275</v>
      </c>
      <c r="T32" s="45">
        <v>0</v>
      </c>
      <c r="U32" s="22"/>
      <c r="V32" s="26">
        <v>42275</v>
      </c>
      <c r="W32" s="51"/>
      <c r="X32" s="23"/>
      <c r="Y32" s="27">
        <v>42275</v>
      </c>
      <c r="Z32" s="62"/>
      <c r="AA32" s="88"/>
      <c r="AB32" s="11"/>
      <c r="AC32" s="20"/>
      <c r="AD32" s="67"/>
      <c r="AE32" s="75">
        <v>0</v>
      </c>
      <c r="AF32" s="43">
        <v>0</v>
      </c>
      <c r="AI32" s="21"/>
      <c r="AJ32" s="39">
        <v>42275</v>
      </c>
      <c r="AK32" s="45">
        <v>0</v>
      </c>
      <c r="AL32" s="22"/>
      <c r="AM32" s="26">
        <v>42275</v>
      </c>
      <c r="AN32" s="51"/>
      <c r="AO32" s="23"/>
      <c r="AP32" s="27">
        <v>42275</v>
      </c>
      <c r="AQ32" s="62"/>
      <c r="AR32" s="88"/>
      <c r="AS32" s="11"/>
      <c r="AT32" s="20"/>
      <c r="AU32" s="67"/>
      <c r="AV32" s="75"/>
    </row>
    <row r="33" spans="1:49" x14ac:dyDescent="0.25">
      <c r="A33" s="21"/>
      <c r="B33" s="39">
        <v>42276</v>
      </c>
      <c r="C33" s="45">
        <v>0</v>
      </c>
      <c r="D33" s="32"/>
      <c r="E33" s="26">
        <v>42276</v>
      </c>
      <c r="F33" s="51">
        <v>34782.5</v>
      </c>
      <c r="G33" s="23"/>
      <c r="H33" s="27">
        <v>42276</v>
      </c>
      <c r="I33" s="62">
        <v>200</v>
      </c>
      <c r="J33" s="88"/>
      <c r="K33" s="11"/>
      <c r="L33" s="20"/>
      <c r="M33" s="67" t="s">
        <v>753</v>
      </c>
      <c r="N33" s="75">
        <v>34800</v>
      </c>
      <c r="O33" s="43">
        <v>7373</v>
      </c>
      <c r="P33" t="s">
        <v>664</v>
      </c>
      <c r="R33" s="21"/>
      <c r="S33" s="39">
        <v>42276</v>
      </c>
      <c r="T33" s="45">
        <v>0</v>
      </c>
      <c r="U33" s="32"/>
      <c r="V33" s="26">
        <v>42276</v>
      </c>
      <c r="W33" s="51"/>
      <c r="X33" s="23"/>
      <c r="Y33" s="27">
        <v>42276</v>
      </c>
      <c r="Z33" s="62"/>
      <c r="AA33" s="88"/>
      <c r="AB33" s="11"/>
      <c r="AC33" s="20"/>
      <c r="AD33" s="67"/>
      <c r="AE33" s="75">
        <v>0</v>
      </c>
      <c r="AF33" s="43">
        <v>0</v>
      </c>
      <c r="AI33" s="21"/>
      <c r="AJ33" s="39">
        <v>42276</v>
      </c>
      <c r="AK33" s="45">
        <v>0</v>
      </c>
      <c r="AL33" s="32"/>
      <c r="AM33" s="26">
        <v>42276</v>
      </c>
      <c r="AN33" s="51"/>
      <c r="AO33" s="23"/>
      <c r="AP33" s="27">
        <v>42276</v>
      </c>
      <c r="AQ33" s="62"/>
      <c r="AR33" s="88"/>
      <c r="AS33" s="11"/>
      <c r="AT33" s="20"/>
      <c r="AU33" s="67"/>
      <c r="AV33" s="75"/>
    </row>
    <row r="34" spans="1:49" x14ac:dyDescent="0.25">
      <c r="A34" s="21"/>
      <c r="B34" s="39">
        <v>42277</v>
      </c>
      <c r="C34" s="45">
        <v>0</v>
      </c>
      <c r="D34" s="72"/>
      <c r="E34" s="26">
        <v>42277</v>
      </c>
      <c r="F34" s="51">
        <v>32356.5</v>
      </c>
      <c r="G34" s="23"/>
      <c r="H34" s="27">
        <v>42277</v>
      </c>
      <c r="I34" s="62">
        <v>200</v>
      </c>
      <c r="J34" s="88"/>
      <c r="K34" s="11"/>
      <c r="L34" s="20"/>
      <c r="M34" s="258" t="s">
        <v>754</v>
      </c>
      <c r="N34" s="75">
        <v>31450</v>
      </c>
      <c r="O34" s="43">
        <v>8079.5</v>
      </c>
      <c r="P34" t="s">
        <v>664</v>
      </c>
      <c r="R34" s="21"/>
      <c r="S34" s="39">
        <v>42277</v>
      </c>
      <c r="T34" s="45">
        <v>0</v>
      </c>
      <c r="U34" s="72"/>
      <c r="V34" s="26">
        <v>42277</v>
      </c>
      <c r="W34" s="51"/>
      <c r="X34" s="23"/>
      <c r="Y34" s="27">
        <v>42277</v>
      </c>
      <c r="Z34" s="62"/>
      <c r="AA34" s="88"/>
      <c r="AB34" s="11"/>
      <c r="AC34" s="20"/>
      <c r="AD34" s="258"/>
      <c r="AE34" s="75">
        <v>0</v>
      </c>
      <c r="AF34" s="43">
        <v>0</v>
      </c>
      <c r="AI34" s="21"/>
      <c r="AJ34" s="39">
        <v>42277</v>
      </c>
      <c r="AK34" s="45">
        <v>0</v>
      </c>
      <c r="AL34" s="72"/>
      <c r="AM34" s="26">
        <v>42277</v>
      </c>
      <c r="AN34" s="51"/>
      <c r="AO34" s="23"/>
      <c r="AP34" s="27">
        <v>42277</v>
      </c>
      <c r="AQ34" s="62"/>
      <c r="AR34" s="88"/>
      <c r="AS34" s="11"/>
      <c r="AT34" s="20"/>
      <c r="AU34" s="258"/>
      <c r="AV34" s="202"/>
    </row>
    <row r="35" spans="1:49" ht="15.75" thickBot="1" x14ac:dyDescent="0.3">
      <c r="A35" s="21"/>
      <c r="B35" s="39"/>
      <c r="C35" s="45">
        <v>0</v>
      </c>
      <c r="D35" s="22"/>
      <c r="E35" s="26"/>
      <c r="F35" s="51">
        <v>0</v>
      </c>
      <c r="G35" s="23"/>
      <c r="H35" s="27"/>
      <c r="I35" s="62">
        <v>0</v>
      </c>
      <c r="J35" s="88"/>
      <c r="K35" s="11"/>
      <c r="L35" s="20"/>
      <c r="M35" s="71"/>
      <c r="N35" s="75">
        <v>0</v>
      </c>
      <c r="O35" s="43">
        <v>0</v>
      </c>
      <c r="R35" s="21"/>
      <c r="S35" s="39"/>
      <c r="T35" s="45"/>
      <c r="U35" s="22"/>
      <c r="V35" s="26"/>
      <c r="W35" s="51"/>
      <c r="X35" s="23"/>
      <c r="Y35" s="27"/>
      <c r="Z35" s="62"/>
      <c r="AA35" s="88"/>
      <c r="AB35" s="11" t="s">
        <v>345</v>
      </c>
      <c r="AC35" s="20"/>
      <c r="AD35" s="71"/>
      <c r="AE35" s="75">
        <v>0</v>
      </c>
      <c r="AF35" s="43">
        <v>0</v>
      </c>
      <c r="AI35" s="21"/>
      <c r="AJ35" s="39"/>
      <c r="AK35" s="45"/>
      <c r="AL35" s="22"/>
      <c r="AM35" s="26"/>
      <c r="AN35" s="51"/>
      <c r="AO35" s="23"/>
      <c r="AP35" s="27"/>
      <c r="AQ35" s="62"/>
      <c r="AR35" s="88"/>
      <c r="AS35" s="11" t="s">
        <v>345</v>
      </c>
      <c r="AT35" s="20"/>
      <c r="AU35" s="71"/>
      <c r="AV35" s="74">
        <v>0</v>
      </c>
    </row>
    <row r="36" spans="1:49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>
        <v>0</v>
      </c>
      <c r="J36" s="55"/>
      <c r="K36" s="11"/>
      <c r="L36" s="7"/>
      <c r="M36" s="455"/>
      <c r="N36" s="75">
        <v>0</v>
      </c>
      <c r="O36" s="43">
        <v>0</v>
      </c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44"/>
      <c r="AE36" s="75">
        <v>0</v>
      </c>
      <c r="AF36" s="43">
        <v>0</v>
      </c>
      <c r="AI36" s="15"/>
      <c r="AJ36" s="40"/>
      <c r="AK36" s="46">
        <v>0</v>
      </c>
      <c r="AL36" s="2"/>
      <c r="AM36" s="8"/>
      <c r="AN36" s="52">
        <v>0</v>
      </c>
      <c r="AP36" s="78"/>
      <c r="AQ36" s="63"/>
      <c r="AR36" s="55"/>
      <c r="AS36" s="11"/>
      <c r="AT36" s="7"/>
      <c r="AU36" s="436"/>
      <c r="AV36" s="346">
        <v>0</v>
      </c>
    </row>
    <row r="37" spans="1:49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>
        <v>0</v>
      </c>
      <c r="J37" s="55"/>
      <c r="K37" s="16"/>
      <c r="L37" s="10"/>
      <c r="M37" s="455"/>
      <c r="N37" s="345">
        <f>SUM(N5:N36)</f>
        <v>1606650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44"/>
      <c r="AE37" s="345">
        <f>SUM(AE5:AE36)</f>
        <v>762980</v>
      </c>
      <c r="AI37" s="101"/>
      <c r="AJ37" s="41"/>
      <c r="AK37" s="47">
        <v>0</v>
      </c>
      <c r="AL37" s="2"/>
      <c r="AM37" s="9"/>
      <c r="AN37" s="53">
        <v>0</v>
      </c>
      <c r="AP37" s="31"/>
      <c r="AQ37" s="64"/>
      <c r="AR37" s="55"/>
      <c r="AS37" s="16"/>
      <c r="AT37" s="10"/>
      <c r="AU37" s="436"/>
      <c r="AV37" s="345">
        <f>SUM(AV5:AV36)</f>
        <v>375270</v>
      </c>
    </row>
    <row r="38" spans="1:49" x14ac:dyDescent="0.25">
      <c r="B38" s="42" t="s">
        <v>1</v>
      </c>
      <c r="C38" s="48">
        <f>SUM(C5:C37)</f>
        <v>2298.41</v>
      </c>
      <c r="E38" s="452" t="s">
        <v>1</v>
      </c>
      <c r="F38" s="54">
        <f>SUM(F5:F37)</f>
        <v>1619462</v>
      </c>
      <c r="H38" s="454" t="s">
        <v>1</v>
      </c>
      <c r="I38" s="58">
        <f>SUM(I5:I37)</f>
        <v>39776</v>
      </c>
      <c r="J38" s="58"/>
      <c r="K38" s="17" t="s">
        <v>1</v>
      </c>
      <c r="L38" s="4">
        <f t="shared" ref="L38" si="0">SUM(L5:L37)</f>
        <v>79535.320000000007</v>
      </c>
      <c r="M38" s="455"/>
      <c r="N38" s="202"/>
      <c r="S38" s="42" t="s">
        <v>1</v>
      </c>
      <c r="T38" s="48">
        <f>SUM(T5:T37)</f>
        <v>1548.41</v>
      </c>
      <c r="V38" s="441" t="s">
        <v>1</v>
      </c>
      <c r="W38" s="54">
        <f>SUM(W5:W37)</f>
        <v>779200.5</v>
      </c>
      <c r="Y38" s="443" t="s">
        <v>1</v>
      </c>
      <c r="Z38" s="58">
        <f>SUM(Z5:Z37)</f>
        <v>36560</v>
      </c>
      <c r="AA38" s="58"/>
      <c r="AB38" s="17" t="s">
        <v>1</v>
      </c>
      <c r="AC38" s="4">
        <f t="shared" ref="AC38" si="1">SUM(AC5:AC37)</f>
        <v>59704.25</v>
      </c>
      <c r="AD38" s="444"/>
      <c r="AE38" s="202"/>
      <c r="AJ38" s="42" t="s">
        <v>1</v>
      </c>
      <c r="AK38" s="48">
        <f>SUM(AK5:AK37)</f>
        <v>0</v>
      </c>
      <c r="AM38" s="432" t="s">
        <v>1</v>
      </c>
      <c r="AN38" s="54">
        <f>SUM(AN5:AN37)</f>
        <v>382698.5</v>
      </c>
      <c r="AP38" s="434" t="s">
        <v>1</v>
      </c>
      <c r="AQ38" s="58">
        <f>SUM(AQ5:AQ37)</f>
        <v>1444</v>
      </c>
      <c r="AR38" s="58"/>
      <c r="AS38" s="17" t="s">
        <v>1</v>
      </c>
      <c r="AT38" s="4">
        <f t="shared" ref="AT38" si="2">SUM(AT5:AT37)</f>
        <v>50237.520000000004</v>
      </c>
      <c r="AU38" s="436"/>
      <c r="AV38" s="202"/>
    </row>
    <row r="39" spans="1:49" x14ac:dyDescent="0.25">
      <c r="B39" s="37"/>
      <c r="C39" s="43"/>
      <c r="F39" s="43"/>
      <c r="I39" s="43"/>
      <c r="J39" s="43"/>
      <c r="M39" s="455"/>
      <c r="N39" s="202"/>
      <c r="S39" s="37"/>
      <c r="T39" s="43"/>
      <c r="W39" s="43"/>
      <c r="Z39" s="43"/>
      <c r="AA39" s="43"/>
      <c r="AD39" s="444"/>
      <c r="AE39" s="202"/>
      <c r="AJ39" s="37"/>
      <c r="AK39" s="43"/>
      <c r="AN39" s="43"/>
      <c r="AQ39" s="43"/>
      <c r="AR39" s="43"/>
      <c r="AU39" s="436"/>
      <c r="AV39" s="202"/>
    </row>
    <row r="40" spans="1:49" ht="15.75" customHeight="1" x14ac:dyDescent="0.25">
      <c r="A40" s="5"/>
      <c r="B40" s="37"/>
      <c r="C40" s="49">
        <v>0</v>
      </c>
      <c r="D40" s="13"/>
      <c r="E40" s="13"/>
      <c r="F40" s="55"/>
      <c r="H40" s="476" t="s">
        <v>7</v>
      </c>
      <c r="I40" s="477"/>
      <c r="J40" s="453"/>
      <c r="K40" s="478">
        <f>I38+L38</f>
        <v>119311.32</v>
      </c>
      <c r="L40" s="479"/>
      <c r="M40" s="455"/>
      <c r="N40" s="103"/>
      <c r="R40" s="5"/>
      <c r="S40" s="37"/>
      <c r="T40" s="49">
        <v>0</v>
      </c>
      <c r="U40" s="13"/>
      <c r="V40" s="13"/>
      <c r="W40" s="55"/>
      <c r="Y40" s="476" t="s">
        <v>7</v>
      </c>
      <c r="Z40" s="477"/>
      <c r="AA40" s="442"/>
      <c r="AB40" s="478">
        <f>Z38+AC38</f>
        <v>96264.25</v>
      </c>
      <c r="AC40" s="479"/>
      <c r="AD40" s="444"/>
      <c r="AE40" s="202"/>
      <c r="AI40" s="5"/>
      <c r="AJ40" s="37"/>
      <c r="AK40" s="49">
        <v>0</v>
      </c>
      <c r="AL40" s="13"/>
      <c r="AM40" s="13"/>
      <c r="AN40" s="55"/>
      <c r="AP40" s="476" t="s">
        <v>7</v>
      </c>
      <c r="AQ40" s="477"/>
      <c r="AR40" s="433"/>
      <c r="AS40" s="478">
        <f>AQ38+AT38</f>
        <v>51681.520000000004</v>
      </c>
      <c r="AT40" s="479"/>
      <c r="AU40" s="436"/>
      <c r="AV40" s="202"/>
    </row>
    <row r="41" spans="1:49" ht="15.75" customHeight="1" x14ac:dyDescent="0.25">
      <c r="B41" s="37"/>
      <c r="C41" s="43"/>
      <c r="D41" s="470" t="s">
        <v>8</v>
      </c>
      <c r="E41" s="470"/>
      <c r="F41" s="56">
        <f>F38-K40</f>
        <v>1500150.68</v>
      </c>
      <c r="I41" s="65"/>
      <c r="J41" s="65"/>
      <c r="M41" s="455"/>
      <c r="N41" s="103"/>
      <c r="S41" s="37"/>
      <c r="T41" s="43"/>
      <c r="U41" s="470" t="s">
        <v>8</v>
      </c>
      <c r="V41" s="470"/>
      <c r="W41" s="56">
        <f>W38-AB40</f>
        <v>682936.25</v>
      </c>
      <c r="Z41" s="65"/>
      <c r="AA41" s="65"/>
      <c r="AD41" s="444"/>
      <c r="AE41" s="202"/>
      <c r="AJ41" s="37"/>
      <c r="AK41" s="43"/>
      <c r="AL41" s="470" t="s">
        <v>8</v>
      </c>
      <c r="AM41" s="470"/>
      <c r="AN41" s="56">
        <f>AN38-AS40</f>
        <v>331016.98</v>
      </c>
      <c r="AQ41" s="65"/>
      <c r="AR41" s="65"/>
      <c r="AU41" s="436"/>
      <c r="AV41" s="202"/>
    </row>
    <row r="42" spans="1:49" x14ac:dyDescent="0.25">
      <c r="B42" s="37"/>
      <c r="C42" s="43"/>
      <c r="D42" s="13"/>
      <c r="E42" s="13" t="s">
        <v>0</v>
      </c>
      <c r="F42" s="56">
        <f>-C38</f>
        <v>-2298.41</v>
      </c>
      <c r="I42" s="43"/>
      <c r="J42" s="43"/>
      <c r="M42" s="455"/>
      <c r="N42" s="103"/>
      <c r="S42" s="37"/>
      <c r="T42" s="43"/>
      <c r="U42" s="13"/>
      <c r="V42" s="13" t="s">
        <v>0</v>
      </c>
      <c r="W42" s="56">
        <f>-T38</f>
        <v>-1548.41</v>
      </c>
      <c r="Z42" s="43"/>
      <c r="AA42" s="43"/>
      <c r="AD42" s="444"/>
      <c r="AE42" s="202"/>
      <c r="AJ42" s="37"/>
      <c r="AK42" s="43"/>
      <c r="AL42" s="13"/>
      <c r="AM42" s="13" t="s">
        <v>0</v>
      </c>
      <c r="AN42" s="56">
        <f>-AK38</f>
        <v>0</v>
      </c>
      <c r="AQ42" s="43"/>
      <c r="AR42" s="43"/>
      <c r="AU42" s="436"/>
      <c r="AV42" s="202"/>
      <c r="AW42" s="245">
        <v>35764.400000000001</v>
      </c>
    </row>
    <row r="43" spans="1:49" ht="15.75" thickBot="1" x14ac:dyDescent="0.3">
      <c r="B43" s="37"/>
      <c r="C43" s="43" t="s">
        <v>12</v>
      </c>
      <c r="D43" t="s">
        <v>303</v>
      </c>
      <c r="F43" s="125">
        <v>-1538396.23</v>
      </c>
      <c r="I43" s="480"/>
      <c r="J43" s="480"/>
      <c r="K43" s="480"/>
      <c r="L43" s="2"/>
      <c r="M43" s="455"/>
      <c r="N43" s="103"/>
      <c r="S43" s="37"/>
      <c r="T43" s="43" t="s">
        <v>12</v>
      </c>
      <c r="U43" t="s">
        <v>303</v>
      </c>
      <c r="W43" s="125">
        <v>-779858.02</v>
      </c>
      <c r="Z43" s="480"/>
      <c r="AA43" s="480"/>
      <c r="AB43" s="480"/>
      <c r="AC43" s="2"/>
      <c r="AD43" s="444"/>
      <c r="AE43" s="202"/>
      <c r="AJ43" s="37"/>
      <c r="AK43" s="43" t="s">
        <v>12</v>
      </c>
      <c r="AL43" t="s">
        <v>303</v>
      </c>
      <c r="AN43" s="125">
        <v>-400217.85</v>
      </c>
      <c r="AQ43" s="480"/>
      <c r="AR43" s="480"/>
      <c r="AS43" s="480"/>
      <c r="AT43" s="2"/>
      <c r="AU43" s="436"/>
      <c r="AV43" s="202"/>
      <c r="AW43" s="156">
        <v>73465.59</v>
      </c>
    </row>
    <row r="44" spans="1:49" ht="16.5" thickTop="1" x14ac:dyDescent="0.25">
      <c r="B44" s="37"/>
      <c r="C44" s="43"/>
      <c r="E44" s="5" t="s">
        <v>10</v>
      </c>
      <c r="F44" s="58">
        <f>SUM(F41:F43)</f>
        <v>-40543.959999999963</v>
      </c>
      <c r="I44" s="512" t="s">
        <v>251</v>
      </c>
      <c r="J44" s="512"/>
      <c r="K44" s="497">
        <f>F46</f>
        <v>61438.140000000043</v>
      </c>
      <c r="L44" s="498"/>
      <c r="M44" s="455"/>
      <c r="N44" s="103"/>
      <c r="S44" s="37"/>
      <c r="T44" s="43"/>
      <c r="V44" s="5" t="s">
        <v>10</v>
      </c>
      <c r="W44" s="58">
        <f>SUM(W41:W43)</f>
        <v>-98470.180000000051</v>
      </c>
      <c r="Z44" s="512" t="s">
        <v>251</v>
      </c>
      <c r="AA44" s="512"/>
      <c r="AB44" s="497">
        <f>W46</f>
        <v>52387.849999999948</v>
      </c>
      <c r="AC44" s="498"/>
      <c r="AD44" s="444"/>
      <c r="AE44" s="202"/>
      <c r="AJ44" s="37"/>
      <c r="AK44" s="43"/>
      <c r="AM44" s="5" t="s">
        <v>10</v>
      </c>
      <c r="AN44" s="58">
        <f>SUM(AN41:AN43)</f>
        <v>-69200.87</v>
      </c>
      <c r="AQ44" s="512" t="s">
        <v>251</v>
      </c>
      <c r="AR44" s="512"/>
      <c r="AS44" s="497">
        <f>AN46</f>
        <v>64501.130000000005</v>
      </c>
      <c r="AT44" s="498"/>
      <c r="AU44" s="436"/>
      <c r="AV44" s="202"/>
      <c r="AW44" s="156">
        <v>66105.47</v>
      </c>
    </row>
    <row r="45" spans="1:49" ht="16.5" thickBot="1" x14ac:dyDescent="0.3">
      <c r="B45" s="37"/>
      <c r="C45" s="43"/>
      <c r="D45" s="452" t="s">
        <v>9</v>
      </c>
      <c r="E45" s="452"/>
      <c r="F45" s="366">
        <v>101982.1</v>
      </c>
      <c r="I45" s="506" t="s">
        <v>2</v>
      </c>
      <c r="J45" s="506"/>
      <c r="K45" s="499">
        <v>-96548.24</v>
      </c>
      <c r="L45" s="499"/>
      <c r="M45" s="455"/>
      <c r="N45" s="103"/>
      <c r="S45" s="37"/>
      <c r="T45" s="43"/>
      <c r="U45" s="441" t="s">
        <v>9</v>
      </c>
      <c r="V45" s="441"/>
      <c r="W45" s="366">
        <v>150858.03</v>
      </c>
      <c r="Z45" s="506" t="s">
        <v>2</v>
      </c>
      <c r="AA45" s="506"/>
      <c r="AB45" s="499">
        <v>-96548.24</v>
      </c>
      <c r="AC45" s="499"/>
      <c r="AD45" s="444"/>
      <c r="AE45" s="202"/>
      <c r="AJ45" s="37"/>
      <c r="AK45" s="43"/>
      <c r="AL45" s="432" t="s">
        <v>9</v>
      </c>
      <c r="AM45" s="432"/>
      <c r="AN45" s="366">
        <v>133702</v>
      </c>
      <c r="AQ45" s="506" t="s">
        <v>2</v>
      </c>
      <c r="AR45" s="506"/>
      <c r="AS45" s="499">
        <v>-96548.24</v>
      </c>
      <c r="AT45" s="499"/>
      <c r="AU45" s="436"/>
      <c r="AV45" s="202"/>
      <c r="AW45" s="156">
        <v>34329.5</v>
      </c>
    </row>
    <row r="46" spans="1:49" ht="19.5" thickBot="1" x14ac:dyDescent="0.3">
      <c r="B46" s="37"/>
      <c r="C46" s="43"/>
      <c r="E46" s="6" t="s">
        <v>347</v>
      </c>
      <c r="F46" s="48">
        <f>F45+F44</f>
        <v>61438.140000000043</v>
      </c>
      <c r="J46" s="178"/>
      <c r="K46" s="500">
        <v>0</v>
      </c>
      <c r="L46" s="500"/>
      <c r="M46" s="455"/>
      <c r="N46" s="103"/>
      <c r="S46" s="37"/>
      <c r="T46" s="43"/>
      <c r="V46" s="6" t="s">
        <v>347</v>
      </c>
      <c r="W46" s="48">
        <f>W45+W44</f>
        <v>52387.849999999948</v>
      </c>
      <c r="AA46" s="178"/>
      <c r="AB46" s="500">
        <v>0</v>
      </c>
      <c r="AC46" s="500"/>
      <c r="AD46" s="444"/>
      <c r="AE46" s="202"/>
      <c r="AJ46" s="37"/>
      <c r="AK46" s="43"/>
      <c r="AM46" s="6" t="s">
        <v>347</v>
      </c>
      <c r="AN46" s="48">
        <f>AN45+AN44</f>
        <v>64501.130000000005</v>
      </c>
      <c r="AR46" s="178"/>
      <c r="AS46" s="500">
        <v>0</v>
      </c>
      <c r="AT46" s="500"/>
      <c r="AU46" s="436"/>
      <c r="AV46" s="202"/>
      <c r="AW46" s="245">
        <v>60411</v>
      </c>
    </row>
    <row r="47" spans="1:49" ht="19.5" thickBot="1" x14ac:dyDescent="0.3">
      <c r="B47" s="37"/>
      <c r="C47" s="43"/>
      <c r="E47" s="5"/>
      <c r="F47" s="56"/>
      <c r="I47" s="510" t="s">
        <v>401</v>
      </c>
      <c r="J47" s="511"/>
      <c r="K47" s="503">
        <f>SUM(K44:L46)</f>
        <v>-35110.099999999962</v>
      </c>
      <c r="L47" s="504"/>
      <c r="M47" s="455"/>
      <c r="N47" s="103"/>
      <c r="S47" s="37"/>
      <c r="T47" s="43"/>
      <c r="V47" s="5"/>
      <c r="W47" s="56"/>
      <c r="Z47" s="510" t="s">
        <v>401</v>
      </c>
      <c r="AA47" s="511"/>
      <c r="AB47" s="503">
        <f>SUM(AB44:AC46)</f>
        <v>-44160.390000000058</v>
      </c>
      <c r="AC47" s="504"/>
      <c r="AD47" s="444"/>
      <c r="AE47" s="202"/>
      <c r="AJ47" s="37"/>
      <c r="AK47" s="43"/>
      <c r="AM47" s="5"/>
      <c r="AN47" s="56"/>
      <c r="AQ47" s="510" t="s">
        <v>401</v>
      </c>
      <c r="AR47" s="511"/>
      <c r="AS47" s="503">
        <f>SUM(AS44:AT46)</f>
        <v>-32047.11</v>
      </c>
      <c r="AT47" s="504"/>
      <c r="AU47" s="436"/>
      <c r="AV47" s="202"/>
      <c r="AW47" s="156">
        <v>31859.62</v>
      </c>
    </row>
    <row r="48" spans="1:49" x14ac:dyDescent="0.25">
      <c r="B48" s="37"/>
      <c r="C48" s="43"/>
      <c r="D48" s="480"/>
      <c r="E48" s="480"/>
      <c r="F48" s="58"/>
      <c r="I48" s="43"/>
      <c r="J48" s="43"/>
      <c r="M48" s="455"/>
      <c r="N48" s="103"/>
      <c r="S48" s="37"/>
      <c r="T48" s="43"/>
      <c r="U48" s="480"/>
      <c r="V48" s="480"/>
      <c r="W48" s="58"/>
      <c r="Z48" s="43"/>
      <c r="AA48" s="43"/>
      <c r="AD48" s="444"/>
      <c r="AE48" s="202"/>
      <c r="AJ48" s="37"/>
      <c r="AK48" s="43"/>
      <c r="AL48" s="480"/>
      <c r="AM48" s="480"/>
      <c r="AN48" s="58"/>
      <c r="AQ48" s="43"/>
      <c r="AR48" s="43"/>
      <c r="AU48" s="436"/>
      <c r="AV48" s="202"/>
      <c r="AW48" s="156">
        <v>29334.5</v>
      </c>
    </row>
    <row r="49" spans="14:49" x14ac:dyDescent="0.25">
      <c r="N49" s="103"/>
      <c r="AW49" s="156">
        <v>31164.25</v>
      </c>
    </row>
    <row r="50" spans="14:49" x14ac:dyDescent="0.25">
      <c r="N50" s="103"/>
      <c r="AW50" s="156">
        <v>6243.8</v>
      </c>
    </row>
    <row r="51" spans="14:49" x14ac:dyDescent="0.25">
      <c r="N51" s="103"/>
      <c r="AW51" s="156">
        <v>31539.72</v>
      </c>
    </row>
    <row r="52" spans="14:49" x14ac:dyDescent="0.25">
      <c r="N52" s="103"/>
      <c r="AW52" s="43">
        <f>SUM(AW42:AW51)</f>
        <v>400217.85</v>
      </c>
    </row>
    <row r="53" spans="14:49" x14ac:dyDescent="0.25">
      <c r="N53" s="103"/>
    </row>
    <row r="54" spans="14:49" x14ac:dyDescent="0.25">
      <c r="N54" s="103"/>
    </row>
    <row r="55" spans="14:49" x14ac:dyDescent="0.25">
      <c r="N55" s="103"/>
    </row>
    <row r="56" spans="14:49" x14ac:dyDescent="0.25">
      <c r="N56" s="103"/>
    </row>
    <row r="57" spans="14:49" x14ac:dyDescent="0.25">
      <c r="N57" s="88"/>
    </row>
    <row r="58" spans="14:49" x14ac:dyDescent="0.25">
      <c r="N58" s="103"/>
    </row>
    <row r="59" spans="14:49" x14ac:dyDescent="0.25">
      <c r="N59" s="103"/>
    </row>
    <row r="60" spans="14:49" x14ac:dyDescent="0.25">
      <c r="N60" s="103"/>
    </row>
    <row r="61" spans="14:49" x14ac:dyDescent="0.25">
      <c r="N61" s="103"/>
    </row>
    <row r="62" spans="14:49" x14ac:dyDescent="0.25">
      <c r="N62" s="103"/>
    </row>
    <row r="63" spans="14:49" x14ac:dyDescent="0.25">
      <c r="N63" s="103"/>
    </row>
    <row r="64" spans="14:49" x14ac:dyDescent="0.25">
      <c r="N64" s="103"/>
    </row>
    <row r="65" spans="14:14" customFormat="1" x14ac:dyDescent="0.25">
      <c r="N65" s="103"/>
    </row>
    <row r="66" spans="14:14" customFormat="1" x14ac:dyDescent="0.25">
      <c r="N66" s="103"/>
    </row>
    <row r="67" spans="14:14" customFormat="1" x14ac:dyDescent="0.25">
      <c r="N67" s="103"/>
    </row>
    <row r="68" spans="14:14" customFormat="1" x14ac:dyDescent="0.25">
      <c r="N68" s="103"/>
    </row>
    <row r="69" spans="14:14" customFormat="1" x14ac:dyDescent="0.25">
      <c r="N69" s="456"/>
    </row>
  </sheetData>
  <mergeCells count="4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K1:AS1"/>
    <mergeCell ref="AM4:AN4"/>
    <mergeCell ref="AQ4:AT4"/>
    <mergeCell ref="AQ44:AR44"/>
    <mergeCell ref="AS44:AT44"/>
    <mergeCell ref="AL41:AM41"/>
    <mergeCell ref="AQ43:AS43"/>
    <mergeCell ref="AP40:AQ40"/>
    <mergeCell ref="AS40:AT40"/>
    <mergeCell ref="AL48:AM48"/>
    <mergeCell ref="AQ47:AR47"/>
    <mergeCell ref="AS47:AT47"/>
    <mergeCell ref="AS46:AT46"/>
    <mergeCell ref="AQ45:AR45"/>
    <mergeCell ref="AS45:AT45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15"/>
  <sheetViews>
    <sheetView topLeftCell="A40" workbookViewId="0">
      <selection activeCell="W21" sqref="W21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7.42578125" bestFit="1" customWidth="1"/>
    <col min="14" max="14" width="17.42578125" bestFit="1" customWidth="1"/>
    <col min="18" max="18" width="12.5703125" style="43" bestFit="1" customWidth="1"/>
    <col min="20" max="20" width="12.85546875" customWidth="1"/>
    <col min="23" max="23" width="12.5703125" bestFit="1" customWidth="1"/>
  </cols>
  <sheetData>
    <row r="1" spans="1:24" ht="15.75" x14ac:dyDescent="0.25">
      <c r="J1" s="104"/>
      <c r="K1" s="288">
        <v>42258</v>
      </c>
      <c r="L1" s="215"/>
      <c r="M1" s="134" t="s">
        <v>200</v>
      </c>
      <c r="N1" s="88"/>
      <c r="R1" s="50" t="s">
        <v>744</v>
      </c>
      <c r="S1" s="104"/>
      <c r="T1" s="353">
        <v>42266</v>
      </c>
      <c r="U1" s="215"/>
      <c r="V1" s="134" t="s">
        <v>200</v>
      </c>
      <c r="W1" s="88"/>
    </row>
    <row r="2" spans="1:24" ht="15.75" thickBot="1" x14ac:dyDescent="0.3">
      <c r="J2" s="413"/>
      <c r="K2" s="414"/>
      <c r="L2" s="414"/>
      <c r="M2" s="414"/>
      <c r="N2" s="415"/>
      <c r="O2" s="18"/>
      <c r="R2" s="43">
        <f>5168.5+34173.5</f>
        <v>39342</v>
      </c>
      <c r="S2" s="413"/>
      <c r="T2" s="414"/>
      <c r="U2" s="414"/>
      <c r="V2" s="414"/>
      <c r="W2" s="415"/>
      <c r="X2" s="18"/>
    </row>
    <row r="3" spans="1:24" ht="17.25" thickTop="1" thickBot="1" x14ac:dyDescent="0.3">
      <c r="C3" s="507" t="s">
        <v>240</v>
      </c>
      <c r="D3" s="508"/>
      <c r="E3" s="509"/>
      <c r="I3" s="43">
        <f>8208.65+149.54</f>
        <v>8358.19</v>
      </c>
      <c r="J3" s="244" t="s">
        <v>651</v>
      </c>
      <c r="K3" s="245">
        <v>5081.96</v>
      </c>
      <c r="L3" s="410"/>
      <c r="M3" s="235" t="s">
        <v>202</v>
      </c>
      <c r="N3" s="411">
        <v>63900</v>
      </c>
      <c r="O3" s="412">
        <v>42247</v>
      </c>
      <c r="P3" s="21">
        <v>42246</v>
      </c>
      <c r="R3" s="43">
        <f>7108+10976.5+5962.5+1919</f>
        <v>25966</v>
      </c>
      <c r="S3" s="244" t="s">
        <v>721</v>
      </c>
      <c r="T3" s="245">
        <v>17495.599999999999</v>
      </c>
      <c r="U3" s="410"/>
      <c r="V3" s="235" t="s">
        <v>202</v>
      </c>
      <c r="W3" s="451">
        <v>46450</v>
      </c>
      <c r="X3" s="412">
        <v>42268</v>
      </c>
    </row>
    <row r="4" spans="1:24" ht="16.5" thickBot="1" x14ac:dyDescent="0.3">
      <c r="A4" s="247" t="s">
        <v>295</v>
      </c>
      <c r="B4" s="248" t="s">
        <v>296</v>
      </c>
      <c r="C4" s="435" t="s">
        <v>297</v>
      </c>
      <c r="D4" s="435"/>
      <c r="E4" s="435" t="s">
        <v>298</v>
      </c>
      <c r="F4" s="331" t="s">
        <v>299</v>
      </c>
      <c r="I4" s="43">
        <f>8257.5+22696.5</f>
        <v>30954</v>
      </c>
      <c r="J4" s="292" t="s">
        <v>652</v>
      </c>
      <c r="K4" s="157">
        <v>30954</v>
      </c>
      <c r="L4" s="207"/>
      <c r="M4" s="113" t="s">
        <v>461</v>
      </c>
      <c r="N4" s="207">
        <v>149.54</v>
      </c>
      <c r="O4" s="221">
        <v>42254</v>
      </c>
      <c r="P4" s="21">
        <v>42246</v>
      </c>
      <c r="R4" s="43">
        <f>8161+24248+6783+26593+6941.5</f>
        <v>72726.5</v>
      </c>
      <c r="S4" s="292" t="s">
        <v>728</v>
      </c>
      <c r="T4" s="157">
        <v>64565.37</v>
      </c>
      <c r="U4" s="207"/>
      <c r="V4" s="113" t="s">
        <v>202</v>
      </c>
      <c r="W4" s="207">
        <v>25100</v>
      </c>
      <c r="X4" s="221">
        <v>42269</v>
      </c>
    </row>
    <row r="5" spans="1:24" ht="15.75" x14ac:dyDescent="0.25">
      <c r="A5" s="243">
        <v>42248</v>
      </c>
      <c r="B5" s="244" t="s">
        <v>662</v>
      </c>
      <c r="C5" s="245">
        <v>35764.400000000001</v>
      </c>
      <c r="D5" s="104">
        <v>42258</v>
      </c>
      <c r="E5" s="245">
        <v>35764.400000000001</v>
      </c>
      <c r="F5" s="391">
        <f t="shared" ref="F5:F48" si="0">C5-E5</f>
        <v>0</v>
      </c>
      <c r="G5" s="105"/>
      <c r="I5" s="43">
        <f>24737.35+6894</f>
        <v>31631.35</v>
      </c>
      <c r="J5" s="292" t="s">
        <v>653</v>
      </c>
      <c r="K5" s="157">
        <v>31631.37</v>
      </c>
      <c r="L5" s="207"/>
      <c r="M5" s="113" t="s">
        <v>202</v>
      </c>
      <c r="N5" s="207">
        <v>49440</v>
      </c>
      <c r="O5" s="221">
        <v>42247</v>
      </c>
      <c r="R5" s="43">
        <f>12915.5+9549.5+6883</f>
        <v>29348</v>
      </c>
      <c r="S5" s="292" t="s">
        <v>729</v>
      </c>
      <c r="T5" s="157">
        <v>29348.25</v>
      </c>
      <c r="U5" s="207"/>
      <c r="V5" s="113" t="s">
        <v>202</v>
      </c>
      <c r="W5" s="214">
        <v>32950</v>
      </c>
      <c r="X5" s="221">
        <v>42270</v>
      </c>
    </row>
    <row r="6" spans="1:24" ht="15.75" x14ac:dyDescent="0.25">
      <c r="A6" s="143">
        <v>42249</v>
      </c>
      <c r="B6" s="144" t="s">
        <v>667</v>
      </c>
      <c r="C6" s="156">
        <v>73465.59</v>
      </c>
      <c r="D6" s="104">
        <v>42258</v>
      </c>
      <c r="E6" s="156">
        <v>73465.59</v>
      </c>
      <c r="F6" s="154">
        <f t="shared" si="0"/>
        <v>0</v>
      </c>
      <c r="G6" s="105"/>
      <c r="I6" s="43">
        <f>7200+24613.61+10732.39</f>
        <v>42546</v>
      </c>
      <c r="J6" s="293" t="s">
        <v>659</v>
      </c>
      <c r="K6" s="207">
        <v>31813.61</v>
      </c>
      <c r="L6" s="130"/>
      <c r="M6" s="113" t="s">
        <v>202</v>
      </c>
      <c r="N6" s="207">
        <v>19070</v>
      </c>
      <c r="O6" s="221">
        <v>42248</v>
      </c>
      <c r="R6" s="43">
        <f>26927+14710.5</f>
        <v>41637.5</v>
      </c>
      <c r="S6" s="293" t="s">
        <v>730</v>
      </c>
      <c r="T6" s="207">
        <v>26927.200000000001</v>
      </c>
      <c r="U6" s="130"/>
      <c r="V6" s="113" t="s">
        <v>202</v>
      </c>
      <c r="W6" s="214">
        <v>46450</v>
      </c>
      <c r="X6" s="221">
        <v>42271</v>
      </c>
    </row>
    <row r="7" spans="1:24" ht="15.75" x14ac:dyDescent="0.25">
      <c r="A7" s="143">
        <v>42250</v>
      </c>
      <c r="B7" s="144" t="s">
        <v>668</v>
      </c>
      <c r="C7" s="156">
        <v>66105.47</v>
      </c>
      <c r="D7" s="104">
        <v>42258</v>
      </c>
      <c r="E7" s="156">
        <v>66105.47</v>
      </c>
      <c r="F7" s="154">
        <f t="shared" si="0"/>
        <v>0</v>
      </c>
      <c r="G7" s="105"/>
      <c r="I7" s="43">
        <f>19070+9840+6854.4</f>
        <v>35764.400000000001</v>
      </c>
      <c r="J7" s="244" t="s">
        <v>662</v>
      </c>
      <c r="K7" s="245">
        <v>35764.400000000001</v>
      </c>
      <c r="L7" s="130"/>
      <c r="M7" s="113" t="s">
        <v>202</v>
      </c>
      <c r="N7" s="214">
        <v>9840</v>
      </c>
      <c r="O7" s="221">
        <v>42249</v>
      </c>
      <c r="P7" s="21">
        <v>42248</v>
      </c>
      <c r="R7" s="43">
        <f>2293</f>
        <v>2293</v>
      </c>
      <c r="S7" s="409" t="s">
        <v>732</v>
      </c>
      <c r="T7" s="207">
        <v>2293.1999999999998</v>
      </c>
      <c r="U7" s="130"/>
      <c r="V7" s="113" t="s">
        <v>202</v>
      </c>
      <c r="W7" s="207">
        <v>58070</v>
      </c>
      <c r="X7" s="221">
        <v>42272</v>
      </c>
    </row>
    <row r="8" spans="1:24" ht="15.75" x14ac:dyDescent="0.25">
      <c r="A8" s="143">
        <v>42251</v>
      </c>
      <c r="B8" s="144" t="s">
        <v>673</v>
      </c>
      <c r="C8" s="156">
        <v>34329.5</v>
      </c>
      <c r="D8" s="104">
        <v>42258</v>
      </c>
      <c r="E8" s="156">
        <v>34329.5</v>
      </c>
      <c r="F8" s="155">
        <f t="shared" si="0"/>
        <v>0</v>
      </c>
      <c r="I8" s="43">
        <f>12860+5912+11873.6+14160+6140+22520</f>
        <v>73465.600000000006</v>
      </c>
      <c r="J8" s="144" t="s">
        <v>667</v>
      </c>
      <c r="K8" s="156">
        <v>73465.59</v>
      </c>
      <c r="L8" s="207"/>
      <c r="M8" s="113" t="s">
        <v>202</v>
      </c>
      <c r="N8" s="207">
        <v>12860</v>
      </c>
      <c r="O8" s="221">
        <v>42250</v>
      </c>
      <c r="P8" s="21">
        <v>42249</v>
      </c>
      <c r="R8" s="43">
        <v>0</v>
      </c>
      <c r="S8" s="307" t="s">
        <v>731</v>
      </c>
      <c r="T8" s="207">
        <v>26978.7</v>
      </c>
      <c r="U8" s="207"/>
      <c r="V8" s="113" t="s">
        <v>202</v>
      </c>
      <c r="W8" s="207">
        <v>72200</v>
      </c>
      <c r="X8" s="221">
        <v>42273</v>
      </c>
    </row>
    <row r="9" spans="1:24" ht="15.75" x14ac:dyDescent="0.25">
      <c r="A9" s="243">
        <v>42251</v>
      </c>
      <c r="B9" s="244" t="s">
        <v>674</v>
      </c>
      <c r="C9" s="245">
        <v>60411</v>
      </c>
      <c r="D9" s="104">
        <v>42258</v>
      </c>
      <c r="E9" s="245">
        <v>60411</v>
      </c>
      <c r="F9" s="155">
        <f t="shared" si="0"/>
        <v>0</v>
      </c>
      <c r="I9" s="43">
        <f>2690+56350+7065.5+8753.5</f>
        <v>74859</v>
      </c>
      <c r="J9" s="144" t="s">
        <v>668</v>
      </c>
      <c r="K9" s="156">
        <v>66105.47</v>
      </c>
      <c r="L9" s="334"/>
      <c r="M9" s="113" t="s">
        <v>202</v>
      </c>
      <c r="N9" s="207">
        <v>24640</v>
      </c>
      <c r="O9" s="221">
        <v>42249</v>
      </c>
      <c r="R9" s="43">
        <f>9203+9448</f>
        <v>18651</v>
      </c>
      <c r="S9" s="407" t="s">
        <v>733</v>
      </c>
      <c r="T9" s="121">
        <v>33361.4</v>
      </c>
      <c r="U9" s="334"/>
      <c r="V9" s="113" t="s">
        <v>202</v>
      </c>
      <c r="W9" s="207">
        <v>0</v>
      </c>
      <c r="X9" s="221"/>
    </row>
    <row r="10" spans="1:24" ht="15.75" x14ac:dyDescent="0.25">
      <c r="A10" s="143">
        <v>42252</v>
      </c>
      <c r="B10" s="144" t="s">
        <v>669</v>
      </c>
      <c r="C10" s="156">
        <v>31859.62</v>
      </c>
      <c r="D10" s="104">
        <v>42258</v>
      </c>
      <c r="E10" s="156">
        <v>31859.62</v>
      </c>
      <c r="F10" s="155">
        <f t="shared" si="0"/>
        <v>0</v>
      </c>
      <c r="I10" s="43">
        <f>34329.5</f>
        <v>34329.5</v>
      </c>
      <c r="J10" s="144" t="s">
        <v>673</v>
      </c>
      <c r="K10" s="156">
        <v>34329.5</v>
      </c>
      <c r="L10" s="321"/>
      <c r="M10" s="113" t="s">
        <v>202</v>
      </c>
      <c r="N10" s="207">
        <v>16850</v>
      </c>
      <c r="O10" s="221">
        <v>42251</v>
      </c>
      <c r="P10" s="21">
        <v>42250</v>
      </c>
      <c r="R10" s="43">
        <f>27198</f>
        <v>27198</v>
      </c>
      <c r="S10" s="240" t="s">
        <v>734</v>
      </c>
      <c r="T10" s="121">
        <v>27198.23</v>
      </c>
      <c r="U10" s="321"/>
      <c r="V10" s="113" t="s">
        <v>202</v>
      </c>
      <c r="W10" s="207">
        <v>0</v>
      </c>
      <c r="X10" s="221"/>
    </row>
    <row r="11" spans="1:24" ht="15.75" x14ac:dyDescent="0.25">
      <c r="A11" s="143">
        <v>42252</v>
      </c>
      <c r="B11" s="144" t="s">
        <v>670</v>
      </c>
      <c r="C11" s="156">
        <v>29334.5</v>
      </c>
      <c r="D11" s="104">
        <v>42258</v>
      </c>
      <c r="E11" s="156">
        <v>29334.5</v>
      </c>
      <c r="F11" s="155">
        <f t="shared" si="0"/>
        <v>0</v>
      </c>
      <c r="I11" s="43">
        <f>28701.5+13377.5+9578.5</f>
        <v>51657.5</v>
      </c>
      <c r="J11" s="244" t="s">
        <v>674</v>
      </c>
      <c r="K11" s="245">
        <v>60411</v>
      </c>
      <c r="L11" s="207"/>
      <c r="M11" s="113" t="s">
        <v>202</v>
      </c>
      <c r="N11" s="207">
        <v>28660</v>
      </c>
      <c r="O11" s="221">
        <v>42250</v>
      </c>
      <c r="R11" s="43">
        <f>24058</f>
        <v>24058</v>
      </c>
      <c r="S11" s="240" t="s">
        <v>735</v>
      </c>
      <c r="T11" s="121">
        <v>27776.78</v>
      </c>
      <c r="U11" s="207"/>
      <c r="V11" s="113" t="s">
        <v>202</v>
      </c>
      <c r="W11" s="207">
        <v>0</v>
      </c>
      <c r="X11" s="221"/>
    </row>
    <row r="12" spans="1:24" ht="15.75" x14ac:dyDescent="0.25">
      <c r="A12" s="143">
        <v>42252</v>
      </c>
      <c r="B12" s="144" t="s">
        <v>671</v>
      </c>
      <c r="C12" s="156">
        <v>31164.25</v>
      </c>
      <c r="D12" s="104">
        <v>42258</v>
      </c>
      <c r="E12" s="156">
        <v>31164.25</v>
      </c>
      <c r="F12" s="155">
        <f t="shared" si="0"/>
        <v>0</v>
      </c>
      <c r="I12" s="43">
        <f>31859.5</f>
        <v>31859.5</v>
      </c>
      <c r="J12" s="144" t="s">
        <v>669</v>
      </c>
      <c r="K12" s="156">
        <v>31859.62</v>
      </c>
      <c r="L12" s="207"/>
      <c r="M12" s="113" t="s">
        <v>202</v>
      </c>
      <c r="N12" s="207">
        <v>56350</v>
      </c>
      <c r="O12" s="221">
        <v>42251</v>
      </c>
      <c r="R12" s="43">
        <v>0</v>
      </c>
      <c r="S12" s="240" t="s">
        <v>736</v>
      </c>
      <c r="T12" s="121">
        <v>7922.1</v>
      </c>
      <c r="U12" s="207"/>
      <c r="V12" s="113" t="s">
        <v>202</v>
      </c>
      <c r="W12" s="207">
        <v>0</v>
      </c>
      <c r="X12" s="221"/>
    </row>
    <row r="13" spans="1:24" ht="15.75" x14ac:dyDescent="0.25">
      <c r="A13" s="143">
        <v>42253</v>
      </c>
      <c r="B13" s="144" t="s">
        <v>672</v>
      </c>
      <c r="C13" s="156">
        <v>6243.8</v>
      </c>
      <c r="D13" s="104">
        <v>42258</v>
      </c>
      <c r="E13" s="156">
        <v>6243.8</v>
      </c>
      <c r="F13" s="155">
        <f t="shared" si="0"/>
        <v>0</v>
      </c>
      <c r="I13" s="43">
        <f>16590.5+7264+5480</f>
        <v>29334.5</v>
      </c>
      <c r="J13" s="144" t="s">
        <v>670</v>
      </c>
      <c r="K13" s="156">
        <v>29334.5</v>
      </c>
      <c r="L13" s="207"/>
      <c r="M13" s="113" t="s">
        <v>202</v>
      </c>
      <c r="N13" s="207">
        <v>78850</v>
      </c>
      <c r="O13" s="221">
        <v>42252</v>
      </c>
      <c r="R13" s="43">
        <v>0</v>
      </c>
      <c r="S13" s="407" t="s">
        <v>737</v>
      </c>
      <c r="T13" s="121">
        <v>17353.169999999998</v>
      </c>
      <c r="U13" s="207" t="s">
        <v>242</v>
      </c>
      <c r="V13" s="113" t="s">
        <v>202</v>
      </c>
      <c r="W13" s="207">
        <v>0</v>
      </c>
      <c r="X13" s="221"/>
    </row>
    <row r="14" spans="1:24" ht="15.75" x14ac:dyDescent="0.25">
      <c r="A14" s="143">
        <v>42254</v>
      </c>
      <c r="B14" s="144" t="s">
        <v>675</v>
      </c>
      <c r="C14" s="156">
        <v>31539.72</v>
      </c>
      <c r="D14" s="104">
        <v>42258</v>
      </c>
      <c r="E14" s="156">
        <v>31539.72</v>
      </c>
      <c r="F14" s="155">
        <f t="shared" si="0"/>
        <v>0</v>
      </c>
      <c r="I14" s="43">
        <f>31164.25</f>
        <v>31164.25</v>
      </c>
      <c r="J14" s="144" t="s">
        <v>671</v>
      </c>
      <c r="K14" s="156">
        <v>31164.25</v>
      </c>
      <c r="L14" s="207"/>
      <c r="M14" s="113" t="s">
        <v>202</v>
      </c>
      <c r="N14" s="207">
        <v>77650</v>
      </c>
      <c r="O14" s="221">
        <v>42254</v>
      </c>
      <c r="P14" s="21">
        <v>42253</v>
      </c>
      <c r="R14" s="43">
        <v>0</v>
      </c>
      <c r="S14" s="458"/>
      <c r="T14" s="238">
        <v>0</v>
      </c>
      <c r="U14" s="459"/>
      <c r="V14" s="132" t="s">
        <v>202</v>
      </c>
      <c r="W14" s="217">
        <v>0</v>
      </c>
      <c r="X14" s="426"/>
    </row>
    <row r="15" spans="1:24" ht="16.5" thickBot="1" x14ac:dyDescent="0.3">
      <c r="A15" s="143">
        <v>42255</v>
      </c>
      <c r="B15" s="144" t="s">
        <v>676</v>
      </c>
      <c r="C15" s="156">
        <v>4862.6000000000004</v>
      </c>
      <c r="D15" s="104">
        <v>42258</v>
      </c>
      <c r="E15" s="156">
        <v>4862.6000000000004</v>
      </c>
      <c r="F15" s="155">
        <f t="shared" si="0"/>
        <v>0</v>
      </c>
      <c r="I15" s="43">
        <f>6244</f>
        <v>6244</v>
      </c>
      <c r="J15" s="144" t="s">
        <v>672</v>
      </c>
      <c r="K15" s="156">
        <v>6243.8</v>
      </c>
      <c r="L15" s="207"/>
      <c r="M15" s="113" t="s">
        <v>202</v>
      </c>
      <c r="N15" s="207">
        <v>50500</v>
      </c>
      <c r="O15" s="221">
        <v>42254</v>
      </c>
      <c r="R15" s="43">
        <v>0</v>
      </c>
      <c r="S15" s="460"/>
      <c r="T15" s="414">
        <v>0</v>
      </c>
      <c r="U15" s="461"/>
      <c r="V15" s="462"/>
      <c r="W15" s="461">
        <v>0</v>
      </c>
      <c r="X15" s="463"/>
    </row>
    <row r="16" spans="1:24" ht="16.5" thickTop="1" x14ac:dyDescent="0.25">
      <c r="A16" s="143">
        <v>42255</v>
      </c>
      <c r="B16" s="144" t="s">
        <v>677</v>
      </c>
      <c r="C16" s="156">
        <v>30070.9</v>
      </c>
      <c r="D16" s="104" t="s">
        <v>713</v>
      </c>
      <c r="E16" s="156">
        <f>17898.15+12172.75</f>
        <v>30070.9</v>
      </c>
      <c r="F16" s="155">
        <f t="shared" si="0"/>
        <v>0</v>
      </c>
      <c r="I16" s="43">
        <f>6591.75+13291+11657</f>
        <v>31539.75</v>
      </c>
      <c r="J16" s="144" t="s">
        <v>675</v>
      </c>
      <c r="K16" s="156">
        <v>31539.72</v>
      </c>
      <c r="L16" s="334"/>
      <c r="M16" s="113" t="s">
        <v>202</v>
      </c>
      <c r="N16" s="207">
        <v>33700</v>
      </c>
      <c r="O16" s="221">
        <v>42255</v>
      </c>
      <c r="R16" s="43">
        <f>SUM(R2:R15)</f>
        <v>281220</v>
      </c>
      <c r="S16" s="105"/>
      <c r="T16" s="103">
        <f>SUM(T3:T15)</f>
        <v>281220</v>
      </c>
      <c r="U16" s="88"/>
      <c r="V16" s="135"/>
      <c r="W16" s="88">
        <f>SUM(W3:W15)</f>
        <v>281220</v>
      </c>
      <c r="X16" s="250"/>
    </row>
    <row r="17" spans="1:24" ht="15.75" x14ac:dyDescent="0.25">
      <c r="A17" s="143">
        <v>42257</v>
      </c>
      <c r="B17" s="144" t="s">
        <v>678</v>
      </c>
      <c r="C17" s="156">
        <v>104060.26</v>
      </c>
      <c r="D17" s="104">
        <v>42266</v>
      </c>
      <c r="E17" s="156">
        <v>104060.26</v>
      </c>
      <c r="F17" s="155">
        <f t="shared" si="0"/>
        <v>0</v>
      </c>
      <c r="G17" s="105"/>
      <c r="I17" s="43">
        <v>0</v>
      </c>
      <c r="J17" s="144" t="s">
        <v>676</v>
      </c>
      <c r="K17" s="156">
        <v>4862.6000000000004</v>
      </c>
      <c r="L17" s="217"/>
      <c r="M17" s="132" t="s">
        <v>202</v>
      </c>
      <c r="N17" s="217">
        <v>0</v>
      </c>
      <c r="O17" s="426"/>
      <c r="S17" s="105"/>
      <c r="T17" s="103"/>
      <c r="U17" s="88"/>
      <c r="V17" s="135"/>
      <c r="W17" s="88"/>
      <c r="X17" s="250"/>
    </row>
    <row r="18" spans="1:24" ht="15.75" x14ac:dyDescent="0.25">
      <c r="A18" s="143">
        <v>42257</v>
      </c>
      <c r="B18" s="144" t="s">
        <v>694</v>
      </c>
      <c r="C18" s="156">
        <v>6200</v>
      </c>
      <c r="D18" s="104">
        <v>42266</v>
      </c>
      <c r="E18" s="156">
        <v>6200</v>
      </c>
      <c r="F18" s="155">
        <f t="shared" si="0"/>
        <v>0</v>
      </c>
      <c r="I18" s="43">
        <f>8752</f>
        <v>8752</v>
      </c>
      <c r="J18" s="144" t="s">
        <v>677</v>
      </c>
      <c r="K18" s="156">
        <v>17898.150000000001</v>
      </c>
      <c r="L18" s="128" t="s">
        <v>361</v>
      </c>
      <c r="M18" s="132" t="s">
        <v>202</v>
      </c>
      <c r="N18" s="150">
        <v>0</v>
      </c>
      <c r="O18" s="119"/>
      <c r="S18" s="105"/>
      <c r="T18" s="103"/>
      <c r="U18" s="137"/>
      <c r="V18" s="135"/>
      <c r="W18" s="55"/>
      <c r="X18" s="13"/>
    </row>
    <row r="19" spans="1:24" ht="16.5" thickBot="1" x14ac:dyDescent="0.3">
      <c r="A19" s="143">
        <v>42258</v>
      </c>
      <c r="B19" s="144" t="s">
        <v>695</v>
      </c>
      <c r="C19" s="156">
        <v>35221.22</v>
      </c>
      <c r="D19" s="104">
        <v>42266</v>
      </c>
      <c r="E19" s="156">
        <v>35221.22</v>
      </c>
      <c r="F19" s="155">
        <f t="shared" si="0"/>
        <v>0</v>
      </c>
      <c r="I19" s="43">
        <v>0</v>
      </c>
      <c r="J19" s="449"/>
      <c r="K19" s="450">
        <v>0</v>
      </c>
      <c r="L19" s="446"/>
      <c r="M19" s="447"/>
      <c r="N19" s="446">
        <v>0</v>
      </c>
      <c r="O19" s="448"/>
      <c r="P19" t="s">
        <v>12</v>
      </c>
      <c r="S19" s="105"/>
      <c r="T19" s="103"/>
      <c r="U19" s="88"/>
      <c r="V19" s="135"/>
      <c r="W19" s="88"/>
      <c r="X19" s="250"/>
    </row>
    <row r="20" spans="1:24" ht="15.75" thickTop="1" x14ac:dyDescent="0.25">
      <c r="A20" s="143">
        <v>42258</v>
      </c>
      <c r="B20" s="144" t="s">
        <v>696</v>
      </c>
      <c r="C20" s="156">
        <v>90454</v>
      </c>
      <c r="D20" s="104">
        <v>42266</v>
      </c>
      <c r="E20" s="156">
        <v>90454</v>
      </c>
      <c r="F20" s="155">
        <f t="shared" si="0"/>
        <v>0</v>
      </c>
      <c r="I20" s="58">
        <f>SUM(I3:I19)</f>
        <v>522459.54000000004</v>
      </c>
      <c r="J20" s="105"/>
      <c r="K20" s="88">
        <f>SUM(K3:K19)</f>
        <v>522459.54000000004</v>
      </c>
      <c r="L20" s="88"/>
      <c r="M20" s="88"/>
      <c r="N20" s="88">
        <f>SUM(N3:N19)</f>
        <v>522459.54000000004</v>
      </c>
      <c r="O20" s="250"/>
      <c r="S20" s="105"/>
      <c r="T20" s="88"/>
      <c r="U20" s="88"/>
      <c r="V20" s="88"/>
      <c r="W20" s="88"/>
      <c r="X20" s="250"/>
    </row>
    <row r="21" spans="1:24" ht="15.75" x14ac:dyDescent="0.25">
      <c r="A21" s="143">
        <v>42259</v>
      </c>
      <c r="B21" s="144" t="s">
        <v>697</v>
      </c>
      <c r="C21" s="156">
        <v>62591.5</v>
      </c>
      <c r="D21" s="104">
        <v>42266</v>
      </c>
      <c r="E21" s="156">
        <v>62591.5</v>
      </c>
      <c r="F21" s="155">
        <f t="shared" si="0"/>
        <v>0</v>
      </c>
      <c r="J21" s="105"/>
      <c r="K21" s="103"/>
      <c r="L21" s="88"/>
      <c r="M21" s="135"/>
      <c r="N21" s="88"/>
      <c r="O21" s="250"/>
      <c r="S21" s="13"/>
      <c r="T21" s="13"/>
      <c r="U21" s="13"/>
      <c r="V21" s="13"/>
      <c r="W21" s="13"/>
      <c r="X21" s="13"/>
    </row>
    <row r="22" spans="1:24" ht="15.75" x14ac:dyDescent="0.25">
      <c r="A22" s="143">
        <v>42261</v>
      </c>
      <c r="B22" s="144" t="s">
        <v>698</v>
      </c>
      <c r="C22" s="157">
        <v>46179.69</v>
      </c>
      <c r="D22" s="104">
        <v>42266</v>
      </c>
      <c r="E22" s="157">
        <v>46179.69</v>
      </c>
      <c r="F22" s="155">
        <f t="shared" si="0"/>
        <v>0</v>
      </c>
      <c r="J22" s="105"/>
      <c r="K22" s="103"/>
      <c r="L22" s="215"/>
      <c r="M22" s="135"/>
      <c r="N22" s="88"/>
      <c r="O22" s="250"/>
    </row>
    <row r="23" spans="1:24" ht="15.75" x14ac:dyDescent="0.25">
      <c r="A23" s="143">
        <v>42261</v>
      </c>
      <c r="B23" s="144" t="s">
        <v>699</v>
      </c>
      <c r="C23" s="130">
        <v>27964.95</v>
      </c>
      <c r="D23" s="104">
        <v>42266</v>
      </c>
      <c r="E23" s="130">
        <v>27964.95</v>
      </c>
      <c r="F23" s="155">
        <f t="shared" ref="F23:F30" si="1">C23-E23</f>
        <v>0</v>
      </c>
      <c r="J23" s="104"/>
      <c r="K23" s="353">
        <v>42266</v>
      </c>
      <c r="L23" s="215"/>
      <c r="M23" s="134" t="s">
        <v>200</v>
      </c>
      <c r="N23" s="88"/>
    </row>
    <row r="24" spans="1:24" ht="15.75" thickBot="1" x14ac:dyDescent="0.3">
      <c r="A24" s="143">
        <v>42262</v>
      </c>
      <c r="B24" s="144" t="s">
        <v>700</v>
      </c>
      <c r="C24" s="156">
        <v>36391.519999999997</v>
      </c>
      <c r="D24" s="104">
        <v>42266</v>
      </c>
      <c r="E24" s="156">
        <v>36391.519999999997</v>
      </c>
      <c r="F24" s="155">
        <f t="shared" si="1"/>
        <v>0</v>
      </c>
      <c r="I24" s="43">
        <f>4862.5</f>
        <v>4862.5</v>
      </c>
      <c r="J24" s="413" t="s">
        <v>676</v>
      </c>
      <c r="K24" s="414"/>
      <c r="L24" s="414"/>
      <c r="M24" s="414"/>
      <c r="N24" s="415"/>
      <c r="O24" s="18"/>
    </row>
    <row r="25" spans="1:24" ht="16.5" thickTop="1" x14ac:dyDescent="0.25">
      <c r="A25" s="143">
        <v>42263</v>
      </c>
      <c r="B25" s="144" t="s">
        <v>701</v>
      </c>
      <c r="C25" s="156">
        <v>31739.15</v>
      </c>
      <c r="D25" s="104">
        <v>42266</v>
      </c>
      <c r="E25" s="156">
        <v>31739.15</v>
      </c>
      <c r="F25" s="155">
        <f t="shared" si="1"/>
        <v>0</v>
      </c>
      <c r="I25" s="43">
        <f>9678+11641</f>
        <v>21319</v>
      </c>
      <c r="J25" s="244" t="s">
        <v>677</v>
      </c>
      <c r="K25" s="245">
        <v>12172.75</v>
      </c>
      <c r="L25" s="410"/>
      <c r="M25" s="235" t="s">
        <v>202</v>
      </c>
      <c r="N25" s="451">
        <v>44500</v>
      </c>
      <c r="O25" s="412">
        <v>42256</v>
      </c>
    </row>
    <row r="26" spans="1:24" ht="15.75" x14ac:dyDescent="0.25">
      <c r="A26" s="143">
        <v>42263</v>
      </c>
      <c r="B26" s="144" t="s">
        <v>702</v>
      </c>
      <c r="C26" s="156">
        <v>32509.84</v>
      </c>
      <c r="D26" s="104">
        <v>42266</v>
      </c>
      <c r="E26" s="156">
        <v>32509.84</v>
      </c>
      <c r="F26" s="155">
        <f t="shared" si="1"/>
        <v>0</v>
      </c>
      <c r="I26" s="43">
        <f>18318.5+30652+6248+41485+7356.5</f>
        <v>104060</v>
      </c>
      <c r="J26" s="144" t="s">
        <v>678</v>
      </c>
      <c r="K26" s="156">
        <v>104060.26</v>
      </c>
      <c r="L26" s="207"/>
      <c r="M26" s="113" t="s">
        <v>202</v>
      </c>
      <c r="N26" s="214">
        <v>36900</v>
      </c>
      <c r="O26" s="221">
        <v>42257</v>
      </c>
    </row>
    <row r="27" spans="1:24" ht="15.75" x14ac:dyDescent="0.25">
      <c r="A27" s="143">
        <v>42264</v>
      </c>
      <c r="B27" s="144" t="s">
        <v>716</v>
      </c>
      <c r="C27" s="156">
        <v>59894.97</v>
      </c>
      <c r="D27" s="328" t="s">
        <v>727</v>
      </c>
      <c r="E27" s="156">
        <f>59325.12+569.85</f>
        <v>59894.97</v>
      </c>
      <c r="F27" s="155">
        <f t="shared" si="1"/>
        <v>0</v>
      </c>
      <c r="I27" s="43">
        <f>6200</f>
        <v>6200</v>
      </c>
      <c r="J27" s="144" t="s">
        <v>694</v>
      </c>
      <c r="K27" s="156">
        <v>6200</v>
      </c>
      <c r="L27" s="207"/>
      <c r="M27" s="113" t="s">
        <v>202</v>
      </c>
      <c r="N27" s="207">
        <v>57640</v>
      </c>
      <c r="O27" s="221">
        <v>42258</v>
      </c>
    </row>
    <row r="28" spans="1:24" ht="15.75" x14ac:dyDescent="0.25">
      <c r="A28" s="143">
        <v>42265</v>
      </c>
      <c r="B28" s="144" t="s">
        <v>712</v>
      </c>
      <c r="C28" s="156">
        <v>35439.25</v>
      </c>
      <c r="D28" s="104">
        <v>42271</v>
      </c>
      <c r="E28" s="156">
        <v>35439.25</v>
      </c>
      <c r="F28" s="155">
        <f t="shared" si="1"/>
        <v>0</v>
      </c>
      <c r="I28" s="43">
        <f>2598.5+21779.5+10843</f>
        <v>35221</v>
      </c>
      <c r="J28" s="144" t="s">
        <v>695</v>
      </c>
      <c r="K28" s="156">
        <v>35221.22</v>
      </c>
      <c r="L28" s="130"/>
      <c r="M28" s="113" t="s">
        <v>202</v>
      </c>
      <c r="N28" s="207">
        <v>78150</v>
      </c>
      <c r="O28" s="221">
        <v>42259</v>
      </c>
    </row>
    <row r="29" spans="1:24" ht="15.75" x14ac:dyDescent="0.25">
      <c r="A29" s="143">
        <v>42266</v>
      </c>
      <c r="B29" s="144" t="s">
        <v>714</v>
      </c>
      <c r="C29" s="156">
        <v>26361.200000000001</v>
      </c>
      <c r="D29" s="104">
        <v>42271</v>
      </c>
      <c r="E29" s="156">
        <v>26361.200000000001</v>
      </c>
      <c r="F29" s="155">
        <f t="shared" si="1"/>
        <v>0</v>
      </c>
      <c r="I29" s="43">
        <f>45527.5+35034+9892.5</f>
        <v>90454</v>
      </c>
      <c r="J29" s="144" t="s">
        <v>696</v>
      </c>
      <c r="K29" s="156">
        <v>90454</v>
      </c>
      <c r="L29" s="130"/>
      <c r="M29" s="113" t="s">
        <v>202</v>
      </c>
      <c r="N29" s="214">
        <v>89300</v>
      </c>
      <c r="O29" s="221">
        <v>42261</v>
      </c>
      <c r="P29" s="21">
        <v>42260</v>
      </c>
    </row>
    <row r="30" spans="1:24" ht="15.75" x14ac:dyDescent="0.25">
      <c r="A30" s="143">
        <v>42174</v>
      </c>
      <c r="B30" s="144" t="s">
        <v>715</v>
      </c>
      <c r="C30" s="156">
        <v>33799.35</v>
      </c>
      <c r="D30" s="104">
        <v>42271</v>
      </c>
      <c r="E30" s="156">
        <v>33799.35</v>
      </c>
      <c r="F30" s="155">
        <f t="shared" si="1"/>
        <v>0</v>
      </c>
      <c r="I30" s="43">
        <f>44373.5+7789+18218</f>
        <v>70380.5</v>
      </c>
      <c r="J30" s="144" t="s">
        <v>697</v>
      </c>
      <c r="K30" s="156">
        <v>62591.5</v>
      </c>
      <c r="L30" s="207"/>
      <c r="M30" s="113" t="s">
        <v>202</v>
      </c>
      <c r="N30" s="207">
        <v>10720</v>
      </c>
      <c r="O30" s="221">
        <v>42264</v>
      </c>
      <c r="P30" s="21">
        <v>42261</v>
      </c>
    </row>
    <row r="31" spans="1:24" ht="15.75" x14ac:dyDescent="0.25">
      <c r="A31" s="143">
        <v>42266</v>
      </c>
      <c r="B31" s="144" t="s">
        <v>717</v>
      </c>
      <c r="C31" s="156">
        <v>27613.47</v>
      </c>
      <c r="D31" s="328">
        <v>42271</v>
      </c>
      <c r="E31" s="103">
        <v>27613.47</v>
      </c>
      <c r="F31" s="155">
        <f t="shared" si="0"/>
        <v>0</v>
      </c>
      <c r="I31" s="43">
        <f>10720+10793+8048.5+16618</f>
        <v>46179.5</v>
      </c>
      <c r="J31" s="144" t="s">
        <v>698</v>
      </c>
      <c r="K31" s="157">
        <v>46179.69</v>
      </c>
      <c r="L31" s="334"/>
      <c r="M31" s="113" t="s">
        <v>202</v>
      </c>
      <c r="N31" s="207">
        <v>36800</v>
      </c>
      <c r="O31" s="221">
        <v>42261</v>
      </c>
    </row>
    <row r="32" spans="1:24" ht="15.75" x14ac:dyDescent="0.25">
      <c r="A32" s="143">
        <v>42267</v>
      </c>
      <c r="B32" s="144" t="s">
        <v>718</v>
      </c>
      <c r="C32" s="156">
        <v>37003.08</v>
      </c>
      <c r="D32" s="104">
        <v>42271</v>
      </c>
      <c r="E32" s="88">
        <v>37003.08</v>
      </c>
      <c r="F32" s="155">
        <f t="shared" si="0"/>
        <v>0</v>
      </c>
      <c r="I32" s="43">
        <f>27965</f>
        <v>27965</v>
      </c>
      <c r="J32" s="144" t="s">
        <v>699</v>
      </c>
      <c r="K32" s="130">
        <v>27964.95</v>
      </c>
      <c r="L32" s="321"/>
      <c r="M32" s="113" t="s">
        <v>202</v>
      </c>
      <c r="N32" s="207">
        <v>92550</v>
      </c>
      <c r="O32" s="221">
        <v>42262</v>
      </c>
    </row>
    <row r="33" spans="1:16" customFormat="1" ht="15.75" x14ac:dyDescent="0.25">
      <c r="A33" s="143">
        <v>42268</v>
      </c>
      <c r="B33" s="144" t="s">
        <v>719</v>
      </c>
      <c r="C33" s="156">
        <v>35082.550000000003</v>
      </c>
      <c r="D33" s="104">
        <v>42271</v>
      </c>
      <c r="E33" s="103">
        <v>35082.550000000003</v>
      </c>
      <c r="F33" s="155">
        <f t="shared" si="0"/>
        <v>0</v>
      </c>
      <c r="G33" s="23"/>
      <c r="I33" s="43">
        <f>36391.5</f>
        <v>36391.5</v>
      </c>
      <c r="J33" s="144" t="s">
        <v>700</v>
      </c>
      <c r="K33" s="156">
        <v>36391.519999999997</v>
      </c>
      <c r="L33" s="207"/>
      <c r="M33" s="113" t="s">
        <v>202</v>
      </c>
      <c r="N33" s="207">
        <v>43050</v>
      </c>
      <c r="O33" s="221">
        <v>42264</v>
      </c>
      <c r="P33" s="21">
        <v>42263</v>
      </c>
    </row>
    <row r="34" spans="1:16" customFormat="1" ht="15.75" x14ac:dyDescent="0.25">
      <c r="A34" s="143">
        <v>42269</v>
      </c>
      <c r="B34" s="144" t="s">
        <v>720</v>
      </c>
      <c r="C34" s="156">
        <v>8160.8</v>
      </c>
      <c r="D34" s="104">
        <v>42271</v>
      </c>
      <c r="E34" s="103">
        <v>8160.8</v>
      </c>
      <c r="F34" s="155">
        <f t="shared" si="0"/>
        <v>0</v>
      </c>
      <c r="G34" s="23"/>
      <c r="I34" s="43">
        <f>3527+21911+6301</f>
        <v>31739</v>
      </c>
      <c r="J34" s="144" t="s">
        <v>701</v>
      </c>
      <c r="K34" s="156">
        <v>31739.15</v>
      </c>
      <c r="L34" s="207"/>
      <c r="M34" s="113" t="s">
        <v>202</v>
      </c>
      <c r="N34" s="207">
        <v>55200</v>
      </c>
      <c r="O34" s="221">
        <v>42264</v>
      </c>
    </row>
    <row r="35" spans="1:16" customFormat="1" ht="15.75" x14ac:dyDescent="0.25">
      <c r="A35" s="143">
        <v>42269</v>
      </c>
      <c r="B35" s="144" t="s">
        <v>721</v>
      </c>
      <c r="C35" s="156">
        <v>25966.05</v>
      </c>
      <c r="D35" s="104" t="s">
        <v>745</v>
      </c>
      <c r="E35" s="103">
        <f>8470.45+17495.6</f>
        <v>25966.05</v>
      </c>
      <c r="F35" s="155">
        <f t="shared" si="0"/>
        <v>0</v>
      </c>
      <c r="G35" s="23"/>
      <c r="I35" s="43">
        <f>14838+11165+6507</f>
        <v>32510</v>
      </c>
      <c r="J35" s="144" t="s">
        <v>702</v>
      </c>
      <c r="K35" s="156">
        <v>32509.84</v>
      </c>
      <c r="L35" s="207"/>
      <c r="M35" s="113" t="s">
        <v>202</v>
      </c>
      <c r="N35" s="207"/>
      <c r="O35" s="221"/>
    </row>
    <row r="36" spans="1:16" customFormat="1" ht="15.75" x14ac:dyDescent="0.25">
      <c r="A36" s="143">
        <v>42270</v>
      </c>
      <c r="B36" s="292" t="s">
        <v>728</v>
      </c>
      <c r="C36" s="157">
        <v>64565.37</v>
      </c>
      <c r="D36" s="104">
        <v>42276</v>
      </c>
      <c r="E36" s="88">
        <v>64565.37</v>
      </c>
      <c r="F36" s="155">
        <f t="shared" si="0"/>
        <v>0</v>
      </c>
      <c r="G36" s="23"/>
      <c r="I36" s="43">
        <f>37528</f>
        <v>37528</v>
      </c>
      <c r="J36" s="144" t="s">
        <v>716</v>
      </c>
      <c r="K36" s="156">
        <v>59325.120000000003</v>
      </c>
      <c r="L36" s="334" t="s">
        <v>242</v>
      </c>
      <c r="M36" s="113" t="s">
        <v>202</v>
      </c>
      <c r="N36" s="207"/>
      <c r="O36" s="221"/>
    </row>
    <row r="37" spans="1:16" customFormat="1" ht="15.75" x14ac:dyDescent="0.25">
      <c r="A37" s="143">
        <v>42271</v>
      </c>
      <c r="B37" s="292" t="s">
        <v>729</v>
      </c>
      <c r="C37" s="157">
        <v>29348.25</v>
      </c>
      <c r="D37" s="104">
        <v>42276</v>
      </c>
      <c r="E37" s="88">
        <v>29348.25</v>
      </c>
      <c r="F37" s="155">
        <f t="shared" si="0"/>
        <v>0</v>
      </c>
      <c r="G37" s="23"/>
      <c r="I37" s="43">
        <v>0</v>
      </c>
      <c r="J37" s="144"/>
      <c r="K37" s="156"/>
      <c r="L37" s="207"/>
      <c r="M37" s="113" t="s">
        <v>202</v>
      </c>
      <c r="N37" s="207"/>
      <c r="O37" s="221"/>
    </row>
    <row r="38" spans="1:16" customFormat="1" ht="15.75" x14ac:dyDescent="0.25">
      <c r="A38" s="143">
        <v>42272</v>
      </c>
      <c r="B38" s="293" t="s">
        <v>730</v>
      </c>
      <c r="C38" s="207">
        <v>26927.200000000001</v>
      </c>
      <c r="D38" s="104">
        <v>42276</v>
      </c>
      <c r="E38" s="88">
        <v>26927.200000000001</v>
      </c>
      <c r="F38" s="154">
        <f t="shared" si="0"/>
        <v>0</v>
      </c>
      <c r="G38" s="23"/>
      <c r="I38" s="43">
        <v>0</v>
      </c>
      <c r="J38" s="144"/>
      <c r="K38" s="156"/>
      <c r="L38" s="207"/>
      <c r="M38" s="113" t="s">
        <v>202</v>
      </c>
      <c r="N38" s="207"/>
      <c r="O38" s="221"/>
    </row>
    <row r="39" spans="1:16" customFormat="1" ht="15.75" x14ac:dyDescent="0.25">
      <c r="A39" s="143">
        <v>42272</v>
      </c>
      <c r="B39" s="409" t="s">
        <v>732</v>
      </c>
      <c r="C39" s="207">
        <v>2293.1999999999998</v>
      </c>
      <c r="D39" s="104">
        <v>42276</v>
      </c>
      <c r="E39" s="88">
        <v>2293.1999999999998</v>
      </c>
      <c r="F39" s="154">
        <f t="shared" si="0"/>
        <v>0</v>
      </c>
      <c r="G39" s="23"/>
      <c r="I39" s="43">
        <f>SUM(I24:I38)</f>
        <v>544810</v>
      </c>
      <c r="J39" s="144"/>
      <c r="K39" s="156"/>
      <c r="L39" s="217"/>
      <c r="M39" s="132" t="s">
        <v>202</v>
      </c>
      <c r="N39" s="217">
        <v>0</v>
      </c>
      <c r="O39" s="426"/>
    </row>
    <row r="40" spans="1:16" customFormat="1" ht="15.75" x14ac:dyDescent="0.25">
      <c r="A40" s="143">
        <v>42272</v>
      </c>
      <c r="B40" s="307" t="s">
        <v>731</v>
      </c>
      <c r="C40" s="207">
        <v>26978.7</v>
      </c>
      <c r="D40" s="104">
        <v>42276</v>
      </c>
      <c r="E40" s="88">
        <v>26978.7</v>
      </c>
      <c r="F40" s="154">
        <f t="shared" si="0"/>
        <v>0</v>
      </c>
      <c r="G40" s="23"/>
      <c r="H40">
        <f>SUM(H38:H39)</f>
        <v>0</v>
      </c>
      <c r="I40" s="43"/>
      <c r="J40" s="144"/>
      <c r="K40" s="156"/>
      <c r="L40" s="128"/>
      <c r="M40" s="132" t="s">
        <v>202</v>
      </c>
      <c r="N40" s="150">
        <v>0</v>
      </c>
      <c r="O40" s="119"/>
    </row>
    <row r="41" spans="1:16" customFormat="1" ht="16.5" thickBot="1" x14ac:dyDescent="0.3">
      <c r="A41" s="285">
        <v>42273</v>
      </c>
      <c r="B41" s="407" t="s">
        <v>733</v>
      </c>
      <c r="C41" s="121">
        <v>33361.4</v>
      </c>
      <c r="D41" s="104">
        <v>42276</v>
      </c>
      <c r="E41" s="56">
        <v>33361.4</v>
      </c>
      <c r="F41" s="154">
        <f t="shared" si="0"/>
        <v>0</v>
      </c>
      <c r="G41" s="23"/>
      <c r="I41" s="43"/>
      <c r="J41" s="449"/>
      <c r="K41" s="450">
        <v>0</v>
      </c>
      <c r="L41" s="446"/>
      <c r="M41" s="447"/>
      <c r="N41" s="446">
        <v>0</v>
      </c>
      <c r="O41" s="448"/>
    </row>
    <row r="42" spans="1:16" customFormat="1" ht="15.75" thickTop="1" x14ac:dyDescent="0.25">
      <c r="A42" s="285">
        <v>42273</v>
      </c>
      <c r="B42" s="240" t="s">
        <v>734</v>
      </c>
      <c r="C42" s="121">
        <v>27198.23</v>
      </c>
      <c r="D42" s="104">
        <v>42276</v>
      </c>
      <c r="E42" s="56">
        <v>27198.23</v>
      </c>
      <c r="F42" s="154">
        <f t="shared" si="0"/>
        <v>0</v>
      </c>
      <c r="G42" s="23"/>
      <c r="I42" s="43"/>
      <c r="J42" s="105"/>
      <c r="K42" s="88">
        <f>SUM(K25:K41)</f>
        <v>544810.00000000012</v>
      </c>
      <c r="L42" s="88"/>
      <c r="M42" s="88"/>
      <c r="N42" s="88">
        <f>SUM(N25:N41)</f>
        <v>544810</v>
      </c>
      <c r="O42" s="250"/>
    </row>
    <row r="43" spans="1:16" customFormat="1" ht="15.75" x14ac:dyDescent="0.25">
      <c r="A43" s="285">
        <v>42273</v>
      </c>
      <c r="B43" s="240" t="s">
        <v>735</v>
      </c>
      <c r="C43" s="121">
        <v>27776.78</v>
      </c>
      <c r="D43" s="104">
        <v>42276</v>
      </c>
      <c r="E43" s="56">
        <v>27776.78</v>
      </c>
      <c r="F43" s="154">
        <f t="shared" si="0"/>
        <v>0</v>
      </c>
      <c r="G43" s="23"/>
      <c r="I43" s="43"/>
      <c r="J43" s="28"/>
      <c r="K43" s="88"/>
      <c r="L43" s="88"/>
      <c r="M43" s="135"/>
      <c r="N43" s="88"/>
      <c r="O43" s="250"/>
    </row>
    <row r="44" spans="1:16" customFormat="1" ht="15.75" x14ac:dyDescent="0.25">
      <c r="A44" s="285">
        <v>42275</v>
      </c>
      <c r="B44" s="240" t="s">
        <v>736</v>
      </c>
      <c r="C44" s="121">
        <v>7922.1</v>
      </c>
      <c r="D44" s="104">
        <v>42276</v>
      </c>
      <c r="E44" s="56">
        <v>7922.1</v>
      </c>
      <c r="F44" s="154">
        <f t="shared" si="0"/>
        <v>0</v>
      </c>
      <c r="G44" s="23"/>
      <c r="I44" s="43"/>
      <c r="J44" s="13"/>
      <c r="K44" s="56"/>
      <c r="L44" s="56"/>
      <c r="M44" s="135"/>
      <c r="N44" s="56"/>
      <c r="O44" s="445"/>
    </row>
    <row r="45" spans="1:16" customFormat="1" ht="15.75" x14ac:dyDescent="0.25">
      <c r="A45" s="285">
        <v>42275</v>
      </c>
      <c r="B45" s="407" t="s">
        <v>737</v>
      </c>
      <c r="C45" s="121">
        <v>28470</v>
      </c>
      <c r="D45" s="464" t="s">
        <v>748</v>
      </c>
      <c r="E45" s="88">
        <f>17353.17+11116.83</f>
        <v>28470</v>
      </c>
      <c r="F45" s="154">
        <f t="shared" si="0"/>
        <v>0</v>
      </c>
      <c r="G45" s="23"/>
      <c r="I45" s="43"/>
      <c r="J45" s="104"/>
      <c r="K45" s="399">
        <v>42271</v>
      </c>
      <c r="L45" s="215"/>
      <c r="M45" s="134" t="s">
        <v>200</v>
      </c>
      <c r="N45" s="88"/>
    </row>
    <row r="46" spans="1:16" customFormat="1" ht="15.75" thickBot="1" x14ac:dyDescent="0.3">
      <c r="A46" s="285">
        <v>42275</v>
      </c>
      <c r="B46" s="407" t="s">
        <v>738</v>
      </c>
      <c r="C46" s="121">
        <v>29640</v>
      </c>
      <c r="D46" s="465">
        <v>42280</v>
      </c>
      <c r="E46" s="56">
        <v>29640</v>
      </c>
      <c r="F46" s="154">
        <f t="shared" si="0"/>
        <v>0</v>
      </c>
      <c r="G46" s="23"/>
      <c r="I46" s="43"/>
      <c r="J46" s="413"/>
      <c r="K46" s="414"/>
      <c r="L46" s="414"/>
      <c r="M46" s="414"/>
      <c r="N46" s="415"/>
      <c r="O46" s="18"/>
    </row>
    <row r="47" spans="1:16" customFormat="1" ht="16.5" thickTop="1" x14ac:dyDescent="0.25">
      <c r="A47" s="285">
        <v>42276</v>
      </c>
      <c r="B47" s="407" t="s">
        <v>746</v>
      </c>
      <c r="C47" s="121">
        <v>7058.4</v>
      </c>
      <c r="D47" s="159">
        <v>42280</v>
      </c>
      <c r="E47" s="234">
        <v>7058.4</v>
      </c>
      <c r="F47" s="207">
        <f t="shared" si="0"/>
        <v>0</v>
      </c>
      <c r="G47" s="23"/>
      <c r="I47" s="43">
        <f>16002+6365</f>
        <v>22367</v>
      </c>
      <c r="J47" s="244" t="s">
        <v>716</v>
      </c>
      <c r="K47" s="245">
        <v>569.85</v>
      </c>
      <c r="L47" s="410"/>
      <c r="M47" s="235" t="s">
        <v>202</v>
      </c>
      <c r="N47" s="451">
        <v>64600</v>
      </c>
      <c r="O47" s="412">
        <v>42265</v>
      </c>
    </row>
    <row r="48" spans="1:16" customFormat="1" ht="15.75" x14ac:dyDescent="0.25">
      <c r="A48" s="285">
        <v>42277</v>
      </c>
      <c r="B48" s="407" t="s">
        <v>747</v>
      </c>
      <c r="C48" s="121">
        <v>29072.400000000001</v>
      </c>
      <c r="D48" s="159">
        <v>42280</v>
      </c>
      <c r="E48" s="121">
        <v>29072.400000000001</v>
      </c>
      <c r="F48" s="207">
        <f t="shared" si="0"/>
        <v>0</v>
      </c>
      <c r="G48" s="23"/>
      <c r="I48" s="43">
        <f>35439</f>
        <v>35439</v>
      </c>
      <c r="J48" s="144" t="s">
        <v>712</v>
      </c>
      <c r="K48" s="156">
        <v>35439.25</v>
      </c>
      <c r="L48" s="207"/>
      <c r="M48" s="113" t="s">
        <v>202</v>
      </c>
      <c r="N48" s="214">
        <v>77450</v>
      </c>
      <c r="O48" s="221">
        <v>42266</v>
      </c>
    </row>
    <row r="49" spans="1:16" customFormat="1" ht="15.75" x14ac:dyDescent="0.25">
      <c r="A49" s="406"/>
      <c r="B49" s="289"/>
      <c r="C49" s="150"/>
      <c r="D49" s="119"/>
      <c r="E49" s="150"/>
      <c r="F49" s="332"/>
      <c r="G49" s="23"/>
      <c r="I49" s="43">
        <f>6794+8510+11057</f>
        <v>26361</v>
      </c>
      <c r="J49" s="144" t="s">
        <v>714</v>
      </c>
      <c r="K49" s="156">
        <v>26361.200000000001</v>
      </c>
      <c r="L49" s="207"/>
      <c r="M49" s="113" t="s">
        <v>202</v>
      </c>
      <c r="N49" s="207">
        <v>70450</v>
      </c>
      <c r="O49" s="221">
        <v>42268</v>
      </c>
      <c r="P49" s="21">
        <v>42267</v>
      </c>
    </row>
    <row r="50" spans="1:16" customFormat="1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G50" s="23"/>
      <c r="I50" s="43">
        <f>33799.5</f>
        <v>33799.5</v>
      </c>
      <c r="J50" s="144" t="s">
        <v>715</v>
      </c>
      <c r="K50" s="156">
        <v>33799.35</v>
      </c>
      <c r="L50" s="130"/>
      <c r="M50" s="113" t="s">
        <v>202</v>
      </c>
      <c r="N50" s="207"/>
      <c r="O50" s="221"/>
    </row>
    <row r="51" spans="1:16" customFormat="1" ht="16.5" thickTop="1" x14ac:dyDescent="0.25">
      <c r="A51" s="284"/>
      <c r="B51" s="111"/>
      <c r="C51" s="58">
        <f>SUM(C5:C50)</f>
        <v>1538396.23</v>
      </c>
      <c r="D51" s="58"/>
      <c r="E51" s="58">
        <f>SUM(E5:E50)</f>
        <v>1538396.23</v>
      </c>
      <c r="F51" s="242">
        <f>SUM(F5:F50)</f>
        <v>0</v>
      </c>
      <c r="G51" s="23"/>
      <c r="I51" s="43">
        <f>24083.5+3530</f>
        <v>27613.5</v>
      </c>
      <c r="J51" s="144" t="s">
        <v>717</v>
      </c>
      <c r="K51" s="156">
        <v>27613.47</v>
      </c>
      <c r="L51" s="130"/>
      <c r="M51" s="113" t="s">
        <v>202</v>
      </c>
      <c r="N51" s="214"/>
      <c r="O51" s="221"/>
      <c r="P51" s="21"/>
    </row>
    <row r="52" spans="1:16" customFormat="1" ht="15.75" x14ac:dyDescent="0.25">
      <c r="A52" s="436"/>
      <c r="C52" s="43"/>
      <c r="E52" s="43"/>
      <c r="F52" s="242"/>
      <c r="G52" s="23"/>
      <c r="I52" s="43">
        <f>37003</f>
        <v>37003</v>
      </c>
      <c r="J52" s="144" t="s">
        <v>718</v>
      </c>
      <c r="K52" s="156">
        <v>37003.08</v>
      </c>
      <c r="L52" s="207"/>
      <c r="M52" s="113" t="s">
        <v>202</v>
      </c>
      <c r="N52" s="207"/>
      <c r="O52" s="221"/>
      <c r="P52" s="21"/>
    </row>
    <row r="53" spans="1:16" customFormat="1" ht="15.75" x14ac:dyDescent="0.25">
      <c r="A53" s="436"/>
      <c r="C53" s="43"/>
      <c r="E53" s="43"/>
      <c r="F53" s="242"/>
      <c r="G53" s="23"/>
      <c r="I53" s="43">
        <f>18458.5+11458.5</f>
        <v>29917</v>
      </c>
      <c r="J53" s="144" t="s">
        <v>719</v>
      </c>
      <c r="K53" s="156">
        <v>35082.550000000003</v>
      </c>
      <c r="L53" s="334"/>
      <c r="M53" s="113" t="s">
        <v>202</v>
      </c>
      <c r="N53" s="207"/>
      <c r="O53" s="221"/>
    </row>
    <row r="54" spans="1:16" customFormat="1" ht="15.75" x14ac:dyDescent="0.25">
      <c r="A54" s="436"/>
      <c r="C54" s="43"/>
      <c r="E54" s="43"/>
      <c r="F54" s="242"/>
      <c r="G54" s="23"/>
      <c r="I54" s="43"/>
      <c r="J54" s="144" t="s">
        <v>720</v>
      </c>
      <c r="K54" s="156">
        <v>8160.8</v>
      </c>
      <c r="L54" s="321"/>
      <c r="M54" s="113" t="s">
        <v>202</v>
      </c>
      <c r="N54" s="207"/>
      <c r="O54" s="221"/>
    </row>
    <row r="55" spans="1:16" customFormat="1" ht="15.75" x14ac:dyDescent="0.25">
      <c r="A55" s="436"/>
      <c r="C55" s="43"/>
      <c r="E55" s="43" t="s">
        <v>12</v>
      </c>
      <c r="F55" s="242"/>
      <c r="G55" s="23"/>
      <c r="I55" s="43"/>
      <c r="J55" s="144" t="s">
        <v>721</v>
      </c>
      <c r="K55" s="156">
        <v>8470.4500000000007</v>
      </c>
      <c r="L55" s="207" t="s">
        <v>242</v>
      </c>
      <c r="M55" s="113" t="s">
        <v>202</v>
      </c>
      <c r="N55" s="207"/>
      <c r="O55" s="221"/>
      <c r="P55" s="21"/>
    </row>
    <row r="56" spans="1:16" customFormat="1" ht="15.75" x14ac:dyDescent="0.25">
      <c r="A56" s="436"/>
      <c r="C56" s="43"/>
      <c r="E56" s="43"/>
      <c r="F56" s="49"/>
      <c r="G56" s="23"/>
      <c r="I56" s="43">
        <f>SUM(I46:I55)</f>
        <v>212500</v>
      </c>
      <c r="J56" s="144"/>
      <c r="K56" s="156"/>
      <c r="L56" s="217"/>
      <c r="M56" s="132" t="s">
        <v>202</v>
      </c>
      <c r="N56" s="217">
        <v>0</v>
      </c>
      <c r="O56" s="426"/>
    </row>
    <row r="57" spans="1:16" customFormat="1" ht="15.75" x14ac:dyDescent="0.25">
      <c r="A57" s="436"/>
      <c r="C57" s="43"/>
      <c r="E57" s="43"/>
      <c r="F57" s="103"/>
      <c r="G57" s="23"/>
      <c r="I57" s="43"/>
      <c r="J57" s="144"/>
      <c r="K57" s="156"/>
      <c r="L57" s="128"/>
      <c r="M57" s="132" t="s">
        <v>202</v>
      </c>
      <c r="N57" s="150">
        <v>0</v>
      </c>
      <c r="O57" s="119"/>
    </row>
    <row r="58" spans="1:16" customFormat="1" ht="16.5" thickBot="1" x14ac:dyDescent="0.3">
      <c r="A58" s="84"/>
      <c r="B58" s="13"/>
      <c r="C58" s="55"/>
      <c r="E58" s="43"/>
      <c r="F58" s="103"/>
      <c r="G58" s="23"/>
      <c r="I58" s="43"/>
      <c r="J58" s="449"/>
      <c r="K58" s="450">
        <v>0</v>
      </c>
      <c r="L58" s="446"/>
      <c r="M58" s="447"/>
      <c r="N58" s="446">
        <v>0</v>
      </c>
      <c r="O58" s="448"/>
    </row>
    <row r="59" spans="1:16" customFormat="1" ht="15.75" thickTop="1" x14ac:dyDescent="0.25">
      <c r="A59" s="305"/>
      <c r="B59" s="105"/>
      <c r="C59" s="103"/>
      <c r="E59" s="43"/>
      <c r="F59" s="103"/>
      <c r="G59" s="23"/>
      <c r="I59" s="43"/>
      <c r="J59" s="105"/>
      <c r="K59" s="88">
        <f>SUM(K47:K58)</f>
        <v>212500</v>
      </c>
      <c r="L59" s="88"/>
      <c r="M59" s="88"/>
      <c r="N59" s="88">
        <f>SUM(N47:N58)</f>
        <v>212500</v>
      </c>
      <c r="O59" s="250"/>
    </row>
    <row r="60" spans="1:16" customFormat="1" x14ac:dyDescent="0.25">
      <c r="A60" s="305"/>
      <c r="B60" s="105"/>
      <c r="C60" s="103"/>
      <c r="D60" s="43"/>
      <c r="E60" s="58"/>
      <c r="F60" s="103"/>
      <c r="G60" s="23"/>
      <c r="I60" s="43"/>
    </row>
    <row r="61" spans="1:16" customFormat="1" x14ac:dyDescent="0.25">
      <c r="A61" s="305"/>
      <c r="B61" s="105"/>
      <c r="C61" s="103"/>
      <c r="D61" s="43"/>
      <c r="E61" s="58"/>
      <c r="F61" s="103"/>
      <c r="G61" s="23"/>
      <c r="I61" s="43"/>
    </row>
    <row r="62" spans="1:16" customFormat="1" x14ac:dyDescent="0.25">
      <c r="A62" s="305"/>
      <c r="B62" s="105"/>
      <c r="C62" s="103"/>
      <c r="D62" s="43"/>
      <c r="E62" s="58"/>
      <c r="F62" s="103"/>
      <c r="G62" s="23"/>
      <c r="I62" s="43"/>
    </row>
    <row r="63" spans="1:16" customFormat="1" x14ac:dyDescent="0.25">
      <c r="A63" s="305"/>
      <c r="B63" s="105"/>
      <c r="C63" s="103"/>
      <c r="D63" s="43"/>
      <c r="E63" s="58"/>
      <c r="F63" s="103"/>
      <c r="G63" s="23"/>
      <c r="I63" s="43"/>
    </row>
    <row r="64" spans="1:16" customFormat="1" x14ac:dyDescent="0.25">
      <c r="A64" s="305"/>
      <c r="B64" s="105"/>
      <c r="C64" s="103"/>
      <c r="D64" s="43"/>
      <c r="E64" s="58"/>
      <c r="F64" s="103"/>
      <c r="G64" s="23"/>
      <c r="I64" s="43"/>
    </row>
    <row r="65" spans="1:7" customFormat="1" x14ac:dyDescent="0.25">
      <c r="A65" s="305"/>
      <c r="B65" s="105"/>
      <c r="C65" s="103"/>
      <c r="D65" s="43"/>
      <c r="E65" s="58"/>
      <c r="F65" s="103"/>
      <c r="G65" s="23"/>
    </row>
    <row r="66" spans="1:7" customFormat="1" x14ac:dyDescent="0.25">
      <c r="A66" s="305"/>
      <c r="B66" s="105"/>
      <c r="C66" s="103"/>
      <c r="D66" s="43"/>
      <c r="E66" s="58"/>
      <c r="F66" s="103"/>
      <c r="G66" s="23"/>
    </row>
    <row r="67" spans="1:7" customFormat="1" x14ac:dyDescent="0.25">
      <c r="A67" s="305"/>
      <c r="B67" s="105"/>
      <c r="C67" s="103"/>
      <c r="F67" s="103"/>
    </row>
    <row r="68" spans="1:7" customFormat="1" x14ac:dyDescent="0.25">
      <c r="A68" s="305"/>
      <c r="B68" s="105"/>
      <c r="C68" s="103"/>
      <c r="F68" s="103"/>
    </row>
    <row r="69" spans="1:7" customFormat="1" x14ac:dyDescent="0.25">
      <c r="A69" s="305"/>
      <c r="B69" s="105"/>
      <c r="C69" s="103"/>
      <c r="F69" s="103"/>
    </row>
    <row r="70" spans="1:7" customFormat="1" x14ac:dyDescent="0.25">
      <c r="A70" s="305"/>
      <c r="B70" s="105"/>
      <c r="C70" s="103"/>
      <c r="F70" s="103"/>
    </row>
    <row r="71" spans="1:7" customFormat="1" x14ac:dyDescent="0.25">
      <c r="A71" s="305"/>
      <c r="B71" s="105"/>
      <c r="C71" s="103"/>
      <c r="F71" s="103"/>
    </row>
    <row r="72" spans="1:7" customFormat="1" x14ac:dyDescent="0.25">
      <c r="A72" s="305"/>
      <c r="B72" s="105"/>
      <c r="C72" s="103"/>
      <c r="F72" s="103"/>
    </row>
    <row r="73" spans="1:7" customFormat="1" x14ac:dyDescent="0.25">
      <c r="A73" s="305"/>
      <c r="B73" s="105"/>
      <c r="C73" s="103"/>
      <c r="F73" s="103"/>
    </row>
    <row r="74" spans="1:7" customFormat="1" x14ac:dyDescent="0.25">
      <c r="A74" s="305"/>
      <c r="B74" s="105"/>
      <c r="C74" s="103"/>
      <c r="F74" s="88"/>
    </row>
    <row r="75" spans="1:7" customFormat="1" x14ac:dyDescent="0.25">
      <c r="A75" s="305"/>
      <c r="B75" s="105"/>
      <c r="C75" s="103"/>
      <c r="F75" s="457"/>
    </row>
    <row r="76" spans="1:7" customFormat="1" x14ac:dyDescent="0.25">
      <c r="A76" s="305"/>
      <c r="B76" s="105"/>
      <c r="C76" s="103"/>
      <c r="F76" s="23"/>
    </row>
    <row r="77" spans="1:7" customFormat="1" x14ac:dyDescent="0.25">
      <c r="A77" s="305"/>
      <c r="B77" s="105"/>
      <c r="C77" s="103"/>
      <c r="F77" s="23"/>
    </row>
    <row r="78" spans="1:7" customFormat="1" x14ac:dyDescent="0.25">
      <c r="A78" s="13"/>
      <c r="B78" s="13"/>
      <c r="C78" s="456"/>
      <c r="F78" s="23"/>
    </row>
    <row r="79" spans="1:7" customFormat="1" x14ac:dyDescent="0.25">
      <c r="F79" s="23"/>
    </row>
    <row r="80" spans="1:7" customFormat="1" x14ac:dyDescent="0.25">
      <c r="F80" s="23"/>
    </row>
    <row r="81" spans="6:6" customFormat="1" x14ac:dyDescent="0.25">
      <c r="F81" s="23"/>
    </row>
    <row r="82" spans="6:6" customFormat="1" x14ac:dyDescent="0.25">
      <c r="F82" s="23"/>
    </row>
    <row r="83" spans="6:6" customFormat="1" x14ac:dyDescent="0.25">
      <c r="F83" s="23"/>
    </row>
    <row r="84" spans="6:6" customFormat="1" x14ac:dyDescent="0.25">
      <c r="F84" s="23"/>
    </row>
    <row r="85" spans="6:6" customFormat="1" x14ac:dyDescent="0.25">
      <c r="F85" s="23"/>
    </row>
    <row r="86" spans="6:6" customFormat="1" x14ac:dyDescent="0.25">
      <c r="F86" s="23"/>
    </row>
    <row r="87" spans="6:6" customFormat="1" x14ac:dyDescent="0.25">
      <c r="F87" s="23"/>
    </row>
    <row r="90" spans="6:6" customFormat="1" x14ac:dyDescent="0.25">
      <c r="F90" s="23"/>
    </row>
    <row r="91" spans="6:6" customFormat="1" x14ac:dyDescent="0.25">
      <c r="F91" s="23"/>
    </row>
    <row r="92" spans="6:6" customFormat="1" x14ac:dyDescent="0.25">
      <c r="F92" s="23"/>
    </row>
    <row r="93" spans="6:6" customFormat="1" x14ac:dyDescent="0.25">
      <c r="F93" s="23"/>
    </row>
    <row r="94" spans="6:6" customFormat="1" x14ac:dyDescent="0.25">
      <c r="F94" s="23"/>
    </row>
    <row r="95" spans="6:6" customFormat="1" x14ac:dyDescent="0.25">
      <c r="F95" s="23"/>
    </row>
    <row r="96" spans="6:6" customFormat="1" x14ac:dyDescent="0.25">
      <c r="F96" s="23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</sheetData>
  <sortState ref="W3:X7">
    <sortCondition ref="X3:X7"/>
  </sortState>
  <mergeCells count="1">
    <mergeCell ref="C3:E3"/>
  </mergeCells>
  <pageMargins left="0.70866141732283472" right="0.70866141732283472" top="0.55118110236220474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471" t="s">
        <v>56</v>
      </c>
      <c r="D1" s="471"/>
      <c r="E1" s="471"/>
      <c r="F1" s="471"/>
      <c r="G1" s="471"/>
      <c r="H1" s="471"/>
      <c r="I1" s="471"/>
      <c r="J1" s="471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472" t="s">
        <v>14</v>
      </c>
      <c r="F4" s="473"/>
      <c r="I4" s="474" t="s">
        <v>4</v>
      </c>
      <c r="J4" s="475"/>
      <c r="K4" s="475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478">
        <f>I38+K38</f>
        <v>74761.744999999995</v>
      </c>
      <c r="K40" s="479"/>
      <c r="N40" s="43">
        <v>97788.05</v>
      </c>
    </row>
    <row r="41" spans="1:14" ht="15.75" x14ac:dyDescent="0.25">
      <c r="D41" s="470" t="s">
        <v>8</v>
      </c>
      <c r="E41" s="470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480"/>
      <c r="J43" s="480"/>
      <c r="K43" s="2"/>
      <c r="N43" s="43">
        <v>32473.27</v>
      </c>
    </row>
    <row r="44" spans="1:14" ht="16.5" thickBot="1" x14ac:dyDescent="0.3">
      <c r="D44" s="469" t="s">
        <v>9</v>
      </c>
      <c r="E44" s="469"/>
      <c r="F44" s="59">
        <v>232988.59</v>
      </c>
      <c r="I44" s="481"/>
      <c r="J44" s="481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482" t="s">
        <v>13</v>
      </c>
      <c r="J45" s="483"/>
      <c r="K45" s="486">
        <f>F45+K44</f>
        <v>20895.104999999661</v>
      </c>
      <c r="N45" s="43">
        <v>64614.3</v>
      </c>
    </row>
    <row r="46" spans="1:14" ht="15.75" thickBot="1" x14ac:dyDescent="0.3">
      <c r="D46" s="468"/>
      <c r="E46" s="468"/>
      <c r="F46" s="55"/>
      <c r="I46" s="484"/>
      <c r="J46" s="485"/>
      <c r="K46" s="487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471" t="s">
        <v>103</v>
      </c>
      <c r="D1" s="471"/>
      <c r="E1" s="471"/>
      <c r="F1" s="471"/>
      <c r="G1" s="471"/>
      <c r="H1" s="471"/>
      <c r="I1" s="471"/>
      <c r="J1" s="471"/>
      <c r="K1" s="471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488" t="s">
        <v>173</v>
      </c>
      <c r="P17" s="489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490"/>
      <c r="P18" s="491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86"/>
      <c r="K40" s="478">
        <f>I38+L38</f>
        <v>53434.49</v>
      </c>
      <c r="L40" s="479"/>
      <c r="O40" t="s">
        <v>169</v>
      </c>
      <c r="P40" s="43">
        <v>16673.759999999998</v>
      </c>
    </row>
    <row r="41" spans="1:16" ht="15.75" x14ac:dyDescent="0.25">
      <c r="D41" s="470" t="s">
        <v>8</v>
      </c>
      <c r="E41" s="470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480"/>
      <c r="J43" s="480"/>
      <c r="K43" s="480"/>
      <c r="L43" s="2"/>
      <c r="O43" t="s">
        <v>172</v>
      </c>
      <c r="P43" s="43">
        <v>58093</v>
      </c>
    </row>
    <row r="44" spans="1:16" ht="16.5" thickBot="1" x14ac:dyDescent="0.3">
      <c r="D44" s="469" t="s">
        <v>9</v>
      </c>
      <c r="E44" s="469"/>
      <c r="F44" s="59">
        <v>174723.71</v>
      </c>
      <c r="I44" s="481"/>
      <c r="J44" s="481"/>
      <c r="K44" s="481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482" t="s">
        <v>13</v>
      </c>
      <c r="J45" s="483"/>
      <c r="K45" s="483"/>
      <c r="L45" s="486">
        <f>F45+L44</f>
        <v>-119565.35599999988</v>
      </c>
    </row>
    <row r="46" spans="1:16" ht="15.75" thickBot="1" x14ac:dyDescent="0.3">
      <c r="D46" s="468"/>
      <c r="E46" s="468"/>
      <c r="F46" s="55"/>
      <c r="I46" s="484"/>
      <c r="J46" s="485"/>
      <c r="K46" s="485"/>
      <c r="L46" s="487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471" t="s">
        <v>176</v>
      </c>
      <c r="D1" s="471"/>
      <c r="E1" s="471"/>
      <c r="F1" s="471"/>
      <c r="G1" s="471"/>
      <c r="H1" s="471"/>
      <c r="I1" s="471"/>
      <c r="J1" s="471"/>
      <c r="K1" s="471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494" t="s">
        <v>240</v>
      </c>
      <c r="R3" s="495"/>
      <c r="S3" s="496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476" t="s">
        <v>7</v>
      </c>
      <c r="I40" s="477"/>
      <c r="J40" s="98"/>
      <c r="K40" s="478">
        <f>I38+L38</f>
        <v>81575.08</v>
      </c>
      <c r="L40" s="479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470" t="s">
        <v>8</v>
      </c>
      <c r="E41" s="470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497">
        <f>F46</f>
        <v>423444.86999999988</v>
      </c>
      <c r="K43" s="498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481" t="s">
        <v>257</v>
      </c>
      <c r="I44" s="481"/>
      <c r="J44" s="499">
        <v>-174723.71</v>
      </c>
      <c r="K44" s="499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500">
        <v>0</v>
      </c>
      <c r="K45" s="500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468" t="s">
        <v>250</v>
      </c>
      <c r="E46" s="468"/>
      <c r="F46" s="55">
        <f>F44+F45</f>
        <v>423444.86999999988</v>
      </c>
      <c r="I46" s="178" t="s">
        <v>13</v>
      </c>
      <c r="J46" s="501">
        <f t="shared" ref="J46" si="1">SUM(J43:K45)</f>
        <v>248721.15999999989</v>
      </c>
      <c r="K46" s="502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471" t="s">
        <v>241</v>
      </c>
      <c r="D1" s="471"/>
      <c r="E1" s="471"/>
      <c r="F1" s="471"/>
      <c r="G1" s="471"/>
      <c r="H1" s="471"/>
      <c r="I1" s="471"/>
      <c r="J1" s="471"/>
      <c r="K1" s="471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494" t="s">
        <v>240</v>
      </c>
      <c r="S3" s="495"/>
      <c r="T3" s="496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256"/>
      <c r="K40" s="478">
        <f>I38+L38</f>
        <v>70568.180000000008</v>
      </c>
      <c r="L40" s="479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470" t="s">
        <v>8</v>
      </c>
      <c r="E41" s="470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480"/>
      <c r="J43" s="480"/>
      <c r="K43" s="480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497">
        <f>F46</f>
        <v>284330.06000000035</v>
      </c>
      <c r="L44" s="498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506" t="s">
        <v>2</v>
      </c>
      <c r="J45" s="506"/>
      <c r="K45" s="499">
        <v>-218235.22</v>
      </c>
      <c r="L45" s="499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500">
        <v>0</v>
      </c>
      <c r="L46" s="500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505"/>
      <c r="E47" s="505"/>
      <c r="I47"/>
      <c r="J47" s="304" t="s">
        <v>13</v>
      </c>
      <c r="K47" s="503">
        <f t="shared" ref="K47" si="2">SUM(K44:L46)</f>
        <v>66094.840000000346</v>
      </c>
      <c r="L47" s="504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471" t="s">
        <v>304</v>
      </c>
      <c r="D1" s="471"/>
      <c r="E1" s="471"/>
      <c r="F1" s="471"/>
      <c r="G1" s="471"/>
      <c r="H1" s="471"/>
      <c r="I1" s="471"/>
      <c r="J1" s="471"/>
      <c r="K1" s="471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256"/>
      <c r="K40" s="478">
        <f>I38+L38</f>
        <v>79594.55</v>
      </c>
      <c r="L40" s="479"/>
    </row>
    <row r="41" spans="1:15" ht="15.75" customHeight="1" x14ac:dyDescent="0.25">
      <c r="D41" s="470" t="s">
        <v>8</v>
      </c>
      <c r="E41" s="470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480"/>
      <c r="J43" s="480"/>
      <c r="K43" s="480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497">
        <f>F48</f>
        <v>226327.02999999982</v>
      </c>
      <c r="L44" s="498"/>
    </row>
    <row r="45" spans="1:15" ht="15.75" customHeight="1" thickBot="1" x14ac:dyDescent="0.3">
      <c r="D45" s="301" t="s">
        <v>9</v>
      </c>
      <c r="E45" s="301"/>
      <c r="F45" s="59">
        <v>141644.97</v>
      </c>
      <c r="I45" s="506" t="s">
        <v>2</v>
      </c>
      <c r="J45" s="506"/>
      <c r="K45" s="499">
        <v>-181901.18</v>
      </c>
      <c r="L45" s="499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500">
        <v>0</v>
      </c>
      <c r="L46" s="500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503">
        <f t="shared" ref="K47" si="1">SUM(K44:L46)</f>
        <v>44425.849999999831</v>
      </c>
      <c r="L47" s="504"/>
    </row>
    <row r="48" spans="1:15" ht="15.75" thickTop="1" x14ac:dyDescent="0.25">
      <c r="D48" s="480" t="s">
        <v>251</v>
      </c>
      <c r="E48" s="480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507" t="s">
        <v>240</v>
      </c>
      <c r="D3" s="508"/>
      <c r="E3" s="509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471" t="s">
        <v>348</v>
      </c>
      <c r="D1" s="471"/>
      <c r="E1" s="471"/>
      <c r="F1" s="471"/>
      <c r="G1" s="471"/>
      <c r="H1" s="471"/>
      <c r="I1" s="471"/>
      <c r="J1" s="471"/>
      <c r="K1" s="471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92" t="s">
        <v>14</v>
      </c>
      <c r="F4" s="493"/>
      <c r="I4" s="474" t="s">
        <v>4</v>
      </c>
      <c r="J4" s="475"/>
      <c r="K4" s="475"/>
      <c r="L4" s="475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76" t="s">
        <v>7</v>
      </c>
      <c r="I40" s="477"/>
      <c r="J40" s="302"/>
      <c r="K40" s="478">
        <f>I38+L38</f>
        <v>79366.69</v>
      </c>
      <c r="L40" s="479"/>
    </row>
    <row r="41" spans="1:15" ht="15.75" customHeight="1" x14ac:dyDescent="0.25">
      <c r="D41" s="470" t="s">
        <v>8</v>
      </c>
      <c r="E41" s="470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480"/>
      <c r="J43" s="480"/>
      <c r="K43" s="480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497">
        <f>F48</f>
        <v>169383.28000000003</v>
      </c>
      <c r="L44" s="498"/>
    </row>
    <row r="45" spans="1:15" ht="15.75" customHeight="1" thickBot="1" x14ac:dyDescent="0.3">
      <c r="D45" s="301" t="s">
        <v>9</v>
      </c>
      <c r="E45" s="301"/>
      <c r="F45" s="59">
        <v>149916.25</v>
      </c>
      <c r="I45" s="506" t="s">
        <v>2</v>
      </c>
      <c r="J45" s="506"/>
      <c r="K45" s="499">
        <v>-181901.18</v>
      </c>
      <c r="L45" s="499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500">
        <v>0</v>
      </c>
      <c r="L46" s="500"/>
    </row>
    <row r="47" spans="1:15" ht="19.5" thickBot="1" x14ac:dyDescent="0.3">
      <c r="E47" s="5"/>
      <c r="F47" s="125">
        <v>0</v>
      </c>
      <c r="I47" s="510" t="s">
        <v>401</v>
      </c>
      <c r="J47" s="511"/>
      <c r="K47" s="503">
        <f t="shared" ref="K47" si="1">SUM(K44:L46)</f>
        <v>-12517.899999999965</v>
      </c>
      <c r="L47" s="504"/>
    </row>
    <row r="48" spans="1:15" ht="15.75" thickTop="1" x14ac:dyDescent="0.25">
      <c r="D48" s="480" t="s">
        <v>251</v>
      </c>
      <c r="E48" s="480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507" t="s">
        <v>240</v>
      </c>
      <c r="D3" s="508"/>
      <c r="E3" s="509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A G O S TO  2015</vt:lpstr>
      <vt:lpstr>REMISIONES Ago 2015</vt:lpstr>
      <vt:lpstr>SEPTIEMBRE  2 0 1  5</vt:lpstr>
      <vt:lpstr>REMISIONES SEPT 2015</vt:lpstr>
      <vt:lpstr>Hoja4</vt:lpstr>
      <vt:lpstr>Hoja6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2015-10-19T19:33:25Z</cp:lastPrinted>
  <dcterms:created xsi:type="dcterms:W3CDTF">2009-02-04T18:28:43Z</dcterms:created>
  <dcterms:modified xsi:type="dcterms:W3CDTF">2015-10-19T20:02:56Z</dcterms:modified>
</cp:coreProperties>
</file>